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7.xml" ContentType="application/vnd.openxmlformats-officedocument.drawingml.chart+xml"/>
  <Override PartName="/xl/drawings/drawing34.xml" ContentType="application/vnd.openxmlformats-officedocument.drawingml.chartshapes+xml"/>
  <Override PartName="/xl/charts/chart3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H:\My Documents\temporary\statistics\"/>
    </mc:Choice>
  </mc:AlternateContent>
  <bookViews>
    <workbookView xWindow="4215" yWindow="2265" windowWidth="21600" windowHeight="13245" tabRatio="757"/>
  </bookViews>
  <sheets>
    <sheet name="Index" sheetId="29" r:id="rId1"/>
    <sheet name="Data Sources" sheetId="30" r:id="rId2"/>
    <sheet name="How To Use" sheetId="31" r:id="rId3"/>
    <sheet name="Snapshot" sheetId="38" r:id="rId4"/>
    <sheet name="Exchange Rates" sheetId="33" r:id="rId5"/>
    <sheet name="Commodity Price Comparison" sheetId="32" r:id="rId6"/>
    <sheet name="Index of Commodity Prices" sheetId="35" r:id="rId7"/>
    <sheet name="Exports" sheetId="36" r:id="rId8"/>
    <sheet name="WA vs Australia vs The World" sheetId="37" r:id="rId9"/>
    <sheet name="Mining Investment" sheetId="39" r:id="rId10"/>
    <sheet name="New Capital Expenditure" sheetId="40" r:id="rId11"/>
    <sheet name="Mineral Exploration Expenditure" sheetId="41" r:id="rId12"/>
    <sheet name="Min. Expl. By Commodity" sheetId="62" r:id="rId13"/>
    <sheet name="Min. Expl. By Type" sheetId="60" r:id="rId14"/>
    <sheet name="Min. Expl. Metres Drilled" sheetId="43" r:id="rId15"/>
    <sheet name="Pet. Exploration Expenditure" sheetId="44" r:id="rId16"/>
    <sheet name="Pet. Expl. By Location" sheetId="58" r:id="rId17"/>
    <sheet name="Royalties Latest" sheetId="45" r:id="rId18"/>
    <sheet name="Royalties Historic" sheetId="46" r:id="rId19"/>
    <sheet name="Employment Calendar Year" sheetId="54" r:id="rId20"/>
    <sheet name="Employment Financial Year" sheetId="55" r:id="rId21"/>
    <sheet name="Mining Employment Monthly" sheetId="56" r:id="rId22"/>
    <sheet name="Petroleum Employment Monthly" sheetId="61" r:id="rId23"/>
    <sheet name="Mining Employment by Site" sheetId="47" r:id="rId24"/>
    <sheet name=" Petroleum Employment by Site" sheetId="48" r:id="rId25"/>
    <sheet name="Mining Employment CY Pre-2001" sheetId="57" r:id="rId26"/>
    <sheet name="Sheet1" sheetId="59" state="hidden" r:id="rId27"/>
    <sheet name="Data" sheetId="18" state="hidden" r:id="rId28"/>
  </sheets>
  <externalReferences>
    <externalReference r:id="rId29"/>
  </externalReferences>
  <definedNames>
    <definedName name="_xlnm._FilterDatabase" localSheetId="23" hidden="1">'Mining Employment by Site'!#REF!</definedName>
    <definedName name="_GoBack" localSheetId="23">'Mining Employment by Site'!#REF!</definedName>
    <definedName name="A1954791L" localSheetId="13">'Min. Expl. Metres Drilled'!#REF!,'Min. Expl. Metres Drilled'!#REF!</definedName>
    <definedName name="A1954791L" localSheetId="16">'Pet. Expl. By Location'!#REF!,'Pet. Expl. By Location'!#REF!</definedName>
    <definedName name="A1954791L">'Min. Expl. Metres Drilled'!#REF!,'Min. Expl. Metres Drilled'!#REF!</definedName>
    <definedName name="A1954791L_Data" localSheetId="13">'Min. Expl. Metres Drilled'!#REF!</definedName>
    <definedName name="A1954791L_Data" localSheetId="16">'Pet. Expl. By Location'!#REF!</definedName>
    <definedName name="A1954791L_Data">'Min. Expl. Metres Drilled'!#REF!</definedName>
    <definedName name="A1954791L_Latest" localSheetId="13">'Min. Expl. Metres Drilled'!#REF!</definedName>
    <definedName name="A1954791L_Latest" localSheetId="16">'Pet. Expl. By Location'!#REF!</definedName>
    <definedName name="A1954791L_Latest">'Min. Expl. Metres Drilled'!#REF!</definedName>
    <definedName name="A1954799F" localSheetId="13">'Min. Expl. Metres Drilled'!#REF!,'Min. Expl. Metres Drilled'!#REF!</definedName>
    <definedName name="A1954799F" localSheetId="16">'Pet. Expl. By Location'!#REF!,'Pet. Expl. By Location'!#REF!</definedName>
    <definedName name="A1954799F">'Min. Expl. Metres Drilled'!#REF!,'Min. Expl. Metres Drilled'!#REF!</definedName>
    <definedName name="A1954799F_Data" localSheetId="13">'Min. Expl. Metres Drilled'!#REF!</definedName>
    <definedName name="A1954799F_Data" localSheetId="16">'Pet. Expl. By Location'!#REF!</definedName>
    <definedName name="A1954799F_Data">'Min. Expl. Metres Drilled'!#REF!</definedName>
    <definedName name="A1954799F_Latest" localSheetId="13">'Min. Expl. Metres Drilled'!#REF!</definedName>
    <definedName name="A1954799F_Latest" localSheetId="16">'Pet. Expl. By Location'!#REF!</definedName>
    <definedName name="A1954799F_Latest">'Min. Expl. Metres Drilled'!#REF!</definedName>
    <definedName name="A1954807V" localSheetId="13">'Min. Expl. Metres Drilled'!#REF!,'Min. Expl. Metres Drilled'!#REF!</definedName>
    <definedName name="A1954807V" localSheetId="16">'Pet. Expl. By Location'!#REF!,'Pet. Expl. By Location'!#REF!</definedName>
    <definedName name="A1954807V">'Min. Expl. Metres Drilled'!#REF!,'Min. Expl. Metres Drilled'!#REF!</definedName>
    <definedName name="A1954807V_Data" localSheetId="13">'Min. Expl. Metres Drilled'!#REF!</definedName>
    <definedName name="A1954807V_Data" localSheetId="16">'Pet. Expl. By Location'!#REF!</definedName>
    <definedName name="A1954807V_Data">'Min. Expl. Metres Drilled'!#REF!</definedName>
    <definedName name="A1954807V_Latest" localSheetId="13">'Min. Expl. Metres Drilled'!#REF!</definedName>
    <definedName name="A1954807V_Latest" localSheetId="16">'Pet. Expl. By Location'!#REF!</definedName>
    <definedName name="A1954807V_Latest">'Min. Expl. Metres Drilled'!#REF!</definedName>
    <definedName name="A1954815V" localSheetId="13">'Min. Expl. Metres Drilled'!#REF!,'Min. Expl. Metres Drilled'!#REF!</definedName>
    <definedName name="A1954815V" localSheetId="16">'Pet. Expl. By Location'!#REF!,'Pet. Expl. By Location'!#REF!</definedName>
    <definedName name="A1954815V">'Min. Expl. Metres Drilled'!#REF!,'Min. Expl. Metres Drilled'!#REF!</definedName>
    <definedName name="A1954815V_Data" localSheetId="13">'Min. Expl. Metres Drilled'!#REF!</definedName>
    <definedName name="A1954815V_Data" localSheetId="16">'Pet. Expl. By Location'!#REF!</definedName>
    <definedName name="A1954815V_Data">'Min. Expl. Metres Drilled'!#REF!</definedName>
    <definedName name="A1954815V_Latest" localSheetId="13">'Min. Expl. Metres Drilled'!#REF!</definedName>
    <definedName name="A1954815V_Latest" localSheetId="16">'Pet. Expl. By Location'!#REF!</definedName>
    <definedName name="A1954815V_Latest">'Min. Expl. Metres Drilled'!#REF!</definedName>
    <definedName name="A2266841J" localSheetId="13">'Min. Expl. Metres Drilled'!#REF!,'Min. Expl. Metres Drilled'!#REF!</definedName>
    <definedName name="A2266841J" localSheetId="16">'Pet. Expl. By Location'!#REF!,'Pet. Expl. By Location'!#REF!</definedName>
    <definedName name="A2266841J">'Min. Expl. Metres Drilled'!#REF!,'Min. Expl. Metres Drilled'!#REF!</definedName>
    <definedName name="A2266841J_Data" localSheetId="13">'Min. Expl. Metres Drilled'!#REF!</definedName>
    <definedName name="A2266841J_Data" localSheetId="16">'Pet. Expl. By Location'!#REF!</definedName>
    <definedName name="A2266841J_Data">'Min. Expl. Metres Drilled'!#REF!</definedName>
    <definedName name="A2266841J_Latest" localSheetId="13">'Min. Expl. Metres Drilled'!#REF!</definedName>
    <definedName name="A2266841J_Latest" localSheetId="16">'Pet. Expl. By Location'!#REF!</definedName>
    <definedName name="A2266841J_Latest">'Min. Expl. Metres Drilled'!#REF!</definedName>
    <definedName name="A2266842K" localSheetId="13">'Min. Expl. Metres Drilled'!#REF!,'Min. Expl. Metres Drilled'!#REF!</definedName>
    <definedName name="A2266842K" localSheetId="16">'Pet. Expl. By Location'!#REF!,'Pet. Expl. By Location'!#REF!</definedName>
    <definedName name="A2266842K">'Min. Expl. Metres Drilled'!#REF!,'Min. Expl. Metres Drilled'!#REF!</definedName>
    <definedName name="A2266842K_Data" localSheetId="13">'Min. Expl. Metres Drilled'!#REF!</definedName>
    <definedName name="A2266842K_Data" localSheetId="16">'Pet. Expl. By Location'!#REF!</definedName>
    <definedName name="A2266842K_Data">'Min. Expl. Metres Drilled'!#REF!</definedName>
    <definedName name="A2266842K_Latest" localSheetId="13">'Min. Expl. Metres Drilled'!#REF!</definedName>
    <definedName name="A2266842K_Latest" localSheetId="16">'Pet. Expl. By Location'!#REF!</definedName>
    <definedName name="A2266842K_Latest">'Min. Expl. Metres Drilled'!#REF!</definedName>
    <definedName name="A2266843L" localSheetId="13">'Min. Expl. Metres Drilled'!#REF!,'Min. Expl. Metres Drilled'!#REF!</definedName>
    <definedName name="A2266843L" localSheetId="16">'Pet. Expl. By Location'!#REF!,'Pet. Expl. By Location'!#REF!</definedName>
    <definedName name="A2266843L">'Min. Expl. Metres Drilled'!#REF!,'Min. Expl. Metres Drilled'!#REF!</definedName>
    <definedName name="A2266843L_Data" localSheetId="13">'Min. Expl. Metres Drilled'!#REF!</definedName>
    <definedName name="A2266843L_Data" localSheetId="16">'Pet. Expl. By Location'!#REF!</definedName>
    <definedName name="A2266843L_Data">'Min. Expl. Metres Drilled'!#REF!</definedName>
    <definedName name="A2266843L_Latest" localSheetId="13">'Min. Expl. Metres Drilled'!#REF!</definedName>
    <definedName name="A2266843L_Latest" localSheetId="16">'Pet. Expl. By Location'!#REF!</definedName>
    <definedName name="A2266843L_Latest">'Min. Expl. Metres Drilled'!#REF!</definedName>
    <definedName name="A2266844R" localSheetId="13">'Min. Expl. Metres Drilled'!#REF!,'Min. Expl. Metres Drilled'!#REF!</definedName>
    <definedName name="A2266844R" localSheetId="16">'Pet. Expl. By Location'!#REF!,'Pet. Expl. By Location'!#REF!</definedName>
    <definedName name="A2266844R">'Min. Expl. Metres Drilled'!#REF!,'Min. Expl. Metres Drilled'!#REF!</definedName>
    <definedName name="A2266844R_Data" localSheetId="13">'Min. Expl. Metres Drilled'!#REF!</definedName>
    <definedName name="A2266844R_Data" localSheetId="16">'Pet. Expl. By Location'!#REF!</definedName>
    <definedName name="A2266844R_Data">'Min. Expl. Metres Drilled'!#REF!</definedName>
    <definedName name="A2266844R_Latest" localSheetId="13">'Min. Expl. Metres Drilled'!#REF!</definedName>
    <definedName name="A2266844R_Latest" localSheetId="16">'Pet. Expl. By Location'!#REF!</definedName>
    <definedName name="A2266844R_Latest">'Min. Expl. Metres Drilled'!#REF!</definedName>
    <definedName name="A2266845T" localSheetId="13">'Min. Expl. Metres Drilled'!#REF!,'Min. Expl. Metres Drilled'!#REF!</definedName>
    <definedName name="A2266845T" localSheetId="16">'Pet. Expl. By Location'!#REF!,'Pet. Expl. By Location'!#REF!</definedName>
    <definedName name="A2266845T">'Min. Expl. Metres Drilled'!#REF!,'Min. Expl. Metres Drilled'!#REF!</definedName>
    <definedName name="A2266845T_Data" localSheetId="13">'Min. Expl. Metres Drilled'!#REF!</definedName>
    <definedName name="A2266845T_Data" localSheetId="16">'Pet. Expl. By Location'!#REF!</definedName>
    <definedName name="A2266845T_Data">'Min. Expl. Metres Drilled'!#REF!</definedName>
    <definedName name="A2266845T_Latest" localSheetId="13">'Min. Expl. Metres Drilled'!#REF!</definedName>
    <definedName name="A2266845T_Latest" localSheetId="16">'Pet. Expl. By Location'!#REF!</definedName>
    <definedName name="A2266845T_Latest">'Min. Expl. Metres Drilled'!#REF!</definedName>
    <definedName name="A2266846V" localSheetId="13">'Min. Expl. Metres Drilled'!#REF!,'Min. Expl. Metres Drilled'!#REF!</definedName>
    <definedName name="A2266846V" localSheetId="16">'Pet. Expl. By Location'!#REF!,'Pet. Expl. By Location'!#REF!</definedName>
    <definedName name="A2266846V">'Min. Expl. Metres Drilled'!#REF!,'Min. Expl. Metres Drilled'!#REF!</definedName>
    <definedName name="A2266846V_Data" localSheetId="13">'Min. Expl. Metres Drilled'!#REF!</definedName>
    <definedName name="A2266846V_Data" localSheetId="16">'Pet. Expl. By Location'!#REF!</definedName>
    <definedName name="A2266846V_Data">'Min. Expl. Metres Drilled'!#REF!</definedName>
    <definedName name="A2266846V_Latest" localSheetId="13">'Min. Expl. Metres Drilled'!#REF!</definedName>
    <definedName name="A2266846V_Latest" localSheetId="16">'Pet. Expl. By Location'!#REF!</definedName>
    <definedName name="A2266846V_Latest">'Min. Expl. Metres Drilled'!#REF!</definedName>
    <definedName name="Date_Range" localSheetId="13">'Min. Expl. Metres Drilled'!#REF!,'Min. Expl. Metres Drilled'!#REF!</definedName>
    <definedName name="Date_Range" localSheetId="16">'Pet. Expl. By Location'!#REF!,'Pet. Expl. By Location'!#REF!</definedName>
    <definedName name="Date_Range">'Min. Expl. Metres Drilled'!#REF!,'Min. Expl. Metres Drilled'!#REF!</definedName>
    <definedName name="Date_Range_Data" localSheetId="13">'Min. Expl. Metres Drilled'!#REF!</definedName>
    <definedName name="Date_Range_Data" localSheetId="16">'Pet. Expl. By Location'!#REF!</definedName>
    <definedName name="Date_Range_Data">'Min. Expl. Metres Drilled'!#REF!</definedName>
    <definedName name="GthanEQ2">[1]Data!$A$3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5">[1]Data!#REF!</definedName>
    <definedName name="LGthanEQ2" localSheetId="20">[1]Data!#REF!</definedName>
    <definedName name="LGthanEQ2" localSheetId="13">[1]Data!#REF!</definedName>
    <definedName name="LGthanEQ2" localSheetId="16">[1]Data!#REF!</definedName>
    <definedName name="LGthanEQ2">[1]Data!#REF!</definedName>
    <definedName name="LthanEQ2">[1]Data!$A$4</definedName>
    <definedName name="_xlnm.Print_Area" localSheetId="5">'Commodity Price Comparison'!$A$1:$R$59</definedName>
    <definedName name="_xlnm.Print_Area" localSheetId="6">'Index of Commodity Prices'!$A$400:$L$427</definedName>
  </definedNames>
  <calcPr calcId="162913"/>
</workbook>
</file>

<file path=xl/calcChain.xml><?xml version="1.0" encoding="utf-8"?>
<calcChain xmlns="http://schemas.openxmlformats.org/spreadsheetml/2006/main">
  <c r="B20" i="45" l="1"/>
  <c r="B18" i="45"/>
  <c r="B17" i="45"/>
  <c r="B16" i="45"/>
  <c r="B15" i="45"/>
  <c r="B14" i="45"/>
  <c r="B13" i="45"/>
  <c r="B12" i="45"/>
  <c r="B11" i="45"/>
  <c r="B10" i="45"/>
  <c r="B9" i="45"/>
  <c r="C20" i="45"/>
  <c r="C18" i="45"/>
  <c r="C17" i="45"/>
  <c r="C16" i="45"/>
  <c r="C15" i="45"/>
  <c r="C14" i="45"/>
  <c r="C13" i="45"/>
  <c r="C12" i="45"/>
  <c r="C11" i="45"/>
  <c r="C10" i="45"/>
  <c r="C9" i="45"/>
  <c r="Y8" i="58"/>
  <c r="Z8" i="58"/>
  <c r="AD8" i="58" s="1"/>
  <c r="AA8" i="58"/>
  <c r="AB8" i="58"/>
  <c r="AC8" i="58"/>
  <c r="Y9" i="58"/>
  <c r="Z9" i="58"/>
  <c r="AA9" i="58"/>
  <c r="AB9" i="58"/>
  <c r="AC9" i="58"/>
  <c r="Y10" i="58"/>
  <c r="Z10" i="58"/>
  <c r="AA10" i="58"/>
  <c r="AB10" i="58"/>
  <c r="AC10" i="58"/>
  <c r="Y11" i="58"/>
  <c r="Z11" i="58"/>
  <c r="AD11" i="58" s="1"/>
  <c r="AA11" i="58"/>
  <c r="AB11" i="58"/>
  <c r="AC11" i="58"/>
  <c r="Y12" i="58"/>
  <c r="Z12" i="58"/>
  <c r="AA12" i="58"/>
  <c r="AB12" i="58"/>
  <c r="AC12" i="58"/>
  <c r="AD12" i="58" s="1"/>
  <c r="Y13" i="58"/>
  <c r="Z13" i="58"/>
  <c r="AD13" i="58" s="1"/>
  <c r="AA13" i="58"/>
  <c r="AB13" i="58"/>
  <c r="AC13" i="58"/>
  <c r="Y14" i="58"/>
  <c r="Z14" i="58"/>
  <c r="AA14" i="58"/>
  <c r="AB14" i="58"/>
  <c r="AC14" i="58"/>
  <c r="AD14" i="58" s="1"/>
  <c r="Y15" i="58"/>
  <c r="Z15" i="58"/>
  <c r="AA15" i="58"/>
  <c r="AB15" i="58"/>
  <c r="AC15" i="58"/>
  <c r="Y16" i="58"/>
  <c r="Z16" i="58"/>
  <c r="AD16" i="58" s="1"/>
  <c r="AA16" i="58"/>
  <c r="AB16" i="58"/>
  <c r="AC16" i="58"/>
  <c r="Y17" i="58"/>
  <c r="Z17" i="58"/>
  <c r="AA17" i="58"/>
  <c r="AB17" i="58"/>
  <c r="AC17" i="58"/>
  <c r="X8" i="58"/>
  <c r="X9" i="58"/>
  <c r="X10" i="58"/>
  <c r="X11" i="58"/>
  <c r="X12" i="58"/>
  <c r="X13" i="58"/>
  <c r="AD9" i="58"/>
  <c r="AD10" i="58"/>
  <c r="X14" i="58"/>
  <c r="X15" i="58"/>
  <c r="AD15" i="58"/>
  <c r="X16" i="58"/>
  <c r="A89" i="40" l="1"/>
  <c r="A90" i="40"/>
  <c r="A91" i="40"/>
  <c r="A132" i="39"/>
  <c r="A133" i="39"/>
  <c r="A134" i="39"/>
  <c r="A135" i="39"/>
  <c r="A136" i="39"/>
  <c r="L17" i="39"/>
  <c r="DV16" i="61" l="1"/>
  <c r="DV30" i="61"/>
  <c r="EK2" i="61"/>
  <c r="EL2" i="61"/>
  <c r="EM2" i="61"/>
  <c r="EN2" i="61"/>
  <c r="EK1" i="61"/>
  <c r="EL1" i="61"/>
  <c r="EM1" i="61"/>
  <c r="EN1" i="61"/>
  <c r="IN1" i="56"/>
  <c r="IN2" i="56"/>
  <c r="IO1" i="56"/>
  <c r="IP1" i="56"/>
  <c r="IQ1" i="56"/>
  <c r="IR1" i="56"/>
  <c r="IS1" i="56"/>
  <c r="HZ2" i="56"/>
  <c r="IA2" i="56"/>
  <c r="IB2" i="56"/>
  <c r="IC2" i="56"/>
  <c r="ID2" i="56"/>
  <c r="IE2" i="56"/>
  <c r="IF2" i="56"/>
  <c r="IG2" i="56"/>
  <c r="IH2" i="56"/>
  <c r="II2" i="56"/>
  <c r="IJ2" i="56"/>
  <c r="IK2" i="56"/>
  <c r="IL2" i="56"/>
  <c r="IM2" i="56"/>
  <c r="IG1" i="56"/>
  <c r="IH1" i="56"/>
  <c r="II1" i="56"/>
  <c r="IJ1" i="56"/>
  <c r="IK1" i="56"/>
  <c r="IL1" i="56"/>
  <c r="IM1" i="56"/>
  <c r="IN60" i="56"/>
  <c r="EJ2" i="61"/>
  <c r="EO2" i="61"/>
  <c r="EP2" i="61"/>
  <c r="EQ2" i="61"/>
  <c r="DX1" i="61"/>
  <c r="DY1" i="61"/>
  <c r="DZ1" i="61"/>
  <c r="EA1" i="61"/>
  <c r="EB1" i="61"/>
  <c r="EC1" i="61"/>
  <c r="ED1" i="61"/>
  <c r="EE1" i="61"/>
  <c r="EF1" i="61"/>
  <c r="EG1" i="61"/>
  <c r="EH1" i="61"/>
  <c r="EI1" i="61"/>
  <c r="EJ1" i="61"/>
  <c r="EO1" i="61"/>
  <c r="EP1" i="61"/>
  <c r="EQ1" i="61"/>
  <c r="ER1" i="61"/>
  <c r="ES1" i="61"/>
  <c r="ET1" i="61"/>
  <c r="EU1" i="61"/>
  <c r="EV1" i="61"/>
  <c r="EW1" i="61"/>
  <c r="EX1" i="61"/>
  <c r="EY1" i="61"/>
  <c r="EZ1" i="61"/>
  <c r="FA1" i="61"/>
  <c r="FB1" i="61"/>
  <c r="FC1" i="61"/>
  <c r="FD1" i="61"/>
  <c r="FE1" i="61"/>
  <c r="FF1" i="61"/>
  <c r="FG1" i="61"/>
  <c r="FH1" i="61"/>
  <c r="FI1" i="61"/>
  <c r="FJ1" i="61"/>
  <c r="FK1" i="61"/>
  <c r="FL1" i="61"/>
  <c r="FM1" i="61"/>
  <c r="FN1" i="61"/>
  <c r="FO1" i="61"/>
  <c r="FP1" i="61"/>
  <c r="FQ1" i="61"/>
  <c r="FR1" i="61"/>
  <c r="FS1" i="61"/>
  <c r="FT1" i="61"/>
  <c r="FU1" i="61"/>
  <c r="FV1" i="61"/>
  <c r="FW1" i="61"/>
  <c r="FX1" i="61"/>
  <c r="FY1" i="61"/>
  <c r="FZ1" i="61"/>
  <c r="GA1" i="61"/>
  <c r="GB1" i="61"/>
  <c r="GC1" i="61"/>
  <c r="GD1" i="61"/>
  <c r="GE1" i="61"/>
  <c r="GF1" i="61"/>
  <c r="GG1" i="61"/>
  <c r="GH1" i="61"/>
  <c r="GI1" i="61"/>
  <c r="GJ1" i="61"/>
  <c r="GK1" i="61"/>
  <c r="GL1" i="61"/>
  <c r="GM1" i="61"/>
  <c r="GN1" i="61"/>
  <c r="GO1" i="61"/>
  <c r="GP1" i="61"/>
  <c r="GQ1" i="61"/>
  <c r="GR1" i="61"/>
  <c r="GS1" i="61"/>
  <c r="GT1" i="61"/>
  <c r="GU1" i="61"/>
  <c r="GV1" i="61"/>
  <c r="GW1" i="61"/>
  <c r="GX1" i="61"/>
  <c r="GY1" i="61"/>
  <c r="GZ1" i="61"/>
  <c r="HA1" i="61"/>
  <c r="HB1" i="61"/>
  <c r="HC1" i="61"/>
  <c r="HD1" i="61"/>
  <c r="HE1" i="61"/>
  <c r="HF1" i="61"/>
  <c r="HG1" i="61"/>
  <c r="HH1" i="61"/>
  <c r="HI1" i="61"/>
  <c r="HJ1" i="61"/>
  <c r="HK1" i="61"/>
  <c r="HL1" i="61"/>
  <c r="HM1" i="61"/>
  <c r="HN1" i="61"/>
  <c r="HO1" i="61"/>
  <c r="HP1" i="61"/>
  <c r="HQ1" i="61"/>
  <c r="HR1" i="61"/>
  <c r="HS1" i="61"/>
  <c r="HT1" i="61"/>
  <c r="HU1" i="61"/>
  <c r="HV1" i="61"/>
  <c r="HW1" i="61"/>
  <c r="HX1" i="61"/>
  <c r="HY1" i="61"/>
  <c r="HZ1" i="61"/>
  <c r="IA1" i="61"/>
  <c r="IB1" i="61"/>
  <c r="IC1" i="61"/>
  <c r="ID1" i="61"/>
  <c r="IE1" i="61"/>
  <c r="IF1" i="61"/>
  <c r="IG1" i="61"/>
  <c r="IH1" i="61"/>
  <c r="II1" i="61"/>
  <c r="IJ1" i="61"/>
  <c r="IK1" i="61"/>
  <c r="IL1" i="61"/>
  <c r="IM1" i="61"/>
  <c r="IN1" i="61"/>
  <c r="IO1" i="61"/>
  <c r="IP1" i="61"/>
  <c r="IQ1" i="61"/>
  <c r="IR1" i="61"/>
  <c r="IS1" i="61"/>
  <c r="IT1" i="61"/>
  <c r="IU1" i="61"/>
  <c r="IV1" i="61"/>
  <c r="IW1" i="61"/>
  <c r="IX1" i="61"/>
  <c r="IY1" i="61"/>
  <c r="IZ1" i="61"/>
  <c r="JA1" i="61"/>
  <c r="JB1" i="61"/>
  <c r="JC1" i="61"/>
  <c r="JD1" i="61"/>
  <c r="DX2" i="61"/>
  <c r="DY2" i="61"/>
  <c r="DZ2" i="61"/>
  <c r="EA2" i="61"/>
  <c r="EB2" i="61"/>
  <c r="EC2" i="61"/>
  <c r="ED2" i="61"/>
  <c r="EE2" i="61"/>
  <c r="EF2" i="61"/>
  <c r="EG2" i="61"/>
  <c r="EH2" i="61"/>
  <c r="EI2" i="61"/>
  <c r="ER2" i="61"/>
  <c r="ES2" i="61"/>
  <c r="ET2" i="61"/>
  <c r="EU2" i="61"/>
  <c r="EV2" i="61"/>
  <c r="EW2" i="61"/>
  <c r="EX2" i="61"/>
  <c r="EY2" i="61"/>
  <c r="EZ2" i="61"/>
  <c r="FA2" i="61"/>
  <c r="FB2" i="61"/>
  <c r="FC2" i="61"/>
  <c r="FD2" i="61"/>
  <c r="FE2" i="61"/>
  <c r="FF2" i="61"/>
  <c r="FG2" i="61"/>
  <c r="FH2" i="61"/>
  <c r="FI2" i="61"/>
  <c r="FJ2" i="61"/>
  <c r="FK2" i="61"/>
  <c r="FL2" i="61"/>
  <c r="FM2" i="61"/>
  <c r="FN2" i="61"/>
  <c r="FO2" i="61"/>
  <c r="FP2" i="61"/>
  <c r="FQ2" i="61"/>
  <c r="FR2" i="61"/>
  <c r="FS2" i="61"/>
  <c r="FT2" i="61"/>
  <c r="FU2" i="61"/>
  <c r="FV2" i="61"/>
  <c r="FW2" i="61"/>
  <c r="FX2" i="61"/>
  <c r="FY2" i="61"/>
  <c r="FZ2" i="61"/>
  <c r="GA2" i="61"/>
  <c r="GB2" i="61"/>
  <c r="GC2" i="61"/>
  <c r="GD2" i="61"/>
  <c r="GE2" i="61"/>
  <c r="GF2" i="61"/>
  <c r="GG2" i="61"/>
  <c r="GH2" i="61"/>
  <c r="GI2" i="61"/>
  <c r="GJ2" i="61"/>
  <c r="GK2" i="61"/>
  <c r="GL2" i="61"/>
  <c r="GM2" i="61"/>
  <c r="GN2" i="61"/>
  <c r="GO2" i="61"/>
  <c r="GP2" i="61"/>
  <c r="GQ2" i="61"/>
  <c r="GR2" i="61"/>
  <c r="GS2" i="61"/>
  <c r="GT2" i="61"/>
  <c r="GU2" i="61"/>
  <c r="GV2" i="61"/>
  <c r="GW2" i="61"/>
  <c r="GX2" i="61"/>
  <c r="GY2" i="61"/>
  <c r="GZ2" i="61"/>
  <c r="HA2" i="61"/>
  <c r="HB2" i="61"/>
  <c r="HC2" i="61"/>
  <c r="HD2" i="61"/>
  <c r="HE2" i="61"/>
  <c r="HF2" i="61"/>
  <c r="HG2" i="61"/>
  <c r="HH2" i="61"/>
  <c r="HI2" i="61"/>
  <c r="HJ2" i="61"/>
  <c r="HK2" i="61"/>
  <c r="HL2" i="61"/>
  <c r="HM2" i="61"/>
  <c r="HN2" i="61"/>
  <c r="HO2" i="61"/>
  <c r="HP2" i="61"/>
  <c r="HQ2" i="61"/>
  <c r="HR2" i="61"/>
  <c r="HS2" i="61"/>
  <c r="HT2" i="61"/>
  <c r="HU2" i="61"/>
  <c r="HV2" i="61"/>
  <c r="HW2" i="61"/>
  <c r="HX2" i="61"/>
  <c r="HY2" i="61"/>
  <c r="HZ2" i="61"/>
  <c r="IA2" i="61"/>
  <c r="IB2" i="61"/>
  <c r="IC2" i="61"/>
  <c r="ID2" i="61"/>
  <c r="IE2" i="61"/>
  <c r="IF2" i="61"/>
  <c r="IG2" i="61"/>
  <c r="IH2" i="61"/>
  <c r="II2" i="61"/>
  <c r="IJ2" i="61"/>
  <c r="IK2" i="61"/>
  <c r="IL2" i="61"/>
  <c r="IM2" i="61"/>
  <c r="IN2" i="61"/>
  <c r="IO2" i="61"/>
  <c r="IP2" i="61"/>
  <c r="IQ2" i="61"/>
  <c r="IR2" i="61"/>
  <c r="IS2" i="61"/>
  <c r="IT2" i="61"/>
  <c r="IU2" i="61"/>
  <c r="IV2" i="61"/>
  <c r="IW2" i="61"/>
  <c r="IX2" i="61"/>
  <c r="IY2" i="61"/>
  <c r="IZ2" i="61"/>
  <c r="JA2" i="61"/>
  <c r="JB2" i="61"/>
  <c r="JC2" i="61"/>
  <c r="JD2" i="61"/>
  <c r="DT2" i="61"/>
  <c r="DU2" i="61"/>
  <c r="DV2" i="61"/>
  <c r="DW2" i="61"/>
  <c r="DV1" i="61"/>
  <c r="DW1" i="61"/>
  <c r="BA18" i="61"/>
  <c r="BB18" i="61"/>
  <c r="BC18" i="61"/>
  <c r="BD18" i="61"/>
  <c r="BE18" i="61"/>
  <c r="BF18" i="61"/>
  <c r="BG18" i="61"/>
  <c r="BH18" i="61"/>
  <c r="BI18" i="61"/>
  <c r="BJ18" i="61"/>
  <c r="BK18" i="61"/>
  <c r="DV13" i="61"/>
  <c r="DW13" i="61"/>
  <c r="DU14" i="61"/>
  <c r="DV14" i="61"/>
  <c r="DW14" i="61"/>
  <c r="N14" i="61"/>
  <c r="EK14" i="61"/>
  <c r="EL14" i="61"/>
  <c r="EM14" i="61"/>
  <c r="EK13" i="61"/>
  <c r="EL13" i="61"/>
  <c r="EM13" i="61"/>
  <c r="T2" i="55"/>
  <c r="U2" i="55"/>
  <c r="V2" i="55"/>
  <c r="HT60" i="56"/>
  <c r="HU60" i="56"/>
  <c r="HV60" i="56"/>
  <c r="HW60" i="56"/>
  <c r="HX60" i="56"/>
  <c r="HY60" i="56"/>
  <c r="HZ60" i="56"/>
  <c r="IA60" i="56"/>
  <c r="IB60" i="56"/>
  <c r="IC60" i="56"/>
  <c r="ID60" i="56"/>
  <c r="IE60" i="56"/>
  <c r="IF60" i="56"/>
  <c r="IG60" i="56"/>
  <c r="IH60" i="56"/>
  <c r="II60" i="56"/>
  <c r="IJ60" i="56"/>
  <c r="IK60" i="56"/>
  <c r="HW59" i="56"/>
  <c r="HX59" i="56"/>
  <c r="HY59" i="56"/>
  <c r="HZ59" i="56"/>
  <c r="IA59" i="56"/>
  <c r="IB59" i="56"/>
  <c r="IC59" i="56"/>
  <c r="ID59" i="56"/>
  <c r="IE59" i="56"/>
  <c r="IF59" i="56"/>
  <c r="IG59" i="56"/>
  <c r="IH59" i="56"/>
  <c r="II59" i="56"/>
  <c r="IJ59" i="56"/>
  <c r="IK59" i="56"/>
  <c r="IL59" i="56"/>
  <c r="HQ60" i="56"/>
  <c r="HR60" i="56"/>
  <c r="HS60" i="56"/>
  <c r="IL60" i="56"/>
  <c r="IM60" i="56"/>
  <c r="HP60" i="56"/>
  <c r="HJ60" i="56"/>
  <c r="HM60" i="56"/>
  <c r="HN60" i="56"/>
  <c r="HO60" i="56"/>
  <c r="IN59" i="56"/>
  <c r="IO59" i="56"/>
  <c r="IP59" i="56"/>
  <c r="IQ59" i="56"/>
  <c r="IR59" i="56"/>
  <c r="IS59" i="56"/>
  <c r="IM59" i="56"/>
  <c r="IT59" i="56"/>
  <c r="IU59" i="56"/>
  <c r="AR77" i="56"/>
  <c r="AS77" i="56"/>
  <c r="AT77" i="56"/>
  <c r="AU77" i="56"/>
  <c r="AV77" i="56"/>
  <c r="AW77" i="56"/>
  <c r="AO77" i="56"/>
  <c r="IV59" i="56"/>
  <c r="W1" i="55"/>
  <c r="S17" i="40" l="1"/>
  <c r="Q17" i="40"/>
  <c r="R16" i="39"/>
  <c r="P16" i="39"/>
  <c r="R17" i="39"/>
  <c r="Q17" i="39" s="1"/>
  <c r="P17" i="39"/>
  <c r="U17" i="40" l="1"/>
  <c r="R17" i="40"/>
  <c r="T17" i="40"/>
  <c r="S17" i="39"/>
  <c r="AD17" i="60" l="1"/>
  <c r="AB17" i="60"/>
  <c r="AA17" i="60"/>
  <c r="Y17" i="60"/>
  <c r="BK706" i="62" l="1"/>
  <c r="BK707" i="62"/>
  <c r="BK708" i="62"/>
  <c r="BK709" i="62"/>
  <c r="BK710" i="62"/>
  <c r="BK711" i="62"/>
  <c r="BK712" i="62"/>
  <c r="BK713" i="62"/>
  <c r="BK714" i="62"/>
  <c r="BK715" i="62"/>
  <c r="BQ1" i="62"/>
  <c r="BO2" i="62" l="1"/>
  <c r="BK716" i="62" l="1"/>
  <c r="BR1" i="62"/>
  <c r="BQ2" i="62" s="1"/>
  <c r="F136" i="39" l="1"/>
  <c r="D136" i="39"/>
  <c r="F91" i="40"/>
  <c r="F90" i="40"/>
  <c r="F89" i="40"/>
  <c r="F88" i="40"/>
  <c r="F87" i="40"/>
  <c r="G91" i="40"/>
  <c r="D91" i="40"/>
  <c r="F139" i="41" l="1"/>
  <c r="D139" i="41"/>
  <c r="AD17" i="58"/>
  <c r="L179" i="58" l="1"/>
  <c r="X17" i="58"/>
  <c r="K179" i="58"/>
  <c r="K180" i="58"/>
  <c r="L180" i="58"/>
  <c r="K185" i="58"/>
  <c r="K186" i="58"/>
  <c r="K187" i="58"/>
  <c r="K188" i="58"/>
  <c r="K189" i="58"/>
  <c r="K190" i="58"/>
  <c r="K191" i="58"/>
  <c r="K192" i="58"/>
  <c r="K193" i="58"/>
  <c r="K194" i="58"/>
  <c r="K195" i="58"/>
  <c r="K196" i="58"/>
  <c r="K197" i="58"/>
  <c r="K198" i="58"/>
  <c r="K199" i="58"/>
  <c r="K200" i="58"/>
  <c r="K201" i="58"/>
  <c r="K202" i="58"/>
  <c r="K203" i="58"/>
  <c r="K204" i="58"/>
  <c r="K205" i="58"/>
  <c r="K206" i="58"/>
  <c r="K207" i="58"/>
  <c r="K208" i="58"/>
  <c r="K209" i="58"/>
  <c r="K210" i="58"/>
  <c r="K211" i="58"/>
  <c r="K212" i="58"/>
  <c r="K213" i="58"/>
  <c r="K214" i="58"/>
  <c r="K215" i="58"/>
  <c r="K216" i="58"/>
  <c r="K217" i="58"/>
  <c r="K218" i="58"/>
  <c r="K219" i="58"/>
  <c r="K220" i="58"/>
  <c r="K221" i="58"/>
  <c r="K222" i="58"/>
  <c r="K223" i="58"/>
  <c r="K224" i="58"/>
  <c r="K225" i="58"/>
  <c r="K226" i="58"/>
  <c r="K227" i="58"/>
  <c r="K228" i="58"/>
  <c r="K229" i="58"/>
  <c r="K230" i="58"/>
  <c r="K231" i="58"/>
  <c r="K232" i="58"/>
  <c r="K233" i="58"/>
  <c r="K234" i="58"/>
  <c r="K235" i="58"/>
  <c r="K236" i="58"/>
  <c r="K237" i="58"/>
  <c r="K238" i="58"/>
  <c r="K239" i="58"/>
  <c r="K240" i="58"/>
  <c r="K241" i="58"/>
  <c r="K242" i="58"/>
  <c r="K243" i="58"/>
  <c r="K244" i="58"/>
  <c r="K245" i="58"/>
  <c r="K246" i="58"/>
  <c r="K247" i="58"/>
  <c r="K248" i="58"/>
  <c r="K249" i="58"/>
  <c r="K250" i="58"/>
  <c r="K251" i="58"/>
  <c r="K252" i="58"/>
  <c r="K253" i="58"/>
  <c r="K254" i="58"/>
  <c r="K255" i="58"/>
  <c r="K256" i="58"/>
  <c r="K257" i="58"/>
  <c r="K258" i="58"/>
  <c r="K259" i="58"/>
  <c r="K260" i="58"/>
  <c r="K261" i="58"/>
  <c r="K262" i="58"/>
  <c r="K263" i="58"/>
  <c r="K264" i="58"/>
  <c r="K265" i="58"/>
  <c r="K266" i="58"/>
  <c r="K267" i="58"/>
  <c r="K268" i="58"/>
  <c r="K269" i="58"/>
  <c r="K270" i="58"/>
  <c r="K271" i="58"/>
  <c r="K272" i="58"/>
  <c r="K273" i="58"/>
  <c r="K274" i="58"/>
  <c r="K275" i="58"/>
  <c r="K276" i="58"/>
  <c r="K277" i="58"/>
  <c r="K278" i="58"/>
  <c r="K279" i="58"/>
  <c r="K280" i="58"/>
  <c r="K281" i="58"/>
  <c r="K282" i="58"/>
  <c r="K283" i="58"/>
  <c r="K284" i="58"/>
  <c r="K285" i="58"/>
  <c r="K286" i="58"/>
  <c r="K287" i="58"/>
  <c r="K288" i="58"/>
  <c r="K289" i="58"/>
  <c r="K290" i="58"/>
  <c r="K291" i="58"/>
  <c r="K292" i="58"/>
  <c r="K293" i="58"/>
  <c r="K294" i="58"/>
  <c r="K295" i="58"/>
  <c r="K296" i="58"/>
  <c r="K297" i="58"/>
  <c r="K298" i="58"/>
  <c r="K299" i="58"/>
  <c r="K300" i="58"/>
  <c r="K301" i="58"/>
  <c r="K302" i="58"/>
  <c r="K303" i="58"/>
  <c r="K304" i="58"/>
  <c r="K305" i="58"/>
  <c r="K306" i="58"/>
  <c r="K307" i="58"/>
  <c r="K308" i="58"/>
  <c r="K309" i="58"/>
  <c r="K310" i="58"/>
  <c r="K311" i="58"/>
  <c r="K312" i="58"/>
  <c r="K313" i="58"/>
  <c r="K314" i="58"/>
  <c r="K315" i="58"/>
  <c r="K316" i="58"/>
  <c r="K317" i="58"/>
  <c r="K318" i="58"/>
  <c r="K319" i="58"/>
  <c r="K320" i="58"/>
  <c r="K321" i="58"/>
  <c r="K322" i="58"/>
  <c r="K323" i="58"/>
  <c r="K324" i="58"/>
  <c r="K325" i="58"/>
  <c r="K326" i="58"/>
  <c r="K327" i="58"/>
  <c r="K328" i="58"/>
  <c r="K329" i="58"/>
  <c r="K330" i="58"/>
  <c r="K331" i="58"/>
  <c r="K332" i="58"/>
  <c r="K333" i="58"/>
  <c r="K334" i="58"/>
  <c r="K335" i="58"/>
  <c r="K336" i="58"/>
  <c r="K337" i="58"/>
  <c r="K338" i="58"/>
  <c r="K339" i="58"/>
  <c r="K340" i="58"/>
  <c r="K341" i="58"/>
  <c r="K342" i="58"/>
  <c r="K343" i="58"/>
  <c r="K344" i="58"/>
  <c r="K345" i="58"/>
  <c r="K346" i="58"/>
  <c r="K347" i="58"/>
  <c r="K348" i="58"/>
  <c r="K178" i="58"/>
  <c r="L178" i="58" s="1"/>
  <c r="Y8" i="60"/>
  <c r="AA8" i="60"/>
  <c r="Z8" i="60" s="1"/>
  <c r="AB8" i="60"/>
  <c r="AD8" i="60"/>
  <c r="AC8" i="60" s="1"/>
  <c r="AG8" i="60"/>
  <c r="Z17" i="60"/>
  <c r="DX14" i="61"/>
  <c r="DY14" i="61"/>
  <c r="DZ14" i="61"/>
  <c r="EA14" i="61"/>
  <c r="EB14" i="61"/>
  <c r="EC14" i="61"/>
  <c r="ED14" i="61"/>
  <c r="EE14" i="61"/>
  <c r="EF14" i="61"/>
  <c r="EG14" i="61"/>
  <c r="EH14" i="61"/>
  <c r="EI14" i="61"/>
  <c r="DX13" i="61"/>
  <c r="DY13" i="61"/>
  <c r="DZ13" i="61"/>
  <c r="EA13" i="61"/>
  <c r="EB13" i="61"/>
  <c r="EC13" i="61"/>
  <c r="ED13" i="61"/>
  <c r="EE13" i="61"/>
  <c r="EF13" i="61"/>
  <c r="EG13" i="61"/>
  <c r="EH13" i="61"/>
  <c r="EI13" i="61"/>
  <c r="AF8" i="60" l="1"/>
  <c r="AE8" i="60"/>
  <c r="AC17" i="60"/>
  <c r="AE17" i="60"/>
  <c r="AF17" i="60"/>
  <c r="AG17" i="60"/>
  <c r="D614" i="47"/>
  <c r="G196" i="47"/>
  <c r="G614" i="47" s="1"/>
  <c r="F196" i="47"/>
  <c r="F614" i="47" s="1"/>
  <c r="E196" i="47"/>
  <c r="E614" i="47" s="1"/>
  <c r="D196" i="47"/>
  <c r="C74" i="36" l="1"/>
  <c r="AN20" i="46" l="1"/>
  <c r="AN11" i="46"/>
  <c r="AN12" i="46"/>
  <c r="AN13" i="46"/>
  <c r="AN14" i="46"/>
  <c r="AN15" i="46"/>
  <c r="AN16" i="46"/>
  <c r="AN17" i="46"/>
  <c r="AN18" i="46"/>
  <c r="AN19" i="46"/>
  <c r="AN10" i="46"/>
  <c r="IH137" i="56" l="1"/>
  <c r="II137" i="56"/>
  <c r="IJ137" i="56"/>
  <c r="IK137" i="56"/>
  <c r="IL137" i="56"/>
  <c r="H2" i="44" l="1"/>
  <c r="K77" i="60" l="1"/>
  <c r="J77" i="60"/>
  <c r="I77" i="60"/>
  <c r="G77" i="60"/>
  <c r="D77" i="60"/>
  <c r="K76" i="60"/>
  <c r="J76" i="60"/>
  <c r="I76" i="60"/>
  <c r="G76" i="60"/>
  <c r="D76" i="60"/>
  <c r="D137" i="41"/>
  <c r="D138" i="41"/>
  <c r="D136" i="41"/>
  <c r="F136" i="41"/>
  <c r="F137" i="41"/>
  <c r="F138" i="41"/>
  <c r="G90" i="40"/>
  <c r="D90" i="40"/>
  <c r="G89" i="40"/>
  <c r="D89" i="40"/>
  <c r="F135" i="39"/>
  <c r="D135" i="39"/>
  <c r="F134" i="39"/>
  <c r="D134" i="39"/>
  <c r="F133" i="39"/>
  <c r="D133" i="39"/>
  <c r="F132" i="39"/>
  <c r="D132" i="39"/>
  <c r="H3" i="44"/>
  <c r="Q15" i="44" l="1"/>
  <c r="Q12" i="44"/>
  <c r="Q10" i="44"/>
  <c r="Q17" i="44"/>
  <c r="Q16" i="44"/>
  <c r="Q14" i="44"/>
  <c r="Q13" i="44"/>
  <c r="Q11" i="44"/>
  <c r="Q9" i="44"/>
  <c r="Q8" i="44"/>
  <c r="O17" i="44"/>
  <c r="O9" i="44"/>
  <c r="O13" i="44"/>
  <c r="O10" i="44"/>
  <c r="O16" i="44"/>
  <c r="O8" i="44"/>
  <c r="O14" i="44"/>
  <c r="O11" i="44"/>
  <c r="O15" i="44"/>
  <c r="O12" i="44"/>
  <c r="N9" i="44"/>
  <c r="N17" i="44"/>
  <c r="N11" i="44"/>
  <c r="N12" i="44"/>
  <c r="N13" i="44"/>
  <c r="N14" i="44"/>
  <c r="N15" i="44"/>
  <c r="N16" i="44"/>
  <c r="N10" i="44"/>
  <c r="N8" i="44"/>
  <c r="IG137" i="56"/>
  <c r="P15" i="44" l="1"/>
  <c r="P12" i="44"/>
  <c r="P14" i="44"/>
  <c r="P11" i="44"/>
  <c r="P13" i="44"/>
  <c r="P17" i="44"/>
  <c r="P16" i="44"/>
  <c r="P10" i="44"/>
  <c r="P9" i="44"/>
  <c r="P8" i="44"/>
  <c r="B33" i="38"/>
  <c r="I10" i="37"/>
  <c r="IB1" i="56" l="1"/>
  <c r="IC1" i="56"/>
  <c r="ID1" i="56"/>
  <c r="IE1" i="56"/>
  <c r="IF1" i="56"/>
  <c r="HV1" i="56"/>
  <c r="HW1" i="56"/>
  <c r="HX1" i="56"/>
  <c r="HY1" i="56"/>
  <c r="HZ1" i="56"/>
  <c r="IA1" i="56"/>
  <c r="HV2" i="56"/>
  <c r="HW2" i="56"/>
  <c r="HX2" i="56"/>
  <c r="HY2" i="56"/>
  <c r="AM37" i="46"/>
  <c r="AL38" i="46"/>
  <c r="C19" i="45" s="1"/>
  <c r="AM27" i="46"/>
  <c r="AM28" i="46"/>
  <c r="AM29" i="46"/>
  <c r="AM30" i="46"/>
  <c r="AM31" i="46"/>
  <c r="AM32" i="46"/>
  <c r="AM33" i="46"/>
  <c r="AM34" i="46"/>
  <c r="AM35" i="46"/>
  <c r="AM36" i="46"/>
  <c r="AL39" i="46" l="1"/>
  <c r="C21" i="45" s="1"/>
  <c r="IA137" i="56" l="1"/>
  <c r="IB137" i="56"/>
  <c r="IC137" i="56"/>
  <c r="ID137" i="56"/>
  <c r="IE137" i="56"/>
  <c r="IF137" i="56"/>
  <c r="IM137" i="56"/>
  <c r="T17" i="58"/>
  <c r="S17" i="58"/>
  <c r="R17" i="58"/>
  <c r="Q17" i="58"/>
  <c r="P17" i="58"/>
  <c r="O17" i="58"/>
  <c r="T16" i="58"/>
  <c r="S16" i="58"/>
  <c r="R16" i="58"/>
  <c r="Q16" i="58"/>
  <c r="P16" i="58"/>
  <c r="O16" i="58"/>
  <c r="K177" i="58"/>
  <c r="L177" i="58" s="1"/>
  <c r="A169" i="58"/>
  <c r="B169" i="58"/>
  <c r="A170" i="58"/>
  <c r="B170" i="58"/>
  <c r="A171" i="58"/>
  <c r="B171" i="58"/>
  <c r="A172" i="58"/>
  <c r="B172" i="58"/>
  <c r="A173" i="58"/>
  <c r="B173" i="58"/>
  <c r="A174" i="58"/>
  <c r="B174" i="58"/>
  <c r="A175" i="58"/>
  <c r="B175" i="58"/>
  <c r="A176" i="58"/>
  <c r="B176" i="58"/>
  <c r="C176" i="58" s="1"/>
  <c r="A177" i="58"/>
  <c r="B177" i="58"/>
  <c r="A178" i="58"/>
  <c r="B178" i="58"/>
  <c r="A184" i="58"/>
  <c r="B184" i="58"/>
  <c r="G88" i="40"/>
  <c r="D88" i="40"/>
  <c r="C169" i="58" l="1"/>
  <c r="U16" i="58"/>
  <c r="U17" i="58"/>
  <c r="C170" i="58"/>
  <c r="C172" i="58"/>
  <c r="C171" i="58"/>
  <c r="C177" i="58"/>
  <c r="C173" i="58"/>
  <c r="C174" i="58"/>
  <c r="C184" i="58"/>
  <c r="C175" i="58"/>
  <c r="C178" i="58"/>
  <c r="BD716" i="62" l="1"/>
  <c r="F115" i="44" l="1"/>
  <c r="F114" i="44"/>
  <c r="D115" i="44"/>
  <c r="D114" i="44"/>
  <c r="J79" i="60"/>
  <c r="G79" i="60"/>
  <c r="K79" i="60"/>
  <c r="D79" i="60"/>
  <c r="I79" i="60"/>
  <c r="D78" i="60" l="1"/>
  <c r="I78" i="60"/>
  <c r="G78" i="60"/>
  <c r="J78" i="60"/>
  <c r="K78" i="60"/>
  <c r="BD650" i="62" l="1"/>
  <c r="BD649" i="62"/>
  <c r="BD648" i="62"/>
  <c r="BD647" i="62"/>
  <c r="BD646" i="62"/>
  <c r="BD645" i="62"/>
  <c r="BD644" i="62"/>
  <c r="BD643" i="62"/>
  <c r="BD642" i="62"/>
  <c r="BD641" i="62"/>
  <c r="BD640" i="62"/>
  <c r="BD56" i="62"/>
  <c r="BD46" i="62"/>
  <c r="BD23" i="62"/>
  <c r="BD21" i="62"/>
  <c r="BD20" i="62"/>
  <c r="BD19" i="62"/>
  <c r="BD18" i="62"/>
  <c r="BD17" i="62"/>
  <c r="BD16" i="62"/>
  <c r="BD15" i="62"/>
  <c r="BD14" i="62"/>
  <c r="BD13" i="62"/>
  <c r="BD22" i="62"/>
  <c r="BK22" i="62"/>
  <c r="BK21" i="62"/>
  <c r="BK20" i="62"/>
  <c r="BK19" i="62"/>
  <c r="BK18" i="62"/>
  <c r="BK17" i="62"/>
  <c r="BK16" i="62"/>
  <c r="BK15" i="62"/>
  <c r="BK14" i="62"/>
  <c r="BK13" i="62"/>
  <c r="BK277" i="62"/>
  <c r="BD674" i="62" l="1"/>
  <c r="BD675" i="62"/>
  <c r="BD676" i="62"/>
  <c r="BD677" i="62"/>
  <c r="BD678" i="62"/>
  <c r="BD679" i="62"/>
  <c r="BD680" i="62"/>
  <c r="BD681" i="62"/>
  <c r="BD682" i="62"/>
  <c r="BD683" i="62"/>
  <c r="BD673" i="62"/>
  <c r="BD617" i="62"/>
  <c r="BD616" i="62"/>
  <c r="BD615" i="62"/>
  <c r="BD614" i="62"/>
  <c r="BD613" i="62"/>
  <c r="BD612" i="62"/>
  <c r="BD611" i="62"/>
  <c r="BD610" i="62"/>
  <c r="BD609" i="62"/>
  <c r="BD608" i="62"/>
  <c r="BD607" i="62"/>
  <c r="BD584" i="62"/>
  <c r="BD583" i="62"/>
  <c r="BD582" i="62"/>
  <c r="BD581" i="62"/>
  <c r="BD580" i="62"/>
  <c r="BD579" i="62"/>
  <c r="BD578" i="62"/>
  <c r="BD577" i="62"/>
  <c r="BD576" i="62"/>
  <c r="BD575" i="62"/>
  <c r="BD574" i="62"/>
  <c r="BD551" i="62"/>
  <c r="BD550" i="62"/>
  <c r="BD549" i="62"/>
  <c r="BD548" i="62"/>
  <c r="BD547" i="62"/>
  <c r="BD546" i="62"/>
  <c r="BD545" i="62"/>
  <c r="BD544" i="62"/>
  <c r="BD543" i="62"/>
  <c r="BD542" i="62"/>
  <c r="BD541" i="62"/>
  <c r="BD518" i="62"/>
  <c r="BD517" i="62"/>
  <c r="BD516" i="62"/>
  <c r="BD515" i="62"/>
  <c r="BD514" i="62"/>
  <c r="BD513" i="62"/>
  <c r="BD512" i="62"/>
  <c r="BD511" i="62"/>
  <c r="BD510" i="62"/>
  <c r="BD509" i="62"/>
  <c r="BD508" i="62"/>
  <c r="BD485" i="62"/>
  <c r="BD484" i="62"/>
  <c r="BD483" i="62"/>
  <c r="BD482" i="62"/>
  <c r="BD481" i="62"/>
  <c r="BD480" i="62"/>
  <c r="BD479" i="62"/>
  <c r="BD478" i="62"/>
  <c r="BD477" i="62"/>
  <c r="BD476" i="62"/>
  <c r="BD475" i="62"/>
  <c r="BD452" i="62"/>
  <c r="BD451" i="62"/>
  <c r="BD450" i="62"/>
  <c r="BD449" i="62"/>
  <c r="BD448" i="62"/>
  <c r="BD447" i="62"/>
  <c r="BD446" i="62"/>
  <c r="BD445" i="62"/>
  <c r="BD444" i="62"/>
  <c r="BD443" i="62"/>
  <c r="BD442" i="62"/>
  <c r="BD419" i="62"/>
  <c r="BD418" i="62"/>
  <c r="BD417" i="62"/>
  <c r="BD416" i="62"/>
  <c r="BD415" i="62"/>
  <c r="BD414" i="62"/>
  <c r="BD413" i="62"/>
  <c r="BD412" i="62"/>
  <c r="BD411" i="62"/>
  <c r="BD410" i="62"/>
  <c r="BD409" i="62"/>
  <c r="BD386" i="62"/>
  <c r="BD385" i="62"/>
  <c r="BD384" i="62"/>
  <c r="BD383" i="62"/>
  <c r="BD382" i="62"/>
  <c r="BD381" i="62"/>
  <c r="BD380" i="62"/>
  <c r="BD379" i="62"/>
  <c r="BD378" i="62"/>
  <c r="BD377" i="62"/>
  <c r="BD376" i="62"/>
  <c r="BD353" i="62"/>
  <c r="BD352" i="62"/>
  <c r="BD351" i="62"/>
  <c r="BD350" i="62"/>
  <c r="BD349" i="62"/>
  <c r="BD348" i="62"/>
  <c r="BD347" i="62"/>
  <c r="BD346" i="62"/>
  <c r="BD345" i="62"/>
  <c r="BD344" i="62"/>
  <c r="BD343" i="62"/>
  <c r="BD320" i="62"/>
  <c r="BD319" i="62"/>
  <c r="BD318" i="62"/>
  <c r="BD317" i="62"/>
  <c r="BD316" i="62"/>
  <c r="BD315" i="62"/>
  <c r="BD314" i="62"/>
  <c r="BD313" i="62"/>
  <c r="BD312" i="62"/>
  <c r="BD311" i="62"/>
  <c r="BD310" i="62"/>
  <c r="BD287" i="62"/>
  <c r="BD286" i="62"/>
  <c r="BD285" i="62"/>
  <c r="BD284" i="62"/>
  <c r="BD283" i="62"/>
  <c r="BD282" i="62"/>
  <c r="BD281" i="62"/>
  <c r="BD280" i="62"/>
  <c r="BD279" i="62"/>
  <c r="BD278" i="62"/>
  <c r="BD277" i="62"/>
  <c r="BD254" i="62"/>
  <c r="BD253" i="62"/>
  <c r="BD252" i="62"/>
  <c r="BD251" i="62"/>
  <c r="BD250" i="62"/>
  <c r="BD249" i="62"/>
  <c r="BD248" i="62"/>
  <c r="BD247" i="62"/>
  <c r="BD246" i="62"/>
  <c r="BD245" i="62"/>
  <c r="BD244" i="62"/>
  <c r="BD221" i="62"/>
  <c r="BD220" i="62"/>
  <c r="BD219" i="62"/>
  <c r="BD218" i="62"/>
  <c r="BD217" i="62"/>
  <c r="BD216" i="62"/>
  <c r="BD215" i="62"/>
  <c r="BD214" i="62"/>
  <c r="BD213" i="62"/>
  <c r="BD212" i="62"/>
  <c r="BD211" i="62"/>
  <c r="BD188" i="62"/>
  <c r="BD187" i="62"/>
  <c r="BD186" i="62"/>
  <c r="BD185" i="62"/>
  <c r="BD184" i="62"/>
  <c r="BD183" i="62"/>
  <c r="BD182" i="62"/>
  <c r="BD181" i="62"/>
  <c r="BD180" i="62"/>
  <c r="BD179" i="62"/>
  <c r="BD178" i="62"/>
  <c r="BD155" i="62"/>
  <c r="BD154" i="62"/>
  <c r="BD153" i="62"/>
  <c r="BD152" i="62"/>
  <c r="BD151" i="62"/>
  <c r="BD150" i="62"/>
  <c r="BD149" i="62"/>
  <c r="BD148" i="62"/>
  <c r="BD147" i="62"/>
  <c r="BD146" i="62"/>
  <c r="BD145" i="62"/>
  <c r="BD113" i="62"/>
  <c r="BD114" i="62"/>
  <c r="BD115" i="62"/>
  <c r="BD116" i="62"/>
  <c r="BD117" i="62"/>
  <c r="BD118" i="62"/>
  <c r="BD119" i="62"/>
  <c r="BD120" i="62"/>
  <c r="BD121" i="62"/>
  <c r="BD122" i="62"/>
  <c r="BD112" i="62"/>
  <c r="BD89" i="62"/>
  <c r="BD88" i="62"/>
  <c r="BD87" i="62"/>
  <c r="BD86" i="62"/>
  <c r="BD85" i="62"/>
  <c r="BD84" i="62"/>
  <c r="BD83" i="62"/>
  <c r="BD82" i="62"/>
  <c r="BD81" i="62"/>
  <c r="BD80" i="62"/>
  <c r="BD79" i="62"/>
  <c r="BD47" i="62"/>
  <c r="BD48" i="62"/>
  <c r="BD49" i="62"/>
  <c r="BD50" i="62"/>
  <c r="BD51" i="62"/>
  <c r="BD52" i="62"/>
  <c r="BD53" i="62"/>
  <c r="BD54" i="62"/>
  <c r="BD55" i="62"/>
  <c r="BK617" i="62" l="1"/>
  <c r="BK616" i="62"/>
  <c r="BK615" i="62"/>
  <c r="BK614" i="62"/>
  <c r="BK613" i="62"/>
  <c r="BK612" i="62"/>
  <c r="BK611" i="62"/>
  <c r="BK610" i="62"/>
  <c r="BK609" i="62"/>
  <c r="BK608" i="62"/>
  <c r="BK607" i="62"/>
  <c r="BK410" i="62"/>
  <c r="BK411" i="62"/>
  <c r="BK412" i="62"/>
  <c r="BK413" i="62"/>
  <c r="BK414" i="62"/>
  <c r="BK415" i="62"/>
  <c r="BK416" i="62"/>
  <c r="BK417" i="62"/>
  <c r="BK418" i="62"/>
  <c r="BK419" i="62"/>
  <c r="BK683" i="62"/>
  <c r="BK682" i="62"/>
  <c r="BK681" i="62"/>
  <c r="BK680" i="62"/>
  <c r="BK679" i="62"/>
  <c r="BK678" i="62"/>
  <c r="BK677" i="62"/>
  <c r="BK676" i="62"/>
  <c r="BK675" i="62"/>
  <c r="BK674" i="62"/>
  <c r="BK673" i="62"/>
  <c r="BK650" i="62"/>
  <c r="BK649" i="62"/>
  <c r="BK648" i="62"/>
  <c r="BK647" i="62"/>
  <c r="BK646" i="62"/>
  <c r="BK645" i="62"/>
  <c r="BK644" i="62"/>
  <c r="BK643" i="62"/>
  <c r="BK642" i="62"/>
  <c r="BK641" i="62"/>
  <c r="BK640" i="62"/>
  <c r="BK584" i="62"/>
  <c r="BK583" i="62"/>
  <c r="BK582" i="62"/>
  <c r="BK581" i="62"/>
  <c r="BK580" i="62"/>
  <c r="BK579" i="62"/>
  <c r="BK578" i="62"/>
  <c r="BK577" i="62"/>
  <c r="BK576" i="62"/>
  <c r="BK575" i="62"/>
  <c r="BK574" i="62"/>
  <c r="BK551" i="62"/>
  <c r="BK550" i="62"/>
  <c r="BK549" i="62"/>
  <c r="BK548" i="62"/>
  <c r="BK547" i="62"/>
  <c r="BK546" i="62"/>
  <c r="BK545" i="62"/>
  <c r="BK544" i="62"/>
  <c r="BK543" i="62"/>
  <c r="BK542" i="62"/>
  <c r="BK541" i="62"/>
  <c r="BK518" i="62"/>
  <c r="BK517" i="62"/>
  <c r="BK516" i="62"/>
  <c r="BK515" i="62"/>
  <c r="BK514" i="62"/>
  <c r="BK513" i="62"/>
  <c r="BK512" i="62"/>
  <c r="BK511" i="62"/>
  <c r="BK510" i="62"/>
  <c r="BK509" i="62"/>
  <c r="BK508" i="62"/>
  <c r="BK485" i="62"/>
  <c r="BK484" i="62"/>
  <c r="BK483" i="62"/>
  <c r="BK482" i="62"/>
  <c r="BK481" i="62"/>
  <c r="BK480" i="62"/>
  <c r="BK479" i="62"/>
  <c r="BK478" i="62"/>
  <c r="BK477" i="62"/>
  <c r="BK476" i="62"/>
  <c r="BK475" i="62"/>
  <c r="BK452" i="62"/>
  <c r="BK451" i="62"/>
  <c r="BK450" i="62"/>
  <c r="BK449" i="62"/>
  <c r="BK448" i="62"/>
  <c r="BK447" i="62"/>
  <c r="BK446" i="62"/>
  <c r="BK445" i="62"/>
  <c r="BK444" i="62"/>
  <c r="BK443" i="62"/>
  <c r="BK442" i="62"/>
  <c r="BK409" i="62"/>
  <c r="BK377" i="62"/>
  <c r="BK378" i="62"/>
  <c r="BK379" i="62"/>
  <c r="BK380" i="62"/>
  <c r="BK381" i="62"/>
  <c r="BK382" i="62"/>
  <c r="BK383" i="62"/>
  <c r="BK384" i="62"/>
  <c r="BK385" i="62"/>
  <c r="BK386" i="62"/>
  <c r="BK376" i="62"/>
  <c r="BK353" i="62"/>
  <c r="BK352" i="62"/>
  <c r="BK351" i="62"/>
  <c r="BK350" i="62"/>
  <c r="BK349" i="62"/>
  <c r="BK348" i="62"/>
  <c r="BK347" i="62"/>
  <c r="BK346" i="62"/>
  <c r="BK345" i="62"/>
  <c r="BK344" i="62"/>
  <c r="BK343" i="62"/>
  <c r="BK311" i="62"/>
  <c r="BK312" i="62"/>
  <c r="BK313" i="62"/>
  <c r="BK314" i="62"/>
  <c r="BK315" i="62"/>
  <c r="BK316" i="62"/>
  <c r="BK317" i="62"/>
  <c r="BK318" i="62"/>
  <c r="BK319" i="62"/>
  <c r="BK320" i="62"/>
  <c r="BK310" i="62"/>
  <c r="BK287" i="62"/>
  <c r="BK286" i="62"/>
  <c r="BK285" i="62"/>
  <c r="BK284" i="62"/>
  <c r="BK283" i="62"/>
  <c r="BK282" i="62"/>
  <c r="BK281" i="62"/>
  <c r="BK280" i="62"/>
  <c r="BK279" i="62"/>
  <c r="BK278" i="62"/>
  <c r="BK245" i="62"/>
  <c r="BK246" i="62"/>
  <c r="BK247" i="62"/>
  <c r="BK248" i="62"/>
  <c r="BK249" i="62"/>
  <c r="BK250" i="62"/>
  <c r="BK251" i="62"/>
  <c r="BK252" i="62"/>
  <c r="BK253" i="62"/>
  <c r="BK254" i="62"/>
  <c r="BK244" i="62"/>
  <c r="BK212" i="62"/>
  <c r="BK213" i="62"/>
  <c r="BK214" i="62"/>
  <c r="BK215" i="62"/>
  <c r="BK216" i="62"/>
  <c r="BK217" i="62"/>
  <c r="BK218" i="62"/>
  <c r="BK219" i="62"/>
  <c r="BK220" i="62"/>
  <c r="BK221" i="62"/>
  <c r="BK211" i="62"/>
  <c r="BK188" i="62"/>
  <c r="BK187" i="62"/>
  <c r="BK186" i="62"/>
  <c r="BK185" i="62"/>
  <c r="BK184" i="62"/>
  <c r="BK183" i="62"/>
  <c r="BK182" i="62"/>
  <c r="BK181" i="62"/>
  <c r="BK180" i="62"/>
  <c r="BK179" i="62"/>
  <c r="BK178" i="62"/>
  <c r="BK146" i="62"/>
  <c r="BK147" i="62"/>
  <c r="BK148" i="62"/>
  <c r="BK149" i="62"/>
  <c r="BK150" i="62"/>
  <c r="BK151" i="62"/>
  <c r="BK152" i="62"/>
  <c r="BK153" i="62"/>
  <c r="BK154" i="62"/>
  <c r="BK155" i="62"/>
  <c r="BK145" i="62"/>
  <c r="BK113" i="62"/>
  <c r="BK114" i="62"/>
  <c r="BK115" i="62"/>
  <c r="BK116" i="62"/>
  <c r="BK117" i="62"/>
  <c r="BK118" i="62"/>
  <c r="BK119" i="62"/>
  <c r="BK120" i="62"/>
  <c r="BK121" i="62"/>
  <c r="BK122" i="62"/>
  <c r="BK112" i="62"/>
  <c r="BK81" i="62"/>
  <c r="BK82" i="62"/>
  <c r="BK83" i="62"/>
  <c r="BK84" i="62"/>
  <c r="BK85" i="62"/>
  <c r="BK86" i="62"/>
  <c r="BK87" i="62"/>
  <c r="BK88" i="62"/>
  <c r="BK89" i="62"/>
  <c r="BK80" i="62"/>
  <c r="BK79" i="62"/>
  <c r="N1" i="36" l="1"/>
  <c r="N2" i="36"/>
  <c r="N3" i="36"/>
  <c r="N4" i="36"/>
  <c r="BO1" i="62" l="1"/>
  <c r="K175" i="58" l="1"/>
  <c r="L175" i="58" s="1"/>
  <c r="K176" i="58"/>
  <c r="L176" i="58" s="1"/>
  <c r="AK38" i="46" l="1"/>
  <c r="B19" i="45" s="1"/>
  <c r="AK39" i="46" l="1"/>
  <c r="B21" i="45" s="1"/>
  <c r="HT59" i="56"/>
  <c r="HU59" i="56"/>
  <c r="HV59" i="56"/>
  <c r="AM59" i="56"/>
  <c r="HW84" i="56" l="1"/>
  <c r="HX84" i="56"/>
  <c r="HY84" i="56"/>
  <c r="HZ84" i="56"/>
  <c r="HV84" i="56"/>
  <c r="A3" i="46" l="1"/>
  <c r="B7" i="45"/>
  <c r="C7" i="45"/>
  <c r="A22" i="45" l="1"/>
  <c r="U7" i="45"/>
  <c r="A6" i="45"/>
  <c r="A2" i="46"/>
  <c r="Q15" i="40" l="1"/>
  <c r="S16" i="40"/>
  <c r="Q16" i="40"/>
  <c r="T16" i="40" l="1"/>
  <c r="HZ137" i="56"/>
  <c r="HY137" i="56"/>
  <c r="HX137" i="56"/>
  <c r="HW137" i="56"/>
  <c r="HV137" i="56"/>
  <c r="F111" i="44"/>
  <c r="D111" i="44"/>
  <c r="K75" i="60"/>
  <c r="J75" i="60"/>
  <c r="I75" i="60"/>
  <c r="G75" i="60"/>
  <c r="D75" i="60"/>
  <c r="D135" i="41"/>
  <c r="F135" i="41"/>
  <c r="R16" i="40" l="1"/>
  <c r="U16" i="40"/>
  <c r="D87" i="40"/>
  <c r="G87" i="40"/>
  <c r="C18" i="61" l="1"/>
  <c r="D18" i="61"/>
  <c r="E18" i="61"/>
  <c r="F18" i="61"/>
  <c r="G18" i="61"/>
  <c r="H18" i="61"/>
  <c r="I18" i="61"/>
  <c r="J18" i="61"/>
  <c r="K18" i="61"/>
  <c r="L18" i="61"/>
  <c r="M18" i="61"/>
  <c r="N18" i="61"/>
  <c r="O18" i="61"/>
  <c r="P18" i="61"/>
  <c r="Q18" i="61"/>
  <c r="R18" i="61"/>
  <c r="S18" i="61"/>
  <c r="T18" i="61"/>
  <c r="U18" i="61"/>
  <c r="V18" i="61"/>
  <c r="W18" i="61"/>
  <c r="X18" i="61"/>
  <c r="Y18" i="61"/>
  <c r="Z18" i="61"/>
  <c r="AA18" i="61"/>
  <c r="AB18" i="61"/>
  <c r="AC18" i="61"/>
  <c r="AD18" i="61"/>
  <c r="AE18" i="61"/>
  <c r="AF18" i="61"/>
  <c r="AG18" i="61"/>
  <c r="AH18" i="61"/>
  <c r="AI18" i="61"/>
  <c r="AJ18" i="61"/>
  <c r="AK18" i="61"/>
  <c r="AL18" i="61"/>
  <c r="AM18" i="61"/>
  <c r="AN18" i="61"/>
  <c r="AO18" i="61"/>
  <c r="AP18" i="61"/>
  <c r="AQ18" i="61"/>
  <c r="AR18" i="61"/>
  <c r="AS18" i="61"/>
  <c r="AT18" i="61"/>
  <c r="AU18" i="61"/>
  <c r="AV18" i="61"/>
  <c r="AW18" i="61"/>
  <c r="AX18" i="61"/>
  <c r="AY18" i="61"/>
  <c r="AZ18" i="61"/>
  <c r="BL18" i="61"/>
  <c r="BM18" i="61"/>
  <c r="BN18" i="61"/>
  <c r="BO18" i="61"/>
  <c r="BP18" i="61"/>
  <c r="BQ18" i="61"/>
  <c r="BR18" i="61"/>
  <c r="BS18" i="61"/>
  <c r="B18" i="61"/>
  <c r="BB13" i="61"/>
  <c r="BC13" i="61"/>
  <c r="BD13" i="61"/>
  <c r="BE13" i="61"/>
  <c r="BF13" i="61"/>
  <c r="BG13" i="61"/>
  <c r="BH13" i="61"/>
  <c r="BI13" i="61"/>
  <c r="BJ13" i="61"/>
  <c r="BK13" i="61"/>
  <c r="BL13" i="61"/>
  <c r="BM13" i="61"/>
  <c r="BN13" i="61"/>
  <c r="BO13" i="61"/>
  <c r="BP13" i="61"/>
  <c r="BQ13" i="61"/>
  <c r="BR13" i="61"/>
  <c r="BS13" i="61"/>
  <c r="BT13" i="61"/>
  <c r="BU13" i="61"/>
  <c r="BV13" i="61"/>
  <c r="BW13" i="61"/>
  <c r="BX13" i="61"/>
  <c r="BY13" i="61"/>
  <c r="BZ13" i="61"/>
  <c r="CA13" i="61"/>
  <c r="CB13" i="61"/>
  <c r="CC13" i="61"/>
  <c r="CD13" i="61"/>
  <c r="CE13" i="61"/>
  <c r="CF13" i="61"/>
  <c r="CG13" i="61"/>
  <c r="CH13" i="61"/>
  <c r="CI13" i="61"/>
  <c r="CJ13" i="61"/>
  <c r="CK13" i="61"/>
  <c r="CL13" i="61"/>
  <c r="CM13" i="61"/>
  <c r="CN13" i="61"/>
  <c r="CO13" i="61"/>
  <c r="CP13" i="61"/>
  <c r="CQ13" i="61"/>
  <c r="CR13" i="61"/>
  <c r="CS13" i="61"/>
  <c r="CT13" i="61"/>
  <c r="CU13" i="61"/>
  <c r="CV13" i="61"/>
  <c r="CW13" i="61"/>
  <c r="CX13" i="61"/>
  <c r="CY13" i="61"/>
  <c r="CZ13" i="61"/>
  <c r="DA13" i="61"/>
  <c r="DB13" i="61"/>
  <c r="DC13" i="61"/>
  <c r="DD13" i="61"/>
  <c r="DE13" i="61"/>
  <c r="DF13" i="61"/>
  <c r="DG13" i="61"/>
  <c r="DH13" i="61"/>
  <c r="DI13" i="61"/>
  <c r="DJ13" i="61"/>
  <c r="DK13" i="61"/>
  <c r="DL13" i="61"/>
  <c r="DM13" i="61"/>
  <c r="DN13" i="61"/>
  <c r="DO13" i="61"/>
  <c r="DP13" i="61"/>
  <c r="DQ13" i="61"/>
  <c r="DR13" i="61"/>
  <c r="DS13" i="61"/>
  <c r="DT13" i="61"/>
  <c r="DU13" i="61"/>
  <c r="EJ13" i="61"/>
  <c r="EN13" i="61"/>
  <c r="EO13" i="61"/>
  <c r="EP13" i="61"/>
  <c r="EQ13" i="61"/>
  <c r="ER13" i="61"/>
  <c r="ES13" i="61"/>
  <c r="ET13" i="61"/>
  <c r="EU13" i="61"/>
  <c r="EV13" i="61"/>
  <c r="EW13" i="61"/>
  <c r="EX13" i="61"/>
  <c r="EY13" i="61"/>
  <c r="EZ13" i="61"/>
  <c r="FA13" i="61"/>
  <c r="FB13" i="61"/>
  <c r="FC13" i="61"/>
  <c r="FD13" i="61"/>
  <c r="FE13" i="61"/>
  <c r="FF13" i="61"/>
  <c r="FG13" i="61"/>
  <c r="FH13" i="61"/>
  <c r="FI13" i="61"/>
  <c r="FJ13" i="61"/>
  <c r="FK13" i="61"/>
  <c r="FL13" i="61"/>
  <c r="FM13" i="61"/>
  <c r="FN13" i="61"/>
  <c r="FO13" i="61"/>
  <c r="FP13" i="61"/>
  <c r="FQ13" i="61"/>
  <c r="FR13" i="61"/>
  <c r="FS13" i="61"/>
  <c r="FT13" i="61"/>
  <c r="FU13" i="61"/>
  <c r="FV13" i="61"/>
  <c r="FW13" i="61"/>
  <c r="FX13" i="61"/>
  <c r="FY13" i="61"/>
  <c r="FZ13" i="61"/>
  <c r="GA13" i="61"/>
  <c r="GB13" i="61"/>
  <c r="GC13" i="61"/>
  <c r="GD13" i="61"/>
  <c r="GE13" i="61"/>
  <c r="GF13" i="61"/>
  <c r="GG13" i="61"/>
  <c r="GH13" i="61"/>
  <c r="GI13" i="61"/>
  <c r="GJ13" i="61"/>
  <c r="GK13" i="61"/>
  <c r="GL13" i="61"/>
  <c r="GM13" i="61"/>
  <c r="GN13" i="61"/>
  <c r="GO13" i="61"/>
  <c r="GP13" i="61"/>
  <c r="GQ13" i="61"/>
  <c r="GR13" i="61"/>
  <c r="GS13" i="61"/>
  <c r="GT13" i="61"/>
  <c r="GU13" i="61"/>
  <c r="GV13" i="61"/>
  <c r="GW13" i="61"/>
  <c r="GX13" i="61"/>
  <c r="GY13" i="61"/>
  <c r="GZ13" i="61"/>
  <c r="HA13" i="61"/>
  <c r="HB13" i="61"/>
  <c r="HC13" i="61"/>
  <c r="HD13" i="61"/>
  <c r="HE13" i="61"/>
  <c r="HF13" i="61"/>
  <c r="HG13" i="61"/>
  <c r="HH13" i="61"/>
  <c r="HI13" i="61"/>
  <c r="HJ13" i="61"/>
  <c r="HK13" i="61"/>
  <c r="HL13" i="61"/>
  <c r="HM13" i="61"/>
  <c r="HN13" i="61"/>
  <c r="HO13" i="61"/>
  <c r="HP13" i="61"/>
  <c r="HQ13" i="61"/>
  <c r="HR13" i="61"/>
  <c r="HS13" i="61"/>
  <c r="HT13" i="61"/>
  <c r="HU13" i="61"/>
  <c r="HV13" i="61"/>
  <c r="HW13" i="61"/>
  <c r="HX13" i="61"/>
  <c r="HY13" i="61"/>
  <c r="HZ13" i="61"/>
  <c r="IA13" i="61"/>
  <c r="IB13" i="61"/>
  <c r="IC13" i="61"/>
  <c r="ID13" i="61"/>
  <c r="IE13" i="61"/>
  <c r="IF13" i="61"/>
  <c r="IG13" i="61"/>
  <c r="IH13" i="61"/>
  <c r="II13" i="61"/>
  <c r="IJ13" i="61"/>
  <c r="IK13" i="61"/>
  <c r="IL13" i="61"/>
  <c r="IM13" i="61"/>
  <c r="IN13" i="61"/>
  <c r="IO13" i="61"/>
  <c r="IP13" i="61"/>
  <c r="IQ13" i="61"/>
  <c r="IR13" i="61"/>
  <c r="IS13" i="61"/>
  <c r="IT13" i="61"/>
  <c r="IU13" i="61"/>
  <c r="IV13" i="61"/>
  <c r="IW13" i="61"/>
  <c r="IX13" i="61"/>
  <c r="IY13" i="61"/>
  <c r="IZ13" i="61"/>
  <c r="JA13" i="61"/>
  <c r="JB13" i="61"/>
  <c r="JC13" i="61"/>
  <c r="JD13" i="61"/>
  <c r="JE13" i="61"/>
  <c r="JF13" i="61"/>
  <c r="JG13" i="61"/>
  <c r="JH13" i="61"/>
  <c r="JI13" i="61"/>
  <c r="JJ13" i="61"/>
  <c r="JK13" i="61"/>
  <c r="JL13" i="61"/>
  <c r="JM13" i="61"/>
  <c r="JN13" i="61"/>
  <c r="JO13" i="61"/>
  <c r="JP13" i="61"/>
  <c r="JQ13" i="61"/>
  <c r="JR13" i="61"/>
  <c r="JS13" i="61"/>
  <c r="JT13" i="61"/>
  <c r="JU13" i="61"/>
  <c r="JV13" i="61"/>
  <c r="JW13" i="61"/>
  <c r="JX13" i="61"/>
  <c r="JY13" i="61"/>
  <c r="JZ13" i="61"/>
  <c r="KA13" i="61"/>
  <c r="KB13" i="61"/>
  <c r="KC13" i="61"/>
  <c r="KD13" i="61"/>
  <c r="KE13" i="61"/>
  <c r="KF13" i="61"/>
  <c r="KG13" i="61"/>
  <c r="KH13" i="61"/>
  <c r="KI13" i="61"/>
  <c r="KJ13" i="61"/>
  <c r="KK13" i="61"/>
  <c r="KL13" i="61"/>
  <c r="KM13" i="61"/>
  <c r="KN13" i="61"/>
  <c r="KO13" i="61"/>
  <c r="KP13" i="61"/>
  <c r="KQ13" i="61"/>
  <c r="KR13" i="61"/>
  <c r="KS13" i="61"/>
  <c r="KT13" i="61"/>
  <c r="KU13" i="61"/>
  <c r="KV13" i="61"/>
  <c r="KW13" i="61"/>
  <c r="KX13" i="61"/>
  <c r="KY13" i="61"/>
  <c r="KZ13" i="61"/>
  <c r="LA13" i="61"/>
  <c r="LB13" i="61"/>
  <c r="LC13" i="61"/>
  <c r="LD13" i="61"/>
  <c r="LE13" i="61"/>
  <c r="LF13" i="61"/>
  <c r="LG13" i="61"/>
  <c r="LH13" i="61"/>
  <c r="LI13" i="61"/>
  <c r="LJ13" i="61"/>
  <c r="LK13" i="61"/>
  <c r="LL13" i="61"/>
  <c r="LM13" i="61"/>
  <c r="LN13" i="61"/>
  <c r="LO13" i="61"/>
  <c r="LP13" i="61"/>
  <c r="LQ13" i="61"/>
  <c r="LR13" i="61"/>
  <c r="LS13" i="61"/>
  <c r="LT13" i="61"/>
  <c r="LU13" i="61"/>
  <c r="LV13" i="61"/>
  <c r="LW13" i="61"/>
  <c r="LX13" i="61"/>
  <c r="LY13" i="61"/>
  <c r="LZ13" i="61"/>
  <c r="MA13" i="61"/>
  <c r="MB13" i="61"/>
  <c r="MC13" i="61"/>
  <c r="MD13" i="61"/>
  <c r="ME13" i="61"/>
  <c r="MF13" i="61"/>
  <c r="MG13" i="61"/>
  <c r="MH13" i="61"/>
  <c r="MI13" i="61"/>
  <c r="MJ13" i="61"/>
  <c r="MK13" i="61"/>
  <c r="ML13" i="61"/>
  <c r="MM13" i="61"/>
  <c r="MN13" i="61"/>
  <c r="MO13" i="61"/>
  <c r="MP13" i="61"/>
  <c r="MQ13" i="61"/>
  <c r="MR13" i="61"/>
  <c r="MS13" i="61"/>
  <c r="MT13" i="61"/>
  <c r="MU13" i="61"/>
  <c r="MV13" i="61"/>
  <c r="MW13" i="61"/>
  <c r="MX13" i="61"/>
  <c r="MY13" i="61"/>
  <c r="MZ13" i="61"/>
  <c r="NA13" i="61"/>
  <c r="NB13" i="61"/>
  <c r="NC13" i="61"/>
  <c r="ND13" i="61"/>
  <c r="NE13" i="61"/>
  <c r="NF13" i="61"/>
  <c r="NG13" i="61"/>
  <c r="NH13" i="61"/>
  <c r="NI13" i="61"/>
  <c r="NJ13" i="61"/>
  <c r="NK13" i="61"/>
  <c r="NL13" i="61"/>
  <c r="NM13" i="61"/>
  <c r="NN13" i="61"/>
  <c r="NO13" i="61"/>
  <c r="NP13" i="61"/>
  <c r="NQ13" i="61"/>
  <c r="NR13" i="61"/>
  <c r="NS13" i="61"/>
  <c r="NT13" i="61"/>
  <c r="NU13" i="61"/>
  <c r="NV13" i="61"/>
  <c r="NW13" i="61"/>
  <c r="NX13" i="61"/>
  <c r="NY13" i="61"/>
  <c r="NZ13" i="61"/>
  <c r="OA13" i="61"/>
  <c r="OB13" i="61"/>
  <c r="OC13" i="61"/>
  <c r="OD13" i="61"/>
  <c r="OE13" i="61"/>
  <c r="OF13" i="61"/>
  <c r="OG13" i="61"/>
  <c r="OH13" i="61"/>
  <c r="OI13" i="61"/>
  <c r="OJ13" i="61"/>
  <c r="OK13" i="61"/>
  <c r="OL13" i="61"/>
  <c r="OM13" i="61"/>
  <c r="ON13" i="61"/>
  <c r="OO13" i="61"/>
  <c r="OP13" i="61"/>
  <c r="OQ13" i="61"/>
  <c r="OR13" i="61"/>
  <c r="OS13" i="61"/>
  <c r="OT13" i="61"/>
  <c r="OU13" i="61"/>
  <c r="OV13" i="61"/>
  <c r="OW13" i="61"/>
  <c r="OX13" i="61"/>
  <c r="OY13" i="61"/>
  <c r="OZ13" i="61"/>
  <c r="PA13" i="61"/>
  <c r="PB13" i="61"/>
  <c r="PC13" i="61"/>
  <c r="PD13" i="61"/>
  <c r="PE13" i="61"/>
  <c r="PF13" i="61"/>
  <c r="PG13" i="61"/>
  <c r="PH13" i="61"/>
  <c r="PI13" i="61"/>
  <c r="PJ13" i="61"/>
  <c r="PK13" i="61"/>
  <c r="PL13" i="61"/>
  <c r="PM13" i="61"/>
  <c r="PN13" i="61"/>
  <c r="PO13" i="61"/>
  <c r="PP13" i="61"/>
  <c r="PQ13" i="61"/>
  <c r="PR13" i="61"/>
  <c r="PS13" i="61"/>
  <c r="PT13" i="61"/>
  <c r="PU13" i="61"/>
  <c r="PV13" i="61"/>
  <c r="PW13" i="61"/>
  <c r="PX13" i="61"/>
  <c r="PY13" i="61"/>
  <c r="PZ13" i="61"/>
  <c r="QA13" i="61"/>
  <c r="QB13" i="61"/>
  <c r="QC13" i="61"/>
  <c r="QD13" i="61"/>
  <c r="QE13" i="61"/>
  <c r="QF13" i="61"/>
  <c r="QG13" i="61"/>
  <c r="QH13" i="61"/>
  <c r="QI13" i="61"/>
  <c r="QJ13" i="61"/>
  <c r="QK13" i="61"/>
  <c r="QL13" i="61"/>
  <c r="QM13" i="61"/>
  <c r="QN13" i="61"/>
  <c r="QO13" i="61"/>
  <c r="QP13" i="61"/>
  <c r="QQ13" i="61"/>
  <c r="QR13" i="61"/>
  <c r="QS13" i="61"/>
  <c r="QT13" i="61"/>
  <c r="QU13" i="61"/>
  <c r="QV13" i="61"/>
  <c r="QW13" i="61"/>
  <c r="QX13" i="61"/>
  <c r="QY13" i="61"/>
  <c r="QZ13" i="61"/>
  <c r="RA13" i="61"/>
  <c r="RB13" i="61"/>
  <c r="RC13" i="61"/>
  <c r="RD13" i="61"/>
  <c r="RE13" i="61"/>
  <c r="RF13" i="61"/>
  <c r="RG13" i="61"/>
  <c r="RH13" i="61"/>
  <c r="RI13" i="61"/>
  <c r="RJ13" i="61"/>
  <c r="RK13" i="61"/>
  <c r="RL13" i="61"/>
  <c r="RM13" i="61"/>
  <c r="RN13" i="61"/>
  <c r="RO13" i="61"/>
  <c r="RP13" i="61"/>
  <c r="RQ13" i="61"/>
  <c r="RR13" i="61"/>
  <c r="RS13" i="61"/>
  <c r="RT13" i="61"/>
  <c r="RU13" i="61"/>
  <c r="RV13" i="61"/>
  <c r="RW13" i="61"/>
  <c r="RX13" i="61"/>
  <c r="RY13" i="61"/>
  <c r="RZ13" i="61"/>
  <c r="SA13" i="61"/>
  <c r="SB13" i="61"/>
  <c r="SC13" i="61"/>
  <c r="SD13" i="61"/>
  <c r="SE13" i="61"/>
  <c r="SF13" i="61"/>
  <c r="SG13" i="61"/>
  <c r="SH13" i="61"/>
  <c r="SI13" i="61"/>
  <c r="SJ13" i="61"/>
  <c r="SK13" i="61"/>
  <c r="SL13" i="61"/>
  <c r="SM13" i="61"/>
  <c r="SN13" i="61"/>
  <c r="SO13" i="61"/>
  <c r="SP13" i="61"/>
  <c r="BB14" i="61"/>
  <c r="BC14" i="61"/>
  <c r="BD14" i="61"/>
  <c r="BE14" i="61"/>
  <c r="BF14" i="61"/>
  <c r="BG14" i="61"/>
  <c r="BH14" i="61"/>
  <c r="BI14" i="61"/>
  <c r="BJ14" i="61"/>
  <c r="BK14" i="61"/>
  <c r="BL14" i="61"/>
  <c r="BM14" i="61"/>
  <c r="BN14" i="61"/>
  <c r="BO14" i="61"/>
  <c r="BP14" i="61"/>
  <c r="BQ14" i="61"/>
  <c r="BR14" i="61"/>
  <c r="BS14" i="61"/>
  <c r="BT14" i="61"/>
  <c r="BU14" i="61"/>
  <c r="BV14" i="61"/>
  <c r="BW14" i="61"/>
  <c r="BX14" i="61"/>
  <c r="BY14" i="61"/>
  <c r="BZ14" i="61"/>
  <c r="CA14" i="61"/>
  <c r="CB14" i="61"/>
  <c r="CC14" i="61"/>
  <c r="CD14" i="61"/>
  <c r="CE14" i="61"/>
  <c r="CF14" i="61"/>
  <c r="CG14" i="61"/>
  <c r="CH14" i="61"/>
  <c r="CI14" i="61"/>
  <c r="CJ14" i="61"/>
  <c r="CK14" i="61"/>
  <c r="CL14" i="61"/>
  <c r="CM14" i="61"/>
  <c r="CN14" i="61"/>
  <c r="CO14" i="61"/>
  <c r="CP14" i="61"/>
  <c r="CQ14" i="61"/>
  <c r="CR14" i="61"/>
  <c r="CS14" i="61"/>
  <c r="CT14" i="61"/>
  <c r="CU14" i="61"/>
  <c r="CV14" i="61"/>
  <c r="CW14" i="61"/>
  <c r="CX14" i="61"/>
  <c r="CY14" i="61"/>
  <c r="CZ14" i="61"/>
  <c r="DA14" i="61"/>
  <c r="DB14" i="61"/>
  <c r="DC14" i="61"/>
  <c r="DD14" i="61"/>
  <c r="DE14" i="61"/>
  <c r="DF14" i="61"/>
  <c r="DG14" i="61"/>
  <c r="DH14" i="61"/>
  <c r="DI14" i="61"/>
  <c r="DJ14" i="61"/>
  <c r="DK14" i="61"/>
  <c r="DL14" i="61"/>
  <c r="DM14" i="61"/>
  <c r="DN14" i="61"/>
  <c r="DO14" i="61"/>
  <c r="DP14" i="61"/>
  <c r="DQ14" i="61"/>
  <c r="DR14" i="61"/>
  <c r="DS14" i="61"/>
  <c r="DT14" i="61"/>
  <c r="EJ14" i="61"/>
  <c r="EN14" i="61"/>
  <c r="EO14" i="61"/>
  <c r="EP14" i="61"/>
  <c r="EQ14" i="61"/>
  <c r="ER14" i="61"/>
  <c r="ES14" i="61"/>
  <c r="ET14" i="61"/>
  <c r="EU14" i="61"/>
  <c r="EV14" i="61"/>
  <c r="EW14" i="61"/>
  <c r="EX14" i="61"/>
  <c r="EY14" i="61"/>
  <c r="EZ14" i="61"/>
  <c r="FA14" i="61"/>
  <c r="FB14" i="61"/>
  <c r="FC14" i="61"/>
  <c r="FD14" i="61"/>
  <c r="FE14" i="61"/>
  <c r="FF14" i="61"/>
  <c r="FG14" i="61"/>
  <c r="FH14" i="61"/>
  <c r="FI14" i="61"/>
  <c r="FJ14" i="61"/>
  <c r="FK14" i="61"/>
  <c r="FL14" i="61"/>
  <c r="FM14" i="61"/>
  <c r="FN14" i="61"/>
  <c r="FO14" i="61"/>
  <c r="FP14" i="61"/>
  <c r="FQ14" i="61"/>
  <c r="FR14" i="61"/>
  <c r="FS14" i="61"/>
  <c r="FT14" i="61"/>
  <c r="FU14" i="61"/>
  <c r="FV14" i="61"/>
  <c r="FW14" i="61"/>
  <c r="FX14" i="61"/>
  <c r="FY14" i="61"/>
  <c r="FZ14" i="61"/>
  <c r="GA14" i="61"/>
  <c r="GB14" i="61"/>
  <c r="GC14" i="61"/>
  <c r="GD14" i="61"/>
  <c r="GE14" i="61"/>
  <c r="GF14" i="61"/>
  <c r="GG14" i="61"/>
  <c r="GH14" i="61"/>
  <c r="GI14" i="61"/>
  <c r="GJ14" i="61"/>
  <c r="GK14" i="61"/>
  <c r="GL14" i="61"/>
  <c r="GM14" i="61"/>
  <c r="GN14" i="61"/>
  <c r="GO14" i="61"/>
  <c r="GP14" i="61"/>
  <c r="GQ14" i="61"/>
  <c r="GR14" i="61"/>
  <c r="GS14" i="61"/>
  <c r="GT14" i="61"/>
  <c r="GU14" i="61"/>
  <c r="GV14" i="61"/>
  <c r="GW14" i="61"/>
  <c r="GX14" i="61"/>
  <c r="GY14" i="61"/>
  <c r="GZ14" i="61"/>
  <c r="HA14" i="61"/>
  <c r="HB14" i="61"/>
  <c r="HC14" i="61"/>
  <c r="HD14" i="61"/>
  <c r="HE14" i="61"/>
  <c r="HF14" i="61"/>
  <c r="HG14" i="61"/>
  <c r="HH14" i="61"/>
  <c r="HI14" i="61"/>
  <c r="HJ14" i="61"/>
  <c r="HK14" i="61"/>
  <c r="HL14" i="61"/>
  <c r="HM14" i="61"/>
  <c r="HN14" i="61"/>
  <c r="HO14" i="61"/>
  <c r="HP14" i="61"/>
  <c r="HQ14" i="61"/>
  <c r="HR14" i="61"/>
  <c r="HS14" i="61"/>
  <c r="HT14" i="61"/>
  <c r="HU14" i="61"/>
  <c r="HV14" i="61"/>
  <c r="HW14" i="61"/>
  <c r="HX14" i="61"/>
  <c r="HY14" i="61"/>
  <c r="HZ14" i="61"/>
  <c r="IA14" i="61"/>
  <c r="IB14" i="61"/>
  <c r="IC14" i="61"/>
  <c r="ID14" i="61"/>
  <c r="IE14" i="61"/>
  <c r="IF14" i="61"/>
  <c r="IG14" i="61"/>
  <c r="IH14" i="61"/>
  <c r="II14" i="61"/>
  <c r="IJ14" i="61"/>
  <c r="IK14" i="61"/>
  <c r="IL14" i="61"/>
  <c r="IM14" i="61"/>
  <c r="IN14" i="61"/>
  <c r="IO14" i="61"/>
  <c r="IP14" i="61"/>
  <c r="IQ14" i="61"/>
  <c r="IR14" i="61"/>
  <c r="IS14" i="61"/>
  <c r="IT14" i="61"/>
  <c r="IU14" i="61"/>
  <c r="IV14" i="61"/>
  <c r="IW14" i="61"/>
  <c r="IX14" i="61"/>
  <c r="IY14" i="61"/>
  <c r="IZ14" i="61"/>
  <c r="JA14" i="61"/>
  <c r="JB14" i="61"/>
  <c r="JC14" i="61"/>
  <c r="JD14" i="61"/>
  <c r="JE14" i="61"/>
  <c r="JF14" i="61"/>
  <c r="JG14" i="61"/>
  <c r="JH14" i="61"/>
  <c r="JI14" i="61"/>
  <c r="JJ14" i="61"/>
  <c r="JK14" i="61"/>
  <c r="JL14" i="61"/>
  <c r="JM14" i="61"/>
  <c r="JN14" i="61"/>
  <c r="JO14" i="61"/>
  <c r="JP14" i="61"/>
  <c r="JQ14" i="61"/>
  <c r="JR14" i="61"/>
  <c r="JS14" i="61"/>
  <c r="JT14" i="61"/>
  <c r="JU14" i="61"/>
  <c r="JV14" i="61"/>
  <c r="JW14" i="61"/>
  <c r="JX14" i="61"/>
  <c r="JY14" i="61"/>
  <c r="JZ14" i="61"/>
  <c r="KA14" i="61"/>
  <c r="KB14" i="61"/>
  <c r="KC14" i="61"/>
  <c r="KD14" i="61"/>
  <c r="KE14" i="61"/>
  <c r="KF14" i="61"/>
  <c r="KG14" i="61"/>
  <c r="KH14" i="61"/>
  <c r="KI14" i="61"/>
  <c r="KJ14" i="61"/>
  <c r="KK14" i="61"/>
  <c r="KL14" i="61"/>
  <c r="KM14" i="61"/>
  <c r="KN14" i="61"/>
  <c r="KO14" i="61"/>
  <c r="KP14" i="61"/>
  <c r="KQ14" i="61"/>
  <c r="KR14" i="61"/>
  <c r="KS14" i="61"/>
  <c r="KT14" i="61"/>
  <c r="KU14" i="61"/>
  <c r="KV14" i="61"/>
  <c r="KW14" i="61"/>
  <c r="KX14" i="61"/>
  <c r="KY14" i="61"/>
  <c r="KZ14" i="61"/>
  <c r="LA14" i="61"/>
  <c r="LB14" i="61"/>
  <c r="LC14" i="61"/>
  <c r="LD14" i="61"/>
  <c r="LE14" i="61"/>
  <c r="LF14" i="61"/>
  <c r="LG14" i="61"/>
  <c r="LH14" i="61"/>
  <c r="LI14" i="61"/>
  <c r="LJ14" i="61"/>
  <c r="LK14" i="61"/>
  <c r="LL14" i="61"/>
  <c r="LM14" i="61"/>
  <c r="LN14" i="61"/>
  <c r="LO14" i="61"/>
  <c r="LP14" i="61"/>
  <c r="LQ14" i="61"/>
  <c r="LR14" i="61"/>
  <c r="LS14" i="61"/>
  <c r="LT14" i="61"/>
  <c r="LU14" i="61"/>
  <c r="LV14" i="61"/>
  <c r="LW14" i="61"/>
  <c r="LX14" i="61"/>
  <c r="LY14" i="61"/>
  <c r="LZ14" i="61"/>
  <c r="MA14" i="61"/>
  <c r="MB14" i="61"/>
  <c r="MC14" i="61"/>
  <c r="MD14" i="61"/>
  <c r="ME14" i="61"/>
  <c r="MF14" i="61"/>
  <c r="MG14" i="61"/>
  <c r="MH14" i="61"/>
  <c r="MI14" i="61"/>
  <c r="MJ14" i="61"/>
  <c r="MK14" i="61"/>
  <c r="ML14" i="61"/>
  <c r="MM14" i="61"/>
  <c r="MN14" i="61"/>
  <c r="MO14" i="61"/>
  <c r="MP14" i="61"/>
  <c r="MQ14" i="61"/>
  <c r="MR14" i="61"/>
  <c r="MS14" i="61"/>
  <c r="MT14" i="61"/>
  <c r="MU14" i="61"/>
  <c r="MV14" i="61"/>
  <c r="MW14" i="61"/>
  <c r="MX14" i="61"/>
  <c r="MY14" i="61"/>
  <c r="MZ14" i="61"/>
  <c r="NA14" i="61"/>
  <c r="NB14" i="61"/>
  <c r="NC14" i="61"/>
  <c r="ND14" i="61"/>
  <c r="NE14" i="61"/>
  <c r="NF14" i="61"/>
  <c r="NG14" i="61"/>
  <c r="NH14" i="61"/>
  <c r="NI14" i="61"/>
  <c r="NJ14" i="61"/>
  <c r="NK14" i="61"/>
  <c r="NL14" i="61"/>
  <c r="NM14" i="61"/>
  <c r="NN14" i="61"/>
  <c r="NO14" i="61"/>
  <c r="NP14" i="61"/>
  <c r="NQ14" i="61"/>
  <c r="NR14" i="61"/>
  <c r="NS14" i="61"/>
  <c r="NT14" i="61"/>
  <c r="NU14" i="61"/>
  <c r="NV14" i="61"/>
  <c r="NW14" i="61"/>
  <c r="NX14" i="61"/>
  <c r="NY14" i="61"/>
  <c r="NZ14" i="61"/>
  <c r="OA14" i="61"/>
  <c r="OB14" i="61"/>
  <c r="OC14" i="61"/>
  <c r="OD14" i="61"/>
  <c r="OE14" i="61"/>
  <c r="OF14" i="61"/>
  <c r="OG14" i="61"/>
  <c r="OH14" i="61"/>
  <c r="OI14" i="61"/>
  <c r="OJ14" i="61"/>
  <c r="OK14" i="61"/>
  <c r="OL14" i="61"/>
  <c r="OM14" i="61"/>
  <c r="ON14" i="61"/>
  <c r="OO14" i="61"/>
  <c r="OP14" i="61"/>
  <c r="OQ14" i="61"/>
  <c r="OR14" i="61"/>
  <c r="OS14" i="61"/>
  <c r="OT14" i="61"/>
  <c r="OU14" i="61"/>
  <c r="OV14" i="61"/>
  <c r="OW14" i="61"/>
  <c r="OX14" i="61"/>
  <c r="OY14" i="61"/>
  <c r="OZ14" i="61"/>
  <c r="PA14" i="61"/>
  <c r="PB14" i="61"/>
  <c r="PC14" i="61"/>
  <c r="PD14" i="61"/>
  <c r="PE14" i="61"/>
  <c r="PF14" i="61"/>
  <c r="PG14" i="61"/>
  <c r="PH14" i="61"/>
  <c r="PI14" i="61"/>
  <c r="PJ14" i="61"/>
  <c r="PK14" i="61"/>
  <c r="PL14" i="61"/>
  <c r="PM14" i="61"/>
  <c r="PN14" i="61"/>
  <c r="PO14" i="61"/>
  <c r="PP14" i="61"/>
  <c r="PQ14" i="61"/>
  <c r="PR14" i="61"/>
  <c r="PS14" i="61"/>
  <c r="PT14" i="61"/>
  <c r="PU14" i="61"/>
  <c r="PV14" i="61"/>
  <c r="PW14" i="61"/>
  <c r="PX14" i="61"/>
  <c r="PY14" i="61"/>
  <c r="PZ14" i="61"/>
  <c r="QA14" i="61"/>
  <c r="QB14" i="61"/>
  <c r="QC14" i="61"/>
  <c r="QD14" i="61"/>
  <c r="QE14" i="61"/>
  <c r="QF14" i="61"/>
  <c r="QG14" i="61"/>
  <c r="QH14" i="61"/>
  <c r="QI14" i="61"/>
  <c r="QJ14" i="61"/>
  <c r="QK14" i="61"/>
  <c r="QL14" i="61"/>
  <c r="QM14" i="61"/>
  <c r="QN14" i="61"/>
  <c r="QO14" i="61"/>
  <c r="QP14" i="61"/>
  <c r="QQ14" i="61"/>
  <c r="QR14" i="61"/>
  <c r="QS14" i="61"/>
  <c r="QT14" i="61"/>
  <c r="QU14" i="61"/>
  <c r="QV14" i="61"/>
  <c r="QW14" i="61"/>
  <c r="QX14" i="61"/>
  <c r="QY14" i="61"/>
  <c r="QZ14" i="61"/>
  <c r="RA14" i="61"/>
  <c r="RB14" i="61"/>
  <c r="RC14" i="61"/>
  <c r="RD14" i="61"/>
  <c r="RE14" i="61"/>
  <c r="RF14" i="61"/>
  <c r="RG14" i="61"/>
  <c r="RH14" i="61"/>
  <c r="RI14" i="61"/>
  <c r="RJ14" i="61"/>
  <c r="RK14" i="61"/>
  <c r="RL14" i="61"/>
  <c r="RM14" i="61"/>
  <c r="RN14" i="61"/>
  <c r="RO14" i="61"/>
  <c r="RP14" i="61"/>
  <c r="RQ14" i="61"/>
  <c r="RR14" i="61"/>
  <c r="RS14" i="61"/>
  <c r="RT14" i="61"/>
  <c r="RU14" i="61"/>
  <c r="RV14" i="61"/>
  <c r="RW14" i="61"/>
  <c r="RX14" i="61"/>
  <c r="RY14" i="61"/>
  <c r="RZ14" i="61"/>
  <c r="SA14" i="61"/>
  <c r="SB14" i="61"/>
  <c r="SC14" i="61"/>
  <c r="SD14" i="61"/>
  <c r="SE14" i="61"/>
  <c r="SF14" i="61"/>
  <c r="SG14" i="61"/>
  <c r="SH14" i="61"/>
  <c r="SI14" i="61"/>
  <c r="SJ14" i="61"/>
  <c r="SK14" i="61"/>
  <c r="SL14" i="61"/>
  <c r="SM14" i="61"/>
  <c r="SN14" i="61"/>
  <c r="SO14" i="61"/>
  <c r="SP14" i="61"/>
  <c r="C13" i="61"/>
  <c r="D13" i="61"/>
  <c r="E13" i="61"/>
  <c r="F13" i="61"/>
  <c r="G13" i="61"/>
  <c r="H13" i="61"/>
  <c r="I13" i="61"/>
  <c r="J13" i="61"/>
  <c r="K13" i="61"/>
  <c r="L13" i="61"/>
  <c r="M13" i="61"/>
  <c r="N13" i="61"/>
  <c r="O13" i="61"/>
  <c r="P13" i="61"/>
  <c r="Q13" i="61"/>
  <c r="R13" i="61"/>
  <c r="S13" i="61"/>
  <c r="T13" i="61"/>
  <c r="U13" i="61"/>
  <c r="V13" i="61"/>
  <c r="W13" i="61"/>
  <c r="X13" i="61"/>
  <c r="Y13" i="61"/>
  <c r="Z13" i="61"/>
  <c r="AA13" i="61"/>
  <c r="AB13" i="61"/>
  <c r="AC13" i="61"/>
  <c r="AD13" i="61"/>
  <c r="AE13" i="61"/>
  <c r="AF13" i="61"/>
  <c r="AG13" i="61"/>
  <c r="AH13" i="61"/>
  <c r="AI13" i="61"/>
  <c r="AJ13" i="61"/>
  <c r="AK13" i="61"/>
  <c r="AL13" i="61"/>
  <c r="AM13" i="61"/>
  <c r="AN13" i="61"/>
  <c r="AO13" i="61"/>
  <c r="AP13" i="61"/>
  <c r="AQ13" i="61"/>
  <c r="AR13" i="61"/>
  <c r="AS13" i="61"/>
  <c r="AT13" i="61"/>
  <c r="AU13" i="61"/>
  <c r="AV13" i="61"/>
  <c r="AW13" i="61"/>
  <c r="AX13" i="61"/>
  <c r="AY13" i="61"/>
  <c r="AZ13" i="61"/>
  <c r="BA13" i="61"/>
  <c r="B13" i="61"/>
  <c r="BA14" i="61"/>
  <c r="C14" i="61"/>
  <c r="D14" i="61"/>
  <c r="E14" i="61"/>
  <c r="F14" i="61"/>
  <c r="G14" i="61"/>
  <c r="H14" i="61"/>
  <c r="I14" i="61"/>
  <c r="J14" i="61"/>
  <c r="K14" i="61"/>
  <c r="L14" i="61"/>
  <c r="M14" i="61"/>
  <c r="O14" i="61"/>
  <c r="P14" i="61"/>
  <c r="Q14" i="61"/>
  <c r="R14" i="61"/>
  <c r="S14" i="61"/>
  <c r="T14" i="61"/>
  <c r="U14" i="61"/>
  <c r="V14" i="61"/>
  <c r="W14" i="61"/>
  <c r="X14" i="61"/>
  <c r="Y14" i="61"/>
  <c r="Z14" i="61"/>
  <c r="AA14" i="61"/>
  <c r="AB14" i="61"/>
  <c r="AC14" i="61"/>
  <c r="AD14" i="61"/>
  <c r="AE14" i="61"/>
  <c r="AF14" i="61"/>
  <c r="AG14" i="61"/>
  <c r="AH14" i="61"/>
  <c r="AI14" i="61"/>
  <c r="AJ14" i="61"/>
  <c r="AK14" i="61"/>
  <c r="AL14" i="61"/>
  <c r="AM14" i="61"/>
  <c r="AN14" i="61"/>
  <c r="AO14" i="61"/>
  <c r="AP14" i="61"/>
  <c r="AQ14" i="61"/>
  <c r="AR14" i="61"/>
  <c r="AS14" i="61"/>
  <c r="AT14" i="61"/>
  <c r="AU14" i="61"/>
  <c r="AV14" i="61"/>
  <c r="AW14" i="61"/>
  <c r="AX14" i="61"/>
  <c r="AY14" i="61"/>
  <c r="AZ14" i="61"/>
  <c r="B14" i="61"/>
  <c r="C1" i="61"/>
  <c r="D1" i="61"/>
  <c r="E1" i="61"/>
  <c r="F1" i="61"/>
  <c r="G1" i="61"/>
  <c r="H1" i="61"/>
  <c r="I1" i="61"/>
  <c r="J1" i="61"/>
  <c r="K1" i="61"/>
  <c r="L1" i="61"/>
  <c r="M1" i="61"/>
  <c r="N1" i="61"/>
  <c r="O1" i="61"/>
  <c r="P1" i="61"/>
  <c r="Q1" i="61"/>
  <c r="R1" i="61"/>
  <c r="S1" i="61"/>
  <c r="T1" i="61"/>
  <c r="U1" i="61"/>
  <c r="V1" i="61"/>
  <c r="W1" i="61"/>
  <c r="X1" i="61"/>
  <c r="Y1" i="61"/>
  <c r="Z1" i="61"/>
  <c r="AA1" i="61"/>
  <c r="AB1" i="61"/>
  <c r="AC1" i="61"/>
  <c r="AD1" i="61"/>
  <c r="AE1" i="61"/>
  <c r="AF1" i="61"/>
  <c r="AG1" i="61"/>
  <c r="AH1" i="61"/>
  <c r="AI1" i="61"/>
  <c r="AJ1" i="61"/>
  <c r="AK1" i="61"/>
  <c r="AL1" i="61"/>
  <c r="AM1" i="61"/>
  <c r="AN1" i="61"/>
  <c r="AO1" i="61"/>
  <c r="AP1" i="61"/>
  <c r="AQ1" i="61"/>
  <c r="AR1" i="61"/>
  <c r="AS1" i="61"/>
  <c r="AT1" i="61"/>
  <c r="AU1" i="61"/>
  <c r="AV1" i="61"/>
  <c r="AW1" i="61"/>
  <c r="AX1" i="61"/>
  <c r="AY1" i="61"/>
  <c r="AZ1" i="61"/>
  <c r="BA1" i="61"/>
  <c r="BB1" i="61"/>
  <c r="BC1" i="61"/>
  <c r="BD1" i="61"/>
  <c r="BE1" i="61"/>
  <c r="BF1" i="61"/>
  <c r="BG1" i="61"/>
  <c r="BH1" i="61"/>
  <c r="BI1" i="61"/>
  <c r="BJ1" i="61"/>
  <c r="BK1" i="61"/>
  <c r="BL1" i="61"/>
  <c r="BM1" i="61"/>
  <c r="BN1" i="61"/>
  <c r="BO1" i="61"/>
  <c r="BP1" i="61"/>
  <c r="BQ1" i="61"/>
  <c r="BR1" i="61"/>
  <c r="BS1" i="61"/>
  <c r="BT1" i="61"/>
  <c r="BU1" i="61"/>
  <c r="BV1" i="61"/>
  <c r="BW1" i="61"/>
  <c r="BX1" i="61"/>
  <c r="BY1" i="61"/>
  <c r="BZ1" i="61"/>
  <c r="CA1" i="61"/>
  <c r="CB1" i="61"/>
  <c r="CC1" i="61"/>
  <c r="CD1" i="61"/>
  <c r="CE1" i="61"/>
  <c r="CF1" i="61"/>
  <c r="CG1" i="61"/>
  <c r="CH1" i="61"/>
  <c r="CI1" i="61"/>
  <c r="CJ1" i="61"/>
  <c r="CK1" i="61"/>
  <c r="CL1" i="61"/>
  <c r="CM1" i="61"/>
  <c r="CN1" i="61"/>
  <c r="CO1" i="61"/>
  <c r="CP1" i="61"/>
  <c r="CQ1" i="61"/>
  <c r="CR1" i="61"/>
  <c r="CS1" i="61"/>
  <c r="CT1" i="61"/>
  <c r="CU1" i="61"/>
  <c r="CV1" i="61"/>
  <c r="CW1" i="61"/>
  <c r="CX1" i="61"/>
  <c r="CY1" i="61"/>
  <c r="CZ1" i="61"/>
  <c r="DA1" i="61"/>
  <c r="DB1" i="61"/>
  <c r="DC1" i="61"/>
  <c r="DD1" i="61"/>
  <c r="DE1" i="61"/>
  <c r="DF1" i="61"/>
  <c r="DG1" i="61"/>
  <c r="DH1" i="61"/>
  <c r="DI1" i="61"/>
  <c r="DJ1" i="61"/>
  <c r="DK1" i="61"/>
  <c r="DL1" i="61"/>
  <c r="DM1" i="61"/>
  <c r="DN1" i="61"/>
  <c r="DO1" i="61"/>
  <c r="DP1" i="61"/>
  <c r="DQ1" i="61"/>
  <c r="DR1" i="61"/>
  <c r="DS1" i="61"/>
  <c r="DT1" i="61"/>
  <c r="DU1" i="61"/>
  <c r="C2" i="61"/>
  <c r="D2" i="61"/>
  <c r="E2" i="61"/>
  <c r="F2" i="61"/>
  <c r="G2" i="61"/>
  <c r="H2" i="61"/>
  <c r="I2" i="61"/>
  <c r="J2" i="61"/>
  <c r="K2" i="61"/>
  <c r="L2" i="61"/>
  <c r="M2" i="61"/>
  <c r="N2" i="61"/>
  <c r="O2" i="61"/>
  <c r="P2" i="61"/>
  <c r="Q2" i="61"/>
  <c r="R2" i="61"/>
  <c r="S2" i="61"/>
  <c r="T2" i="61"/>
  <c r="U2" i="61"/>
  <c r="V2" i="61"/>
  <c r="W2" i="61"/>
  <c r="X2" i="61"/>
  <c r="Y2" i="61"/>
  <c r="Z2" i="61"/>
  <c r="AA2" i="61"/>
  <c r="AB2" i="61"/>
  <c r="AC2" i="61"/>
  <c r="AD2" i="61"/>
  <c r="AE2" i="61"/>
  <c r="AF2" i="61"/>
  <c r="AG2" i="61"/>
  <c r="AH2" i="61"/>
  <c r="AI2" i="61"/>
  <c r="AJ2" i="61"/>
  <c r="AK2" i="61"/>
  <c r="AL2" i="61"/>
  <c r="AM2" i="61"/>
  <c r="AN2" i="61"/>
  <c r="AO2" i="61"/>
  <c r="AP2" i="61"/>
  <c r="AQ2" i="61"/>
  <c r="AR2" i="61"/>
  <c r="AS2" i="61"/>
  <c r="AT2" i="61"/>
  <c r="AU2" i="61"/>
  <c r="AV2" i="61"/>
  <c r="AW2" i="61"/>
  <c r="AX2" i="61"/>
  <c r="AY2" i="61"/>
  <c r="AZ2" i="61"/>
  <c r="BA2" i="61"/>
  <c r="BB2" i="61"/>
  <c r="BC2" i="61"/>
  <c r="BD2" i="61"/>
  <c r="BE2" i="61"/>
  <c r="BF2" i="61"/>
  <c r="BG2" i="61"/>
  <c r="BH2" i="61"/>
  <c r="BI2" i="61"/>
  <c r="BJ2" i="61"/>
  <c r="BK2" i="61"/>
  <c r="BL2" i="61"/>
  <c r="BM2" i="61"/>
  <c r="BN2" i="61"/>
  <c r="BO2" i="61"/>
  <c r="BP2" i="61"/>
  <c r="BQ2" i="61"/>
  <c r="BR2" i="61"/>
  <c r="BS2" i="61"/>
  <c r="BT2" i="61"/>
  <c r="BU2" i="61"/>
  <c r="BV2" i="61"/>
  <c r="BW2" i="61"/>
  <c r="BX2" i="61"/>
  <c r="BY2" i="61"/>
  <c r="BZ2" i="61"/>
  <c r="CA2" i="61"/>
  <c r="CB2" i="61"/>
  <c r="CC2" i="61"/>
  <c r="CD2" i="61"/>
  <c r="CE2" i="61"/>
  <c r="CF2" i="61"/>
  <c r="CG2" i="61"/>
  <c r="CH2" i="61"/>
  <c r="CI2" i="61"/>
  <c r="CJ2" i="61"/>
  <c r="CK2" i="61"/>
  <c r="CL2" i="61"/>
  <c r="CM2" i="61"/>
  <c r="CN2" i="61"/>
  <c r="CO2" i="61"/>
  <c r="CP2" i="61"/>
  <c r="CQ2" i="61"/>
  <c r="CR2" i="61"/>
  <c r="CS2" i="61"/>
  <c r="CT2" i="61"/>
  <c r="CU2" i="61"/>
  <c r="CV2" i="61"/>
  <c r="CW2" i="61"/>
  <c r="CX2" i="61"/>
  <c r="CY2" i="61"/>
  <c r="CZ2" i="61"/>
  <c r="DA2" i="61"/>
  <c r="DB2" i="61"/>
  <c r="DC2" i="61"/>
  <c r="DD2" i="61"/>
  <c r="DE2" i="61"/>
  <c r="DF2" i="61"/>
  <c r="DG2" i="61"/>
  <c r="DH2" i="61"/>
  <c r="DI2" i="61"/>
  <c r="DJ2" i="61"/>
  <c r="DK2" i="61"/>
  <c r="DL2" i="61"/>
  <c r="DM2" i="61"/>
  <c r="DN2" i="61"/>
  <c r="DO2" i="61"/>
  <c r="DP2" i="61"/>
  <c r="DQ2" i="61"/>
  <c r="DR2" i="61"/>
  <c r="DS2" i="61"/>
  <c r="B2" i="61"/>
  <c r="B1" i="61"/>
  <c r="V30" i="61" l="1"/>
  <c r="W30" i="61"/>
  <c r="AA30" i="61"/>
  <c r="X30" i="61"/>
  <c r="AB30" i="61"/>
  <c r="W16" i="61"/>
  <c r="Y30" i="61"/>
  <c r="AC30" i="61"/>
  <c r="Z30" i="61"/>
  <c r="DX16" i="61"/>
  <c r="DW16" i="61"/>
  <c r="DW30" i="61"/>
  <c r="V21" i="54"/>
  <c r="DL16" i="61"/>
  <c r="D16" i="61"/>
  <c r="DD16" i="61"/>
  <c r="BX16" i="61"/>
  <c r="G30" i="61"/>
  <c r="AU30" i="61"/>
  <c r="BK30" i="61"/>
  <c r="DG30" i="61"/>
  <c r="DS16" i="61"/>
  <c r="DK16" i="61"/>
  <c r="DC16" i="61"/>
  <c r="CU16" i="61"/>
  <c r="CM16" i="61"/>
  <c r="CE16" i="61"/>
  <c r="BW16" i="61"/>
  <c r="BO16" i="61"/>
  <c r="BG16" i="61"/>
  <c r="AY16" i="61"/>
  <c r="AQ16" i="61"/>
  <c r="AI16" i="61"/>
  <c r="AA16" i="61"/>
  <c r="S16" i="61"/>
  <c r="K16" i="61"/>
  <c r="C16" i="61"/>
  <c r="H30" i="61"/>
  <c r="P30" i="61"/>
  <c r="AF30" i="61"/>
  <c r="AN30" i="61"/>
  <c r="AV30" i="61"/>
  <c r="BD30" i="61"/>
  <c r="BL30" i="61"/>
  <c r="BT30" i="61"/>
  <c r="CB30" i="61"/>
  <c r="CJ30" i="61"/>
  <c r="CR30" i="61"/>
  <c r="CZ30" i="61"/>
  <c r="DH30" i="61"/>
  <c r="DP30" i="61"/>
  <c r="CV16" i="61"/>
  <c r="BH16" i="61"/>
  <c r="AB16" i="61"/>
  <c r="O30" i="61"/>
  <c r="AE30" i="61"/>
  <c r="AM30" i="61"/>
  <c r="BC30" i="61"/>
  <c r="BS30" i="61"/>
  <c r="CA30" i="61"/>
  <c r="CI30" i="61"/>
  <c r="CQ30" i="61"/>
  <c r="CY30" i="61"/>
  <c r="DO30" i="61"/>
  <c r="L21" i="54"/>
  <c r="DR16" i="61"/>
  <c r="DJ16" i="61"/>
  <c r="DB16" i="61"/>
  <c r="CT16" i="61"/>
  <c r="CL16" i="61"/>
  <c r="CD16" i="61"/>
  <c r="BV16" i="61"/>
  <c r="BN16" i="61"/>
  <c r="BF16" i="61"/>
  <c r="AX16" i="61"/>
  <c r="AP16" i="61"/>
  <c r="AH16" i="61"/>
  <c r="Z16" i="61"/>
  <c r="R16" i="61"/>
  <c r="J16" i="61"/>
  <c r="I30" i="61"/>
  <c r="Q30" i="61"/>
  <c r="AG30" i="61"/>
  <c r="AO30" i="61"/>
  <c r="AW30" i="61"/>
  <c r="BE30" i="61"/>
  <c r="BM30" i="61"/>
  <c r="BU30" i="61"/>
  <c r="CC30" i="61"/>
  <c r="CK30" i="61"/>
  <c r="CS30" i="61"/>
  <c r="DA30" i="61"/>
  <c r="DI30" i="61"/>
  <c r="DQ30" i="61"/>
  <c r="CF16" i="61"/>
  <c r="AJ16" i="61"/>
  <c r="DA16" i="61"/>
  <c r="BU16" i="61"/>
  <c r="AO16" i="61"/>
  <c r="I16" i="61"/>
  <c r="B30" i="61"/>
  <c r="AX30" i="61"/>
  <c r="BV30" i="61"/>
  <c r="CL30" i="61"/>
  <c r="CT30" i="61"/>
  <c r="DR30" i="61"/>
  <c r="DP16" i="61"/>
  <c r="DH16" i="61"/>
  <c r="CZ16" i="61"/>
  <c r="CR16" i="61"/>
  <c r="CJ16" i="61"/>
  <c r="CB16" i="61"/>
  <c r="BT16" i="61"/>
  <c r="BL16" i="61"/>
  <c r="BD16" i="61"/>
  <c r="AV16" i="61"/>
  <c r="AN16" i="61"/>
  <c r="AF16" i="61"/>
  <c r="X16" i="61"/>
  <c r="P16" i="61"/>
  <c r="H16" i="61"/>
  <c r="C30" i="61"/>
  <c r="K30" i="61"/>
  <c r="S30" i="61"/>
  <c r="AI30" i="61"/>
  <c r="AQ30" i="61"/>
  <c r="AY30" i="61"/>
  <c r="BG30" i="61"/>
  <c r="BO30" i="61"/>
  <c r="BW30" i="61"/>
  <c r="CE30" i="61"/>
  <c r="CM30" i="61"/>
  <c r="CU30" i="61"/>
  <c r="DC30" i="61"/>
  <c r="DK30" i="61"/>
  <c r="DS30" i="61"/>
  <c r="DT16" i="61"/>
  <c r="AZ16" i="61"/>
  <c r="L16" i="61"/>
  <c r="CK16" i="61"/>
  <c r="AW16" i="61"/>
  <c r="AG16" i="61"/>
  <c r="J30" i="61"/>
  <c r="AH30" i="61"/>
  <c r="BN30" i="61"/>
  <c r="DJ30" i="61"/>
  <c r="S21" i="54"/>
  <c r="B16" i="61"/>
  <c r="DO16" i="61"/>
  <c r="DG16" i="61"/>
  <c r="CY16" i="61"/>
  <c r="CQ16" i="61"/>
  <c r="CI16" i="61"/>
  <c r="CA16" i="61"/>
  <c r="BS16" i="61"/>
  <c r="BK16" i="61"/>
  <c r="BC16" i="61"/>
  <c r="AU16" i="61"/>
  <c r="AM16" i="61"/>
  <c r="AE16" i="61"/>
  <c r="O16" i="61"/>
  <c r="G16" i="61"/>
  <c r="D30" i="61"/>
  <c r="L30" i="61"/>
  <c r="T30" i="61"/>
  <c r="AJ30" i="61"/>
  <c r="AR30" i="61"/>
  <c r="AZ30" i="61"/>
  <c r="BH30" i="61"/>
  <c r="BP30" i="61"/>
  <c r="BX30" i="61"/>
  <c r="CF30" i="61"/>
  <c r="CN30" i="61"/>
  <c r="CV30" i="61"/>
  <c r="DD30" i="61"/>
  <c r="DL30" i="61"/>
  <c r="DT30" i="61"/>
  <c r="CN16" i="61"/>
  <c r="BP16" i="61"/>
  <c r="T16" i="61"/>
  <c r="M21" i="54"/>
  <c r="DI16" i="61"/>
  <c r="CC16" i="61"/>
  <c r="BE16" i="61"/>
  <c r="Y16" i="61"/>
  <c r="R30" i="61"/>
  <c r="AP30" i="61"/>
  <c r="BF30" i="61"/>
  <c r="DB30" i="61"/>
  <c r="DN16" i="61"/>
  <c r="DF16" i="61"/>
  <c r="CX16" i="61"/>
  <c r="CP16" i="61"/>
  <c r="CH16" i="61"/>
  <c r="BZ16" i="61"/>
  <c r="BR16" i="61"/>
  <c r="BJ16" i="61"/>
  <c r="BB16" i="61"/>
  <c r="AT16" i="61"/>
  <c r="AL16" i="61"/>
  <c r="AD16" i="61"/>
  <c r="V16" i="61"/>
  <c r="N16" i="61"/>
  <c r="F16" i="61"/>
  <c r="E30" i="61"/>
  <c r="M30" i="61"/>
  <c r="U30" i="61"/>
  <c r="AK30" i="61"/>
  <c r="AS30" i="61"/>
  <c r="BA30" i="61"/>
  <c r="BI30" i="61"/>
  <c r="BQ30" i="61"/>
  <c r="BY30" i="61"/>
  <c r="CG30" i="61"/>
  <c r="CO30" i="61"/>
  <c r="CW30" i="61"/>
  <c r="DE30" i="61"/>
  <c r="DM30" i="61"/>
  <c r="DU30" i="61"/>
  <c r="AR16" i="61"/>
  <c r="DQ16" i="61"/>
  <c r="CS16" i="61"/>
  <c r="BM16" i="61"/>
  <c r="Q16" i="61"/>
  <c r="CD30" i="61"/>
  <c r="DU16" i="61"/>
  <c r="DM16" i="61"/>
  <c r="DE16" i="61"/>
  <c r="CW16" i="61"/>
  <c r="CO16" i="61"/>
  <c r="CG16" i="61"/>
  <c r="BY16" i="61"/>
  <c r="BQ16" i="61"/>
  <c r="BI16" i="61"/>
  <c r="BA16" i="61"/>
  <c r="AS16" i="61"/>
  <c r="AK16" i="61"/>
  <c r="AC16" i="61"/>
  <c r="U16" i="61"/>
  <c r="M16" i="61"/>
  <c r="E16" i="61"/>
  <c r="F30" i="61"/>
  <c r="N30" i="61"/>
  <c r="AD30" i="61"/>
  <c r="AL30" i="61"/>
  <c r="AT30" i="61"/>
  <c r="BB30" i="61"/>
  <c r="BJ30" i="61"/>
  <c r="BR30" i="61"/>
  <c r="BZ30" i="61"/>
  <c r="CH30" i="61"/>
  <c r="CP30" i="61"/>
  <c r="CX30" i="61"/>
  <c r="DF30" i="61"/>
  <c r="DN30" i="61"/>
  <c r="R21" i="54"/>
  <c r="Q21" i="54"/>
  <c r="P21" i="54"/>
  <c r="O21" i="54"/>
  <c r="N21" i="54"/>
  <c r="U21" i="54"/>
  <c r="T21" i="54"/>
  <c r="F110" i="44"/>
  <c r="D110" i="44"/>
  <c r="F134" i="41"/>
  <c r="D134" i="41"/>
  <c r="G86" i="40"/>
  <c r="F86" i="40"/>
  <c r="D86" i="40"/>
  <c r="V21" i="55" l="1"/>
  <c r="K21" i="55"/>
  <c r="U21" i="55"/>
  <c r="R21" i="55"/>
  <c r="S21" i="55"/>
  <c r="M21" i="55"/>
  <c r="L21" i="55"/>
  <c r="O21" i="55"/>
  <c r="Q21" i="55"/>
  <c r="P21" i="55"/>
  <c r="T21" i="55"/>
  <c r="N21" i="55"/>
  <c r="Q16" i="39"/>
  <c r="P14" i="39"/>
  <c r="F131" i="39"/>
  <c r="D131" i="39"/>
  <c r="S16" i="39" l="1"/>
  <c r="L13" i="62"/>
  <c r="A8" i="62" l="1"/>
  <c r="CJ1" i="54"/>
  <c r="CY1" i="55"/>
  <c r="BS1" i="55"/>
  <c r="CM1" i="55"/>
  <c r="BX1" i="55"/>
  <c r="FR1" i="54"/>
  <c r="AI1" i="54"/>
  <c r="BF1" i="55"/>
  <c r="AT1" i="55"/>
  <c r="FW1" i="54"/>
  <c r="CT1" i="54"/>
  <c r="AM1" i="54"/>
  <c r="FG1" i="54"/>
  <c r="BF1" i="54"/>
  <c r="AC1" i="55"/>
  <c r="BV1" i="55"/>
  <c r="AD1" i="55"/>
  <c r="CN1" i="54"/>
  <c r="AR1" i="54"/>
  <c r="CW1" i="54"/>
  <c r="AA1" i="55"/>
  <c r="Y1" i="54"/>
  <c r="AO1" i="55"/>
  <c r="CE1" i="55"/>
  <c r="AN1" i="54"/>
  <c r="AV1" i="54"/>
  <c r="AU1" i="55"/>
  <c r="BR1" i="54"/>
  <c r="BL1" i="55"/>
  <c r="Z1" i="55"/>
  <c r="E1" i="54"/>
  <c r="AJ1" i="55"/>
  <c r="CO1" i="54"/>
  <c r="BU1" i="55"/>
  <c r="AT1" i="54"/>
  <c r="EW1" i="54"/>
  <c r="AH1" i="55"/>
  <c r="ES1" i="54"/>
  <c r="X1" i="55"/>
  <c r="EX1" i="54"/>
  <c r="FU1" i="54"/>
  <c r="CA1" i="55"/>
  <c r="F1" i="54"/>
  <c r="C1" i="54"/>
  <c r="AX1" i="55"/>
  <c r="CQ1" i="54"/>
  <c r="AB1" i="55"/>
  <c r="CG1" i="55"/>
  <c r="CQ1" i="55"/>
  <c r="CB1" i="55"/>
  <c r="FP1" i="54"/>
  <c r="BT1" i="54"/>
  <c r="CH1" i="54"/>
  <c r="DY1" i="54"/>
  <c r="BZ1" i="54"/>
  <c r="DZ1" i="54"/>
  <c r="EC1" i="54"/>
  <c r="DD1" i="55"/>
  <c r="I1" i="54"/>
  <c r="FJ1" i="54"/>
  <c r="BI1" i="55"/>
  <c r="DA1" i="54"/>
  <c r="CF1" i="55"/>
  <c r="EL1" i="54"/>
  <c r="AH1" i="54"/>
  <c r="ET1" i="54"/>
  <c r="FQ1" i="54"/>
  <c r="BJ1" i="55"/>
  <c r="FC1" i="54"/>
  <c r="BR1" i="55"/>
  <c r="AM1" i="55"/>
  <c r="CD1" i="54"/>
  <c r="AX1" i="54"/>
  <c r="BN1" i="55"/>
  <c r="AP1" i="55"/>
  <c r="AY1" i="55"/>
  <c r="FI1" i="54"/>
  <c r="BD1" i="55"/>
  <c r="X1" i="54"/>
  <c r="BG1" i="55"/>
  <c r="AN1" i="55"/>
  <c r="CB1" i="54"/>
  <c r="CR1" i="55"/>
  <c r="CG1" i="54"/>
  <c r="CP1" i="55"/>
  <c r="EP1" i="54"/>
  <c r="Y1" i="55"/>
  <c r="CF1" i="54"/>
  <c r="FZ1" i="54"/>
  <c r="EJ1" i="54"/>
  <c r="AU1" i="54"/>
  <c r="CX1" i="54"/>
  <c r="AL1" i="54"/>
  <c r="BD1" i="54"/>
  <c r="ED1" i="54"/>
  <c r="CL1" i="55"/>
  <c r="CH1" i="55"/>
  <c r="BH1" i="55"/>
  <c r="CW1" i="55"/>
  <c r="AR1" i="55"/>
  <c r="BA1" i="54"/>
  <c r="EZ1" i="54"/>
  <c r="CM1" i="54"/>
  <c r="CC1" i="54"/>
  <c r="AQ1" i="55"/>
  <c r="CK1" i="54"/>
  <c r="AO1" i="54"/>
  <c r="AW1" i="55"/>
  <c r="BE1" i="54"/>
  <c r="CX1" i="55"/>
  <c r="FM1" i="54"/>
  <c r="CV1" i="55"/>
  <c r="AJ1" i="54"/>
  <c r="DL1" i="54"/>
  <c r="GA1" i="54"/>
  <c r="FB1" i="54"/>
  <c r="AI1" i="55"/>
  <c r="CL1" i="54"/>
  <c r="H1" i="54"/>
  <c r="CC1" i="55"/>
  <c r="AG1" i="55"/>
  <c r="DM1" i="54"/>
  <c r="AK1" i="55"/>
  <c r="BE1" i="55"/>
  <c r="G1" i="54"/>
  <c r="DQ1" i="54"/>
  <c r="DF1" i="54"/>
  <c r="DE1" i="55"/>
  <c r="AE1" i="54"/>
  <c r="CI1" i="54"/>
  <c r="FE1" i="54"/>
  <c r="FS1" i="54"/>
  <c r="FX1" i="54"/>
  <c r="GH1" i="54"/>
  <c r="D1" i="54"/>
  <c r="BC1" i="55"/>
  <c r="GI1" i="54"/>
  <c r="BN1" i="54"/>
  <c r="AY1" i="54"/>
  <c r="EM1" i="54"/>
  <c r="BG1" i="54"/>
  <c r="BB1" i="54"/>
  <c r="AV1" i="55"/>
  <c r="DB1" i="54"/>
  <c r="AL1" i="55"/>
  <c r="FA1" i="54"/>
  <c r="EV1" i="54"/>
  <c r="DN1" i="54"/>
  <c r="CU1" i="54"/>
  <c r="AA1" i="54"/>
  <c r="CY1" i="54"/>
  <c r="DA1" i="55"/>
  <c r="EY1" i="54"/>
  <c r="GF1" i="54"/>
  <c r="AG1" i="54"/>
  <c r="DD1" i="54"/>
  <c r="CI1" i="55"/>
  <c r="CR1" i="54"/>
  <c r="EU1" i="54"/>
  <c r="BI1" i="54"/>
  <c r="DC1" i="54"/>
  <c r="EQ1" i="54"/>
  <c r="BC1" i="54"/>
  <c r="AF1" i="55"/>
  <c r="FH1" i="54"/>
  <c r="K1" i="54"/>
  <c r="BM1" i="54"/>
  <c r="AS1" i="55"/>
  <c r="BK1" i="55"/>
  <c r="EF1" i="54"/>
  <c r="AK1" i="54"/>
  <c r="CA1" i="54"/>
  <c r="EK1" i="54"/>
  <c r="GB1" i="54"/>
  <c r="BW1" i="54"/>
  <c r="DV1" i="54"/>
  <c r="DJ1" i="54"/>
  <c r="DO1" i="54"/>
  <c r="BH1" i="54"/>
  <c r="CS1" i="55"/>
  <c r="EN1" i="54"/>
  <c r="DI1" i="54"/>
  <c r="CZ1" i="55"/>
  <c r="ER1" i="54"/>
  <c r="FD1" i="54"/>
  <c r="BB1" i="55"/>
  <c r="BQ1" i="55"/>
  <c r="EG1" i="54"/>
  <c r="EO1" i="54"/>
  <c r="EI1" i="54"/>
  <c r="AE1" i="55"/>
  <c r="DT1" i="54"/>
  <c r="CJ1" i="55"/>
  <c r="BP1" i="55"/>
  <c r="BL1" i="54"/>
  <c r="Z1" i="54"/>
  <c r="FT1" i="54"/>
  <c r="AQ1" i="54"/>
  <c r="BY1" i="55"/>
  <c r="FK1" i="54"/>
  <c r="AD1" i="54"/>
  <c r="BX1" i="54"/>
  <c r="CZ1" i="54"/>
  <c r="CK1" i="55"/>
  <c r="FY1" i="54"/>
  <c r="DP1" i="54"/>
  <c r="BU1" i="54"/>
  <c r="AS1" i="54"/>
  <c r="DW1" i="54"/>
  <c r="GG1" i="54"/>
  <c r="BO1" i="54"/>
  <c r="CS1" i="54"/>
  <c r="BA1" i="55"/>
  <c r="GC1" i="54"/>
  <c r="FO1" i="54"/>
  <c r="CO1" i="55"/>
  <c r="EH1" i="54"/>
  <c r="DR1" i="54"/>
  <c r="CE1" i="54"/>
  <c r="CT1" i="55"/>
  <c r="AC1" i="54"/>
  <c r="FN1" i="54"/>
  <c r="BS1" i="54"/>
  <c r="AP1" i="54"/>
  <c r="CD1" i="55"/>
  <c r="W1" i="54"/>
  <c r="FL1" i="54"/>
  <c r="BQ1" i="54"/>
  <c r="GE1" i="54"/>
  <c r="DC1" i="55"/>
  <c r="DH1" i="54"/>
  <c r="BT1" i="55"/>
  <c r="BJ1" i="54"/>
  <c r="EA1" i="54"/>
  <c r="AB1" i="54"/>
  <c r="CN1" i="55"/>
  <c r="FV1" i="54"/>
  <c r="AZ1" i="54"/>
  <c r="AW1" i="54"/>
  <c r="AZ1" i="55"/>
  <c r="FF1" i="54"/>
  <c r="DG1" i="54"/>
  <c r="BV1" i="54"/>
  <c r="AF1" i="54"/>
  <c r="BY1" i="54"/>
  <c r="EB1" i="54"/>
  <c r="CV1" i="54"/>
  <c r="BM1" i="55"/>
  <c r="DU1" i="54"/>
  <c r="BO1" i="55"/>
  <c r="BK1" i="54"/>
  <c r="BP1" i="54"/>
  <c r="DS1" i="54"/>
  <c r="J1" i="54"/>
  <c r="DE1" i="54"/>
  <c r="GD1" i="54"/>
  <c r="CU1" i="55"/>
  <c r="DX1" i="54"/>
  <c r="EE1" i="54"/>
  <c r="CP1" i="54"/>
  <c r="BW1" i="55"/>
  <c r="BZ1" i="55"/>
  <c r="DK1" i="54"/>
  <c r="DB1" i="55"/>
  <c r="L11" i="62" l="1" a="1"/>
  <c r="L11" i="62" s="1"/>
  <c r="L12" i="62" a="1"/>
  <c r="L12" i="62" s="1"/>
  <c r="D10" i="62" a="1"/>
  <c r="D10" i="62" s="1"/>
  <c r="L10" i="62" a="1"/>
  <c r="L10" i="62" s="1"/>
  <c r="J11" i="62" a="1"/>
  <c r="J11" i="62" s="1"/>
  <c r="H12" i="62" a="1"/>
  <c r="H12" i="62" s="1"/>
  <c r="C12" i="62" a="1"/>
  <c r="C12" i="62" s="1"/>
  <c r="F12" i="62" a="1"/>
  <c r="F12" i="62" s="1"/>
  <c r="B10" i="62" a="1"/>
  <c r="B10" i="62" s="1"/>
  <c r="E10" i="62" a="1"/>
  <c r="E10" i="62" s="1"/>
  <c r="C11" i="62" a="1"/>
  <c r="C11" i="62" s="1"/>
  <c r="K11" i="62" a="1"/>
  <c r="K11" i="62" s="1"/>
  <c r="I12" i="62" a="1"/>
  <c r="I12" i="62" s="1"/>
  <c r="E11" i="62" a="1"/>
  <c r="E11" i="62" s="1"/>
  <c r="H11" i="62" a="1"/>
  <c r="H11" i="62" s="1"/>
  <c r="C10" i="62" a="1"/>
  <c r="C10" i="62" s="1"/>
  <c r="F10" i="62" a="1"/>
  <c r="F10" i="62" s="1"/>
  <c r="D11" i="62" a="1"/>
  <c r="D11" i="62" s="1"/>
  <c r="J12" i="62" a="1"/>
  <c r="J12" i="62" s="1"/>
  <c r="G10" i="62" a="1"/>
  <c r="G10" i="62" s="1"/>
  <c r="K12" i="62" a="1"/>
  <c r="K12" i="62" s="1"/>
  <c r="B11" i="62" a="1"/>
  <c r="B11" i="62" s="1"/>
  <c r="I11" i="62" a="1"/>
  <c r="I11" i="62" s="1"/>
  <c r="H10" i="62" a="1"/>
  <c r="H10" i="62" s="1"/>
  <c r="F11" i="62" a="1"/>
  <c r="F11" i="62" s="1"/>
  <c r="D12" i="62" a="1"/>
  <c r="D12" i="62" s="1"/>
  <c r="G12" i="62" a="1"/>
  <c r="G12" i="62" s="1"/>
  <c r="I10" i="62" a="1"/>
  <c r="I10" i="62" s="1"/>
  <c r="G11" i="62" a="1"/>
  <c r="G11" i="62" s="1"/>
  <c r="E12" i="62" a="1"/>
  <c r="E12" i="62" s="1"/>
  <c r="B12" i="62" a="1"/>
  <c r="B12" i="62" s="1"/>
  <c r="J10" i="62" a="1"/>
  <c r="J10" i="62" s="1"/>
  <c r="K10" i="62" a="1"/>
  <c r="K10" i="62" s="1"/>
  <c r="BQ3" i="62"/>
  <c r="BQ4" i="62" s="1"/>
  <c r="BQ5" i="62" s="1"/>
  <c r="BQ6" i="62" s="1"/>
  <c r="BQ7" i="62" s="1"/>
  <c r="BQ8" i="62" s="1"/>
  <c r="BQ9" i="62" s="1"/>
  <c r="BQ10" i="62" s="1"/>
  <c r="BQ11" i="62" s="1"/>
  <c r="BQ12" i="62" s="1"/>
  <c r="BQ13" i="62" s="1"/>
  <c r="BQ14" i="62" s="1"/>
  <c r="BQ15" i="62" s="1"/>
  <c r="BQ16" i="62" s="1"/>
  <c r="BQ17" i="62" s="1"/>
  <c r="BQ18" i="62" s="1"/>
  <c r="BQ19" i="62" s="1"/>
  <c r="BQ20" i="62" s="1"/>
  <c r="BQ21" i="62" s="1"/>
  <c r="BQ22" i="62" s="1"/>
  <c r="BQ23" i="62" s="1"/>
  <c r="BQ24" i="62" s="1"/>
  <c r="BQ25" i="62" s="1"/>
  <c r="BQ26" i="62" s="1"/>
  <c r="BQ27" i="62" s="1"/>
  <c r="BQ28" i="62" s="1"/>
  <c r="BQ29" i="62" s="1"/>
  <c r="BQ30" i="62" s="1"/>
  <c r="BQ31" i="62" s="1"/>
  <c r="B14" i="62" l="1"/>
  <c r="F13" i="62"/>
  <c r="E13" i="62"/>
  <c r="G13" i="62"/>
  <c r="I13" i="62"/>
  <c r="J13" i="62"/>
  <c r="D13" i="62"/>
  <c r="H13" i="62"/>
  <c r="C13" i="62"/>
  <c r="B13" i="62"/>
  <c r="BK54" i="62" s="1"/>
  <c r="K13" i="62"/>
  <c r="E14" i="62"/>
  <c r="G14" i="62"/>
  <c r="J15" i="62"/>
  <c r="F14" i="62"/>
  <c r="H14" i="62"/>
  <c r="C15" i="62"/>
  <c r="K15" i="62"/>
  <c r="I15" i="62"/>
  <c r="L15" i="62"/>
  <c r="D15" i="62"/>
  <c r="F15" i="62"/>
  <c r="B15" i="62"/>
  <c r="J14" i="62"/>
  <c r="C14" i="62"/>
  <c r="A21" i="62" s="1"/>
  <c r="I14" i="62"/>
  <c r="G15" i="62"/>
  <c r="D14" i="62"/>
  <c r="K14" i="62"/>
  <c r="A19" i="62"/>
  <c r="H15" i="62"/>
  <c r="L14" i="62"/>
  <c r="E15" i="62"/>
  <c r="BD715" i="62" l="1"/>
  <c r="BD712" i="62"/>
  <c r="BD714" i="62"/>
  <c r="BD706" i="62"/>
  <c r="BD713" i="62"/>
  <c r="BD711" i="62"/>
  <c r="BD710" i="62"/>
  <c r="BD709" i="62"/>
  <c r="BD707" i="62"/>
  <c r="BD708" i="62"/>
  <c r="BK52" i="62"/>
  <c r="BK56" i="62"/>
  <c r="BK46" i="62"/>
  <c r="BK50" i="62"/>
  <c r="BK47" i="62"/>
  <c r="BK51" i="62"/>
  <c r="BK55" i="62"/>
  <c r="BK48" i="62"/>
  <c r="BK53" i="62"/>
  <c r="BK49" i="62"/>
  <c r="AD16" i="60"/>
  <c r="AD15" i="60"/>
  <c r="AD14" i="60"/>
  <c r="AD13" i="60"/>
  <c r="AD12" i="60"/>
  <c r="AD11" i="60"/>
  <c r="AD10" i="60"/>
  <c r="AD9" i="60"/>
  <c r="AB16" i="60"/>
  <c r="AB15" i="60"/>
  <c r="AB14" i="60"/>
  <c r="AB13" i="60"/>
  <c r="AB12" i="60"/>
  <c r="AB11" i="60"/>
  <c r="AB10" i="60"/>
  <c r="AB9" i="60"/>
  <c r="AF9" i="60" s="1"/>
  <c r="AA16" i="60"/>
  <c r="AA15" i="60"/>
  <c r="AA14" i="60"/>
  <c r="AA13" i="60"/>
  <c r="AA12" i="60"/>
  <c r="AA11" i="60"/>
  <c r="AA10" i="60"/>
  <c r="AA9" i="60"/>
  <c r="Y16" i="60"/>
  <c r="Y15" i="60"/>
  <c r="Y14" i="60"/>
  <c r="AE14" i="60" s="1"/>
  <c r="Y13" i="60"/>
  <c r="Y12" i="60"/>
  <c r="Y11" i="60"/>
  <c r="AG11" i="60" s="1"/>
  <c r="Y10" i="60"/>
  <c r="AE10" i="60" s="1"/>
  <c r="Y9" i="60"/>
  <c r="AG9" i="60" s="1"/>
  <c r="AG12" i="60" l="1"/>
  <c r="AG15" i="60"/>
  <c r="AG13" i="60"/>
  <c r="AC15" i="60"/>
  <c r="AF11" i="60"/>
  <c r="AG16" i="60"/>
  <c r="Z14" i="60"/>
  <c r="AC9" i="60"/>
  <c r="AG14" i="60"/>
  <c r="AE11" i="60"/>
  <c r="AF13" i="60"/>
  <c r="AG10" i="60"/>
  <c r="AE12" i="60"/>
  <c r="Z9" i="60"/>
  <c r="AF14" i="60"/>
  <c r="AF15" i="60"/>
  <c r="AC16" i="60"/>
  <c r="Z10" i="60"/>
  <c r="AF12" i="60"/>
  <c r="Z15" i="60"/>
  <c r="AF16" i="60"/>
  <c r="AC13" i="60"/>
  <c r="AC11" i="60"/>
  <c r="AE16" i="60"/>
  <c r="AE13" i="60"/>
  <c r="AC10" i="60"/>
  <c r="AC14" i="60"/>
  <c r="AE9" i="60"/>
  <c r="AC12" i="60"/>
  <c r="AE15" i="60"/>
  <c r="AF10" i="60"/>
  <c r="Z12" i="60"/>
  <c r="Z13" i="60"/>
  <c r="Z11" i="60"/>
  <c r="Z16" i="60"/>
  <c r="A9" i="60" l="1"/>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A45" i="60"/>
  <c r="A46" i="60"/>
  <c r="A47" i="60"/>
  <c r="A48" i="60"/>
  <c r="A49" i="60"/>
  <c r="A50" i="60"/>
  <c r="A51" i="60"/>
  <c r="A52" i="60"/>
  <c r="A53" i="60"/>
  <c r="A54" i="60"/>
  <c r="A55" i="60"/>
  <c r="A56" i="60"/>
  <c r="A57" i="60"/>
  <c r="A58" i="60"/>
  <c r="A59" i="60"/>
  <c r="A60" i="60"/>
  <c r="A61" i="60"/>
  <c r="A62" i="60"/>
  <c r="A63" i="60"/>
  <c r="A64" i="60"/>
  <c r="A65" i="60"/>
  <c r="A66" i="60"/>
  <c r="A67" i="60"/>
  <c r="A68" i="60"/>
  <c r="A69" i="60"/>
  <c r="A70" i="60"/>
  <c r="A71" i="60"/>
  <c r="A72" i="60"/>
  <c r="A73" i="60"/>
  <c r="A74" i="60"/>
  <c r="A75" i="60"/>
  <c r="A80" i="60"/>
  <c r="A81" i="60"/>
  <c r="A82" i="60"/>
  <c r="A83" i="60"/>
  <c r="A84" i="60"/>
  <c r="A85" i="60"/>
  <c r="A86" i="60"/>
  <c r="A87" i="60"/>
  <c r="A88" i="60"/>
  <c r="A89" i="60"/>
  <c r="A90" i="60"/>
  <c r="A91" i="60"/>
  <c r="A92" i="60"/>
  <c r="A93" i="60"/>
  <c r="A94" i="60"/>
  <c r="A95" i="60"/>
  <c r="A96" i="60"/>
  <c r="A97" i="60"/>
  <c r="A98" i="60"/>
  <c r="A99" i="60"/>
  <c r="A100" i="60"/>
  <c r="A101" i="60"/>
  <c r="A102" i="60"/>
  <c r="A103" i="60"/>
  <c r="A104" i="60"/>
  <c r="A105" i="60"/>
  <c r="A106" i="60"/>
  <c r="A107" i="60"/>
  <c r="A108" i="60"/>
  <c r="A109" i="60"/>
  <c r="A110" i="60"/>
  <c r="A111" i="60"/>
  <c r="A112" i="60"/>
  <c r="A113" i="60"/>
  <c r="A114" i="60"/>
  <c r="A115" i="60"/>
  <c r="A116" i="60"/>
  <c r="A117" i="60"/>
  <c r="A118" i="60"/>
  <c r="A119" i="60"/>
  <c r="A120" i="60"/>
  <c r="A121" i="60"/>
  <c r="A122" i="60"/>
  <c r="A123" i="60"/>
  <c r="A124" i="60"/>
  <c r="A125" i="60"/>
  <c r="A126" i="60"/>
  <c r="A127" i="60"/>
  <c r="A128" i="60"/>
  <c r="A129" i="60"/>
  <c r="A130" i="60"/>
  <c r="A131" i="60"/>
  <c r="A132" i="60"/>
  <c r="A133" i="60"/>
  <c r="A134" i="60"/>
  <c r="A135" i="60"/>
  <c r="A136" i="60"/>
  <c r="A137" i="60"/>
  <c r="A138" i="60"/>
  <c r="A139" i="60"/>
  <c r="A140" i="60"/>
  <c r="A141" i="60"/>
  <c r="A142" i="60"/>
  <c r="A143" i="60"/>
  <c r="A144" i="60"/>
  <c r="A145" i="60"/>
  <c r="A146" i="60"/>
  <c r="A147" i="60"/>
  <c r="A148" i="60"/>
  <c r="A149" i="60"/>
  <c r="A150" i="60"/>
  <c r="A151" i="60"/>
  <c r="A152" i="60"/>
  <c r="A153" i="60"/>
  <c r="A154" i="60"/>
  <c r="A155" i="60"/>
  <c r="A156" i="60"/>
  <c r="A157" i="60"/>
  <c r="A158" i="60"/>
  <c r="A159" i="60"/>
  <c r="A160" i="60"/>
  <c r="A161" i="60"/>
  <c r="A162" i="60"/>
  <c r="A163" i="60"/>
  <c r="A164" i="60"/>
  <c r="A165" i="60"/>
  <c r="A166" i="60"/>
  <c r="A167" i="60"/>
  <c r="A168" i="60"/>
  <c r="A169" i="60"/>
  <c r="A170" i="60"/>
  <c r="A171" i="60"/>
  <c r="A172" i="60"/>
  <c r="A173" i="60"/>
  <c r="A174" i="60"/>
  <c r="A175" i="60"/>
  <c r="A176" i="60"/>
  <c r="A177" i="60"/>
  <c r="A178" i="60"/>
  <c r="A179" i="60"/>
  <c r="A180" i="60"/>
  <c r="A181"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249" i="60"/>
  <c r="A250" i="60"/>
  <c r="A251" i="60"/>
  <c r="A252" i="60"/>
  <c r="A253" i="60"/>
  <c r="A254" i="60"/>
  <c r="A255" i="60"/>
  <c r="A256" i="60"/>
  <c r="A257" i="60"/>
  <c r="A258" i="60"/>
  <c r="A259" i="60"/>
  <c r="A260" i="60"/>
  <c r="A261" i="60"/>
  <c r="A262" i="60"/>
  <c r="A263" i="60"/>
  <c r="A264" i="60"/>
  <c r="A265" i="60"/>
  <c r="A266" i="60"/>
  <c r="A267" i="60"/>
  <c r="A268" i="60"/>
  <c r="A269" i="60"/>
  <c r="A270" i="60"/>
  <c r="A271" i="60"/>
  <c r="A272" i="60"/>
  <c r="A273" i="60"/>
  <c r="A274" i="60"/>
  <c r="A275" i="60"/>
  <c r="A276" i="60"/>
  <c r="A277" i="60"/>
  <c r="A278" i="60"/>
  <c r="A279" i="60"/>
  <c r="A280" i="60"/>
  <c r="A281" i="60"/>
  <c r="A282" i="60"/>
  <c r="A283" i="60"/>
  <c r="A284" i="60"/>
  <c r="A285" i="60"/>
  <c r="A286" i="60"/>
  <c r="A287" i="60"/>
  <c r="A288" i="60"/>
  <c r="A289" i="60"/>
  <c r="A290" i="60"/>
  <c r="A291" i="60"/>
  <c r="A292" i="60"/>
  <c r="A293" i="60"/>
  <c r="A294" i="60"/>
  <c r="A295" i="60"/>
  <c r="A296" i="60"/>
  <c r="A297" i="60"/>
  <c r="A298" i="60"/>
  <c r="A299" i="60"/>
  <c r="A300"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41" i="60"/>
  <c r="A342" i="60"/>
  <c r="A343" i="60"/>
  <c r="A344" i="60"/>
  <c r="A345" i="60"/>
  <c r="A346" i="60"/>
  <c r="A347" i="60"/>
  <c r="A348" i="60"/>
  <c r="A349" i="60"/>
  <c r="A350" i="60"/>
  <c r="A351" i="60"/>
  <c r="A352" i="60"/>
  <c r="A353" i="60"/>
  <c r="A354" i="60"/>
  <c r="A355" i="60"/>
  <c r="A356" i="60"/>
  <c r="A357" i="60"/>
  <c r="A358" i="60"/>
  <c r="A359" i="60"/>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412" i="60"/>
  <c r="A413" i="60"/>
  <c r="A414" i="60"/>
  <c r="A415" i="60"/>
  <c r="A416" i="60"/>
  <c r="A417" i="60"/>
  <c r="A418" i="60"/>
  <c r="A419" i="60"/>
  <c r="A420" i="60"/>
  <c r="A421" i="60"/>
  <c r="A422" i="60"/>
  <c r="A423" i="60"/>
  <c r="A424" i="60"/>
  <c r="A425" i="60"/>
  <c r="A426" i="60"/>
  <c r="A427" i="60"/>
  <c r="A428" i="60"/>
  <c r="A429" i="60"/>
  <c r="A430" i="60"/>
  <c r="A431" i="60"/>
  <c r="A432" i="60"/>
  <c r="A433" i="60"/>
  <c r="A434" i="60"/>
  <c r="A435" i="60"/>
  <c r="A436" i="60"/>
  <c r="A437" i="60"/>
  <c r="A438" i="60"/>
  <c r="A439" i="60"/>
  <c r="A440" i="60"/>
  <c r="A441" i="60"/>
  <c r="A442" i="60"/>
  <c r="A443" i="60"/>
  <c r="A444" i="60"/>
  <c r="A445" i="60"/>
  <c r="A446" i="60"/>
  <c r="A447" i="60"/>
  <c r="A448" i="60"/>
  <c r="A449" i="60"/>
  <c r="A450" i="60"/>
  <c r="A451" i="60"/>
  <c r="A452" i="60"/>
  <c r="A453" i="60"/>
  <c r="A454" i="60"/>
  <c r="A455" i="60"/>
  <c r="A456" i="60"/>
  <c r="A457" i="60"/>
  <c r="A458" i="60"/>
  <c r="A459" i="60"/>
  <c r="A460" i="60"/>
  <c r="A461" i="60"/>
  <c r="A462" i="60"/>
  <c r="A463" i="60"/>
  <c r="A464" i="60"/>
  <c r="A465" i="60"/>
  <c r="A466" i="60"/>
  <c r="A467" i="60"/>
  <c r="A468" i="60"/>
  <c r="A469" i="60"/>
  <c r="A470" i="60"/>
  <c r="A471" i="60"/>
  <c r="A472" i="60"/>
  <c r="A473" i="60"/>
  <c r="A474" i="60"/>
  <c r="A475" i="60"/>
  <c r="A476" i="60"/>
  <c r="A477" i="60"/>
  <c r="A478" i="60"/>
  <c r="A479" i="60"/>
  <c r="A480" i="60"/>
  <c r="A481" i="60"/>
  <c r="A482" i="60"/>
  <c r="A483" i="60"/>
  <c r="A484" i="60"/>
  <c r="A485" i="60"/>
  <c r="A486" i="60"/>
  <c r="A487" i="60"/>
  <c r="A488" i="60"/>
  <c r="A489" i="60"/>
  <c r="A490" i="60"/>
  <c r="A491" i="60"/>
  <c r="A492" i="60"/>
  <c r="A493" i="60"/>
  <c r="A494" i="60"/>
  <c r="A495" i="60"/>
  <c r="A496" i="60"/>
  <c r="A497" i="60"/>
  <c r="A498" i="60"/>
  <c r="A499" i="60"/>
  <c r="A500" i="60"/>
  <c r="A501" i="60"/>
  <c r="A502" i="60"/>
  <c r="A503" i="60"/>
  <c r="A504" i="60"/>
  <c r="A505" i="60"/>
  <c r="A506" i="60"/>
  <c r="A507" i="60"/>
  <c r="A508" i="60"/>
  <c r="A509" i="60"/>
  <c r="A510" i="60"/>
  <c r="A511" i="60"/>
  <c r="A512" i="60"/>
  <c r="A513" i="60"/>
  <c r="A514" i="60"/>
  <c r="A515" i="60"/>
  <c r="A516" i="60"/>
  <c r="A517" i="60"/>
  <c r="A518" i="60"/>
  <c r="A519" i="60"/>
  <c r="A520" i="60"/>
  <c r="A521" i="60"/>
  <c r="A522" i="60"/>
  <c r="A523" i="60"/>
  <c r="A524" i="60"/>
  <c r="A525" i="60"/>
  <c r="A526" i="60"/>
  <c r="A527" i="60"/>
  <c r="A528" i="60"/>
  <c r="A529" i="60"/>
  <c r="A530" i="60"/>
  <c r="A531" i="60"/>
  <c r="A532" i="60"/>
  <c r="A533" i="60"/>
  <c r="A534" i="60"/>
  <c r="A535" i="60"/>
  <c r="A536" i="60"/>
  <c r="A537" i="60"/>
  <c r="A538" i="60"/>
  <c r="A539" i="60"/>
  <c r="A540" i="60"/>
  <c r="A541" i="60"/>
  <c r="A542" i="60"/>
  <c r="A543" i="60"/>
  <c r="A544" i="60"/>
  <c r="A545" i="60"/>
  <c r="A546" i="60"/>
  <c r="A547" i="60"/>
  <c r="A548" i="60"/>
  <c r="A549" i="60"/>
  <c r="A550" i="60"/>
  <c r="A551" i="60"/>
  <c r="A552" i="60"/>
  <c r="A553" i="60"/>
  <c r="A554" i="60"/>
  <c r="A555" i="60"/>
  <c r="A556" i="60"/>
  <c r="A557" i="60"/>
  <c r="A558" i="60"/>
  <c r="A559" i="60"/>
  <c r="A560" i="60"/>
  <c r="A561" i="60"/>
  <c r="A562" i="60"/>
  <c r="A563" i="60"/>
  <c r="A564" i="60"/>
  <c r="A565" i="60"/>
  <c r="A566" i="60"/>
  <c r="A567" i="60"/>
  <c r="A8" i="60"/>
  <c r="P17" i="60" l="1"/>
  <c r="Q17" i="60"/>
  <c r="S17" i="60"/>
  <c r="N17" i="60"/>
  <c r="P15" i="60"/>
  <c r="P14" i="60"/>
  <c r="Q16" i="60"/>
  <c r="Q15" i="60"/>
  <c r="N16" i="60"/>
  <c r="Q14" i="60"/>
  <c r="N15" i="60"/>
  <c r="S16" i="60"/>
  <c r="N14" i="60"/>
  <c r="S15" i="60"/>
  <c r="P16" i="60"/>
  <c r="S14" i="60"/>
  <c r="P8" i="39"/>
  <c r="P9" i="39"/>
  <c r="P10" i="39"/>
  <c r="P11" i="39"/>
  <c r="P12" i="39"/>
  <c r="P13" i="39"/>
  <c r="P15" i="39"/>
  <c r="T15" i="40" s="1"/>
  <c r="R17" i="60" l="1"/>
  <c r="U17" i="60"/>
  <c r="O17" i="60"/>
  <c r="V17" i="60"/>
  <c r="T17" i="60"/>
  <c r="V15" i="60"/>
  <c r="V16" i="60"/>
  <c r="V14"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70" i="60"/>
  <c r="I71" i="60"/>
  <c r="I72" i="60"/>
  <c r="I73" i="60"/>
  <c r="I74" i="60"/>
  <c r="I8" i="60"/>
  <c r="G9" i="60"/>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8" i="60"/>
  <c r="K8" i="60" l="1"/>
  <c r="K9" i="60"/>
  <c r="K10" i="60"/>
  <c r="K12"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11" i="60"/>
  <c r="D9" i="60" l="1"/>
  <c r="D10" i="60"/>
  <c r="D11" i="60"/>
  <c r="D12" i="60"/>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8" i="60"/>
  <c r="F9" i="40" l="1"/>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 i="40"/>
  <c r="B50" i="38"/>
  <c r="Q8" i="40" l="1"/>
  <c r="T8" i="40" s="1"/>
  <c r="S8" i="40"/>
  <c r="Q9" i="40"/>
  <c r="T9" i="40" s="1"/>
  <c r="S9" i="40"/>
  <c r="Q10" i="40"/>
  <c r="T10" i="40" s="1"/>
  <c r="S10" i="40"/>
  <c r="Q11" i="40"/>
  <c r="T11" i="40" s="1"/>
  <c r="S11" i="40"/>
  <c r="I13" i="40"/>
  <c r="Q12" i="40"/>
  <c r="T12" i="40" s="1"/>
  <c r="S12" i="40"/>
  <c r="Q13" i="40"/>
  <c r="T13" i="40" s="1"/>
  <c r="S13" i="40"/>
  <c r="Q14" i="40"/>
  <c r="T14" i="40" s="1"/>
  <c r="S14" i="40"/>
  <c r="S15" i="40"/>
  <c r="U15" i="40" s="1"/>
  <c r="R9" i="40" l="1"/>
  <c r="U12" i="40"/>
  <c r="R10" i="40"/>
  <c r="I12" i="40"/>
  <c r="I11" i="40" s="1"/>
  <c r="U14" i="40"/>
  <c r="U11" i="40"/>
  <c r="U13" i="40"/>
  <c r="U8" i="40"/>
  <c r="R15" i="40"/>
  <c r="R14" i="40"/>
  <c r="R11" i="40"/>
  <c r="R8" i="40"/>
  <c r="U9" i="40"/>
  <c r="R12" i="40"/>
  <c r="R13" i="40"/>
  <c r="U10" i="40"/>
  <c r="I10" i="40" l="1"/>
  <c r="M1" i="60"/>
  <c r="M2" i="60" s="1"/>
  <c r="M3" i="60"/>
  <c r="X17" i="60" l="1"/>
  <c r="I9" i="40"/>
  <c r="O14" i="60"/>
  <c r="R16" i="60"/>
  <c r="R14" i="60"/>
  <c r="O16" i="60"/>
  <c r="R15" i="60"/>
  <c r="O15" i="60"/>
  <c r="X16" i="60"/>
  <c r="M13" i="60"/>
  <c r="M12" i="60" l="1"/>
  <c r="S13" i="60"/>
  <c r="N13" i="60"/>
  <c r="Q13" i="60"/>
  <c r="P13" i="60"/>
  <c r="U16" i="60"/>
  <c r="U14" i="60"/>
  <c r="I8" i="40"/>
  <c r="U15" i="60"/>
  <c r="T16" i="60"/>
  <c r="T14" i="60"/>
  <c r="T15" i="60"/>
  <c r="M11" i="60"/>
  <c r="X15" i="60"/>
  <c r="X13" i="60"/>
  <c r="X14" i="60"/>
  <c r="X12" i="60"/>
  <c r="T12" i="58"/>
  <c r="U13" i="60" l="1"/>
  <c r="V13" i="60"/>
  <c r="O13" i="60"/>
  <c r="T13" i="60"/>
  <c r="R13" i="60"/>
  <c r="Q11" i="60"/>
  <c r="P11" i="60"/>
  <c r="N11" i="60"/>
  <c r="S11" i="60"/>
  <c r="N12" i="60"/>
  <c r="Q12" i="60"/>
  <c r="P12" i="60"/>
  <c r="S12" i="60"/>
  <c r="M10" i="60"/>
  <c r="C18" i="57"/>
  <c r="D18" i="57"/>
  <c r="E18" i="57"/>
  <c r="F18" i="57"/>
  <c r="G18" i="57"/>
  <c r="H18" i="57"/>
  <c r="I18" i="57"/>
  <c r="J18" i="57"/>
  <c r="K18" i="57"/>
  <c r="L18" i="57"/>
  <c r="M18" i="57"/>
  <c r="N18" i="57"/>
  <c r="O18" i="57"/>
  <c r="P18" i="57"/>
  <c r="U12" i="60" l="1"/>
  <c r="V12" i="60"/>
  <c r="T11" i="60"/>
  <c r="V11" i="60"/>
  <c r="R11" i="60"/>
  <c r="T12" i="60"/>
  <c r="O12" i="60"/>
  <c r="Q10" i="60"/>
  <c r="P10" i="60"/>
  <c r="S10" i="60"/>
  <c r="N10" i="60"/>
  <c r="O11" i="60"/>
  <c r="U11" i="60"/>
  <c r="R12" i="60"/>
  <c r="M9" i="60"/>
  <c r="X11" i="60"/>
  <c r="V10" i="60" l="1"/>
  <c r="R10" i="60"/>
  <c r="O10" i="60"/>
  <c r="T10" i="60"/>
  <c r="U10" i="60"/>
  <c r="P9" i="60"/>
  <c r="S9" i="60"/>
  <c r="N9" i="60"/>
  <c r="Q9" i="60"/>
  <c r="M8" i="60"/>
  <c r="X8" i="60" s="1"/>
  <c r="X10" i="60"/>
  <c r="F133" i="41"/>
  <c r="V9" i="60" l="1"/>
  <c r="R9" i="60"/>
  <c r="O9" i="60"/>
  <c r="P8" i="60"/>
  <c r="S8" i="60"/>
  <c r="N8" i="60"/>
  <c r="Q8" i="60"/>
  <c r="U9" i="60"/>
  <c r="T9" i="60"/>
  <c r="X9" i="60"/>
  <c r="B57" i="38"/>
  <c r="B54" i="38"/>
  <c r="V8" i="60" l="1"/>
  <c r="R8" i="60"/>
  <c r="O8" i="60"/>
  <c r="U8" i="60"/>
  <c r="T8" i="60"/>
  <c r="G73" i="36"/>
  <c r="K174" i="58" l="1"/>
  <c r="L174" i="58" s="1"/>
  <c r="K173" i="58"/>
  <c r="L173" i="58" s="1"/>
  <c r="D108" i="44"/>
  <c r="F108" i="44"/>
  <c r="D109" i="44"/>
  <c r="F109" i="44"/>
  <c r="D133" i="41"/>
  <c r="GL137" i="56" l="1"/>
  <c r="GM137" i="56"/>
  <c r="GN137" i="56"/>
  <c r="GO137" i="56"/>
  <c r="GP137" i="56"/>
  <c r="GQ137" i="56"/>
  <c r="GR137" i="56"/>
  <c r="GS137" i="56"/>
  <c r="GT137" i="56"/>
  <c r="GU137" i="56"/>
  <c r="GV137" i="56"/>
  <c r="GW137" i="56"/>
  <c r="GX137" i="56"/>
  <c r="GY137" i="56"/>
  <c r="GZ137" i="56"/>
  <c r="HA137" i="56"/>
  <c r="HB137" i="56"/>
  <c r="HC137" i="56"/>
  <c r="HD137" i="56"/>
  <c r="HE137" i="56"/>
  <c r="HF137" i="56"/>
  <c r="HG137" i="56"/>
  <c r="HH137" i="56"/>
  <c r="HI137" i="56"/>
  <c r="HJ137" i="56"/>
  <c r="HK137" i="56"/>
  <c r="HL137" i="56"/>
  <c r="HM137" i="56"/>
  <c r="HN137" i="56"/>
  <c r="HO137" i="56"/>
  <c r="HP137" i="56"/>
  <c r="HQ137" i="56"/>
  <c r="HR137" i="56"/>
  <c r="HS137" i="56"/>
  <c r="HT137" i="56"/>
  <c r="HU137" i="56"/>
  <c r="G83" i="40" l="1"/>
  <c r="G84" i="40"/>
  <c r="G85" i="40"/>
  <c r="D83" i="40"/>
  <c r="D84" i="40"/>
  <c r="D85" i="40"/>
  <c r="D132" i="41" l="1"/>
  <c r="F132" i="41"/>
  <c r="D129" i="39"/>
  <c r="D130" i="39"/>
  <c r="F129" i="39"/>
  <c r="F130" i="39"/>
  <c r="HC59" i="56" l="1"/>
  <c r="HD59" i="56"/>
  <c r="HE59" i="56"/>
  <c r="HF59" i="56"/>
  <c r="HG59" i="56"/>
  <c r="HH59" i="56"/>
  <c r="HI59" i="56"/>
  <c r="HJ59" i="56"/>
  <c r="HK59" i="56"/>
  <c r="HL59" i="56"/>
  <c r="HM59" i="56"/>
  <c r="HN59" i="56"/>
  <c r="HO59" i="56"/>
  <c r="HB59" i="56"/>
  <c r="HB60" i="56"/>
  <c r="HC60" i="56"/>
  <c r="HD60" i="56"/>
  <c r="HE60" i="56"/>
  <c r="HF60" i="56"/>
  <c r="HG60" i="56"/>
  <c r="HH60" i="56"/>
  <c r="HI60" i="56"/>
  <c r="HK60" i="56"/>
  <c r="HL60" i="56"/>
  <c r="AI1" i="46"/>
  <c r="AK1" i="46"/>
  <c r="AJ1" i="46"/>
  <c r="T15" i="58" l="1"/>
  <c r="T8" i="58"/>
  <c r="K171" i="58"/>
  <c r="L171" i="58" s="1"/>
  <c r="K172" i="58"/>
  <c r="L172" i="58" s="1"/>
  <c r="F106" i="44"/>
  <c r="F107" i="44"/>
  <c r="D106" i="44"/>
  <c r="D107" i="44"/>
  <c r="D130" i="41" l="1"/>
  <c r="F130" i="41"/>
  <c r="D131" i="41"/>
  <c r="F131" i="41"/>
  <c r="G82" i="40" l="1"/>
  <c r="D82" i="40"/>
  <c r="R15" i="39"/>
  <c r="R14" i="39"/>
  <c r="R13" i="39"/>
  <c r="R12" i="39"/>
  <c r="R11" i="39"/>
  <c r="R10" i="39"/>
  <c r="R9" i="39"/>
  <c r="R8" i="39"/>
  <c r="D127" i="39"/>
  <c r="F127" i="39"/>
  <c r="D128" i="39"/>
  <c r="F128" i="39"/>
  <c r="K7" i="36" l="1"/>
  <c r="H32" i="36" s="1"/>
  <c r="H30" i="36" l="1"/>
  <c r="H36" i="36"/>
  <c r="H35" i="36"/>
  <c r="H34" i="36"/>
  <c r="H33" i="36"/>
  <c r="H31" i="36"/>
  <c r="P15" i="58"/>
  <c r="Q15" i="58"/>
  <c r="U15" i="58" s="1"/>
  <c r="R15" i="58"/>
  <c r="S15" i="58"/>
  <c r="P14" i="58"/>
  <c r="Q14" i="58"/>
  <c r="R14" i="58"/>
  <c r="S14" i="58"/>
  <c r="T14" i="58"/>
  <c r="P13" i="58"/>
  <c r="Q13" i="58"/>
  <c r="R13" i="58"/>
  <c r="S13" i="58"/>
  <c r="T13" i="58"/>
  <c r="P12" i="58"/>
  <c r="Q12" i="58"/>
  <c r="U12" i="58" s="1"/>
  <c r="R12" i="58"/>
  <c r="S12" i="58"/>
  <c r="T11" i="58"/>
  <c r="P11" i="58"/>
  <c r="Q11" i="58"/>
  <c r="R11" i="58"/>
  <c r="S11" i="58"/>
  <c r="P10" i="58"/>
  <c r="Q10" i="58"/>
  <c r="R10" i="58"/>
  <c r="S10" i="58"/>
  <c r="T10" i="58"/>
  <c r="P9" i="58"/>
  <c r="Q9" i="58"/>
  <c r="R9" i="58"/>
  <c r="S9" i="58"/>
  <c r="T9" i="58"/>
  <c r="P8" i="58"/>
  <c r="Q8" i="58"/>
  <c r="U8" i="58" s="1"/>
  <c r="R8" i="58"/>
  <c r="S8" i="58"/>
  <c r="O15" i="58"/>
  <c r="O14" i="58"/>
  <c r="O13" i="58"/>
  <c r="O12" i="58"/>
  <c r="O11" i="58"/>
  <c r="O10" i="58"/>
  <c r="O9" i="58"/>
  <c r="O8" i="58"/>
  <c r="K169" i="58"/>
  <c r="L169" i="58" s="1"/>
  <c r="K170" i="58"/>
  <c r="L170" i="58" s="1"/>
  <c r="K168" i="58"/>
  <c r="L168" i="58" s="1"/>
  <c r="B168" i="58"/>
  <c r="A168" i="58"/>
  <c r="K167" i="58"/>
  <c r="L167" i="58" s="1"/>
  <c r="B167" i="58"/>
  <c r="A167" i="58"/>
  <c r="K166" i="58"/>
  <c r="L166" i="58" s="1"/>
  <c r="B166" i="58"/>
  <c r="A166" i="58"/>
  <c r="K165" i="58"/>
  <c r="L165" i="58" s="1"/>
  <c r="B165" i="58"/>
  <c r="A165" i="58"/>
  <c r="K164" i="58"/>
  <c r="L164" i="58" s="1"/>
  <c r="B164" i="58"/>
  <c r="A164" i="58"/>
  <c r="K163" i="58"/>
  <c r="L163" i="58" s="1"/>
  <c r="B163" i="58"/>
  <c r="A163" i="58"/>
  <c r="K162" i="58"/>
  <c r="L162" i="58" s="1"/>
  <c r="B162" i="58"/>
  <c r="A162" i="58"/>
  <c r="K161" i="58"/>
  <c r="L161" i="58" s="1"/>
  <c r="B161" i="58"/>
  <c r="A161" i="58"/>
  <c r="K160" i="58"/>
  <c r="L160" i="58" s="1"/>
  <c r="B160" i="58"/>
  <c r="A160" i="58"/>
  <c r="K159" i="58"/>
  <c r="L159" i="58" s="1"/>
  <c r="B159" i="58"/>
  <c r="A159" i="58"/>
  <c r="K158" i="58"/>
  <c r="L158" i="58" s="1"/>
  <c r="B158" i="58"/>
  <c r="A158" i="58"/>
  <c r="K157" i="58"/>
  <c r="L157" i="58" s="1"/>
  <c r="B157" i="58"/>
  <c r="A157" i="58"/>
  <c r="B156" i="58"/>
  <c r="A156" i="58"/>
  <c r="K155" i="58"/>
  <c r="L155" i="58" s="1"/>
  <c r="B155" i="58"/>
  <c r="A155" i="58"/>
  <c r="B154" i="58"/>
  <c r="A154" i="58"/>
  <c r="B153" i="58"/>
  <c r="A153" i="58"/>
  <c r="K152" i="58"/>
  <c r="L152" i="58" s="1"/>
  <c r="B152" i="58"/>
  <c r="A152" i="58"/>
  <c r="K151" i="58"/>
  <c r="L151" i="58" s="1"/>
  <c r="B151" i="58"/>
  <c r="A151" i="58"/>
  <c r="B150" i="58"/>
  <c r="A150" i="58"/>
  <c r="K149" i="58"/>
  <c r="L149" i="58" s="1"/>
  <c r="B149" i="58"/>
  <c r="A149" i="58"/>
  <c r="B148" i="58"/>
  <c r="A148" i="58"/>
  <c r="K147" i="58"/>
  <c r="L147" i="58" s="1"/>
  <c r="B147" i="58"/>
  <c r="A147" i="58"/>
  <c r="B146" i="58"/>
  <c r="A146" i="58"/>
  <c r="B145" i="58"/>
  <c r="A145" i="58"/>
  <c r="K144" i="58"/>
  <c r="L144" i="58" s="1"/>
  <c r="B144" i="58"/>
  <c r="A144" i="58"/>
  <c r="K143" i="58"/>
  <c r="L143" i="58" s="1"/>
  <c r="B143" i="58"/>
  <c r="A143" i="58"/>
  <c r="K142" i="58"/>
  <c r="L142" i="58" s="1"/>
  <c r="B142" i="58"/>
  <c r="A142" i="58"/>
  <c r="K141" i="58"/>
  <c r="L141" i="58" s="1"/>
  <c r="B141" i="58"/>
  <c r="A141" i="58"/>
  <c r="B140" i="58"/>
  <c r="A140" i="58"/>
  <c r="K139" i="58"/>
  <c r="L139" i="58" s="1"/>
  <c r="B139" i="58"/>
  <c r="A139" i="58"/>
  <c r="B138" i="58"/>
  <c r="A138" i="58"/>
  <c r="B137" i="58"/>
  <c r="A137" i="58"/>
  <c r="K136" i="58"/>
  <c r="L136" i="58" s="1"/>
  <c r="B136" i="58"/>
  <c r="A136" i="58"/>
  <c r="K135" i="58"/>
  <c r="L135" i="58" s="1"/>
  <c r="B135" i="58"/>
  <c r="A135" i="58"/>
  <c r="K134" i="58"/>
  <c r="L134" i="58" s="1"/>
  <c r="B134" i="58"/>
  <c r="A134" i="58"/>
  <c r="B133" i="58"/>
  <c r="A133" i="58"/>
  <c r="B132" i="58"/>
  <c r="A132" i="58"/>
  <c r="K131" i="58"/>
  <c r="L131" i="58" s="1"/>
  <c r="B131" i="58"/>
  <c r="A131" i="58"/>
  <c r="B130" i="58"/>
  <c r="A130" i="58"/>
  <c r="B129" i="58"/>
  <c r="A129" i="58"/>
  <c r="B128" i="58"/>
  <c r="A128" i="58"/>
  <c r="K127" i="58"/>
  <c r="L127" i="58" s="1"/>
  <c r="B127" i="58"/>
  <c r="A127" i="58"/>
  <c r="K126" i="58"/>
  <c r="L126" i="58" s="1"/>
  <c r="B126" i="58"/>
  <c r="A126" i="58"/>
  <c r="K125" i="58"/>
  <c r="L125" i="58" s="1"/>
  <c r="B125" i="58"/>
  <c r="A125" i="58"/>
  <c r="B124" i="58"/>
  <c r="A124" i="58"/>
  <c r="K123" i="58"/>
  <c r="L123" i="58" s="1"/>
  <c r="B123" i="58"/>
  <c r="A123" i="58"/>
  <c r="B122" i="58"/>
  <c r="A122" i="58"/>
  <c r="B121" i="58"/>
  <c r="A121" i="58"/>
  <c r="K120" i="58"/>
  <c r="L120" i="58" s="1"/>
  <c r="B120" i="58"/>
  <c r="A120" i="58"/>
  <c r="K119" i="58"/>
  <c r="L119" i="58" s="1"/>
  <c r="B119" i="58"/>
  <c r="A119" i="58"/>
  <c r="B118" i="58"/>
  <c r="A118" i="58"/>
  <c r="K117" i="58"/>
  <c r="L117" i="58" s="1"/>
  <c r="B117" i="58"/>
  <c r="A117" i="58"/>
  <c r="B116" i="58"/>
  <c r="A116" i="58"/>
  <c r="K115" i="58"/>
  <c r="L115" i="58" s="1"/>
  <c r="B115" i="58"/>
  <c r="A115" i="58"/>
  <c r="B114" i="58"/>
  <c r="A114" i="58"/>
  <c r="B113" i="58"/>
  <c r="A113" i="58"/>
  <c r="K112" i="58"/>
  <c r="L112" i="58" s="1"/>
  <c r="B112" i="58"/>
  <c r="A112" i="58"/>
  <c r="B111" i="58"/>
  <c r="A111" i="58"/>
  <c r="K110" i="58"/>
  <c r="L110" i="58" s="1"/>
  <c r="B110" i="58"/>
  <c r="A110" i="58"/>
  <c r="K109" i="58"/>
  <c r="L109" i="58" s="1"/>
  <c r="B109" i="58"/>
  <c r="A109" i="58"/>
  <c r="K108" i="58"/>
  <c r="L108" i="58" s="1"/>
  <c r="B108" i="58"/>
  <c r="A108" i="58"/>
  <c r="K107" i="58"/>
  <c r="L107" i="58" s="1"/>
  <c r="B107" i="58"/>
  <c r="A107" i="58"/>
  <c r="K106" i="58"/>
  <c r="L106" i="58" s="1"/>
  <c r="B106" i="58"/>
  <c r="A106" i="58"/>
  <c r="K105" i="58"/>
  <c r="L105" i="58" s="1"/>
  <c r="B105" i="58"/>
  <c r="A105" i="58"/>
  <c r="K104" i="58"/>
  <c r="L104" i="58" s="1"/>
  <c r="B104" i="58"/>
  <c r="A104" i="58"/>
  <c r="B103" i="58"/>
  <c r="A103" i="58"/>
  <c r="K102" i="58"/>
  <c r="L102" i="58" s="1"/>
  <c r="B102" i="58"/>
  <c r="A102" i="58"/>
  <c r="K101" i="58"/>
  <c r="L101" i="58" s="1"/>
  <c r="B101" i="58"/>
  <c r="A101" i="58"/>
  <c r="B100" i="58"/>
  <c r="A100" i="58"/>
  <c r="K99" i="58"/>
  <c r="L99" i="58" s="1"/>
  <c r="B99" i="58"/>
  <c r="A99" i="58"/>
  <c r="K98" i="58"/>
  <c r="L98" i="58" s="1"/>
  <c r="B98" i="58"/>
  <c r="A98" i="58"/>
  <c r="K97" i="58"/>
  <c r="L97" i="58" s="1"/>
  <c r="B97" i="58"/>
  <c r="A97" i="58"/>
  <c r="K96" i="58"/>
  <c r="L96" i="58" s="1"/>
  <c r="B96" i="58"/>
  <c r="A96" i="58"/>
  <c r="B95" i="58"/>
  <c r="A95" i="58"/>
  <c r="K94" i="58"/>
  <c r="L94" i="58" s="1"/>
  <c r="B94" i="58"/>
  <c r="A94" i="58"/>
  <c r="K93" i="58"/>
  <c r="L93" i="58" s="1"/>
  <c r="B93" i="58"/>
  <c r="A93" i="58"/>
  <c r="B92" i="58"/>
  <c r="A92" i="58"/>
  <c r="K91" i="58"/>
  <c r="L91" i="58" s="1"/>
  <c r="B91" i="58"/>
  <c r="A91" i="58"/>
  <c r="K90" i="58"/>
  <c r="L90" i="58" s="1"/>
  <c r="B90" i="58"/>
  <c r="A90" i="58"/>
  <c r="K89" i="58"/>
  <c r="L89" i="58" s="1"/>
  <c r="B89" i="58"/>
  <c r="A89" i="58"/>
  <c r="B88" i="58"/>
  <c r="A88" i="58"/>
  <c r="B87" i="58"/>
  <c r="A87" i="58"/>
  <c r="K86" i="58"/>
  <c r="L86" i="58" s="1"/>
  <c r="B86" i="58"/>
  <c r="A86" i="58"/>
  <c r="K85" i="58"/>
  <c r="L85" i="58" s="1"/>
  <c r="B85" i="58"/>
  <c r="A85" i="58"/>
  <c r="K84" i="58"/>
  <c r="L84" i="58" s="1"/>
  <c r="B84" i="58"/>
  <c r="A84" i="58"/>
  <c r="K83" i="58"/>
  <c r="L83" i="58" s="1"/>
  <c r="B83" i="58"/>
  <c r="A83" i="58"/>
  <c r="K82" i="58"/>
  <c r="L82" i="58" s="1"/>
  <c r="B82" i="58"/>
  <c r="A82" i="58"/>
  <c r="K81" i="58"/>
  <c r="L81" i="58" s="1"/>
  <c r="B81" i="58"/>
  <c r="A81" i="58"/>
  <c r="B80" i="58"/>
  <c r="A80" i="58"/>
  <c r="K79" i="58"/>
  <c r="L79" i="58" s="1"/>
  <c r="B79" i="58"/>
  <c r="A79" i="58"/>
  <c r="K78" i="58"/>
  <c r="L78" i="58" s="1"/>
  <c r="B78" i="58"/>
  <c r="A78" i="58"/>
  <c r="K77" i="58"/>
  <c r="L77" i="58" s="1"/>
  <c r="B77" i="58"/>
  <c r="A77" i="58"/>
  <c r="B76" i="58"/>
  <c r="A76" i="58"/>
  <c r="B75" i="58"/>
  <c r="A75" i="58"/>
  <c r="K74" i="58"/>
  <c r="L74" i="58" s="1"/>
  <c r="B74" i="58"/>
  <c r="A74" i="58"/>
  <c r="K73" i="58"/>
  <c r="L73" i="58" s="1"/>
  <c r="B73" i="58"/>
  <c r="A73" i="58"/>
  <c r="K72" i="58"/>
  <c r="L72" i="58" s="1"/>
  <c r="B72" i="58"/>
  <c r="A72" i="58"/>
  <c r="B71" i="58"/>
  <c r="A71" i="58"/>
  <c r="B70" i="58"/>
  <c r="A70" i="58"/>
  <c r="B69" i="58"/>
  <c r="A69" i="58"/>
  <c r="B68" i="58"/>
  <c r="A68" i="58"/>
  <c r="B67" i="58"/>
  <c r="A67" i="58"/>
  <c r="B66" i="58"/>
  <c r="A66" i="58"/>
  <c r="K65" i="58"/>
  <c r="L65" i="58" s="1"/>
  <c r="B65" i="58"/>
  <c r="A65" i="58"/>
  <c r="B64" i="58"/>
  <c r="A64" i="58"/>
  <c r="B63" i="58"/>
  <c r="A63" i="58"/>
  <c r="B62" i="58"/>
  <c r="A62" i="58"/>
  <c r="K61" i="58"/>
  <c r="L61" i="58" s="1"/>
  <c r="B61" i="58"/>
  <c r="A61" i="58"/>
  <c r="B60" i="58"/>
  <c r="A60" i="58"/>
  <c r="B59" i="58"/>
  <c r="A59" i="58"/>
  <c r="K58" i="58"/>
  <c r="L58" i="58" s="1"/>
  <c r="B58" i="58"/>
  <c r="A58" i="58"/>
  <c r="B57" i="58"/>
  <c r="A57" i="58"/>
  <c r="B56" i="58"/>
  <c r="A56" i="58"/>
  <c r="B55" i="58"/>
  <c r="A55" i="58"/>
  <c r="B54" i="58"/>
  <c r="A54" i="58"/>
  <c r="B53" i="58"/>
  <c r="A53" i="58"/>
  <c r="B52" i="58"/>
  <c r="A52" i="58"/>
  <c r="B51" i="58"/>
  <c r="A51" i="58"/>
  <c r="B50" i="58"/>
  <c r="A50" i="58"/>
  <c r="B49" i="58"/>
  <c r="A49" i="58"/>
  <c r="B48" i="58"/>
  <c r="A48" i="58"/>
  <c r="B47" i="58"/>
  <c r="A47" i="58"/>
  <c r="K46" i="58"/>
  <c r="L46" i="58" s="1"/>
  <c r="B46" i="58"/>
  <c r="A46" i="58"/>
  <c r="B45" i="58"/>
  <c r="A45" i="58"/>
  <c r="B44" i="58"/>
  <c r="A44" i="58"/>
  <c r="B43" i="58"/>
  <c r="A43" i="58"/>
  <c r="K42" i="58"/>
  <c r="L42" i="58" s="1"/>
  <c r="B42" i="58"/>
  <c r="A42" i="58"/>
  <c r="B41" i="58"/>
  <c r="A41" i="58"/>
  <c r="B40" i="58"/>
  <c r="A40" i="58"/>
  <c r="B39" i="58"/>
  <c r="A39" i="58"/>
  <c r="B38" i="58"/>
  <c r="A38" i="58"/>
  <c r="B37" i="58"/>
  <c r="A37" i="58"/>
  <c r="B36" i="58"/>
  <c r="A36" i="58"/>
  <c r="B35" i="58"/>
  <c r="A35" i="58"/>
  <c r="K34" i="58"/>
  <c r="L34" i="58" s="1"/>
  <c r="B34" i="58"/>
  <c r="A34" i="58"/>
  <c r="B33" i="58"/>
  <c r="A33" i="58"/>
  <c r="B32" i="58"/>
  <c r="A32" i="58"/>
  <c r="B31" i="58"/>
  <c r="A31" i="58"/>
  <c r="K30" i="58"/>
  <c r="L30" i="58" s="1"/>
  <c r="B30" i="58"/>
  <c r="A30" i="58"/>
  <c r="K29" i="58"/>
  <c r="L29" i="58" s="1"/>
  <c r="B29" i="58"/>
  <c r="A29" i="58"/>
  <c r="B28" i="58"/>
  <c r="A28" i="58"/>
  <c r="B27" i="58"/>
  <c r="A27" i="58"/>
  <c r="K26" i="58"/>
  <c r="L26" i="58" s="1"/>
  <c r="B26" i="58"/>
  <c r="A26" i="58"/>
  <c r="B25" i="58"/>
  <c r="A25" i="58"/>
  <c r="B24" i="58"/>
  <c r="A24" i="58"/>
  <c r="B23" i="58"/>
  <c r="A23" i="58"/>
  <c r="K22" i="58"/>
  <c r="L22" i="58" s="1"/>
  <c r="B22" i="58"/>
  <c r="A22" i="58"/>
  <c r="K21" i="58"/>
  <c r="L21" i="58" s="1"/>
  <c r="B21" i="58"/>
  <c r="A21" i="58"/>
  <c r="B20" i="58"/>
  <c r="A20" i="58"/>
  <c r="B19" i="58"/>
  <c r="A19" i="58"/>
  <c r="B18" i="58"/>
  <c r="A18" i="58"/>
  <c r="N14" i="58"/>
  <c r="B17" i="58"/>
  <c r="A17" i="58"/>
  <c r="K16" i="58"/>
  <c r="L16" i="58" s="1"/>
  <c r="B16" i="58"/>
  <c r="A16" i="58"/>
  <c r="B15" i="58"/>
  <c r="A15" i="58"/>
  <c r="K14" i="58"/>
  <c r="L14" i="58" s="1"/>
  <c r="B14" i="58"/>
  <c r="A14" i="58"/>
  <c r="B13" i="58"/>
  <c r="A13" i="58"/>
  <c r="B12" i="58"/>
  <c r="A12" i="58"/>
  <c r="B11" i="58"/>
  <c r="A11" i="58"/>
  <c r="B10" i="58"/>
  <c r="A10" i="58"/>
  <c r="K9" i="58"/>
  <c r="L9" i="58" s="1"/>
  <c r="B9" i="58"/>
  <c r="A9" i="58"/>
  <c r="K8" i="58"/>
  <c r="L8" i="58" s="1"/>
  <c r="B8" i="58"/>
  <c r="A8" i="58"/>
  <c r="U13" i="58" l="1"/>
  <c r="C93" i="58"/>
  <c r="C132" i="58"/>
  <c r="U11" i="58"/>
  <c r="C154" i="58"/>
  <c r="C88" i="58"/>
  <c r="C97" i="58"/>
  <c r="C124" i="58"/>
  <c r="C164" i="58"/>
  <c r="U10" i="58"/>
  <c r="C160" i="58"/>
  <c r="U9" i="58"/>
  <c r="U14" i="58"/>
  <c r="C161" i="58"/>
  <c r="C73" i="58"/>
  <c r="C114" i="58"/>
  <c r="C99" i="58"/>
  <c r="C145" i="58"/>
  <c r="C89" i="58"/>
  <c r="C125" i="58"/>
  <c r="C153" i="58"/>
  <c r="C165" i="58"/>
  <c r="C117" i="58"/>
  <c r="C120" i="58"/>
  <c r="C133" i="58"/>
  <c r="C136" i="58"/>
  <c r="C155" i="58"/>
  <c r="C166" i="58"/>
  <c r="C149" i="58"/>
  <c r="C59" i="58"/>
  <c r="C77" i="58"/>
  <c r="C85" i="58"/>
  <c r="C100" i="58"/>
  <c r="C106" i="58"/>
  <c r="C115" i="58"/>
  <c r="C137" i="58"/>
  <c r="C140" i="58"/>
  <c r="C167" i="58"/>
  <c r="C67" i="58"/>
  <c r="C71" i="58"/>
  <c r="C83" i="58"/>
  <c r="C98" i="58"/>
  <c r="C101" i="58"/>
  <c r="C104" i="58"/>
  <c r="C138" i="58"/>
  <c r="C141" i="58"/>
  <c r="C144" i="58"/>
  <c r="C81" i="58"/>
  <c r="C107" i="58"/>
  <c r="C110" i="58"/>
  <c r="C139" i="58"/>
  <c r="C148" i="58"/>
  <c r="C74" i="58"/>
  <c r="C75" i="58"/>
  <c r="C91" i="58"/>
  <c r="C96" i="58"/>
  <c r="C116" i="58"/>
  <c r="C122" i="58"/>
  <c r="C128" i="58"/>
  <c r="C130" i="58"/>
  <c r="C142" i="58"/>
  <c r="C146" i="58"/>
  <c r="C152" i="58"/>
  <c r="C157" i="58"/>
  <c r="C47" i="58"/>
  <c r="C55" i="58"/>
  <c r="C57" i="58"/>
  <c r="C79" i="58"/>
  <c r="C86" i="58"/>
  <c r="C87" i="58"/>
  <c r="C105" i="58"/>
  <c r="C109" i="58"/>
  <c r="C113" i="58"/>
  <c r="C121" i="58"/>
  <c r="C123" i="58"/>
  <c r="C129" i="58"/>
  <c r="C131" i="58"/>
  <c r="C147" i="58"/>
  <c r="C156" i="58"/>
  <c r="C159" i="58"/>
  <c r="C163" i="58"/>
  <c r="B37" i="38"/>
  <c r="K20" i="58"/>
  <c r="L20" i="58" s="1"/>
  <c r="K64" i="58"/>
  <c r="L64" i="58" s="1"/>
  <c r="K13" i="58"/>
  <c r="L13" i="58" s="1"/>
  <c r="C38" i="58"/>
  <c r="C54" i="58"/>
  <c r="C58" i="58"/>
  <c r="K17" i="58"/>
  <c r="L17" i="58" s="1"/>
  <c r="K38" i="58"/>
  <c r="L38" i="58" s="1"/>
  <c r="K52" i="58"/>
  <c r="L52" i="58" s="1"/>
  <c r="K56" i="58"/>
  <c r="L56" i="58" s="1"/>
  <c r="K68" i="58"/>
  <c r="L68" i="58" s="1"/>
  <c r="C10" i="58"/>
  <c r="K23" i="58"/>
  <c r="L23" i="58" s="1"/>
  <c r="K25" i="58"/>
  <c r="L25" i="58" s="1"/>
  <c r="C41" i="58"/>
  <c r="K12" i="58"/>
  <c r="L12" i="58" s="1"/>
  <c r="C26" i="58"/>
  <c r="K31" i="58"/>
  <c r="L31" i="58" s="1"/>
  <c r="K51" i="58"/>
  <c r="L51" i="58" s="1"/>
  <c r="K57" i="58"/>
  <c r="L57" i="58" s="1"/>
  <c r="K10" i="58"/>
  <c r="L10" i="58" s="1"/>
  <c r="C33" i="58"/>
  <c r="K44" i="58"/>
  <c r="L44" i="58" s="1"/>
  <c r="C60" i="58"/>
  <c r="C64" i="58"/>
  <c r="C66" i="58"/>
  <c r="C70" i="58"/>
  <c r="C72" i="58"/>
  <c r="K75" i="58"/>
  <c r="L75" i="58" s="1"/>
  <c r="K87" i="58"/>
  <c r="L87" i="58" s="1"/>
  <c r="C108" i="58"/>
  <c r="C111" i="58"/>
  <c r="K114" i="58"/>
  <c r="L114" i="58" s="1"/>
  <c r="C118" i="58"/>
  <c r="K124" i="58"/>
  <c r="L124" i="58" s="1"/>
  <c r="K129" i="58"/>
  <c r="L129" i="58" s="1"/>
  <c r="C135" i="58"/>
  <c r="K146" i="58"/>
  <c r="L146" i="58" s="1"/>
  <c r="C150" i="58"/>
  <c r="K156" i="58"/>
  <c r="L156" i="58" s="1"/>
  <c r="C168" i="58"/>
  <c r="C35" i="58"/>
  <c r="C37" i="58"/>
  <c r="K50" i="58"/>
  <c r="L50" i="58" s="1"/>
  <c r="K54" i="58"/>
  <c r="L54" i="58" s="1"/>
  <c r="C103" i="58"/>
  <c r="K111" i="58"/>
  <c r="L111" i="58" s="1"/>
  <c r="K116" i="58"/>
  <c r="L116" i="58" s="1"/>
  <c r="K121" i="58"/>
  <c r="L121" i="58" s="1"/>
  <c r="C127" i="58"/>
  <c r="K138" i="58"/>
  <c r="L138" i="58" s="1"/>
  <c r="K148" i="58"/>
  <c r="L148" i="58" s="1"/>
  <c r="K153" i="58"/>
  <c r="L153" i="58" s="1"/>
  <c r="K11" i="58"/>
  <c r="L11" i="58" s="1"/>
  <c r="K18" i="58"/>
  <c r="L18" i="58" s="1"/>
  <c r="K33" i="58"/>
  <c r="L33" i="58" s="1"/>
  <c r="K35" i="58"/>
  <c r="L35" i="58" s="1"/>
  <c r="K37" i="58"/>
  <c r="L37" i="58" s="1"/>
  <c r="C43" i="58"/>
  <c r="C45" i="58"/>
  <c r="C49" i="58"/>
  <c r="C53" i="58"/>
  <c r="K62" i="58"/>
  <c r="L62" i="58" s="1"/>
  <c r="K66" i="58"/>
  <c r="L66" i="58" s="1"/>
  <c r="K70" i="58"/>
  <c r="L70" i="58" s="1"/>
  <c r="C78" i="58"/>
  <c r="C90" i="58"/>
  <c r="K118" i="58"/>
  <c r="L118" i="58" s="1"/>
  <c r="K128" i="58"/>
  <c r="L128" i="58" s="1"/>
  <c r="K133" i="58"/>
  <c r="L133" i="58" s="1"/>
  <c r="K150" i="58"/>
  <c r="L150" i="58" s="1"/>
  <c r="C21" i="58"/>
  <c r="C32" i="58"/>
  <c r="K41" i="58"/>
  <c r="L41" i="58" s="1"/>
  <c r="K45" i="58"/>
  <c r="L45" i="58" s="1"/>
  <c r="C61" i="58"/>
  <c r="C65" i="58"/>
  <c r="C69" i="58"/>
  <c r="K76" i="58"/>
  <c r="L76" i="58" s="1"/>
  <c r="K88" i="58"/>
  <c r="L88" i="58" s="1"/>
  <c r="C92" i="58"/>
  <c r="C95" i="58"/>
  <c r="K100" i="58"/>
  <c r="L100" i="58" s="1"/>
  <c r="C102" i="58"/>
  <c r="K103" i="58"/>
  <c r="L103" i="58" s="1"/>
  <c r="C112" i="58"/>
  <c r="K113" i="58"/>
  <c r="L113" i="58" s="1"/>
  <c r="C119" i="58"/>
  <c r="K130" i="58"/>
  <c r="L130" i="58" s="1"/>
  <c r="C134" i="58"/>
  <c r="K140" i="58"/>
  <c r="L140" i="58" s="1"/>
  <c r="K145" i="58"/>
  <c r="L145" i="58" s="1"/>
  <c r="C151" i="58"/>
  <c r="C162" i="58"/>
  <c r="K19" i="58"/>
  <c r="L19" i="58" s="1"/>
  <c r="C23" i="58"/>
  <c r="C25" i="58"/>
  <c r="C29" i="58"/>
  <c r="C42" i="58"/>
  <c r="C46" i="58"/>
  <c r="K49" i="58"/>
  <c r="L49" i="58" s="1"/>
  <c r="K53" i="58"/>
  <c r="L53" i="58" s="1"/>
  <c r="K63" i="58"/>
  <c r="L63" i="58" s="1"/>
  <c r="K69" i="58"/>
  <c r="L69" i="58" s="1"/>
  <c r="K80" i="58"/>
  <c r="L80" i="58" s="1"/>
  <c r="C82" i="58"/>
  <c r="K92" i="58"/>
  <c r="L92" i="58" s="1"/>
  <c r="C94" i="58"/>
  <c r="K95" i="58"/>
  <c r="L95" i="58" s="1"/>
  <c r="K122" i="58"/>
  <c r="L122" i="58" s="1"/>
  <c r="C126" i="58"/>
  <c r="K132" i="58"/>
  <c r="L132" i="58" s="1"/>
  <c r="K137" i="58"/>
  <c r="L137" i="58" s="1"/>
  <c r="C143" i="58"/>
  <c r="K154" i="58"/>
  <c r="L154" i="58" s="1"/>
  <c r="C158" i="58"/>
  <c r="C51" i="58"/>
  <c r="C63" i="58"/>
  <c r="K15" i="58"/>
  <c r="L15" i="58" s="1"/>
  <c r="C22" i="58"/>
  <c r="C27" i="58"/>
  <c r="K32" i="58"/>
  <c r="L32" i="58" s="1"/>
  <c r="C34" i="58"/>
  <c r="C39" i="58"/>
  <c r="C24" i="58"/>
  <c r="K27" i="58"/>
  <c r="L27" i="58" s="1"/>
  <c r="K39" i="58"/>
  <c r="L39" i="58" s="1"/>
  <c r="K48" i="58"/>
  <c r="L48" i="58" s="1"/>
  <c r="C50" i="58"/>
  <c r="K60" i="58"/>
  <c r="L60" i="58" s="1"/>
  <c r="C62" i="58"/>
  <c r="C19" i="58"/>
  <c r="K24" i="58"/>
  <c r="L24" i="58" s="1"/>
  <c r="C31" i="58"/>
  <c r="K36" i="58"/>
  <c r="L36" i="58" s="1"/>
  <c r="C40" i="58"/>
  <c r="K43" i="58"/>
  <c r="L43" i="58" s="1"/>
  <c r="K55" i="58"/>
  <c r="L55" i="58" s="1"/>
  <c r="K67" i="58"/>
  <c r="L67" i="58" s="1"/>
  <c r="C18" i="58"/>
  <c r="K28" i="58"/>
  <c r="L28" i="58" s="1"/>
  <c r="C30" i="58"/>
  <c r="K40" i="58"/>
  <c r="L40" i="58" s="1"/>
  <c r="K47" i="58"/>
  <c r="L47" i="58" s="1"/>
  <c r="C56" i="58"/>
  <c r="K59" i="58"/>
  <c r="L59" i="58" s="1"/>
  <c r="K71" i="58"/>
  <c r="L71" i="58" s="1"/>
  <c r="C8" i="58"/>
  <c r="C14" i="58"/>
  <c r="C44" i="58"/>
  <c r="C76" i="58"/>
  <c r="C11" i="58"/>
  <c r="C15" i="58"/>
  <c r="C36" i="58"/>
  <c r="C68" i="58"/>
  <c r="C9" i="58"/>
  <c r="C16" i="58"/>
  <c r="C48" i="58"/>
  <c r="C80" i="58"/>
  <c r="C12" i="58"/>
  <c r="C17" i="58"/>
  <c r="C28" i="58"/>
  <c r="C13" i="58"/>
  <c r="C20" i="58"/>
  <c r="C52" i="58"/>
  <c r="C84" i="58"/>
  <c r="N13" i="58"/>
  <c r="N12" i="58" l="1"/>
  <c r="N11" i="58" l="1"/>
  <c r="N10" i="58" l="1"/>
  <c r="F104" i="44"/>
  <c r="F105" i="44"/>
  <c r="D104" i="44"/>
  <c r="D105" i="44"/>
  <c r="N9" i="58" l="1"/>
  <c r="N8" i="58" l="1"/>
  <c r="F128" i="41"/>
  <c r="F129" i="41"/>
  <c r="D128" i="41"/>
  <c r="D129" i="41"/>
  <c r="G81" i="40" l="1"/>
  <c r="D81" i="40"/>
  <c r="D80" i="40"/>
  <c r="G80" i="40"/>
  <c r="D125" i="39" l="1"/>
  <c r="F125" i="39"/>
  <c r="D126" i="39"/>
  <c r="F126" i="39"/>
  <c r="AJ38" i="46" l="1"/>
  <c r="AJ39" i="46" l="1"/>
  <c r="D30" i="36" l="1"/>
  <c r="T1" i="32" l="1"/>
  <c r="B20" i="38" l="1"/>
  <c r="F102" i="44" l="1"/>
  <c r="F103" i="44"/>
  <c r="D102" i="44"/>
  <c r="D103" i="44"/>
  <c r="D79" i="40"/>
  <c r="G79" i="40"/>
  <c r="D78" i="40"/>
  <c r="G78" i="40"/>
  <c r="F123" i="39"/>
  <c r="F124" i="39"/>
  <c r="D123" i="39"/>
  <c r="D124" i="39"/>
  <c r="F126" i="41"/>
  <c r="F127" i="41"/>
  <c r="D121" i="41"/>
  <c r="D122" i="41"/>
  <c r="D123" i="41"/>
  <c r="D124" i="41"/>
  <c r="D125" i="41"/>
  <c r="D126" i="41"/>
  <c r="D127" i="41"/>
  <c r="U1" i="32" l="1"/>
  <c r="T2" i="32"/>
  <c r="U2" i="32" s="1"/>
  <c r="T3" i="32"/>
  <c r="N38" i="32"/>
  <c r="AA9" i="32"/>
  <c r="AV1" i="46"/>
  <c r="T1" i="46"/>
  <c r="AE1" i="46"/>
  <c r="AS1" i="46"/>
  <c r="I1" i="46"/>
  <c r="N1" i="46"/>
  <c r="B1" i="46"/>
  <c r="BC1" i="46"/>
  <c r="K1" i="46"/>
  <c r="G1" i="46"/>
  <c r="AB1" i="46"/>
  <c r="AU1" i="46"/>
  <c r="BB1" i="46"/>
  <c r="V1" i="46"/>
  <c r="H1" i="46"/>
  <c r="L1" i="46"/>
  <c r="AP1" i="46"/>
  <c r="AW1" i="46"/>
  <c r="AF1" i="46"/>
  <c r="AD1" i="46"/>
  <c r="AN1" i="46"/>
  <c r="J1" i="46"/>
  <c r="R1" i="46"/>
  <c r="AT1" i="46"/>
  <c r="W1" i="46"/>
  <c r="AX1" i="46"/>
  <c r="BD1" i="46"/>
  <c r="U1" i="46"/>
  <c r="AC1" i="46"/>
  <c r="C1" i="46"/>
  <c r="O1" i="46"/>
  <c r="AZ1" i="46"/>
  <c r="P1" i="46"/>
  <c r="AY1" i="46"/>
  <c r="E1" i="46"/>
  <c r="AG1" i="46"/>
  <c r="Y1" i="46"/>
  <c r="AR1" i="46"/>
  <c r="X1" i="46"/>
  <c r="BF1" i="46"/>
  <c r="BA1" i="46"/>
  <c r="BE1" i="46"/>
  <c r="S1" i="46"/>
  <c r="Z1" i="46"/>
  <c r="AA1" i="46"/>
  <c r="D1" i="46"/>
  <c r="AQ1" i="46"/>
  <c r="Q1" i="46"/>
  <c r="M1" i="46"/>
  <c r="AO1" i="46"/>
  <c r="F1" i="46"/>
  <c r="AH1" i="46"/>
  <c r="F101" i="44" l="1"/>
  <c r="D101" i="44"/>
  <c r="F100" i="44"/>
  <c r="D100" i="44"/>
  <c r="F125" i="41" l="1"/>
  <c r="F124" i="41"/>
  <c r="AH38" i="46" l="1"/>
  <c r="AH39" i="46" s="1"/>
  <c r="AI38" i="46"/>
  <c r="AI39" i="46" s="1"/>
  <c r="G77" i="40" l="1"/>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F122" i="39"/>
  <c r="D122" i="39"/>
  <c r="G76" i="40" l="1"/>
  <c r="F121" i="39"/>
  <c r="D121" i="39"/>
  <c r="A344" i="58" l="1"/>
  <c r="B344" i="58"/>
  <c r="A345" i="58"/>
  <c r="B345" i="58"/>
  <c r="A346" i="58"/>
  <c r="B346" i="58"/>
  <c r="A347" i="58"/>
  <c r="B347" i="58"/>
  <c r="A348" i="58"/>
  <c r="B348" i="58"/>
  <c r="A349" i="58"/>
  <c r="B349" i="58"/>
  <c r="A350" i="58"/>
  <c r="B350" i="58"/>
  <c r="A351" i="58"/>
  <c r="B351" i="58"/>
  <c r="A352" i="58"/>
  <c r="B352" i="58"/>
  <c r="A353" i="58"/>
  <c r="B353" i="58"/>
  <c r="A354" i="58"/>
  <c r="B354" i="58"/>
  <c r="A355" i="58"/>
  <c r="B355" i="58"/>
  <c r="A356" i="58"/>
  <c r="B356" i="58"/>
  <c r="A357" i="58"/>
  <c r="B357" i="58"/>
  <c r="A358" i="58"/>
  <c r="B358" i="58"/>
  <c r="A359" i="58"/>
  <c r="B359" i="58"/>
  <c r="A360" i="58"/>
  <c r="B360" i="58"/>
  <c r="A361" i="58"/>
  <c r="B361" i="58"/>
  <c r="A362" i="58"/>
  <c r="B362" i="58"/>
  <c r="A363" i="58"/>
  <c r="B363" i="58"/>
  <c r="A364" i="58"/>
  <c r="B364" i="58"/>
  <c r="A365" i="58"/>
  <c r="B365" i="58"/>
  <c r="A366" i="58"/>
  <c r="B366" i="58"/>
  <c r="A367" i="58"/>
  <c r="B367" i="58"/>
  <c r="A368" i="58"/>
  <c r="B368" i="58"/>
  <c r="A369" i="58"/>
  <c r="B369" i="58"/>
  <c r="A370" i="58"/>
  <c r="B370" i="58"/>
  <c r="A371" i="58"/>
  <c r="B371" i="58"/>
  <c r="A372" i="58"/>
  <c r="B372" i="58"/>
  <c r="A373" i="58"/>
  <c r="B373" i="58"/>
  <c r="A374" i="58"/>
  <c r="B374" i="58"/>
  <c r="A375" i="58"/>
  <c r="B375" i="58"/>
  <c r="A376" i="58"/>
  <c r="B376" i="58"/>
  <c r="A377" i="58"/>
  <c r="B377" i="58"/>
  <c r="A378" i="58"/>
  <c r="B378" i="58"/>
  <c r="A379" i="58"/>
  <c r="B379" i="58"/>
  <c r="A380" i="58"/>
  <c r="B380" i="58"/>
  <c r="A381" i="58"/>
  <c r="B381" i="58"/>
  <c r="A382" i="58"/>
  <c r="B382" i="58"/>
  <c r="A383" i="58"/>
  <c r="B383" i="58"/>
  <c r="A384" i="58"/>
  <c r="B384" i="58"/>
  <c r="A385" i="58"/>
  <c r="B385" i="58"/>
  <c r="A386" i="58"/>
  <c r="B386" i="58"/>
  <c r="A387" i="58"/>
  <c r="B387" i="58"/>
  <c r="A388" i="58"/>
  <c r="B388" i="58"/>
  <c r="A389" i="58"/>
  <c r="B389" i="58"/>
  <c r="A390" i="58"/>
  <c r="B390" i="58"/>
  <c r="A391" i="58"/>
  <c r="B391" i="58"/>
  <c r="A392" i="58"/>
  <c r="B392" i="58"/>
  <c r="A393" i="58"/>
  <c r="B393" i="58"/>
  <c r="A394" i="58"/>
  <c r="B394" i="58"/>
  <c r="A395" i="58"/>
  <c r="B395" i="58"/>
  <c r="A396" i="58"/>
  <c r="B396" i="58"/>
  <c r="A397" i="58"/>
  <c r="B397" i="58"/>
  <c r="A398" i="58"/>
  <c r="B398" i="58"/>
  <c r="A399" i="58"/>
  <c r="B399" i="58"/>
  <c r="A400" i="58"/>
  <c r="B400" i="58"/>
  <c r="A401" i="58"/>
  <c r="B401" i="58"/>
  <c r="A402" i="58"/>
  <c r="B402" i="58"/>
  <c r="A403" i="58"/>
  <c r="B403" i="58"/>
  <c r="A404" i="58"/>
  <c r="B404" i="58"/>
  <c r="A405" i="58"/>
  <c r="B405" i="58"/>
  <c r="A406" i="58"/>
  <c r="B406" i="58"/>
  <c r="A407" i="58"/>
  <c r="B407" i="58"/>
  <c r="A408" i="58"/>
  <c r="B408" i="58"/>
  <c r="A409" i="58"/>
  <c r="B409" i="58"/>
  <c r="A410" i="58"/>
  <c r="B410" i="58"/>
  <c r="A411" i="58"/>
  <c r="B411" i="58"/>
  <c r="A412" i="58"/>
  <c r="B412" i="58"/>
  <c r="A413" i="58"/>
  <c r="B413" i="58"/>
  <c r="A414" i="58"/>
  <c r="B414" i="58"/>
  <c r="A415" i="58"/>
  <c r="B415" i="58"/>
  <c r="A416" i="58"/>
  <c r="B416" i="58"/>
  <c r="A417" i="58"/>
  <c r="B417" i="58"/>
  <c r="A418" i="58"/>
  <c r="B418" i="58"/>
  <c r="A419" i="58"/>
  <c r="B419" i="58"/>
  <c r="A420" i="58"/>
  <c r="B420" i="58"/>
  <c r="A421" i="58"/>
  <c r="B421" i="58"/>
  <c r="A422" i="58"/>
  <c r="B422" i="58"/>
  <c r="A423" i="58"/>
  <c r="B423" i="58"/>
  <c r="A424" i="58"/>
  <c r="B424" i="58"/>
  <c r="A425" i="58"/>
  <c r="B425" i="58"/>
  <c r="A426" i="58"/>
  <c r="B426" i="58"/>
  <c r="A427" i="58"/>
  <c r="B427" i="58"/>
  <c r="A428" i="58"/>
  <c r="B428" i="58"/>
  <c r="A429" i="58"/>
  <c r="B429" i="58"/>
  <c r="T186" i="58"/>
  <c r="AC185" i="58" s="1"/>
  <c r="S186" i="58"/>
  <c r="AB185" i="58" s="1"/>
  <c r="R186" i="58"/>
  <c r="AA185" i="58" s="1"/>
  <c r="Q186" i="58"/>
  <c r="Z185" i="58" s="1"/>
  <c r="P186" i="58"/>
  <c r="Y185" i="58" s="1"/>
  <c r="O186" i="58"/>
  <c r="X185" i="58" s="1"/>
  <c r="C375" i="58" l="1"/>
  <c r="C407" i="58"/>
  <c r="C399" i="58"/>
  <c r="C367" i="58"/>
  <c r="C429" i="58"/>
  <c r="C425" i="58"/>
  <c r="C421" i="58"/>
  <c r="C417" i="58"/>
  <c r="C413" i="58"/>
  <c r="C409" i="58"/>
  <c r="C405" i="58"/>
  <c r="C401" i="58"/>
  <c r="C397" i="58"/>
  <c r="C393" i="58"/>
  <c r="C389" i="58"/>
  <c r="C385" i="58"/>
  <c r="C381" i="58"/>
  <c r="C377" i="58"/>
  <c r="C373" i="58"/>
  <c r="C369" i="58"/>
  <c r="C365" i="58"/>
  <c r="C361" i="58"/>
  <c r="C357" i="58"/>
  <c r="C353" i="58"/>
  <c r="C349" i="58"/>
  <c r="C345" i="58"/>
  <c r="C428" i="58"/>
  <c r="C424" i="58"/>
  <c r="C420" i="58"/>
  <c r="C416" i="58"/>
  <c r="C412" i="58"/>
  <c r="C408" i="58"/>
  <c r="C404" i="58"/>
  <c r="C400" i="58"/>
  <c r="C396" i="58"/>
  <c r="C392" i="58"/>
  <c r="C388" i="58"/>
  <c r="C384" i="58"/>
  <c r="C380" i="58"/>
  <c r="C376" i="58"/>
  <c r="C372" i="58"/>
  <c r="C368" i="58"/>
  <c r="C364" i="58"/>
  <c r="C360" i="58"/>
  <c r="C356" i="58"/>
  <c r="C352" i="58"/>
  <c r="C348" i="58"/>
  <c r="C344" i="58"/>
  <c r="C427" i="58"/>
  <c r="C423" i="58"/>
  <c r="C419" i="58"/>
  <c r="C415" i="58"/>
  <c r="C411" i="58"/>
  <c r="C403" i="58"/>
  <c r="C395" i="58"/>
  <c r="C391" i="58"/>
  <c r="C387" i="58"/>
  <c r="C383" i="58"/>
  <c r="C379" i="58"/>
  <c r="C371" i="58"/>
  <c r="C363" i="58"/>
  <c r="C359" i="58"/>
  <c r="C355" i="58"/>
  <c r="C351" i="58"/>
  <c r="C347" i="58"/>
  <c r="C426" i="58"/>
  <c r="C422" i="58"/>
  <c r="C418" i="58"/>
  <c r="C414" i="58"/>
  <c r="C410" i="58"/>
  <c r="C406" i="58"/>
  <c r="C402" i="58"/>
  <c r="C398" i="58"/>
  <c r="C394" i="58"/>
  <c r="C390" i="58"/>
  <c r="C386" i="58"/>
  <c r="C382" i="58"/>
  <c r="C378" i="58"/>
  <c r="C374" i="58"/>
  <c r="C370" i="58"/>
  <c r="C366" i="58"/>
  <c r="C362" i="58"/>
  <c r="C358" i="58"/>
  <c r="C354" i="58"/>
  <c r="C350" i="58"/>
  <c r="C346" i="58"/>
  <c r="A217" i="58"/>
  <c r="B217" i="58"/>
  <c r="A218" i="58"/>
  <c r="B218" i="58"/>
  <c r="A219" i="58"/>
  <c r="B219" i="58"/>
  <c r="A220" i="58"/>
  <c r="B220" i="58"/>
  <c r="A221" i="58"/>
  <c r="B221" i="58"/>
  <c r="A222" i="58"/>
  <c r="B222" i="58"/>
  <c r="A223" i="58"/>
  <c r="B223" i="58"/>
  <c r="A224" i="58"/>
  <c r="B224" i="58"/>
  <c r="A225" i="58"/>
  <c r="B225" i="58"/>
  <c r="A226" i="58"/>
  <c r="B226" i="58"/>
  <c r="A227" i="58"/>
  <c r="B227" i="58"/>
  <c r="A228" i="58"/>
  <c r="B228" i="58"/>
  <c r="A229" i="58"/>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A252" i="58"/>
  <c r="B252" i="58"/>
  <c r="A253" i="58"/>
  <c r="B253" i="58"/>
  <c r="A254" i="58"/>
  <c r="B254" i="58"/>
  <c r="A255" i="58"/>
  <c r="B255" i="58"/>
  <c r="A256" i="58"/>
  <c r="B256" i="58"/>
  <c r="A257" i="58"/>
  <c r="B257" i="58"/>
  <c r="A258" i="58"/>
  <c r="B258" i="58"/>
  <c r="A259" i="58"/>
  <c r="B259" i="58"/>
  <c r="A260" i="58"/>
  <c r="B260" i="58"/>
  <c r="A261" i="58"/>
  <c r="B261" i="58"/>
  <c r="A262" i="58"/>
  <c r="B262" i="58"/>
  <c r="A263" i="58"/>
  <c r="B263" i="58"/>
  <c r="A264" i="58"/>
  <c r="B264" i="58"/>
  <c r="A265" i="58"/>
  <c r="B265" i="58"/>
  <c r="A266" i="58"/>
  <c r="B266" i="58"/>
  <c r="A267" i="58"/>
  <c r="B267" i="58"/>
  <c r="A268" i="58"/>
  <c r="B268" i="58"/>
  <c r="A269" i="58"/>
  <c r="B269" i="58"/>
  <c r="A270" i="58"/>
  <c r="B270" i="58"/>
  <c r="A271" i="58"/>
  <c r="B271" i="58"/>
  <c r="A272" i="58"/>
  <c r="B272" i="58"/>
  <c r="A273" i="58"/>
  <c r="B273" i="58"/>
  <c r="A274" i="58"/>
  <c r="B274" i="58"/>
  <c r="A275" i="58"/>
  <c r="B275" i="58"/>
  <c r="A276" i="58"/>
  <c r="B276" i="58"/>
  <c r="A277" i="58"/>
  <c r="B277" i="58"/>
  <c r="A278" i="58"/>
  <c r="B278" i="58"/>
  <c r="A279" i="58"/>
  <c r="B279" i="58"/>
  <c r="A280" i="58"/>
  <c r="B280" i="58"/>
  <c r="A281" i="58"/>
  <c r="B281" i="58"/>
  <c r="A282" i="58"/>
  <c r="B282" i="58"/>
  <c r="A283" i="58"/>
  <c r="B283" i="58"/>
  <c r="A284" i="58"/>
  <c r="B284" i="58"/>
  <c r="A285" i="58"/>
  <c r="B285" i="58"/>
  <c r="A286" i="58"/>
  <c r="B286" i="58"/>
  <c r="A287" i="58"/>
  <c r="B287" i="58"/>
  <c r="A288" i="58"/>
  <c r="B288" i="58"/>
  <c r="A289" i="58"/>
  <c r="B289" i="58"/>
  <c r="A290" i="58"/>
  <c r="B290" i="58"/>
  <c r="A291" i="58"/>
  <c r="B291" i="58"/>
  <c r="A292" i="58"/>
  <c r="B292" i="58"/>
  <c r="A293" i="58"/>
  <c r="B293" i="58"/>
  <c r="A294" i="58"/>
  <c r="B294" i="58"/>
  <c r="A295" i="58"/>
  <c r="B295" i="58"/>
  <c r="A296" i="58"/>
  <c r="B296" i="58"/>
  <c r="A297" i="58"/>
  <c r="B297" i="58"/>
  <c r="A298" i="58"/>
  <c r="B298" i="58"/>
  <c r="A299" i="58"/>
  <c r="B299" i="58"/>
  <c r="A300" i="58"/>
  <c r="B300" i="58"/>
  <c r="A301" i="58"/>
  <c r="B301" i="58"/>
  <c r="A302" i="58"/>
  <c r="B302" i="58"/>
  <c r="A303" i="58"/>
  <c r="B303" i="58"/>
  <c r="A304" i="58"/>
  <c r="B304" i="58"/>
  <c r="A305" i="58"/>
  <c r="B305" i="58"/>
  <c r="A306" i="58"/>
  <c r="B306" i="58"/>
  <c r="A307" i="58"/>
  <c r="B307" i="58"/>
  <c r="A308" i="58"/>
  <c r="B308" i="58"/>
  <c r="A309" i="58"/>
  <c r="B309" i="58"/>
  <c r="A310" i="58"/>
  <c r="B310" i="58"/>
  <c r="A311" i="58"/>
  <c r="B311" i="58"/>
  <c r="A312" i="58"/>
  <c r="B312" i="58"/>
  <c r="A313" i="58"/>
  <c r="B313" i="58"/>
  <c r="A314" i="58"/>
  <c r="B314" i="58"/>
  <c r="A315" i="58"/>
  <c r="B315" i="58"/>
  <c r="A316" i="58"/>
  <c r="B316" i="58"/>
  <c r="A317" i="58"/>
  <c r="B317" i="58"/>
  <c r="A318" i="58"/>
  <c r="B318" i="58"/>
  <c r="A319" i="58"/>
  <c r="B319" i="58"/>
  <c r="A320" i="58"/>
  <c r="B320" i="58"/>
  <c r="A321" i="58"/>
  <c r="B321" i="58"/>
  <c r="A322" i="58"/>
  <c r="B322" i="58"/>
  <c r="A323" i="58"/>
  <c r="B323" i="58"/>
  <c r="A324" i="58"/>
  <c r="B324" i="58"/>
  <c r="A325" i="58"/>
  <c r="B325" i="58"/>
  <c r="A326" i="58"/>
  <c r="B326" i="58"/>
  <c r="A327" i="58"/>
  <c r="B327" i="58"/>
  <c r="A328" i="58"/>
  <c r="B328" i="58"/>
  <c r="A329" i="58"/>
  <c r="B329" i="58"/>
  <c r="A330" i="58"/>
  <c r="B330" i="58"/>
  <c r="A331" i="58"/>
  <c r="B331" i="58"/>
  <c r="A332" i="58"/>
  <c r="B332" i="58"/>
  <c r="A333" i="58"/>
  <c r="B333" i="58"/>
  <c r="A334" i="58"/>
  <c r="B334" i="58"/>
  <c r="A335" i="58"/>
  <c r="B335" i="58"/>
  <c r="A336" i="58"/>
  <c r="B336" i="58"/>
  <c r="A337" i="58"/>
  <c r="B337" i="58"/>
  <c r="A338" i="58"/>
  <c r="B338" i="58"/>
  <c r="A339" i="58"/>
  <c r="B339" i="58"/>
  <c r="A340" i="58"/>
  <c r="B340" i="58"/>
  <c r="A341" i="58"/>
  <c r="B341" i="58"/>
  <c r="A342" i="58"/>
  <c r="B342" i="58"/>
  <c r="A343" i="58"/>
  <c r="B343" i="58"/>
  <c r="A210" i="58"/>
  <c r="B210" i="58"/>
  <c r="A211" i="58"/>
  <c r="B211" i="58"/>
  <c r="A212" i="58"/>
  <c r="B212" i="58"/>
  <c r="A213" i="58"/>
  <c r="B213" i="58"/>
  <c r="A214" i="58"/>
  <c r="B214" i="58"/>
  <c r="A215" i="58"/>
  <c r="B215" i="58"/>
  <c r="A216" i="58"/>
  <c r="B216" i="58"/>
  <c r="A203" i="58"/>
  <c r="B203" i="58"/>
  <c r="A204" i="58"/>
  <c r="B204" i="58"/>
  <c r="A205" i="58"/>
  <c r="B205" i="58"/>
  <c r="A206" i="58"/>
  <c r="B206" i="58"/>
  <c r="A207" i="58"/>
  <c r="B207" i="58"/>
  <c r="A208" i="58"/>
  <c r="B208" i="58"/>
  <c r="A209" i="58"/>
  <c r="B209" i="58"/>
  <c r="A189" i="58"/>
  <c r="B189" i="58"/>
  <c r="A190" i="58"/>
  <c r="B190" i="58"/>
  <c r="A191" i="58"/>
  <c r="B191" i="58"/>
  <c r="A192" i="58"/>
  <c r="B192" i="58"/>
  <c r="A193" i="58"/>
  <c r="B193" i="58"/>
  <c r="A194" i="58"/>
  <c r="B194" i="58"/>
  <c r="A195" i="58"/>
  <c r="B195" i="58"/>
  <c r="A196" i="58"/>
  <c r="B196" i="58"/>
  <c r="A197" i="58"/>
  <c r="B197" i="58"/>
  <c r="A198" i="58"/>
  <c r="B198" i="58"/>
  <c r="A199" i="58"/>
  <c r="B199" i="58"/>
  <c r="A200" i="58"/>
  <c r="B200" i="58"/>
  <c r="A201" i="58"/>
  <c r="B201" i="58"/>
  <c r="A202" i="58"/>
  <c r="B202" i="58"/>
  <c r="B188" i="58"/>
  <c r="A188" i="58"/>
  <c r="B187" i="58"/>
  <c r="A187" i="58"/>
  <c r="N1" i="58" l="1"/>
  <c r="N2" i="58" s="1"/>
  <c r="N3" i="58" s="1"/>
  <c r="C199" i="58"/>
  <c r="C195" i="58"/>
  <c r="C191" i="58"/>
  <c r="C208" i="58"/>
  <c r="C204" i="58"/>
  <c r="C214" i="58"/>
  <c r="C210" i="58"/>
  <c r="C340" i="58"/>
  <c r="C336" i="58"/>
  <c r="C332" i="58"/>
  <c r="C328" i="58"/>
  <c r="C324" i="58"/>
  <c r="C320" i="58"/>
  <c r="C316" i="58"/>
  <c r="C312" i="58"/>
  <c r="C308" i="58"/>
  <c r="C304" i="58"/>
  <c r="C300" i="58"/>
  <c r="C296" i="58"/>
  <c r="C292" i="58"/>
  <c r="C288" i="58"/>
  <c r="C284" i="58"/>
  <c r="C280" i="58"/>
  <c r="C276" i="58"/>
  <c r="C272" i="58"/>
  <c r="C268" i="58"/>
  <c r="C264" i="58"/>
  <c r="C260" i="58"/>
  <c r="C256" i="58"/>
  <c r="C252" i="58"/>
  <c r="C248" i="58"/>
  <c r="C244" i="58"/>
  <c r="C240" i="58"/>
  <c r="C236" i="58"/>
  <c r="C232" i="58"/>
  <c r="C228" i="58"/>
  <c r="C224" i="58"/>
  <c r="C220" i="58"/>
  <c r="C202" i="58"/>
  <c r="C198" i="58"/>
  <c r="C194" i="58"/>
  <c r="C190" i="58"/>
  <c r="C207" i="58"/>
  <c r="C203" i="58"/>
  <c r="C213" i="58"/>
  <c r="C343" i="58"/>
  <c r="C339" i="58"/>
  <c r="C335" i="58"/>
  <c r="C331" i="58"/>
  <c r="C327" i="58"/>
  <c r="C323" i="58"/>
  <c r="C319" i="58"/>
  <c r="C315" i="58"/>
  <c r="C311" i="58"/>
  <c r="C307" i="58"/>
  <c r="C303" i="58"/>
  <c r="C299" i="58"/>
  <c r="C295" i="58"/>
  <c r="C291" i="58"/>
  <c r="C287" i="58"/>
  <c r="C283" i="58"/>
  <c r="C279" i="58"/>
  <c r="C275" i="58"/>
  <c r="C271" i="58"/>
  <c r="C267" i="58"/>
  <c r="C263" i="58"/>
  <c r="C259" i="58"/>
  <c r="C255" i="58"/>
  <c r="C251" i="58"/>
  <c r="C247" i="58"/>
  <c r="C243" i="58"/>
  <c r="C239" i="58"/>
  <c r="C235" i="58"/>
  <c r="C231" i="58"/>
  <c r="C227" i="58"/>
  <c r="C223" i="58"/>
  <c r="C219" i="58"/>
  <c r="C187" i="58"/>
  <c r="C201" i="58"/>
  <c r="C197" i="58"/>
  <c r="C193" i="58"/>
  <c r="C189" i="58"/>
  <c r="C206" i="58"/>
  <c r="C216" i="58"/>
  <c r="C212" i="58"/>
  <c r="C342" i="58"/>
  <c r="C338" i="58"/>
  <c r="C334" i="58"/>
  <c r="C330" i="58"/>
  <c r="C326" i="58"/>
  <c r="C322" i="58"/>
  <c r="C318" i="58"/>
  <c r="C314" i="58"/>
  <c r="C310" i="58"/>
  <c r="C306" i="58"/>
  <c r="C302" i="58"/>
  <c r="C298" i="58"/>
  <c r="C294" i="58"/>
  <c r="C290" i="58"/>
  <c r="C286" i="58"/>
  <c r="C282" i="58"/>
  <c r="C278" i="58"/>
  <c r="C274" i="58"/>
  <c r="C270" i="58"/>
  <c r="C266" i="58"/>
  <c r="C262" i="58"/>
  <c r="C258" i="58"/>
  <c r="C254" i="58"/>
  <c r="C250" i="58"/>
  <c r="C246" i="58"/>
  <c r="C242" i="58"/>
  <c r="C238" i="58"/>
  <c r="C234" i="58"/>
  <c r="C230" i="58"/>
  <c r="C226" i="58"/>
  <c r="C222" i="58"/>
  <c r="C218" i="58"/>
  <c r="C188" i="58"/>
  <c r="C200" i="58"/>
  <c r="C196" i="58"/>
  <c r="C192" i="58"/>
  <c r="C209" i="58"/>
  <c r="C205" i="58"/>
  <c r="C215" i="58"/>
  <c r="C211" i="58"/>
  <c r="C341" i="58"/>
  <c r="C337" i="58"/>
  <c r="C333" i="58"/>
  <c r="C329" i="58"/>
  <c r="C325" i="58"/>
  <c r="C321" i="58"/>
  <c r="C317" i="58"/>
  <c r="C313" i="58"/>
  <c r="C309" i="58"/>
  <c r="C305" i="58"/>
  <c r="C301" i="58"/>
  <c r="C297" i="58"/>
  <c r="C293" i="58"/>
  <c r="C289" i="58"/>
  <c r="C285" i="58"/>
  <c r="C281" i="58"/>
  <c r="C277" i="58"/>
  <c r="C273" i="58"/>
  <c r="C269" i="58"/>
  <c r="C265" i="58"/>
  <c r="C261" i="58"/>
  <c r="C257" i="58"/>
  <c r="C253" i="58"/>
  <c r="C249" i="58"/>
  <c r="C245" i="58"/>
  <c r="C241" i="58"/>
  <c r="C237" i="58"/>
  <c r="C233" i="58"/>
  <c r="C229" i="58"/>
  <c r="C225" i="58"/>
  <c r="C221" i="58"/>
  <c r="C217" i="58"/>
  <c r="AA195" i="58" l="1"/>
  <c r="AC193" i="58"/>
  <c r="Z192" i="58"/>
  <c r="AB190" i="58"/>
  <c r="Y189" i="58"/>
  <c r="AA187" i="58"/>
  <c r="Z195" i="58"/>
  <c r="AB193" i="58"/>
  <c r="Y192" i="58"/>
  <c r="AA190" i="58"/>
  <c r="AC188" i="58"/>
  <c r="Z187" i="58"/>
  <c r="AB192" i="58"/>
  <c r="AA192" i="58"/>
  <c r="Y195" i="58"/>
  <c r="AA193" i="58"/>
  <c r="AC191" i="58"/>
  <c r="Z190" i="58"/>
  <c r="AB188" i="58"/>
  <c r="Y187" i="58"/>
  <c r="AC194" i="58"/>
  <c r="Z193" i="58"/>
  <c r="AB191" i="58"/>
  <c r="Y190" i="58"/>
  <c r="AA188" i="58"/>
  <c r="AC186" i="58"/>
  <c r="Z194" i="58"/>
  <c r="AA189" i="58"/>
  <c r="Z186" i="58"/>
  <c r="AB195" i="58"/>
  <c r="AC190" i="58"/>
  <c r="Y186" i="58"/>
  <c r="AB194" i="58"/>
  <c r="Y193" i="58"/>
  <c r="AA191" i="58"/>
  <c r="AC189" i="58"/>
  <c r="Z188" i="58"/>
  <c r="AB186" i="58"/>
  <c r="AA194" i="58"/>
  <c r="AC192" i="58"/>
  <c r="Z191" i="58"/>
  <c r="AB189" i="58"/>
  <c r="Y188" i="58"/>
  <c r="AA186" i="58"/>
  <c r="AC195" i="58"/>
  <c r="Y191" i="58"/>
  <c r="AC187" i="58"/>
  <c r="Y194" i="58"/>
  <c r="Z189" i="58"/>
  <c r="AB187" i="58"/>
  <c r="X195" i="58"/>
  <c r="X187" i="58"/>
  <c r="X194" i="58"/>
  <c r="X193" i="58"/>
  <c r="X192" i="58"/>
  <c r="X191" i="58"/>
  <c r="X190" i="58"/>
  <c r="X189" i="58"/>
  <c r="X188" i="58"/>
  <c r="X186" i="58"/>
  <c r="N196" i="58"/>
  <c r="Q196" i="58" s="1"/>
  <c r="O196" i="58" l="1"/>
  <c r="T196" i="58"/>
  <c r="P196" i="58"/>
  <c r="S196" i="58"/>
  <c r="R196" i="58"/>
  <c r="W195" i="58"/>
  <c r="N195" i="58"/>
  <c r="O195" i="58" l="1"/>
  <c r="Q195" i="58"/>
  <c r="R195" i="58"/>
  <c r="S195" i="58"/>
  <c r="T195" i="58"/>
  <c r="P195" i="58"/>
  <c r="W194" i="58"/>
  <c r="N194" i="58"/>
  <c r="Q103" i="54"/>
  <c r="R103" i="54"/>
  <c r="S103" i="54"/>
  <c r="T103" i="54"/>
  <c r="U103" i="54"/>
  <c r="V103" i="54"/>
  <c r="W103" i="54"/>
  <c r="P103" i="54"/>
  <c r="O103" i="54"/>
  <c r="N103" i="54"/>
  <c r="O194" i="58" l="1"/>
  <c r="Q194" i="58"/>
  <c r="P194" i="58"/>
  <c r="R194" i="58"/>
  <c r="S194" i="58"/>
  <c r="T194" i="58"/>
  <c r="W193" i="58"/>
  <c r="N193"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S2" i="55"/>
  <c r="Q2" i="55"/>
  <c r="P2" i="55"/>
  <c r="O2" i="55"/>
  <c r="N2" i="55"/>
  <c r="M2" i="55"/>
  <c r="L2" i="55"/>
  <c r="K2" i="55"/>
  <c r="J2" i="55"/>
  <c r="I2" i="55"/>
  <c r="H2" i="55"/>
  <c r="G2" i="55"/>
  <c r="F2" i="55"/>
  <c r="E2" i="55"/>
  <c r="D2" i="55"/>
  <c r="C2" i="55"/>
  <c r="R2" i="55"/>
  <c r="U102" i="55" l="1"/>
  <c r="X102" i="55"/>
  <c r="Q102" i="55"/>
  <c r="R102" i="55"/>
  <c r="S102" i="55"/>
  <c r="T102" i="55"/>
  <c r="V102" i="55"/>
  <c r="O102" i="55"/>
  <c r="W102" i="55"/>
  <c r="P102" i="55"/>
  <c r="O193" i="58"/>
  <c r="S193" i="58"/>
  <c r="T193" i="58"/>
  <c r="R193" i="58"/>
  <c r="P193" i="58"/>
  <c r="Q193" i="58"/>
  <c r="W192" i="58"/>
  <c r="N192" i="58"/>
  <c r="W191" i="58" s="1"/>
  <c r="O192" i="58" l="1"/>
  <c r="P192" i="58"/>
  <c r="Q192" i="58"/>
  <c r="S192" i="58"/>
  <c r="R192" i="58"/>
  <c r="T192" i="58"/>
  <c r="N191" i="58"/>
  <c r="W190" i="58" s="1"/>
  <c r="G74" i="40"/>
  <c r="G75" i="40"/>
  <c r="O191" i="58" l="1"/>
  <c r="P191" i="58"/>
  <c r="T191" i="58"/>
  <c r="Q191" i="58"/>
  <c r="S191" i="58"/>
  <c r="R191" i="58"/>
  <c r="N190" i="58"/>
  <c r="W189" i="58" s="1"/>
  <c r="F99" i="44"/>
  <c r="D99" i="44"/>
  <c r="F98" i="44"/>
  <c r="D98" i="44"/>
  <c r="O190" i="58" l="1"/>
  <c r="R190" i="58"/>
  <c r="Q190" i="58"/>
  <c r="S190" i="58"/>
  <c r="T190" i="58"/>
  <c r="P190" i="58"/>
  <c r="N189" i="58"/>
  <c r="W188" i="58" s="1"/>
  <c r="F123" i="41"/>
  <c r="F122" i="41"/>
  <c r="F121" i="41"/>
  <c r="F120" i="41"/>
  <c r="D120" i="41"/>
  <c r="F119" i="41"/>
  <c r="D119" i="41"/>
  <c r="O189" i="58" l="1"/>
  <c r="P189" i="58"/>
  <c r="Q189" i="58"/>
  <c r="R189" i="58"/>
  <c r="S189" i="58"/>
  <c r="T189" i="58"/>
  <c r="N188" i="58"/>
  <c r="W187" i="58" s="1"/>
  <c r="F120" i="39"/>
  <c r="D120" i="39"/>
  <c r="F119" i="39"/>
  <c r="D119" i="39"/>
  <c r="O188" i="58" l="1"/>
  <c r="T188" i="58"/>
  <c r="P188" i="58"/>
  <c r="R188" i="58"/>
  <c r="S188" i="58"/>
  <c r="Q188" i="58"/>
  <c r="N187" i="58"/>
  <c r="T187" i="58" l="1"/>
  <c r="W186" i="58"/>
  <c r="O187" i="58"/>
  <c r="Q187" i="58"/>
  <c r="R187" i="58"/>
  <c r="S187" i="58"/>
  <c r="P187" i="58"/>
  <c r="A242" i="39" l="1"/>
  <c r="A243" i="39"/>
  <c r="A244" i="39"/>
  <c r="A245" i="39"/>
  <c r="A246" i="39"/>
  <c r="A247" i="39"/>
  <c r="A243" i="40"/>
  <c r="A244" i="40"/>
  <c r="A245" i="40"/>
  <c r="A246" i="40"/>
  <c r="A247" i="40"/>
  <c r="A248" i="40"/>
  <c r="A241" i="41"/>
  <c r="A242" i="41"/>
  <c r="A243" i="41"/>
  <c r="A244" i="41"/>
  <c r="A245" i="41"/>
  <c r="A246" i="41"/>
  <c r="A241" i="44"/>
  <c r="A242" i="44"/>
  <c r="A243" i="44"/>
  <c r="A244" i="44"/>
  <c r="A245" i="44"/>
  <c r="A246" i="44"/>
  <c r="O4" i="36" l="1"/>
  <c r="O3" i="36"/>
  <c r="O1" i="36"/>
  <c r="O2" i="36" l="1"/>
  <c r="D96" i="44"/>
  <c r="D97" i="44"/>
  <c r="F95" i="44"/>
  <c r="F96" i="44"/>
  <c r="F97" i="44"/>
  <c r="GF137" i="56" l="1"/>
  <c r="GG137" i="56"/>
  <c r="GH137" i="56"/>
  <c r="GI137" i="56"/>
  <c r="GJ137" i="56"/>
  <c r="GK137" i="56"/>
  <c r="D117" i="39" l="1"/>
  <c r="F117" i="39"/>
  <c r="D118" i="39"/>
  <c r="F118" i="39"/>
  <c r="G72" i="40"/>
  <c r="G73" i="40"/>
  <c r="D63" i="36" l="1"/>
  <c r="D64" i="36"/>
  <c r="D65" i="36"/>
  <c r="D66" i="36"/>
  <c r="D67" i="36"/>
  <c r="D68" i="36"/>
  <c r="D69" i="36"/>
  <c r="D70" i="36"/>
  <c r="D71" i="36"/>
  <c r="D72" i="36"/>
  <c r="D73" i="36"/>
  <c r="GE137" i="56" l="1"/>
  <c r="GD137" i="56"/>
  <c r="GC137" i="56"/>
  <c r="GB137" i="56"/>
  <c r="GA137" i="56"/>
  <c r="FZ137" i="56"/>
  <c r="FY137" i="56"/>
  <c r="FX137" i="56"/>
  <c r="FW137" i="56"/>
  <c r="FV137" i="56"/>
  <c r="FU137" i="56"/>
  <c r="FT137" i="56"/>
  <c r="FS137" i="56"/>
  <c r="FR137" i="56"/>
  <c r="FQ137" i="56"/>
  <c r="FP137" i="56"/>
  <c r="FO137" i="56"/>
  <c r="FN137" i="56"/>
  <c r="FM137" i="56"/>
  <c r="FL137" i="56"/>
  <c r="FK137" i="56"/>
  <c r="FJ137" i="56"/>
  <c r="FI137" i="56"/>
  <c r="FH137" i="56"/>
  <c r="FG137" i="56"/>
  <c r="FF137" i="56"/>
  <c r="FE137" i="56"/>
  <c r="FD137" i="56"/>
  <c r="FC137" i="56"/>
  <c r="FB137" i="56"/>
  <c r="FA137" i="56"/>
  <c r="EZ137" i="56"/>
  <c r="EY137" i="56"/>
  <c r="EX137" i="56"/>
  <c r="EW137" i="56"/>
  <c r="EV137" i="56"/>
  <c r="EU137" i="56"/>
  <c r="ET137" i="56"/>
  <c r="ES137" i="56"/>
  <c r="ER137" i="56"/>
  <c r="EQ137" i="56"/>
  <c r="EP137" i="56"/>
  <c r="EO137" i="56"/>
  <c r="EN137" i="56"/>
  <c r="EM137" i="56"/>
  <c r="EL137" i="56"/>
  <c r="EK137" i="56"/>
  <c r="EJ137" i="56"/>
  <c r="EI137" i="56"/>
  <c r="EH137" i="56"/>
  <c r="EG137" i="56"/>
  <c r="EF137" i="56"/>
  <c r="EE137" i="56"/>
  <c r="ED137" i="56"/>
  <c r="EC137" i="56"/>
  <c r="EB137" i="56"/>
  <c r="EA137" i="56"/>
  <c r="DZ137" i="56"/>
  <c r="DY137" i="56"/>
  <c r="DX137" i="56"/>
  <c r="DW137" i="56"/>
  <c r="DV137" i="56"/>
  <c r="DU137" i="56"/>
  <c r="DT137" i="56"/>
  <c r="DS137" i="56"/>
  <c r="DR137" i="56"/>
  <c r="DQ137" i="56"/>
  <c r="DP137" i="56"/>
  <c r="DO137" i="56"/>
  <c r="DN137" i="56"/>
  <c r="DM137" i="56"/>
  <c r="DL137" i="56"/>
  <c r="DK137" i="56"/>
  <c r="DJ137" i="56"/>
  <c r="DI137" i="56"/>
  <c r="DH137" i="56"/>
  <c r="DG137" i="56"/>
  <c r="DF137" i="56"/>
  <c r="DE137" i="56"/>
  <c r="DD137" i="56"/>
  <c r="DC137" i="56"/>
  <c r="DB137" i="56"/>
  <c r="DA137" i="56"/>
  <c r="CZ137" i="56"/>
  <c r="CY137" i="56"/>
  <c r="CX137" i="56"/>
  <c r="CW137" i="56"/>
  <c r="CV137" i="56"/>
  <c r="CU137" i="56"/>
  <c r="CT137" i="56"/>
  <c r="CS137" i="56"/>
  <c r="CR137" i="56"/>
  <c r="CQ137" i="56"/>
  <c r="CP137" i="56"/>
  <c r="CO137" i="56"/>
  <c r="CN137" i="56"/>
  <c r="CM137" i="56"/>
  <c r="CL137" i="56"/>
  <c r="CK137" i="56"/>
  <c r="CJ137" i="56"/>
  <c r="CI137" i="56"/>
  <c r="CH137" i="56"/>
  <c r="CG137" i="56"/>
  <c r="CF137" i="56"/>
  <c r="CE137" i="56"/>
  <c r="CD137" i="56"/>
  <c r="CC137" i="56"/>
  <c r="CB137" i="56"/>
  <c r="CA137" i="56"/>
  <c r="BZ137" i="56"/>
  <c r="BY137" i="56"/>
  <c r="BX137" i="56"/>
  <c r="BW137" i="56"/>
  <c r="BV137" i="56"/>
  <c r="BU137" i="56"/>
  <c r="BT137" i="56"/>
  <c r="BS137"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P137" i="56"/>
  <c r="O137" i="56"/>
  <c r="N137" i="56"/>
  <c r="M137" i="56"/>
  <c r="L137" i="56"/>
  <c r="K137" i="56"/>
  <c r="J137" i="56"/>
  <c r="I137" i="56"/>
  <c r="H137" i="56"/>
  <c r="G137" i="56"/>
  <c r="F137" i="56"/>
  <c r="E137" i="56"/>
  <c r="D137" i="56"/>
  <c r="C137" i="56"/>
  <c r="B137" i="56"/>
  <c r="BS77" i="56"/>
  <c r="BR77" i="56"/>
  <c r="BQ77" i="56"/>
  <c r="BP77" i="56"/>
  <c r="BO77" i="56"/>
  <c r="BN77" i="56"/>
  <c r="BM77" i="56"/>
  <c r="BL77" i="56"/>
  <c r="BK77" i="56"/>
  <c r="BJ77" i="56"/>
  <c r="BI77" i="56"/>
  <c r="BH77" i="56"/>
  <c r="BG77" i="56"/>
  <c r="BF77" i="56"/>
  <c r="BE77" i="56"/>
  <c r="BD77" i="56"/>
  <c r="BC77" i="56"/>
  <c r="BB77" i="56"/>
  <c r="BA77" i="56"/>
  <c r="AZ77" i="56"/>
  <c r="AY77" i="56"/>
  <c r="AX77" i="56"/>
  <c r="AQ77" i="56"/>
  <c r="AP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P77" i="56"/>
  <c r="O77" i="56"/>
  <c r="N77" i="56"/>
  <c r="M77" i="56"/>
  <c r="L77" i="56"/>
  <c r="K77" i="56"/>
  <c r="J77" i="56"/>
  <c r="I77" i="56"/>
  <c r="H77" i="56"/>
  <c r="G77" i="56"/>
  <c r="F77" i="56"/>
  <c r="E77" i="56"/>
  <c r="D77" i="56"/>
  <c r="C77" i="56"/>
  <c r="B77" i="56"/>
  <c r="YO60" i="56"/>
  <c r="YN60" i="56"/>
  <c r="YM60" i="56"/>
  <c r="YL60" i="56"/>
  <c r="YK60" i="56"/>
  <c r="YJ60" i="56"/>
  <c r="YI60" i="56"/>
  <c r="YH60" i="56"/>
  <c r="YG60" i="56"/>
  <c r="YF60" i="56"/>
  <c r="YE60" i="56"/>
  <c r="YD60" i="56"/>
  <c r="YC60" i="56"/>
  <c r="YB60" i="56"/>
  <c r="YA60" i="56"/>
  <c r="XZ60" i="56"/>
  <c r="XY60" i="56"/>
  <c r="XX60" i="56"/>
  <c r="XW60" i="56"/>
  <c r="XV60" i="56"/>
  <c r="XU60" i="56"/>
  <c r="XT60" i="56"/>
  <c r="XS60" i="56"/>
  <c r="XR60" i="56"/>
  <c r="XQ60" i="56"/>
  <c r="XP60" i="56"/>
  <c r="XO60" i="56"/>
  <c r="XN60" i="56"/>
  <c r="XM60" i="56"/>
  <c r="XL60" i="56"/>
  <c r="XK60" i="56"/>
  <c r="XJ60" i="56"/>
  <c r="XI60" i="56"/>
  <c r="XH60" i="56"/>
  <c r="XG60" i="56"/>
  <c r="XF60" i="56"/>
  <c r="XE60" i="56"/>
  <c r="XD60" i="56"/>
  <c r="XC60" i="56"/>
  <c r="XB60" i="56"/>
  <c r="XA60" i="56"/>
  <c r="WZ60" i="56"/>
  <c r="WY60" i="56"/>
  <c r="WX60" i="56"/>
  <c r="WW60" i="56"/>
  <c r="WV60" i="56"/>
  <c r="WU60" i="56"/>
  <c r="WT60" i="56"/>
  <c r="WS60" i="56"/>
  <c r="WR60" i="56"/>
  <c r="WQ60" i="56"/>
  <c r="WP60" i="56"/>
  <c r="WO60" i="56"/>
  <c r="WN60" i="56"/>
  <c r="WM60" i="56"/>
  <c r="WL60" i="56"/>
  <c r="WK60" i="56"/>
  <c r="WJ60" i="56"/>
  <c r="WI60" i="56"/>
  <c r="WH60" i="56"/>
  <c r="WG60" i="56"/>
  <c r="WF60" i="56"/>
  <c r="WE60" i="56"/>
  <c r="WD60" i="56"/>
  <c r="WC60" i="56"/>
  <c r="WB60" i="56"/>
  <c r="WA60" i="56"/>
  <c r="VZ60" i="56"/>
  <c r="VY60" i="56"/>
  <c r="VX60" i="56"/>
  <c r="VW60" i="56"/>
  <c r="VV60" i="56"/>
  <c r="VU60" i="56"/>
  <c r="VT60" i="56"/>
  <c r="VS60" i="56"/>
  <c r="VR60" i="56"/>
  <c r="VQ60" i="56"/>
  <c r="VP60" i="56"/>
  <c r="VO60" i="56"/>
  <c r="VN60" i="56"/>
  <c r="VM60" i="56"/>
  <c r="VL60" i="56"/>
  <c r="VK60" i="56"/>
  <c r="VJ60" i="56"/>
  <c r="VI60" i="56"/>
  <c r="VH60" i="56"/>
  <c r="VG60" i="56"/>
  <c r="VF60" i="56"/>
  <c r="VE60" i="56"/>
  <c r="VD60" i="56"/>
  <c r="VC60" i="56"/>
  <c r="VB60" i="56"/>
  <c r="VA60" i="56"/>
  <c r="UZ60" i="56"/>
  <c r="UY60" i="56"/>
  <c r="UX60" i="56"/>
  <c r="UW60" i="56"/>
  <c r="UV60" i="56"/>
  <c r="UU60" i="56"/>
  <c r="UT60" i="56"/>
  <c r="US60" i="56"/>
  <c r="UR60" i="56"/>
  <c r="UQ60" i="56"/>
  <c r="UP60" i="56"/>
  <c r="UO60" i="56"/>
  <c r="UN60" i="56"/>
  <c r="UM60" i="56"/>
  <c r="UL60" i="56"/>
  <c r="UK60" i="56"/>
  <c r="UJ60" i="56"/>
  <c r="UI60" i="56"/>
  <c r="UH60" i="56"/>
  <c r="UG60" i="56"/>
  <c r="UF60" i="56"/>
  <c r="UE60" i="56"/>
  <c r="UD60" i="56"/>
  <c r="UC60" i="56"/>
  <c r="UB60" i="56"/>
  <c r="UA60" i="56"/>
  <c r="TZ60" i="56"/>
  <c r="TY60" i="56"/>
  <c r="TX60" i="56"/>
  <c r="TW60" i="56"/>
  <c r="TV60" i="56"/>
  <c r="TU60" i="56"/>
  <c r="TT60" i="56"/>
  <c r="TS60" i="56"/>
  <c r="TR60" i="56"/>
  <c r="TQ60" i="56"/>
  <c r="TP60" i="56"/>
  <c r="TO60" i="56"/>
  <c r="TN60" i="56"/>
  <c r="TM60" i="56"/>
  <c r="TL60" i="56"/>
  <c r="TK60" i="56"/>
  <c r="TJ60" i="56"/>
  <c r="TI60" i="56"/>
  <c r="TH60" i="56"/>
  <c r="TG60" i="56"/>
  <c r="TF60" i="56"/>
  <c r="TE60" i="56"/>
  <c r="TD60" i="56"/>
  <c r="TC60" i="56"/>
  <c r="TB60" i="56"/>
  <c r="TA60" i="56"/>
  <c r="SZ60" i="56"/>
  <c r="SY60" i="56"/>
  <c r="SX60" i="56"/>
  <c r="SW60" i="56"/>
  <c r="SV60" i="56"/>
  <c r="SU60" i="56"/>
  <c r="ST60" i="56"/>
  <c r="SS60" i="56"/>
  <c r="SR60" i="56"/>
  <c r="SQ60" i="56"/>
  <c r="SP60" i="56"/>
  <c r="SO60" i="56"/>
  <c r="SN60" i="56"/>
  <c r="SM60" i="56"/>
  <c r="SL60" i="56"/>
  <c r="SK60" i="56"/>
  <c r="SJ60" i="56"/>
  <c r="SI60" i="56"/>
  <c r="SH60" i="56"/>
  <c r="SG60" i="56"/>
  <c r="SF60" i="56"/>
  <c r="SE60" i="56"/>
  <c r="SD60" i="56"/>
  <c r="SC60" i="56"/>
  <c r="SB60" i="56"/>
  <c r="SA60" i="56"/>
  <c r="RZ60" i="56"/>
  <c r="RY60" i="56"/>
  <c r="RX60" i="56"/>
  <c r="RW60" i="56"/>
  <c r="RV60" i="56"/>
  <c r="RU60" i="56"/>
  <c r="RT60" i="56"/>
  <c r="RS60" i="56"/>
  <c r="RR60" i="56"/>
  <c r="RQ60" i="56"/>
  <c r="RP60" i="56"/>
  <c r="RO60" i="56"/>
  <c r="RN60" i="56"/>
  <c r="RM60" i="56"/>
  <c r="RL60" i="56"/>
  <c r="RK60" i="56"/>
  <c r="RJ60" i="56"/>
  <c r="RI60" i="56"/>
  <c r="RH60" i="56"/>
  <c r="RG60" i="56"/>
  <c r="RF60" i="56"/>
  <c r="RE60" i="56"/>
  <c r="RD60" i="56"/>
  <c r="RC60" i="56"/>
  <c r="RB60" i="56"/>
  <c r="RA60" i="56"/>
  <c r="QZ60" i="56"/>
  <c r="QY60" i="56"/>
  <c r="QX60" i="56"/>
  <c r="QW60" i="56"/>
  <c r="QV60" i="56"/>
  <c r="QU60" i="56"/>
  <c r="QT60" i="56"/>
  <c r="QS60" i="56"/>
  <c r="QR60" i="56"/>
  <c r="QQ60" i="56"/>
  <c r="QP60" i="56"/>
  <c r="QO60" i="56"/>
  <c r="QN60" i="56"/>
  <c r="QM60" i="56"/>
  <c r="QL60" i="56"/>
  <c r="QK60" i="56"/>
  <c r="QJ60" i="56"/>
  <c r="QI60" i="56"/>
  <c r="QH60" i="56"/>
  <c r="QG60" i="56"/>
  <c r="QF60" i="56"/>
  <c r="QE60" i="56"/>
  <c r="QD60" i="56"/>
  <c r="QC60" i="56"/>
  <c r="QB60" i="56"/>
  <c r="QA60" i="56"/>
  <c r="PZ60" i="56"/>
  <c r="PY60" i="56"/>
  <c r="PX60" i="56"/>
  <c r="PW60" i="56"/>
  <c r="PV60" i="56"/>
  <c r="PU60" i="56"/>
  <c r="PT60" i="56"/>
  <c r="PS60" i="56"/>
  <c r="PR60" i="56"/>
  <c r="PQ60" i="56"/>
  <c r="PP60" i="56"/>
  <c r="PO60" i="56"/>
  <c r="PN60" i="56"/>
  <c r="PM60" i="56"/>
  <c r="PL60" i="56"/>
  <c r="PK60" i="56"/>
  <c r="PJ60" i="56"/>
  <c r="PI60" i="56"/>
  <c r="PH60" i="56"/>
  <c r="PG60" i="56"/>
  <c r="PF60" i="56"/>
  <c r="PE60" i="56"/>
  <c r="PD60" i="56"/>
  <c r="PC60" i="56"/>
  <c r="PB60" i="56"/>
  <c r="PA60" i="56"/>
  <c r="OZ60" i="56"/>
  <c r="OY60" i="56"/>
  <c r="OX60" i="56"/>
  <c r="OW60" i="56"/>
  <c r="OV60" i="56"/>
  <c r="OU60" i="56"/>
  <c r="OT60" i="56"/>
  <c r="OS60" i="56"/>
  <c r="OR60" i="56"/>
  <c r="OQ60" i="56"/>
  <c r="OP60" i="56"/>
  <c r="OO60" i="56"/>
  <c r="ON60" i="56"/>
  <c r="OM60" i="56"/>
  <c r="OL60" i="56"/>
  <c r="OK60" i="56"/>
  <c r="OJ60" i="56"/>
  <c r="OI60" i="56"/>
  <c r="OH60" i="56"/>
  <c r="OG60" i="56"/>
  <c r="OF60" i="56"/>
  <c r="OE60" i="56"/>
  <c r="OD60" i="56"/>
  <c r="OC60" i="56"/>
  <c r="OB60" i="56"/>
  <c r="OA60" i="56"/>
  <c r="NZ60" i="56"/>
  <c r="NY60" i="56"/>
  <c r="NX60" i="56"/>
  <c r="NW60" i="56"/>
  <c r="NV60" i="56"/>
  <c r="NU60" i="56"/>
  <c r="NT60" i="56"/>
  <c r="NS60" i="56"/>
  <c r="NR60" i="56"/>
  <c r="NQ60" i="56"/>
  <c r="NP60" i="56"/>
  <c r="NO60" i="56"/>
  <c r="NN60" i="56"/>
  <c r="NM60" i="56"/>
  <c r="NL60" i="56"/>
  <c r="NK60" i="56"/>
  <c r="NJ60" i="56"/>
  <c r="NI60" i="56"/>
  <c r="NH60" i="56"/>
  <c r="NG60" i="56"/>
  <c r="NF60" i="56"/>
  <c r="NE60" i="56"/>
  <c r="ND60" i="56"/>
  <c r="NC60" i="56"/>
  <c r="NB60" i="56"/>
  <c r="NA60" i="56"/>
  <c r="MZ60" i="56"/>
  <c r="MY60" i="56"/>
  <c r="MX60" i="56"/>
  <c r="MW60" i="56"/>
  <c r="MV60" i="56"/>
  <c r="MU60" i="56"/>
  <c r="MT60" i="56"/>
  <c r="MS60" i="56"/>
  <c r="MR60" i="56"/>
  <c r="MQ60" i="56"/>
  <c r="MP60" i="56"/>
  <c r="MO60" i="56"/>
  <c r="MN60" i="56"/>
  <c r="MM60" i="56"/>
  <c r="ML60" i="56"/>
  <c r="MK60" i="56"/>
  <c r="MJ60" i="56"/>
  <c r="MI60" i="56"/>
  <c r="MH60" i="56"/>
  <c r="MG60" i="56"/>
  <c r="MF60" i="56"/>
  <c r="ME60" i="56"/>
  <c r="MD60" i="56"/>
  <c r="MC60" i="56"/>
  <c r="MB60" i="56"/>
  <c r="MA60" i="56"/>
  <c r="LZ60" i="56"/>
  <c r="LY60" i="56"/>
  <c r="LX60" i="56"/>
  <c r="LW60" i="56"/>
  <c r="LV60" i="56"/>
  <c r="LU60" i="56"/>
  <c r="LT60" i="56"/>
  <c r="LS60" i="56"/>
  <c r="LR60" i="56"/>
  <c r="LQ60" i="56"/>
  <c r="LP60" i="56"/>
  <c r="LO60" i="56"/>
  <c r="LN60" i="56"/>
  <c r="LM60" i="56"/>
  <c r="LL60" i="56"/>
  <c r="LK60" i="56"/>
  <c r="LJ60" i="56"/>
  <c r="LI60" i="56"/>
  <c r="LH60" i="56"/>
  <c r="LG60" i="56"/>
  <c r="LF60" i="56"/>
  <c r="LE60" i="56"/>
  <c r="LD60" i="56"/>
  <c r="LC60" i="56"/>
  <c r="LB60" i="56"/>
  <c r="LA60" i="56"/>
  <c r="KZ60" i="56"/>
  <c r="KY60" i="56"/>
  <c r="KX60" i="56"/>
  <c r="KW60" i="56"/>
  <c r="KV60" i="56"/>
  <c r="KU60" i="56"/>
  <c r="KT60" i="56"/>
  <c r="KS60" i="56"/>
  <c r="KR60" i="56"/>
  <c r="KQ60" i="56"/>
  <c r="KP60" i="56"/>
  <c r="KO60" i="56"/>
  <c r="KN60" i="56"/>
  <c r="KM60" i="56"/>
  <c r="KL60" i="56"/>
  <c r="KK60" i="56"/>
  <c r="KJ60" i="56"/>
  <c r="KI60" i="56"/>
  <c r="KH60" i="56"/>
  <c r="KG60" i="56"/>
  <c r="KF60" i="56"/>
  <c r="KE60" i="56"/>
  <c r="KD60" i="56"/>
  <c r="KC60" i="56"/>
  <c r="KB60" i="56"/>
  <c r="KA60" i="56"/>
  <c r="JZ60" i="56"/>
  <c r="JY60" i="56"/>
  <c r="JX60" i="56"/>
  <c r="JW60" i="56"/>
  <c r="JV60" i="56"/>
  <c r="JU60" i="56"/>
  <c r="JT60" i="56"/>
  <c r="JS60" i="56"/>
  <c r="JR60" i="56"/>
  <c r="JQ60" i="56"/>
  <c r="JP60" i="56"/>
  <c r="JO60" i="56"/>
  <c r="JN60" i="56"/>
  <c r="JM60" i="56"/>
  <c r="JL60" i="56"/>
  <c r="JK60" i="56"/>
  <c r="JJ60" i="56"/>
  <c r="JI60" i="56"/>
  <c r="JH60" i="56"/>
  <c r="JG60" i="56"/>
  <c r="JF60" i="56"/>
  <c r="JE60" i="56"/>
  <c r="JD60" i="56"/>
  <c r="JC60" i="56"/>
  <c r="JB60" i="56"/>
  <c r="JA60" i="56"/>
  <c r="IZ60" i="56"/>
  <c r="IY60" i="56"/>
  <c r="IX60" i="56"/>
  <c r="IW60" i="56"/>
  <c r="IV60" i="56"/>
  <c r="IU60" i="56"/>
  <c r="IT60" i="56"/>
  <c r="HA60" i="56"/>
  <c r="GZ60" i="56"/>
  <c r="GY60" i="56"/>
  <c r="GX60" i="56"/>
  <c r="GW60" i="56"/>
  <c r="GV60" i="56"/>
  <c r="GU60" i="56"/>
  <c r="GT60" i="56"/>
  <c r="GS60" i="56"/>
  <c r="GR60" i="56"/>
  <c r="GQ60" i="56"/>
  <c r="GP60" i="56"/>
  <c r="GO60" i="56"/>
  <c r="GN60" i="56"/>
  <c r="GM60" i="56"/>
  <c r="GL60" i="56"/>
  <c r="GK60" i="56"/>
  <c r="GJ60" i="56"/>
  <c r="GI60" i="56"/>
  <c r="GH60" i="56"/>
  <c r="GG60" i="56"/>
  <c r="GF60" i="56"/>
  <c r="GE60" i="56"/>
  <c r="GD60" i="56"/>
  <c r="GC60" i="56"/>
  <c r="GB60" i="56"/>
  <c r="GA60" i="56"/>
  <c r="FZ60" i="56"/>
  <c r="FY60" i="56"/>
  <c r="FX60" i="56"/>
  <c r="FW60" i="56"/>
  <c r="FV60" i="56"/>
  <c r="FU60" i="56"/>
  <c r="FT60" i="56"/>
  <c r="FS60" i="56"/>
  <c r="FR60" i="56"/>
  <c r="FQ60" i="56"/>
  <c r="FP60" i="56"/>
  <c r="FO60" i="56"/>
  <c r="FN60" i="56"/>
  <c r="FM60" i="56"/>
  <c r="FL60" i="56"/>
  <c r="FK60" i="56"/>
  <c r="FJ60" i="56"/>
  <c r="FI60" i="56"/>
  <c r="FH60" i="56"/>
  <c r="FG60" i="56"/>
  <c r="FF60" i="56"/>
  <c r="FE60" i="56"/>
  <c r="FD60" i="56"/>
  <c r="FC60" i="56"/>
  <c r="FB60" i="56"/>
  <c r="FA60" i="56"/>
  <c r="EZ60" i="56"/>
  <c r="EY60" i="56"/>
  <c r="EX60" i="56"/>
  <c r="EW60" i="56"/>
  <c r="EV60" i="56"/>
  <c r="EU60" i="56"/>
  <c r="ET60" i="56"/>
  <c r="ES60" i="56"/>
  <c r="ER60" i="56"/>
  <c r="EQ60" i="56"/>
  <c r="EP60" i="56"/>
  <c r="EO60" i="56"/>
  <c r="EN60" i="56"/>
  <c r="EM60" i="56"/>
  <c r="EL60" i="56"/>
  <c r="EK60" i="56"/>
  <c r="EJ60" i="56"/>
  <c r="EI60" i="56"/>
  <c r="EH60" i="56"/>
  <c r="EG60" i="56"/>
  <c r="EF60" i="56"/>
  <c r="EE60" i="56"/>
  <c r="ED60" i="56"/>
  <c r="EC60" i="56"/>
  <c r="EB60" i="56"/>
  <c r="EA60" i="56"/>
  <c r="DZ60" i="56"/>
  <c r="DY60" i="56"/>
  <c r="DX60" i="56"/>
  <c r="DW60" i="56"/>
  <c r="DV60" i="56"/>
  <c r="DU60" i="56"/>
  <c r="DT60" i="56"/>
  <c r="DS60" i="56"/>
  <c r="DR60" i="56"/>
  <c r="DQ60" i="56"/>
  <c r="DP60" i="56"/>
  <c r="DO60" i="56"/>
  <c r="DN60" i="56"/>
  <c r="DM60" i="56"/>
  <c r="DL60" i="56"/>
  <c r="DK60" i="56"/>
  <c r="DJ60" i="56"/>
  <c r="DI60" i="56"/>
  <c r="DH60" i="56"/>
  <c r="DG60" i="56"/>
  <c r="DF60" i="56"/>
  <c r="DE60" i="56"/>
  <c r="DD60" i="56"/>
  <c r="DC60" i="56"/>
  <c r="DB60" i="56"/>
  <c r="DA60" i="56"/>
  <c r="CZ60" i="56"/>
  <c r="CY60" i="56"/>
  <c r="CX60" i="56"/>
  <c r="CW60" i="56"/>
  <c r="CV60" i="56"/>
  <c r="CU60" i="56"/>
  <c r="CT60" i="56"/>
  <c r="CS60" i="56"/>
  <c r="CR60" i="56"/>
  <c r="CQ60" i="56"/>
  <c r="CP60" i="56"/>
  <c r="CO60" i="56"/>
  <c r="CN60" i="56"/>
  <c r="CM60" i="56"/>
  <c r="CL60" i="56"/>
  <c r="CK60" i="56"/>
  <c r="CJ60" i="56"/>
  <c r="CI60" i="56"/>
  <c r="CH60" i="56"/>
  <c r="CG60" i="56"/>
  <c r="CF60" i="56"/>
  <c r="CE60" i="56"/>
  <c r="CD60" i="56"/>
  <c r="CC60" i="56"/>
  <c r="CB60" i="56"/>
  <c r="CA60" i="56"/>
  <c r="BZ60" i="56"/>
  <c r="BY60" i="56"/>
  <c r="BX60" i="56"/>
  <c r="BW60" i="56"/>
  <c r="BV60" i="56"/>
  <c r="BU60" i="56"/>
  <c r="BT60" i="56"/>
  <c r="BS60"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P60" i="56"/>
  <c r="O60" i="56"/>
  <c r="N60" i="56"/>
  <c r="M60" i="56"/>
  <c r="L60" i="56"/>
  <c r="K60" i="56"/>
  <c r="J60" i="56"/>
  <c r="I60" i="56"/>
  <c r="H60" i="56"/>
  <c r="G60" i="56"/>
  <c r="F60" i="56"/>
  <c r="E60" i="56"/>
  <c r="D60" i="56"/>
  <c r="C60" i="56"/>
  <c r="B60" i="56"/>
  <c r="YO59" i="56"/>
  <c r="YN59" i="56"/>
  <c r="YM59" i="56"/>
  <c r="YL59" i="56"/>
  <c r="YK59" i="56"/>
  <c r="YJ59" i="56"/>
  <c r="YI59" i="56"/>
  <c r="YH59" i="56"/>
  <c r="YG59" i="56"/>
  <c r="YF59" i="56"/>
  <c r="YE59" i="56"/>
  <c r="YD59" i="56"/>
  <c r="YC59" i="56"/>
  <c r="YB59" i="56"/>
  <c r="YA59" i="56"/>
  <c r="XZ59" i="56"/>
  <c r="XY59" i="56"/>
  <c r="XX59" i="56"/>
  <c r="XW59" i="56"/>
  <c r="XV59" i="56"/>
  <c r="XU59" i="56"/>
  <c r="XT59" i="56"/>
  <c r="XS59" i="56"/>
  <c r="XR59" i="56"/>
  <c r="XQ59" i="56"/>
  <c r="XP59" i="56"/>
  <c r="XO59" i="56"/>
  <c r="XN59" i="56"/>
  <c r="XM59" i="56"/>
  <c r="XL59" i="56"/>
  <c r="XK59" i="56"/>
  <c r="XJ59" i="56"/>
  <c r="XI59" i="56"/>
  <c r="XH59" i="56"/>
  <c r="XG59" i="56"/>
  <c r="XF59" i="56"/>
  <c r="XE59" i="56"/>
  <c r="XD59" i="56"/>
  <c r="XC59" i="56"/>
  <c r="XB59" i="56"/>
  <c r="XA59" i="56"/>
  <c r="WZ59" i="56"/>
  <c r="WY59" i="56"/>
  <c r="WX59" i="56"/>
  <c r="WW59" i="56"/>
  <c r="WV59" i="56"/>
  <c r="WU59" i="56"/>
  <c r="WT59" i="56"/>
  <c r="WS59" i="56"/>
  <c r="WR59" i="56"/>
  <c r="WQ59" i="56"/>
  <c r="WP59" i="56"/>
  <c r="WO59" i="56"/>
  <c r="WN59" i="56"/>
  <c r="WM59" i="56"/>
  <c r="WL59" i="56"/>
  <c r="WK59" i="56"/>
  <c r="WJ59" i="56"/>
  <c r="WI59" i="56"/>
  <c r="WH59" i="56"/>
  <c r="WG59" i="56"/>
  <c r="WF59" i="56"/>
  <c r="WE59" i="56"/>
  <c r="WD59" i="56"/>
  <c r="WC59" i="56"/>
  <c r="WB59" i="56"/>
  <c r="WA59" i="56"/>
  <c r="VZ59" i="56"/>
  <c r="VY59" i="56"/>
  <c r="VX59" i="56"/>
  <c r="VW59" i="56"/>
  <c r="VV59" i="56"/>
  <c r="VU59" i="56"/>
  <c r="VT59" i="56"/>
  <c r="VS59" i="56"/>
  <c r="VR59" i="56"/>
  <c r="VQ59" i="56"/>
  <c r="VP59" i="56"/>
  <c r="VO59" i="56"/>
  <c r="VN59" i="56"/>
  <c r="VM59" i="56"/>
  <c r="VL59" i="56"/>
  <c r="VK59" i="56"/>
  <c r="VJ59" i="56"/>
  <c r="VI59" i="56"/>
  <c r="VH59" i="56"/>
  <c r="VG59" i="56"/>
  <c r="VF59" i="56"/>
  <c r="VE59" i="56"/>
  <c r="VD59" i="56"/>
  <c r="VC59" i="56"/>
  <c r="VB59" i="56"/>
  <c r="VA59" i="56"/>
  <c r="UZ59" i="56"/>
  <c r="UY59" i="56"/>
  <c r="UX59" i="56"/>
  <c r="UW59" i="56"/>
  <c r="UV59" i="56"/>
  <c r="UU59" i="56"/>
  <c r="UT59" i="56"/>
  <c r="US59" i="56"/>
  <c r="UR59" i="56"/>
  <c r="UQ59" i="56"/>
  <c r="UP59" i="56"/>
  <c r="UO59" i="56"/>
  <c r="UN59" i="56"/>
  <c r="UM59" i="56"/>
  <c r="UL59" i="56"/>
  <c r="UK59" i="56"/>
  <c r="UJ59" i="56"/>
  <c r="UI59" i="56"/>
  <c r="UH59" i="56"/>
  <c r="UG59" i="56"/>
  <c r="UF59" i="56"/>
  <c r="UE59" i="56"/>
  <c r="UD59" i="56"/>
  <c r="UC59" i="56"/>
  <c r="UB59" i="56"/>
  <c r="UA59" i="56"/>
  <c r="TZ59" i="56"/>
  <c r="TY59" i="56"/>
  <c r="TX59" i="56"/>
  <c r="TW59" i="56"/>
  <c r="TV59" i="56"/>
  <c r="TU59" i="56"/>
  <c r="TT59" i="56"/>
  <c r="TS59" i="56"/>
  <c r="TR59" i="56"/>
  <c r="TQ59" i="56"/>
  <c r="TP59" i="56"/>
  <c r="TO59" i="56"/>
  <c r="TN59" i="56"/>
  <c r="TM59" i="56"/>
  <c r="TL59" i="56"/>
  <c r="TK59" i="56"/>
  <c r="TJ59" i="56"/>
  <c r="TI59" i="56"/>
  <c r="TH59" i="56"/>
  <c r="TG59" i="56"/>
  <c r="TF59" i="56"/>
  <c r="TE59" i="56"/>
  <c r="TD59" i="56"/>
  <c r="TC59" i="56"/>
  <c r="TB59" i="56"/>
  <c r="TA59" i="56"/>
  <c r="SZ59" i="56"/>
  <c r="SY59" i="56"/>
  <c r="SX59" i="56"/>
  <c r="SW59" i="56"/>
  <c r="SV59" i="56"/>
  <c r="SU59" i="56"/>
  <c r="ST59" i="56"/>
  <c r="SS59" i="56"/>
  <c r="SR59" i="56"/>
  <c r="SQ59" i="56"/>
  <c r="SP59" i="56"/>
  <c r="SO59" i="56"/>
  <c r="SN59" i="56"/>
  <c r="SM59" i="56"/>
  <c r="SL59" i="56"/>
  <c r="SK59" i="56"/>
  <c r="SJ59" i="56"/>
  <c r="SI59" i="56"/>
  <c r="SH59" i="56"/>
  <c r="SG59" i="56"/>
  <c r="SF59" i="56"/>
  <c r="SE59" i="56"/>
  <c r="SD59" i="56"/>
  <c r="SC59" i="56"/>
  <c r="SB59" i="56"/>
  <c r="SA59" i="56"/>
  <c r="RZ59" i="56"/>
  <c r="RY59" i="56"/>
  <c r="RX59" i="56"/>
  <c r="RW59" i="56"/>
  <c r="RV59" i="56"/>
  <c r="RU59" i="56"/>
  <c r="RT59" i="56"/>
  <c r="RS59" i="56"/>
  <c r="RR59" i="56"/>
  <c r="RQ59" i="56"/>
  <c r="RP59" i="56"/>
  <c r="RO59" i="56"/>
  <c r="RN59" i="56"/>
  <c r="RM59" i="56"/>
  <c r="RL59" i="56"/>
  <c r="RK59" i="56"/>
  <c r="RJ59" i="56"/>
  <c r="RI59" i="56"/>
  <c r="RH59" i="56"/>
  <c r="RG59" i="56"/>
  <c r="RF59" i="56"/>
  <c r="RE59" i="56"/>
  <c r="RD59" i="56"/>
  <c r="RC59" i="56"/>
  <c r="RB59" i="56"/>
  <c r="RA59" i="56"/>
  <c r="QZ59" i="56"/>
  <c r="QY59" i="56"/>
  <c r="QX59" i="56"/>
  <c r="QW59" i="56"/>
  <c r="QV59" i="56"/>
  <c r="QU59" i="56"/>
  <c r="QT59" i="56"/>
  <c r="QS59" i="56"/>
  <c r="QR59" i="56"/>
  <c r="QQ59" i="56"/>
  <c r="QP59" i="56"/>
  <c r="QO59" i="56"/>
  <c r="QN59" i="56"/>
  <c r="QM59" i="56"/>
  <c r="QL59" i="56"/>
  <c r="QK59" i="56"/>
  <c r="QJ59" i="56"/>
  <c r="QI59" i="56"/>
  <c r="QH59" i="56"/>
  <c r="QG59" i="56"/>
  <c r="QF59" i="56"/>
  <c r="QE59" i="56"/>
  <c r="QD59" i="56"/>
  <c r="QC59" i="56"/>
  <c r="QB59" i="56"/>
  <c r="QA59" i="56"/>
  <c r="PZ59" i="56"/>
  <c r="PY59" i="56"/>
  <c r="PX59" i="56"/>
  <c r="PW59" i="56"/>
  <c r="PV59" i="56"/>
  <c r="PU59" i="56"/>
  <c r="PT59" i="56"/>
  <c r="PS59" i="56"/>
  <c r="PR59" i="56"/>
  <c r="PQ59" i="56"/>
  <c r="PP59" i="56"/>
  <c r="PO59" i="56"/>
  <c r="PN59" i="56"/>
  <c r="PM59" i="56"/>
  <c r="PL59" i="56"/>
  <c r="PK59" i="56"/>
  <c r="PJ59" i="56"/>
  <c r="PI59" i="56"/>
  <c r="PH59" i="56"/>
  <c r="PG59" i="56"/>
  <c r="PF59" i="56"/>
  <c r="PE59" i="56"/>
  <c r="PD59" i="56"/>
  <c r="PC59" i="56"/>
  <c r="PB59" i="56"/>
  <c r="PA59" i="56"/>
  <c r="OZ59" i="56"/>
  <c r="OY59" i="56"/>
  <c r="OX59" i="56"/>
  <c r="OW59" i="56"/>
  <c r="OV59" i="56"/>
  <c r="OU59" i="56"/>
  <c r="OT59" i="56"/>
  <c r="OS59" i="56"/>
  <c r="OR59" i="56"/>
  <c r="OQ59" i="56"/>
  <c r="OP59" i="56"/>
  <c r="OO59" i="56"/>
  <c r="ON59" i="56"/>
  <c r="OM59" i="56"/>
  <c r="OL59" i="56"/>
  <c r="OK59" i="56"/>
  <c r="OJ59" i="56"/>
  <c r="OI59" i="56"/>
  <c r="OH59" i="56"/>
  <c r="OG59" i="56"/>
  <c r="OF59" i="56"/>
  <c r="OE59" i="56"/>
  <c r="OD59" i="56"/>
  <c r="OC59" i="56"/>
  <c r="OB59" i="56"/>
  <c r="OA59" i="56"/>
  <c r="NZ59" i="56"/>
  <c r="NY59" i="56"/>
  <c r="NX59" i="56"/>
  <c r="NW59" i="56"/>
  <c r="NV59" i="56"/>
  <c r="NU59" i="56"/>
  <c r="NT59" i="56"/>
  <c r="NS59" i="56"/>
  <c r="NR59" i="56"/>
  <c r="NQ59" i="56"/>
  <c r="NP59" i="56"/>
  <c r="NO59" i="56"/>
  <c r="NN59" i="56"/>
  <c r="NM59" i="56"/>
  <c r="NL59" i="56"/>
  <c r="NK59" i="56"/>
  <c r="NJ59" i="56"/>
  <c r="NI59" i="56"/>
  <c r="NH59" i="56"/>
  <c r="NG59" i="56"/>
  <c r="NF59" i="56"/>
  <c r="NE59" i="56"/>
  <c r="ND59" i="56"/>
  <c r="NC59" i="56"/>
  <c r="NB59" i="56"/>
  <c r="NA59" i="56"/>
  <c r="MZ59" i="56"/>
  <c r="MY59" i="56"/>
  <c r="MX59" i="56"/>
  <c r="MW59" i="56"/>
  <c r="MV59" i="56"/>
  <c r="MU59" i="56"/>
  <c r="MT59" i="56"/>
  <c r="MS59" i="56"/>
  <c r="MR59" i="56"/>
  <c r="MQ59" i="56"/>
  <c r="MP59" i="56"/>
  <c r="MO59" i="56"/>
  <c r="MN59" i="56"/>
  <c r="MM59" i="56"/>
  <c r="ML59" i="56"/>
  <c r="MK59" i="56"/>
  <c r="MJ59" i="56"/>
  <c r="MI59" i="56"/>
  <c r="MH59" i="56"/>
  <c r="MG59" i="56"/>
  <c r="MF59" i="56"/>
  <c r="ME59" i="56"/>
  <c r="MD59" i="56"/>
  <c r="MC59" i="56"/>
  <c r="MB59" i="56"/>
  <c r="MA59" i="56"/>
  <c r="LZ59" i="56"/>
  <c r="LY59" i="56"/>
  <c r="LX59" i="56"/>
  <c r="LW59" i="56"/>
  <c r="LV59" i="56"/>
  <c r="LU59" i="56"/>
  <c r="LT59" i="56"/>
  <c r="LS59" i="56"/>
  <c r="LR59" i="56"/>
  <c r="LQ59" i="56"/>
  <c r="LP59" i="56"/>
  <c r="LO59" i="56"/>
  <c r="LN59" i="56"/>
  <c r="LM59" i="56"/>
  <c r="LL59" i="56"/>
  <c r="LK59" i="56"/>
  <c r="LJ59" i="56"/>
  <c r="LI59" i="56"/>
  <c r="LH59" i="56"/>
  <c r="LG59" i="56"/>
  <c r="LF59" i="56"/>
  <c r="LE59" i="56"/>
  <c r="LD59" i="56"/>
  <c r="LC59" i="56"/>
  <c r="LB59" i="56"/>
  <c r="LA59" i="56"/>
  <c r="KZ59" i="56"/>
  <c r="KY59" i="56"/>
  <c r="KX59" i="56"/>
  <c r="KW59" i="56"/>
  <c r="KV59" i="56"/>
  <c r="KU59" i="56"/>
  <c r="KT59" i="56"/>
  <c r="KS59" i="56"/>
  <c r="KR59" i="56"/>
  <c r="KQ59" i="56"/>
  <c r="KP59" i="56"/>
  <c r="KO59" i="56"/>
  <c r="KN59" i="56"/>
  <c r="KM59" i="56"/>
  <c r="KL59" i="56"/>
  <c r="KK59" i="56"/>
  <c r="KJ59" i="56"/>
  <c r="KI59" i="56"/>
  <c r="KH59" i="56"/>
  <c r="KG59" i="56"/>
  <c r="KF59" i="56"/>
  <c r="KE59" i="56"/>
  <c r="KD59" i="56"/>
  <c r="KC59" i="56"/>
  <c r="KB59" i="56"/>
  <c r="KA59" i="56"/>
  <c r="JZ59" i="56"/>
  <c r="JY59" i="56"/>
  <c r="JX59" i="56"/>
  <c r="JW59" i="56"/>
  <c r="JV59" i="56"/>
  <c r="JU59" i="56"/>
  <c r="JT59" i="56"/>
  <c r="JS59" i="56"/>
  <c r="JR59" i="56"/>
  <c r="JQ59" i="56"/>
  <c r="JP59" i="56"/>
  <c r="JO59" i="56"/>
  <c r="JN59" i="56"/>
  <c r="JM59" i="56"/>
  <c r="JL59" i="56"/>
  <c r="JK59" i="56"/>
  <c r="JJ59" i="56"/>
  <c r="JI59" i="56"/>
  <c r="JH59" i="56"/>
  <c r="JG59" i="56"/>
  <c r="JF59" i="56"/>
  <c r="JE59" i="56"/>
  <c r="JD59" i="56"/>
  <c r="JC59" i="56"/>
  <c r="JB59" i="56"/>
  <c r="JA59" i="56"/>
  <c r="IZ59" i="56"/>
  <c r="IY59" i="56"/>
  <c r="IX59" i="56"/>
  <c r="IW59" i="56"/>
  <c r="HS59" i="56"/>
  <c r="HR59" i="56"/>
  <c r="HQ59" i="56"/>
  <c r="HP59" i="56"/>
  <c r="HA59" i="56"/>
  <c r="GZ59" i="56"/>
  <c r="GY59" i="56"/>
  <c r="GX59" i="56"/>
  <c r="GW59" i="56"/>
  <c r="GV59" i="56"/>
  <c r="GU59" i="56"/>
  <c r="GT59" i="56"/>
  <c r="GS59" i="56"/>
  <c r="GR59" i="56"/>
  <c r="GQ59" i="56"/>
  <c r="GP59" i="56"/>
  <c r="GO59" i="56"/>
  <c r="GN59" i="56"/>
  <c r="GM59" i="56"/>
  <c r="GL59" i="56"/>
  <c r="GK59" i="56"/>
  <c r="GJ59" i="56"/>
  <c r="GI59" i="56"/>
  <c r="GH59" i="56"/>
  <c r="GG59" i="56"/>
  <c r="GF59" i="56"/>
  <c r="GE59" i="56"/>
  <c r="GD59" i="56"/>
  <c r="GC59" i="56"/>
  <c r="GB59" i="56"/>
  <c r="GA59" i="56"/>
  <c r="FZ59" i="56"/>
  <c r="FY59" i="56"/>
  <c r="FX59" i="56"/>
  <c r="FW59" i="56"/>
  <c r="FV59" i="56"/>
  <c r="FU59" i="56"/>
  <c r="FT59" i="56"/>
  <c r="FS59" i="56"/>
  <c r="FR59" i="56"/>
  <c r="FQ59" i="56"/>
  <c r="FP59" i="56"/>
  <c r="FO59" i="56"/>
  <c r="FN59" i="56"/>
  <c r="FM59" i="56"/>
  <c r="FL59" i="56"/>
  <c r="FK59" i="56"/>
  <c r="FJ59" i="56"/>
  <c r="FI59" i="56"/>
  <c r="FH59" i="56"/>
  <c r="FG59" i="56"/>
  <c r="FF59" i="56"/>
  <c r="FE59" i="56"/>
  <c r="FD59" i="56"/>
  <c r="FC59" i="56"/>
  <c r="FB59" i="56"/>
  <c r="FA59" i="56"/>
  <c r="EZ59" i="56"/>
  <c r="EY59" i="56"/>
  <c r="EX59" i="56"/>
  <c r="EW59" i="56"/>
  <c r="EV59" i="56"/>
  <c r="EU59" i="56"/>
  <c r="ET59" i="56"/>
  <c r="ES59" i="56"/>
  <c r="ER59" i="56"/>
  <c r="EQ59" i="56"/>
  <c r="EP59" i="56"/>
  <c r="EO59" i="56"/>
  <c r="EN59" i="56"/>
  <c r="EM59" i="56"/>
  <c r="EL59" i="56"/>
  <c r="EK59" i="56"/>
  <c r="EJ59" i="56"/>
  <c r="EI59" i="56"/>
  <c r="EH59" i="56"/>
  <c r="EG59" i="56"/>
  <c r="EF59" i="56"/>
  <c r="EE59" i="56"/>
  <c r="ED59" i="56"/>
  <c r="EC59" i="56"/>
  <c r="EB59" i="56"/>
  <c r="EA59" i="56"/>
  <c r="DZ59" i="56"/>
  <c r="DY59" i="56"/>
  <c r="DX59" i="56"/>
  <c r="DW59" i="56"/>
  <c r="DV59" i="56"/>
  <c r="DU59" i="56"/>
  <c r="DT59" i="56"/>
  <c r="DS59" i="56"/>
  <c r="DR59" i="56"/>
  <c r="DQ59" i="56"/>
  <c r="DP59" i="56"/>
  <c r="DO59" i="56"/>
  <c r="DN59" i="56"/>
  <c r="DM59" i="56"/>
  <c r="DL59" i="56"/>
  <c r="DK59" i="56"/>
  <c r="DJ59" i="56"/>
  <c r="DI59" i="56"/>
  <c r="DH59" i="56"/>
  <c r="DG59" i="56"/>
  <c r="DF59" i="56"/>
  <c r="DE59" i="56"/>
  <c r="DD59" i="56"/>
  <c r="DC59" i="56"/>
  <c r="DB59" i="56"/>
  <c r="DA59" i="56"/>
  <c r="CZ59" i="56"/>
  <c r="CY59" i="56"/>
  <c r="CX59" i="56"/>
  <c r="CW59" i="56"/>
  <c r="CV59" i="56"/>
  <c r="CU59" i="56"/>
  <c r="CT59" i="56"/>
  <c r="CS59" i="56"/>
  <c r="CR59" i="56"/>
  <c r="CQ59" i="56"/>
  <c r="CP59" i="56"/>
  <c r="CO59" i="56"/>
  <c r="CN59" i="56"/>
  <c r="CM59" i="56"/>
  <c r="CL59" i="56"/>
  <c r="CK59" i="56"/>
  <c r="CJ59" i="56"/>
  <c r="CI59" i="56"/>
  <c r="CH59" i="56"/>
  <c r="CG59" i="56"/>
  <c r="CF59" i="56"/>
  <c r="CE59" i="56"/>
  <c r="CD59" i="56"/>
  <c r="CC59" i="56"/>
  <c r="CB59" i="56"/>
  <c r="CA59" i="56"/>
  <c r="BZ59" i="56"/>
  <c r="BY59" i="56"/>
  <c r="BX59" i="56"/>
  <c r="BW59" i="56"/>
  <c r="BV59" i="56"/>
  <c r="BU59" i="56"/>
  <c r="BT59" i="56"/>
  <c r="BS59"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L59" i="56"/>
  <c r="AK59" i="56"/>
  <c r="AJ59" i="56"/>
  <c r="AI59" i="56"/>
  <c r="AH59" i="56"/>
  <c r="AG59" i="56"/>
  <c r="AF59" i="56"/>
  <c r="AE59" i="56"/>
  <c r="AD59" i="56"/>
  <c r="AC59" i="56"/>
  <c r="AB59" i="56"/>
  <c r="AA59" i="56"/>
  <c r="Z59" i="56"/>
  <c r="Y59" i="56"/>
  <c r="X59" i="56"/>
  <c r="W59" i="56"/>
  <c r="V59" i="56"/>
  <c r="U59" i="56"/>
  <c r="T59" i="56"/>
  <c r="S59" i="56"/>
  <c r="R59" i="56"/>
  <c r="Q59" i="56"/>
  <c r="P59" i="56"/>
  <c r="O59" i="56"/>
  <c r="N59" i="56"/>
  <c r="M59" i="56"/>
  <c r="L59" i="56"/>
  <c r="K59" i="56"/>
  <c r="J59" i="56"/>
  <c r="I59" i="56"/>
  <c r="H59" i="56"/>
  <c r="G59" i="56"/>
  <c r="F59" i="56"/>
  <c r="E59" i="56"/>
  <c r="D59" i="56"/>
  <c r="C59" i="56"/>
  <c r="B59" i="56"/>
  <c r="SU2" i="56"/>
  <c r="ST2" i="56"/>
  <c r="SS2" i="56"/>
  <c r="SR2" i="56"/>
  <c r="SQ2" i="56"/>
  <c r="SP2" i="56"/>
  <c r="SO2" i="56"/>
  <c r="SN2" i="56"/>
  <c r="SM2" i="56"/>
  <c r="SL2" i="56"/>
  <c r="SK2" i="56"/>
  <c r="SJ2" i="56"/>
  <c r="SI2" i="56"/>
  <c r="SH2" i="56"/>
  <c r="SG2" i="56"/>
  <c r="SF2" i="56"/>
  <c r="SE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U1" i="56"/>
  <c r="ST1" i="56"/>
  <c r="SS1" i="56"/>
  <c r="SR1" i="56"/>
  <c r="SQ1" i="56"/>
  <c r="SP1" i="56"/>
  <c r="SO1" i="56"/>
  <c r="SN1" i="56"/>
  <c r="SM1" i="56"/>
  <c r="SL1" i="56"/>
  <c r="SK1" i="56"/>
  <c r="SJ1" i="56"/>
  <c r="SI1" i="56"/>
  <c r="SH1" i="56"/>
  <c r="SG1" i="56"/>
  <c r="SF1" i="56"/>
  <c r="SE1"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AR142" i="56" l="1"/>
  <c r="AM62" i="56"/>
  <c r="AO62" i="56"/>
  <c r="AQ62" i="56"/>
  <c r="AS142" i="56"/>
  <c r="AP62" i="56"/>
  <c r="AQ142" i="56"/>
  <c r="AN62" i="56"/>
  <c r="V19" i="54"/>
  <c r="V11" i="54"/>
  <c r="V10" i="54"/>
  <c r="V20" i="54"/>
  <c r="V15" i="54"/>
  <c r="V9" i="54"/>
  <c r="V16" i="54"/>
  <c r="V18" i="54"/>
  <c r="V14" i="54"/>
  <c r="V13" i="54"/>
  <c r="V8" i="54"/>
  <c r="U8" i="54"/>
  <c r="V17" i="54"/>
  <c r="V12" i="54"/>
  <c r="AN142" i="56"/>
  <c r="AQ66" i="56"/>
  <c r="AQ71" i="56"/>
  <c r="AN74" i="56"/>
  <c r="AQ73" i="56"/>
  <c r="AM67" i="56"/>
  <c r="AM72" i="56"/>
  <c r="AP74" i="56"/>
  <c r="AL142" i="56"/>
  <c r="AM68" i="56"/>
  <c r="AP72" i="56"/>
  <c r="AQ74" i="56"/>
  <c r="AN71" i="56"/>
  <c r="AM63" i="56"/>
  <c r="AO68" i="56"/>
  <c r="AM70" i="56"/>
  <c r="AR70" i="56"/>
  <c r="AM64" i="56"/>
  <c r="AR68" i="56"/>
  <c r="AO70" i="56"/>
  <c r="AQ65" i="56"/>
  <c r="AO64" i="56"/>
  <c r="AO69" i="56"/>
  <c r="AO65" i="56"/>
  <c r="AQ69" i="56"/>
  <c r="AO73" i="56"/>
  <c r="AN63" i="56"/>
  <c r="AR74" i="56"/>
  <c r="AN64" i="56"/>
  <c r="AN65" i="56"/>
  <c r="AQ67" i="56"/>
  <c r="AQ64" i="56"/>
  <c r="AP73" i="56"/>
  <c r="AR62" i="56"/>
  <c r="AR63" i="56"/>
  <c r="AO66" i="56"/>
  <c r="AM74" i="56"/>
  <c r="AO63" i="56"/>
  <c r="AN67" i="56"/>
  <c r="AN69" i="56"/>
  <c r="AP70" i="56"/>
  <c r="AP66" i="56"/>
  <c r="AR69" i="56"/>
  <c r="AN70" i="56"/>
  <c r="AN73" i="56"/>
  <c r="AM65" i="56"/>
  <c r="AQ70" i="56"/>
  <c r="AR65" i="56"/>
  <c r="AQ72" i="56"/>
  <c r="AN72" i="56"/>
  <c r="AP63" i="56"/>
  <c r="AR71" i="56"/>
  <c r="AR72" i="56"/>
  <c r="AO74" i="56"/>
  <c r="AQ63" i="56"/>
  <c r="AO72" i="56"/>
  <c r="AN66" i="56"/>
  <c r="AP64" i="56"/>
  <c r="AP67" i="56"/>
  <c r="AO67" i="56"/>
  <c r="AM69" i="56"/>
  <c r="AP69" i="56"/>
  <c r="AP71" i="56"/>
  <c r="AM73" i="56"/>
  <c r="AM71" i="56"/>
  <c r="AR73" i="56"/>
  <c r="AN68" i="56"/>
  <c r="AQ68" i="56"/>
  <c r="AP65" i="56"/>
  <c r="AM66" i="56"/>
  <c r="AR66" i="56"/>
  <c r="AR67" i="56"/>
  <c r="AO71" i="56"/>
  <c r="AR64" i="56"/>
  <c r="AP68" i="56"/>
  <c r="AM142" i="56"/>
  <c r="AN143" i="56"/>
  <c r="AN144" i="56"/>
  <c r="AW142" i="56"/>
  <c r="BF142" i="56"/>
  <c r="BN142" i="56"/>
  <c r="AX142" i="56"/>
  <c r="BO142" i="56"/>
  <c r="BK142" i="56"/>
  <c r="AT144" i="56"/>
  <c r="BC142" i="56"/>
  <c r="AO142" i="56"/>
  <c r="AO143" i="56"/>
  <c r="AO144" i="56"/>
  <c r="BG142" i="56"/>
  <c r="AS143" i="56"/>
  <c r="AT142" i="56"/>
  <c r="AM143" i="56"/>
  <c r="AP142" i="56"/>
  <c r="V9" i="55" s="1"/>
  <c r="AP143" i="56"/>
  <c r="V8" i="55" s="1"/>
  <c r="AP144" i="56"/>
  <c r="AY142" i="56"/>
  <c r="BH142" i="56"/>
  <c r="BP142" i="56"/>
  <c r="AS144" i="56"/>
  <c r="AT143" i="56"/>
  <c r="AM144" i="56"/>
  <c r="AQ143" i="56"/>
  <c r="AQ144" i="56"/>
  <c r="AZ142" i="56"/>
  <c r="BI142" i="56"/>
  <c r="BQ142" i="56"/>
  <c r="AV142" i="56"/>
  <c r="BL142" i="56"/>
  <c r="BM142" i="56"/>
  <c r="AR143" i="56"/>
  <c r="AR144" i="56"/>
  <c r="BA142" i="56"/>
  <c r="BJ142" i="56"/>
  <c r="AU142" i="56"/>
  <c r="BB142" i="56"/>
  <c r="BD142" i="56"/>
  <c r="BE142" i="56"/>
  <c r="P65" i="56"/>
  <c r="AZ63" i="56"/>
  <c r="AX65" i="56"/>
  <c r="BA66" i="56"/>
  <c r="AY68" i="56"/>
  <c r="BB69" i="56"/>
  <c r="AZ72" i="56"/>
  <c r="AX73" i="56"/>
  <c r="BA74" i="56"/>
  <c r="AV62" i="56"/>
  <c r="AS63" i="56"/>
  <c r="AU65" i="56"/>
  <c r="AW67" i="56"/>
  <c r="AT68" i="56"/>
  <c r="AV71" i="56"/>
  <c r="AS72" i="56"/>
  <c r="AU73" i="56"/>
  <c r="AO75" i="56"/>
  <c r="AW75" i="56"/>
  <c r="AV68" i="56"/>
  <c r="AW73" i="56"/>
  <c r="AQ75" i="56"/>
  <c r="AN75" i="56"/>
  <c r="AX62" i="56"/>
  <c r="BA63" i="56"/>
  <c r="AY65" i="56"/>
  <c r="BB66" i="56"/>
  <c r="AZ68" i="56"/>
  <c r="AX71" i="56"/>
  <c r="BA72" i="56"/>
  <c r="AY73" i="56"/>
  <c r="BB74" i="56"/>
  <c r="AW62" i="56"/>
  <c r="AT63" i="56"/>
  <c r="AV65" i="56"/>
  <c r="AS66" i="56"/>
  <c r="AU68" i="56"/>
  <c r="AW71" i="56"/>
  <c r="AT72" i="56"/>
  <c r="AV73" i="56"/>
  <c r="AS74" i="56"/>
  <c r="AP75" i="56"/>
  <c r="AS69" i="56"/>
  <c r="AU72" i="56"/>
  <c r="AT74" i="56"/>
  <c r="AY62" i="56"/>
  <c r="BB63" i="56"/>
  <c r="AZ65" i="56"/>
  <c r="AX67" i="56"/>
  <c r="BA68" i="56"/>
  <c r="AY71" i="56"/>
  <c r="BB72" i="56"/>
  <c r="AZ73" i="56"/>
  <c r="AX75" i="56"/>
  <c r="AU63" i="56"/>
  <c r="AW65" i="56"/>
  <c r="AT66" i="56"/>
  <c r="AZ62" i="56"/>
  <c r="AX64" i="56"/>
  <c r="BA65" i="56"/>
  <c r="AY67" i="56"/>
  <c r="BB68" i="56"/>
  <c r="AZ71" i="56"/>
  <c r="AX70" i="56"/>
  <c r="BA73" i="56"/>
  <c r="AY75" i="56"/>
  <c r="AV63" i="56"/>
  <c r="AS64" i="56"/>
  <c r="AU66" i="56"/>
  <c r="AW68" i="56"/>
  <c r="AT69" i="56"/>
  <c r="AV72" i="56"/>
  <c r="AS70" i="56"/>
  <c r="AU74" i="56"/>
  <c r="AR75" i="56"/>
  <c r="BB70" i="56"/>
  <c r="AV67" i="56"/>
  <c r="AU71" i="56"/>
  <c r="BA62" i="56"/>
  <c r="AY64" i="56"/>
  <c r="BB65" i="56"/>
  <c r="AZ67" i="56"/>
  <c r="AX69" i="56"/>
  <c r="BA71" i="56"/>
  <c r="AY70" i="56"/>
  <c r="BB73" i="56"/>
  <c r="AZ75" i="56"/>
  <c r="AW63" i="56"/>
  <c r="AT64" i="56"/>
  <c r="AV66" i="56"/>
  <c r="AS67" i="56"/>
  <c r="AU69" i="56"/>
  <c r="AW72" i="56"/>
  <c r="AT70" i="56"/>
  <c r="AV74" i="56"/>
  <c r="AS75" i="56"/>
  <c r="AY72" i="56"/>
  <c r="AT73" i="56"/>
  <c r="BB62" i="56"/>
  <c r="AZ64" i="56"/>
  <c r="AX66" i="56"/>
  <c r="BA67" i="56"/>
  <c r="AY69" i="56"/>
  <c r="BB71" i="56"/>
  <c r="AZ70" i="56"/>
  <c r="AX74" i="56"/>
  <c r="BA75" i="56"/>
  <c r="AS62" i="56"/>
  <c r="AU64" i="56"/>
  <c r="AW66" i="56"/>
  <c r="AT67" i="56"/>
  <c r="AV69" i="56"/>
  <c r="AS71" i="56"/>
  <c r="AU70" i="56"/>
  <c r="AW74" i="56"/>
  <c r="AT75" i="56"/>
  <c r="AZ74" i="56"/>
  <c r="AW64" i="56"/>
  <c r="AX63" i="56"/>
  <c r="BA64" i="56"/>
  <c r="AY66" i="56"/>
  <c r="BB67" i="56"/>
  <c r="AZ69" i="56"/>
  <c r="AX72" i="56"/>
  <c r="BA70" i="56"/>
  <c r="AY74" i="56"/>
  <c r="BB75" i="56"/>
  <c r="AT62" i="56"/>
  <c r="AV64" i="56"/>
  <c r="AS65" i="56"/>
  <c r="AU67" i="56"/>
  <c r="AW69" i="56"/>
  <c r="AT71" i="56"/>
  <c r="AV70" i="56"/>
  <c r="AS73" i="56"/>
  <c r="AM75" i="56"/>
  <c r="AU75" i="56"/>
  <c r="BA69" i="56"/>
  <c r="AU62" i="56"/>
  <c r="AW70" i="56"/>
  <c r="AY63" i="56"/>
  <c r="BB64" i="56"/>
  <c r="AZ66" i="56"/>
  <c r="AX68" i="56"/>
  <c r="AT65" i="56"/>
  <c r="AS68" i="56"/>
  <c r="AV75" i="56"/>
  <c r="U18" i="54"/>
  <c r="U10" i="54"/>
  <c r="U15" i="54"/>
  <c r="U11" i="54"/>
  <c r="U19" i="54"/>
  <c r="U12" i="54"/>
  <c r="U20" i="54"/>
  <c r="U13" i="54"/>
  <c r="U9" i="54"/>
  <c r="U16" i="54"/>
  <c r="U14" i="54"/>
  <c r="U17" i="54"/>
  <c r="T14" i="54"/>
  <c r="T9" i="54"/>
  <c r="T17" i="54"/>
  <c r="T8" i="54"/>
  <c r="T18" i="54"/>
  <c r="T10" i="54"/>
  <c r="T15" i="54"/>
  <c r="T11" i="54"/>
  <c r="T19" i="54"/>
  <c r="T12" i="54"/>
  <c r="T20" i="54"/>
  <c r="T13" i="54"/>
  <c r="T16" i="54"/>
  <c r="I18" i="54"/>
  <c r="S20" i="54"/>
  <c r="S12" i="54"/>
  <c r="S19" i="54"/>
  <c r="S11" i="54"/>
  <c r="S15" i="54"/>
  <c r="S10" i="54"/>
  <c r="S18" i="54"/>
  <c r="S8" i="54"/>
  <c r="S17" i="54"/>
  <c r="S9" i="54"/>
  <c r="S14" i="54"/>
  <c r="S16" i="54"/>
  <c r="S13" i="54"/>
  <c r="R12" i="54"/>
  <c r="R20" i="54"/>
  <c r="R13" i="54"/>
  <c r="R19" i="54"/>
  <c r="R16" i="54"/>
  <c r="R17" i="54"/>
  <c r="R14" i="54"/>
  <c r="R15" i="54"/>
  <c r="R9" i="54"/>
  <c r="R11" i="54"/>
  <c r="R8" i="54"/>
  <c r="R18" i="54"/>
  <c r="R10" i="54"/>
  <c r="BF155" i="56"/>
  <c r="H14" i="54"/>
  <c r="L150" i="56"/>
  <c r="C11" i="54"/>
  <c r="D11" i="54"/>
  <c r="K11" i="54"/>
  <c r="O14" i="54"/>
  <c r="AF65" i="56"/>
  <c r="E13" i="54"/>
  <c r="Q18" i="54"/>
  <c r="F13" i="54"/>
  <c r="K19" i="54"/>
  <c r="V68" i="56"/>
  <c r="J18" i="54"/>
  <c r="P9" i="54"/>
  <c r="M13" i="54"/>
  <c r="L19" i="54"/>
  <c r="D70" i="56"/>
  <c r="Q9" i="54"/>
  <c r="G14" i="54"/>
  <c r="D20" i="54"/>
  <c r="I8" i="54"/>
  <c r="D19" i="54"/>
  <c r="S72" i="56"/>
  <c r="AJ148" i="56"/>
  <c r="AB63" i="56"/>
  <c r="B62" i="56"/>
  <c r="J8" i="54"/>
  <c r="E20" i="54"/>
  <c r="F64" i="56"/>
  <c r="Q8" i="54"/>
  <c r="D12" i="54"/>
  <c r="F16" i="54"/>
  <c r="H17" i="54"/>
  <c r="J15" i="54"/>
  <c r="L20" i="54"/>
  <c r="AH62" i="56"/>
  <c r="V64" i="56"/>
  <c r="Y66" i="56"/>
  <c r="N13" i="54"/>
  <c r="R62" i="56"/>
  <c r="P69" i="56"/>
  <c r="C10" i="54"/>
  <c r="E12" i="54"/>
  <c r="G16" i="54"/>
  <c r="I17" i="54"/>
  <c r="K15" i="54"/>
  <c r="M20" i="54"/>
  <c r="AL64" i="56"/>
  <c r="J71" i="56"/>
  <c r="AX143" i="56"/>
  <c r="L11" i="54"/>
  <c r="C15" i="54"/>
  <c r="K20" i="54"/>
  <c r="H9" i="54"/>
  <c r="J10" i="54"/>
  <c r="L12" i="54"/>
  <c r="N16" i="54"/>
  <c r="P17" i="54"/>
  <c r="C19" i="54"/>
  <c r="E67" i="56"/>
  <c r="AL145" i="56"/>
  <c r="P14" i="54"/>
  <c r="I9" i="54"/>
  <c r="K10" i="54"/>
  <c r="M12" i="54"/>
  <c r="O16" i="54"/>
  <c r="Q17" i="54"/>
  <c r="L63" i="56"/>
  <c r="AE67" i="56"/>
  <c r="BQ155" i="56"/>
  <c r="BI155" i="56"/>
  <c r="BA155" i="56"/>
  <c r="AS155" i="56"/>
  <c r="AK155" i="56"/>
  <c r="AC155" i="56"/>
  <c r="U155" i="56"/>
  <c r="M155" i="56"/>
  <c r="E155" i="56"/>
  <c r="BO154" i="56"/>
  <c r="BG154" i="56"/>
  <c r="AY154" i="56"/>
  <c r="AQ154" i="56"/>
  <c r="AI154" i="56"/>
  <c r="AA154" i="56"/>
  <c r="S154" i="56"/>
  <c r="K154" i="56"/>
  <c r="C154" i="56"/>
  <c r="BM153" i="56"/>
  <c r="BE153" i="56"/>
  <c r="AW153" i="56"/>
  <c r="AO153" i="56"/>
  <c r="AG153" i="56"/>
  <c r="Y153" i="56"/>
  <c r="Q153" i="56"/>
  <c r="I153" i="56"/>
  <c r="BS150" i="56"/>
  <c r="BK150" i="56"/>
  <c r="BC150" i="56"/>
  <c r="AU150" i="56"/>
  <c r="AM150" i="56"/>
  <c r="AE150" i="56"/>
  <c r="W150" i="56"/>
  <c r="O150" i="56"/>
  <c r="G150" i="56"/>
  <c r="BQ152" i="56"/>
  <c r="BI152" i="56"/>
  <c r="BA152" i="56"/>
  <c r="AS152" i="56"/>
  <c r="AK152" i="56"/>
  <c r="AC152" i="56"/>
  <c r="U152" i="56"/>
  <c r="M152" i="56"/>
  <c r="E152" i="56"/>
  <c r="BO151" i="56"/>
  <c r="BG151" i="56"/>
  <c r="AY151" i="56"/>
  <c r="AQ151" i="56"/>
  <c r="AI151" i="56"/>
  <c r="AA151" i="56"/>
  <c r="S151" i="56"/>
  <c r="K151" i="56"/>
  <c r="C151" i="56"/>
  <c r="BM149" i="56"/>
  <c r="BE149" i="56"/>
  <c r="AW149" i="56"/>
  <c r="AO149" i="56"/>
  <c r="AG149" i="56"/>
  <c r="Y149" i="56"/>
  <c r="Q149" i="56"/>
  <c r="I149" i="56"/>
  <c r="BS148" i="56"/>
  <c r="BK148" i="56"/>
  <c r="BC148" i="56"/>
  <c r="AU148" i="56"/>
  <c r="AM148" i="56"/>
  <c r="AE148" i="56"/>
  <c r="W148" i="56"/>
  <c r="O148" i="56"/>
  <c r="G148" i="56"/>
  <c r="BQ147" i="56"/>
  <c r="BI147" i="56"/>
  <c r="BA147" i="56"/>
  <c r="AS147" i="56"/>
  <c r="AK147" i="56"/>
  <c r="AC147" i="56"/>
  <c r="U147" i="56"/>
  <c r="M147" i="56"/>
  <c r="E147" i="56"/>
  <c r="BO146" i="56"/>
  <c r="BG146" i="56"/>
  <c r="AY146" i="56"/>
  <c r="AQ146" i="56"/>
  <c r="AI146" i="56"/>
  <c r="AA146" i="56"/>
  <c r="S146" i="56"/>
  <c r="K146" i="56"/>
  <c r="C146" i="56"/>
  <c r="BM145" i="56"/>
  <c r="BE145" i="56"/>
  <c r="BP155" i="56"/>
  <c r="BH155" i="56"/>
  <c r="AZ155" i="56"/>
  <c r="AR155" i="56"/>
  <c r="AJ155" i="56"/>
  <c r="AB155" i="56"/>
  <c r="T155" i="56"/>
  <c r="L155" i="56"/>
  <c r="D155" i="56"/>
  <c r="BN154" i="56"/>
  <c r="BF154" i="56"/>
  <c r="AX154" i="56"/>
  <c r="AP154" i="56"/>
  <c r="AH154" i="56"/>
  <c r="Z154" i="56"/>
  <c r="R154" i="56"/>
  <c r="J154" i="56"/>
  <c r="B154" i="56"/>
  <c r="BL153" i="56"/>
  <c r="BD153" i="56"/>
  <c r="AV153" i="56"/>
  <c r="AN153" i="56"/>
  <c r="AF153" i="56"/>
  <c r="X153" i="56"/>
  <c r="P153" i="56"/>
  <c r="H153" i="56"/>
  <c r="BR150" i="56"/>
  <c r="BJ150" i="56"/>
  <c r="BB150" i="56"/>
  <c r="AT150" i="56"/>
  <c r="AL150" i="56"/>
  <c r="AD150" i="56"/>
  <c r="V150" i="56"/>
  <c r="N150" i="56"/>
  <c r="F150" i="56"/>
  <c r="BP152" i="56"/>
  <c r="BH152" i="56"/>
  <c r="AZ152" i="56"/>
  <c r="AR152" i="56"/>
  <c r="AJ152" i="56"/>
  <c r="AB152" i="56"/>
  <c r="T152" i="56"/>
  <c r="L152" i="56"/>
  <c r="D152" i="56"/>
  <c r="BN151" i="56"/>
  <c r="BF151" i="56"/>
  <c r="AX151" i="56"/>
  <c r="AP151" i="56"/>
  <c r="AH151" i="56"/>
  <c r="Z151" i="56"/>
  <c r="R151" i="56"/>
  <c r="J151" i="56"/>
  <c r="B151" i="56"/>
  <c r="BL149" i="56"/>
  <c r="BD149" i="56"/>
  <c r="AV149" i="56"/>
  <c r="AN149" i="56"/>
  <c r="AF149" i="56"/>
  <c r="X149" i="56"/>
  <c r="P149" i="56"/>
  <c r="H149" i="56"/>
  <c r="BR148" i="56"/>
  <c r="BJ148" i="56"/>
  <c r="BB148" i="56"/>
  <c r="AT148" i="56"/>
  <c r="AL148" i="56"/>
  <c r="AD148" i="56"/>
  <c r="V148" i="56"/>
  <c r="N148" i="56"/>
  <c r="F148" i="56"/>
  <c r="BP147" i="56"/>
  <c r="BH147" i="56"/>
  <c r="AZ147" i="56"/>
  <c r="AR147" i="56"/>
  <c r="AJ147" i="56"/>
  <c r="AB147" i="56"/>
  <c r="T147" i="56"/>
  <c r="L147" i="56"/>
  <c r="D147" i="56"/>
  <c r="BN146" i="56"/>
  <c r="BF146" i="56"/>
  <c r="AX146" i="56"/>
  <c r="AP146" i="56"/>
  <c r="AH146" i="56"/>
  <c r="BO155" i="56"/>
  <c r="BG155" i="56"/>
  <c r="AY155" i="56"/>
  <c r="AQ155" i="56"/>
  <c r="AI155" i="56"/>
  <c r="AA155" i="56"/>
  <c r="S155" i="56"/>
  <c r="K155" i="56"/>
  <c r="C155" i="56"/>
  <c r="BM154" i="56"/>
  <c r="BE154" i="56"/>
  <c r="AW154" i="56"/>
  <c r="AO154" i="56"/>
  <c r="AG154" i="56"/>
  <c r="Y154" i="56"/>
  <c r="Q154" i="56"/>
  <c r="I154" i="56"/>
  <c r="BS153" i="56"/>
  <c r="BK153" i="56"/>
  <c r="BC153" i="56"/>
  <c r="AU153" i="56"/>
  <c r="AM153" i="56"/>
  <c r="AE153" i="56"/>
  <c r="W153" i="56"/>
  <c r="O153" i="56"/>
  <c r="G153" i="56"/>
  <c r="BQ150" i="56"/>
  <c r="BI150" i="56"/>
  <c r="BA150" i="56"/>
  <c r="AS150" i="56"/>
  <c r="AK150" i="56"/>
  <c r="AC150" i="56"/>
  <c r="U150" i="56"/>
  <c r="M150" i="56"/>
  <c r="E150" i="56"/>
  <c r="BO152" i="56"/>
  <c r="BG152" i="56"/>
  <c r="AY152" i="56"/>
  <c r="AQ152" i="56"/>
  <c r="AI152" i="56"/>
  <c r="AA152" i="56"/>
  <c r="S152" i="56"/>
  <c r="K152" i="56"/>
  <c r="C152" i="56"/>
  <c r="BM151" i="56"/>
  <c r="BE151" i="56"/>
  <c r="AW151" i="56"/>
  <c r="AO151" i="56"/>
  <c r="AG151" i="56"/>
  <c r="Y151" i="56"/>
  <c r="Q151" i="56"/>
  <c r="I151" i="56"/>
  <c r="BS149" i="56"/>
  <c r="BK149" i="56"/>
  <c r="BC149" i="56"/>
  <c r="AU149" i="56"/>
  <c r="AM149" i="56"/>
  <c r="AE149" i="56"/>
  <c r="W149" i="56"/>
  <c r="O149" i="56"/>
  <c r="G149" i="56"/>
  <c r="BQ148" i="56"/>
  <c r="BI148" i="56"/>
  <c r="BA148" i="56"/>
  <c r="AS148" i="56"/>
  <c r="AK148" i="56"/>
  <c r="AC148" i="56"/>
  <c r="U148" i="56"/>
  <c r="M148" i="56"/>
  <c r="E148" i="56"/>
  <c r="BO147" i="56"/>
  <c r="BG147" i="56"/>
  <c r="AY147" i="56"/>
  <c r="AQ147" i="56"/>
  <c r="AI147" i="56"/>
  <c r="AA147" i="56"/>
  <c r="S147" i="56"/>
  <c r="K147" i="56"/>
  <c r="C147" i="56"/>
  <c r="BM146" i="56"/>
  <c r="BE146" i="56"/>
  <c r="AW146" i="56"/>
  <c r="AO146" i="56"/>
  <c r="AG146" i="56"/>
  <c r="Y146" i="56"/>
  <c r="BR155" i="56"/>
  <c r="BJ155" i="56"/>
  <c r="BB155" i="56"/>
  <c r="AT155" i="56"/>
  <c r="AL155" i="56"/>
  <c r="AD155" i="56"/>
  <c r="V155" i="56"/>
  <c r="N155" i="56"/>
  <c r="F155" i="56"/>
  <c r="BP154" i="56"/>
  <c r="BH154" i="56"/>
  <c r="AZ154" i="56"/>
  <c r="AR154" i="56"/>
  <c r="AJ154" i="56"/>
  <c r="AB154" i="56"/>
  <c r="T154" i="56"/>
  <c r="L154" i="56"/>
  <c r="D154" i="56"/>
  <c r="BN153" i="56"/>
  <c r="BF153" i="56"/>
  <c r="AX153" i="56"/>
  <c r="AP153" i="56"/>
  <c r="AH153" i="56"/>
  <c r="Z153" i="56"/>
  <c r="R153" i="56"/>
  <c r="J153" i="56"/>
  <c r="B153" i="56"/>
  <c r="BL150" i="56"/>
  <c r="BD150" i="56"/>
  <c r="AV150" i="56"/>
  <c r="AN150" i="56"/>
  <c r="AF150" i="56"/>
  <c r="X150" i="56"/>
  <c r="P150" i="56"/>
  <c r="H150" i="56"/>
  <c r="BR152" i="56"/>
  <c r="BJ152" i="56"/>
  <c r="BB152" i="56"/>
  <c r="AT152" i="56"/>
  <c r="AL152" i="56"/>
  <c r="AD152" i="56"/>
  <c r="V152" i="56"/>
  <c r="N152" i="56"/>
  <c r="F152" i="56"/>
  <c r="BP151" i="56"/>
  <c r="BH151" i="56"/>
  <c r="AZ151" i="56"/>
  <c r="AR151" i="56"/>
  <c r="AJ151" i="56"/>
  <c r="AB151" i="56"/>
  <c r="T151" i="56"/>
  <c r="L151" i="56"/>
  <c r="D151" i="56"/>
  <c r="BN149" i="56"/>
  <c r="BF149" i="56"/>
  <c r="AX149" i="56"/>
  <c r="AP149" i="56"/>
  <c r="V14" i="55" s="1"/>
  <c r="AH149" i="56"/>
  <c r="Z149" i="56"/>
  <c r="R149" i="56"/>
  <c r="J149" i="56"/>
  <c r="B149" i="56"/>
  <c r="BL148" i="56"/>
  <c r="BD148" i="56"/>
  <c r="AV148" i="56"/>
  <c r="AN148" i="56"/>
  <c r="AF148" i="56"/>
  <c r="X148" i="56"/>
  <c r="P148" i="56"/>
  <c r="H148" i="56"/>
  <c r="BR147" i="56"/>
  <c r="BJ147" i="56"/>
  <c r="BB147" i="56"/>
  <c r="AT147" i="56"/>
  <c r="AL147" i="56"/>
  <c r="AD147" i="56"/>
  <c r="V147" i="56"/>
  <c r="N147" i="56"/>
  <c r="F147" i="56"/>
  <c r="BP146" i="56"/>
  <c r="BH146" i="56"/>
  <c r="AZ146" i="56"/>
  <c r="AR146" i="56"/>
  <c r="AJ146" i="56"/>
  <c r="AB146" i="56"/>
  <c r="BM155" i="56"/>
  <c r="AW155" i="56"/>
  <c r="AG155" i="56"/>
  <c r="Q155" i="56"/>
  <c r="BS154" i="56"/>
  <c r="BC154" i="56"/>
  <c r="AM154" i="56"/>
  <c r="W154" i="56"/>
  <c r="G154" i="56"/>
  <c r="BI153" i="56"/>
  <c r="AS153" i="56"/>
  <c r="AC153" i="56"/>
  <c r="M153" i="56"/>
  <c r="BO150" i="56"/>
  <c r="AY150" i="56"/>
  <c r="AI150" i="56"/>
  <c r="S150" i="56"/>
  <c r="C150" i="56"/>
  <c r="BE152" i="56"/>
  <c r="AO152" i="56"/>
  <c r="Y152" i="56"/>
  <c r="I152" i="56"/>
  <c r="BK151" i="56"/>
  <c r="AU151" i="56"/>
  <c r="AE151" i="56"/>
  <c r="O151" i="56"/>
  <c r="BQ149" i="56"/>
  <c r="BA149" i="56"/>
  <c r="AK149" i="56"/>
  <c r="U149" i="56"/>
  <c r="E149" i="56"/>
  <c r="BG148" i="56"/>
  <c r="AQ148" i="56"/>
  <c r="AA148" i="56"/>
  <c r="K148" i="56"/>
  <c r="BM147" i="56"/>
  <c r="AW147" i="56"/>
  <c r="AG147" i="56"/>
  <c r="Q147" i="56"/>
  <c r="BS146" i="56"/>
  <c r="BC146" i="56"/>
  <c r="AM146" i="56"/>
  <c r="X146" i="56"/>
  <c r="O146" i="56"/>
  <c r="F146" i="56"/>
  <c r="BO145" i="56"/>
  <c r="BF145" i="56"/>
  <c r="AW145" i="56"/>
  <c r="AO145" i="56"/>
  <c r="AG145" i="56"/>
  <c r="Y145" i="56"/>
  <c r="Q145" i="56"/>
  <c r="I145" i="56"/>
  <c r="BS144" i="56"/>
  <c r="BK144" i="56"/>
  <c r="BC144" i="56"/>
  <c r="AU144" i="56"/>
  <c r="AE144" i="56"/>
  <c r="W144" i="56"/>
  <c r="O144" i="56"/>
  <c r="G144" i="56"/>
  <c r="BQ143" i="56"/>
  <c r="BI143" i="56"/>
  <c r="BA143" i="56"/>
  <c r="AK143" i="56"/>
  <c r="AC143" i="56"/>
  <c r="U143" i="56"/>
  <c r="M143" i="56"/>
  <c r="E143" i="56"/>
  <c r="AI142" i="56"/>
  <c r="AA142" i="56"/>
  <c r="S142" i="56"/>
  <c r="K142" i="56"/>
  <c r="C142" i="56"/>
  <c r="AG75" i="56"/>
  <c r="Y75" i="56"/>
  <c r="BL155" i="56"/>
  <c r="AV155" i="56"/>
  <c r="AF155" i="56"/>
  <c r="P155" i="56"/>
  <c r="BR154" i="56"/>
  <c r="BB154" i="56"/>
  <c r="AL154" i="56"/>
  <c r="V154" i="56"/>
  <c r="F154" i="56"/>
  <c r="BH153" i="56"/>
  <c r="AR153" i="56"/>
  <c r="AB153" i="56"/>
  <c r="L153" i="56"/>
  <c r="BN150" i="56"/>
  <c r="AX150" i="56"/>
  <c r="AH150" i="56"/>
  <c r="R150" i="56"/>
  <c r="B150" i="56"/>
  <c r="BD152" i="56"/>
  <c r="AN152" i="56"/>
  <c r="X152" i="56"/>
  <c r="H152" i="56"/>
  <c r="BJ151" i="56"/>
  <c r="AT151" i="56"/>
  <c r="AD151" i="56"/>
  <c r="N151" i="56"/>
  <c r="BP149" i="56"/>
  <c r="AZ149" i="56"/>
  <c r="AJ149" i="56"/>
  <c r="T149" i="56"/>
  <c r="D149" i="56"/>
  <c r="BF148" i="56"/>
  <c r="AP148" i="56"/>
  <c r="Z148" i="56"/>
  <c r="J148" i="56"/>
  <c r="BL147" i="56"/>
  <c r="AV147" i="56"/>
  <c r="AF147" i="56"/>
  <c r="P147" i="56"/>
  <c r="BR146" i="56"/>
  <c r="BB146" i="56"/>
  <c r="AL146" i="56"/>
  <c r="W146" i="56"/>
  <c r="N146" i="56"/>
  <c r="E146" i="56"/>
  <c r="BN145" i="56"/>
  <c r="BD145" i="56"/>
  <c r="AV145" i="56"/>
  <c r="AN145" i="56"/>
  <c r="AF145" i="56"/>
  <c r="X145" i="56"/>
  <c r="P145" i="56"/>
  <c r="H145" i="56"/>
  <c r="BR144" i="56"/>
  <c r="BJ144" i="56"/>
  <c r="BB144" i="56"/>
  <c r="AL144" i="56"/>
  <c r="AD144" i="56"/>
  <c r="V144" i="56"/>
  <c r="N144" i="56"/>
  <c r="F144" i="56"/>
  <c r="BP143" i="56"/>
  <c r="BH143" i="56"/>
  <c r="AZ143" i="56"/>
  <c r="AJ143" i="56"/>
  <c r="AB143" i="56"/>
  <c r="T143" i="56"/>
  <c r="L143" i="56"/>
  <c r="D143" i="56"/>
  <c r="AH142" i="56"/>
  <c r="Z142" i="56"/>
  <c r="R142" i="56"/>
  <c r="J142" i="56"/>
  <c r="B142" i="56"/>
  <c r="BK155" i="56"/>
  <c r="AU155" i="56"/>
  <c r="AE155" i="56"/>
  <c r="O155" i="56"/>
  <c r="BQ154" i="56"/>
  <c r="BA154" i="56"/>
  <c r="AK154" i="56"/>
  <c r="U154" i="56"/>
  <c r="E154" i="56"/>
  <c r="BG153" i="56"/>
  <c r="AQ153" i="56"/>
  <c r="AA153" i="56"/>
  <c r="K153" i="56"/>
  <c r="BM150" i="56"/>
  <c r="AW150" i="56"/>
  <c r="AG150" i="56"/>
  <c r="Q150" i="56"/>
  <c r="BS152" i="56"/>
  <c r="BC152" i="56"/>
  <c r="AM152" i="56"/>
  <c r="W152" i="56"/>
  <c r="G152" i="56"/>
  <c r="BI151" i="56"/>
  <c r="AS151" i="56"/>
  <c r="AC151" i="56"/>
  <c r="M151" i="56"/>
  <c r="BO149" i="56"/>
  <c r="AY149" i="56"/>
  <c r="AI149" i="56"/>
  <c r="S149" i="56"/>
  <c r="C149" i="56"/>
  <c r="BE148" i="56"/>
  <c r="AO148" i="56"/>
  <c r="Y148" i="56"/>
  <c r="I148" i="56"/>
  <c r="BK147" i="56"/>
  <c r="AU147" i="56"/>
  <c r="AE147" i="56"/>
  <c r="O147" i="56"/>
  <c r="BQ146" i="56"/>
  <c r="BA146" i="56"/>
  <c r="AK146" i="56"/>
  <c r="V146" i="56"/>
  <c r="M146" i="56"/>
  <c r="D146" i="56"/>
  <c r="BL145" i="56"/>
  <c r="BC145" i="56"/>
  <c r="AU145" i="56"/>
  <c r="AM145" i="56"/>
  <c r="AE145" i="56"/>
  <c r="W145" i="56"/>
  <c r="O145" i="56"/>
  <c r="G145" i="56"/>
  <c r="BQ144" i="56"/>
  <c r="BI144" i="56"/>
  <c r="BA144" i="56"/>
  <c r="AK144" i="56"/>
  <c r="AC144" i="56"/>
  <c r="U144" i="56"/>
  <c r="M144" i="56"/>
  <c r="E144" i="56"/>
  <c r="BO143" i="56"/>
  <c r="BG143" i="56"/>
  <c r="AY143" i="56"/>
  <c r="AI143" i="56"/>
  <c r="AA143" i="56"/>
  <c r="S143" i="56"/>
  <c r="K143" i="56"/>
  <c r="C143" i="56"/>
  <c r="AG142" i="56"/>
  <c r="Y142" i="56"/>
  <c r="Q142" i="56"/>
  <c r="I142" i="56"/>
  <c r="BN155" i="56"/>
  <c r="AX155" i="56"/>
  <c r="AH155" i="56"/>
  <c r="R155" i="56"/>
  <c r="B155" i="56"/>
  <c r="BD154" i="56"/>
  <c r="AN154" i="56"/>
  <c r="X154" i="56"/>
  <c r="H154" i="56"/>
  <c r="BJ153" i="56"/>
  <c r="AT153" i="56"/>
  <c r="AD153" i="56"/>
  <c r="N153" i="56"/>
  <c r="BP150" i="56"/>
  <c r="AZ150" i="56"/>
  <c r="AJ150" i="56"/>
  <c r="T150" i="56"/>
  <c r="D150" i="56"/>
  <c r="BF152" i="56"/>
  <c r="AP152" i="56"/>
  <c r="V18" i="55" s="1"/>
  <c r="Z152" i="56"/>
  <c r="J152" i="56"/>
  <c r="BL151" i="56"/>
  <c r="AV151" i="56"/>
  <c r="AF151" i="56"/>
  <c r="P151" i="56"/>
  <c r="BR149" i="56"/>
  <c r="BB149" i="56"/>
  <c r="AL149" i="56"/>
  <c r="V149" i="56"/>
  <c r="F149" i="56"/>
  <c r="BH148" i="56"/>
  <c r="AR148" i="56"/>
  <c r="AB148" i="56"/>
  <c r="L148" i="56"/>
  <c r="BN147" i="56"/>
  <c r="AX147" i="56"/>
  <c r="AH147" i="56"/>
  <c r="R147" i="56"/>
  <c r="B147" i="56"/>
  <c r="BD146" i="56"/>
  <c r="AN146" i="56"/>
  <c r="Z146" i="56"/>
  <c r="P146" i="56"/>
  <c r="G146" i="56"/>
  <c r="BP145" i="56"/>
  <c r="BG145" i="56"/>
  <c r="AX145" i="56"/>
  <c r="AP145" i="56"/>
  <c r="AH145" i="56"/>
  <c r="Z145" i="56"/>
  <c r="R145" i="56"/>
  <c r="J145" i="56"/>
  <c r="B145" i="56"/>
  <c r="BL144" i="56"/>
  <c r="BD144" i="56"/>
  <c r="AV144" i="56"/>
  <c r="AF144" i="56"/>
  <c r="X144" i="56"/>
  <c r="P144" i="56"/>
  <c r="H144" i="56"/>
  <c r="BR143" i="56"/>
  <c r="BJ143" i="56"/>
  <c r="BB143" i="56"/>
  <c r="AL143" i="56"/>
  <c r="AD143" i="56"/>
  <c r="V143" i="56"/>
  <c r="N143" i="56"/>
  <c r="F143" i="56"/>
  <c r="AJ142" i="56"/>
  <c r="AB142" i="56"/>
  <c r="T142" i="56"/>
  <c r="L142" i="56"/>
  <c r="D142" i="56"/>
  <c r="AH75" i="56"/>
  <c r="BE155" i="56"/>
  <c r="Y155" i="56"/>
  <c r="BK154" i="56"/>
  <c r="AE154" i="56"/>
  <c r="BQ153" i="56"/>
  <c r="AK153" i="56"/>
  <c r="E153" i="56"/>
  <c r="AQ150" i="56"/>
  <c r="K150" i="56"/>
  <c r="AW152" i="56"/>
  <c r="Q152" i="56"/>
  <c r="BC151" i="56"/>
  <c r="W151" i="56"/>
  <c r="BI149" i="56"/>
  <c r="AC149" i="56"/>
  <c r="BO148" i="56"/>
  <c r="AI148" i="56"/>
  <c r="C148" i="56"/>
  <c r="AO147" i="56"/>
  <c r="I147" i="56"/>
  <c r="AU146" i="56"/>
  <c r="T146" i="56"/>
  <c r="BS145" i="56"/>
  <c r="BA145" i="56"/>
  <c r="AK145" i="56"/>
  <c r="U145" i="56"/>
  <c r="E145" i="56"/>
  <c r="BG144" i="56"/>
  <c r="AA144" i="56"/>
  <c r="K144" i="56"/>
  <c r="BM143" i="56"/>
  <c r="AW143" i="56"/>
  <c r="AG143" i="56"/>
  <c r="Q143" i="56"/>
  <c r="BS142" i="56"/>
  <c r="W142" i="56"/>
  <c r="G142" i="56"/>
  <c r="AJ75" i="56"/>
  <c r="Z75" i="56"/>
  <c r="Q75" i="56"/>
  <c r="I75" i="56"/>
  <c r="AE74" i="56"/>
  <c r="W74" i="56"/>
  <c r="O74" i="56"/>
  <c r="G74" i="56"/>
  <c r="AK73" i="56"/>
  <c r="AC73" i="56"/>
  <c r="U73" i="56"/>
  <c r="M73" i="56"/>
  <c r="E73" i="56"/>
  <c r="AI70" i="56"/>
  <c r="AA70" i="56"/>
  <c r="S70" i="56"/>
  <c r="K70" i="56"/>
  <c r="C70" i="56"/>
  <c r="BD155" i="56"/>
  <c r="X155" i="56"/>
  <c r="BJ154" i="56"/>
  <c r="AD154" i="56"/>
  <c r="BP153" i="56"/>
  <c r="AJ153" i="56"/>
  <c r="D153" i="56"/>
  <c r="AP150" i="56"/>
  <c r="J150" i="56"/>
  <c r="AV152" i="56"/>
  <c r="P152" i="56"/>
  <c r="BB151" i="56"/>
  <c r="V151" i="56"/>
  <c r="BH149" i="56"/>
  <c r="AB149" i="56"/>
  <c r="BN148" i="56"/>
  <c r="AH148" i="56"/>
  <c r="B148" i="56"/>
  <c r="AN147" i="56"/>
  <c r="H147" i="56"/>
  <c r="AT146" i="56"/>
  <c r="R146" i="56"/>
  <c r="BR145" i="56"/>
  <c r="AZ145" i="56"/>
  <c r="AJ145" i="56"/>
  <c r="T145" i="56"/>
  <c r="D145" i="56"/>
  <c r="BF144" i="56"/>
  <c r="Z144" i="56"/>
  <c r="J144" i="56"/>
  <c r="BL143" i="56"/>
  <c r="AV143" i="56"/>
  <c r="AF143" i="56"/>
  <c r="P143" i="56"/>
  <c r="BR142" i="56"/>
  <c r="V142" i="56"/>
  <c r="F142" i="56"/>
  <c r="AI75" i="56"/>
  <c r="X75" i="56"/>
  <c r="P75" i="56"/>
  <c r="H75" i="56"/>
  <c r="AL74" i="56"/>
  <c r="AD74" i="56"/>
  <c r="V74" i="56"/>
  <c r="N74" i="56"/>
  <c r="F74" i="56"/>
  <c r="AJ73" i="56"/>
  <c r="AB73" i="56"/>
  <c r="T73" i="56"/>
  <c r="L73" i="56"/>
  <c r="D73" i="56"/>
  <c r="AH70" i="56"/>
  <c r="Z70" i="56"/>
  <c r="R70" i="56"/>
  <c r="J70" i="56"/>
  <c r="B70" i="56"/>
  <c r="AF72" i="56"/>
  <c r="X72" i="56"/>
  <c r="P72" i="56"/>
  <c r="H72" i="56"/>
  <c r="BC155" i="56"/>
  <c r="W155" i="56"/>
  <c r="BI154" i="56"/>
  <c r="AC154" i="56"/>
  <c r="BO153" i="56"/>
  <c r="AI153" i="56"/>
  <c r="C153" i="56"/>
  <c r="AO150" i="56"/>
  <c r="I150" i="56"/>
  <c r="AU152" i="56"/>
  <c r="O152" i="56"/>
  <c r="BA151" i="56"/>
  <c r="U151" i="56"/>
  <c r="BG149" i="56"/>
  <c r="AA149" i="56"/>
  <c r="BM148" i="56"/>
  <c r="AG148" i="56"/>
  <c r="BS147" i="56"/>
  <c r="AM147" i="56"/>
  <c r="G147" i="56"/>
  <c r="AS146" i="56"/>
  <c r="Q146" i="56"/>
  <c r="BQ145" i="56"/>
  <c r="AY145" i="56"/>
  <c r="AI145" i="56"/>
  <c r="S145" i="56"/>
  <c r="C145" i="56"/>
  <c r="BE144" i="56"/>
  <c r="Y144" i="56"/>
  <c r="I144" i="56"/>
  <c r="BK143" i="56"/>
  <c r="AU143" i="56"/>
  <c r="AE143" i="56"/>
  <c r="O143" i="56"/>
  <c r="AK142" i="56"/>
  <c r="U142" i="56"/>
  <c r="E142" i="56"/>
  <c r="AF75" i="56"/>
  <c r="W75" i="56"/>
  <c r="O75" i="56"/>
  <c r="G75" i="56"/>
  <c r="AK74" i="56"/>
  <c r="AC74" i="56"/>
  <c r="U74" i="56"/>
  <c r="M74" i="56"/>
  <c r="E74" i="56"/>
  <c r="AI73" i="56"/>
  <c r="AA73" i="56"/>
  <c r="S73" i="56"/>
  <c r="K73" i="56"/>
  <c r="C73" i="56"/>
  <c r="AG70" i="56"/>
  <c r="Y70" i="56"/>
  <c r="Q70" i="56"/>
  <c r="I70" i="56"/>
  <c r="AE72" i="56"/>
  <c r="W72" i="56"/>
  <c r="O72" i="56"/>
  <c r="G72" i="56"/>
  <c r="AK71" i="56"/>
  <c r="AN155" i="56"/>
  <c r="H155" i="56"/>
  <c r="AT154" i="56"/>
  <c r="N154" i="56"/>
  <c r="AZ153" i="56"/>
  <c r="T153" i="56"/>
  <c r="BF150" i="56"/>
  <c r="Z150" i="56"/>
  <c r="BL152" i="56"/>
  <c r="AF152" i="56"/>
  <c r="BR151" i="56"/>
  <c r="AL151" i="56"/>
  <c r="F151" i="56"/>
  <c r="AR149" i="56"/>
  <c r="L149" i="56"/>
  <c r="AX148" i="56"/>
  <c r="R148" i="56"/>
  <c r="BD147" i="56"/>
  <c r="X147" i="56"/>
  <c r="BJ146" i="56"/>
  <c r="AD146" i="56"/>
  <c r="I146" i="56"/>
  <c r="BI145" i="56"/>
  <c r="AR145" i="56"/>
  <c r="AB145" i="56"/>
  <c r="L145" i="56"/>
  <c r="BN144" i="56"/>
  <c r="AX144" i="56"/>
  <c r="AH144" i="56"/>
  <c r="R144" i="56"/>
  <c r="B144" i="56"/>
  <c r="BD143" i="56"/>
  <c r="X143" i="56"/>
  <c r="H143" i="56"/>
  <c r="AD142" i="56"/>
  <c r="N142" i="56"/>
  <c r="AC75" i="56"/>
  <c r="T75" i="56"/>
  <c r="L75" i="56"/>
  <c r="D75" i="56"/>
  <c r="AH74" i="56"/>
  <c r="Z74" i="56"/>
  <c r="R74" i="56"/>
  <c r="J74" i="56"/>
  <c r="B74" i="56"/>
  <c r="AF73" i="56"/>
  <c r="X73" i="56"/>
  <c r="P73" i="56"/>
  <c r="H73" i="56"/>
  <c r="AL70" i="56"/>
  <c r="AD70" i="56"/>
  <c r="V70" i="56"/>
  <c r="N70" i="56"/>
  <c r="F70" i="56"/>
  <c r="AJ72" i="56"/>
  <c r="AB72" i="56"/>
  <c r="T72" i="56"/>
  <c r="L72" i="56"/>
  <c r="D72" i="56"/>
  <c r="AP155" i="56"/>
  <c r="AV154" i="56"/>
  <c r="BB153" i="56"/>
  <c r="BH150" i="56"/>
  <c r="BN152" i="56"/>
  <c r="B152" i="56"/>
  <c r="H151" i="56"/>
  <c r="N149" i="56"/>
  <c r="T148" i="56"/>
  <c r="Z147" i="56"/>
  <c r="AF146" i="56"/>
  <c r="BK145" i="56"/>
  <c r="AD145" i="56"/>
  <c r="BP144" i="56"/>
  <c r="AJ144" i="56"/>
  <c r="D144" i="56"/>
  <c r="J143" i="56"/>
  <c r="P142" i="56"/>
  <c r="AE75" i="56"/>
  <c r="N75" i="56"/>
  <c r="AJ74" i="56"/>
  <c r="T74" i="56"/>
  <c r="D74" i="56"/>
  <c r="Z73" i="56"/>
  <c r="J73" i="56"/>
  <c r="AF70" i="56"/>
  <c r="P70" i="56"/>
  <c r="AD72" i="56"/>
  <c r="R72" i="56"/>
  <c r="E72" i="56"/>
  <c r="AG71" i="56"/>
  <c r="Y71" i="56"/>
  <c r="Q71" i="56"/>
  <c r="I71" i="56"/>
  <c r="AE69" i="56"/>
  <c r="W69" i="56"/>
  <c r="O69" i="56"/>
  <c r="G69" i="56"/>
  <c r="AK68" i="56"/>
  <c r="AC68" i="56"/>
  <c r="U68" i="56"/>
  <c r="M68" i="56"/>
  <c r="E68" i="56"/>
  <c r="AO155" i="56"/>
  <c r="AU154" i="56"/>
  <c r="BA153" i="56"/>
  <c r="BG150" i="56"/>
  <c r="BM152" i="56"/>
  <c r="BS151" i="56"/>
  <c r="G151" i="56"/>
  <c r="M149" i="56"/>
  <c r="S148" i="56"/>
  <c r="Y147" i="56"/>
  <c r="AE146" i="56"/>
  <c r="BJ145" i="56"/>
  <c r="AC145" i="56"/>
  <c r="BO144" i="56"/>
  <c r="AI144" i="56"/>
  <c r="C144" i="56"/>
  <c r="I143" i="56"/>
  <c r="O142" i="56"/>
  <c r="AD75" i="56"/>
  <c r="M75" i="56"/>
  <c r="AI74" i="56"/>
  <c r="S74" i="56"/>
  <c r="C74" i="56"/>
  <c r="Y73" i="56"/>
  <c r="I73" i="56"/>
  <c r="AE70" i="56"/>
  <c r="O70" i="56"/>
  <c r="AC72" i="56"/>
  <c r="Q72" i="56"/>
  <c r="C72" i="56"/>
  <c r="AF71" i="56"/>
  <c r="X71" i="56"/>
  <c r="P71" i="56"/>
  <c r="H71" i="56"/>
  <c r="AL69" i="56"/>
  <c r="AD69" i="56"/>
  <c r="V69" i="56"/>
  <c r="N69" i="56"/>
  <c r="F69" i="56"/>
  <c r="AJ68" i="56"/>
  <c r="AB68" i="56"/>
  <c r="T68" i="56"/>
  <c r="L68" i="56"/>
  <c r="D68" i="56"/>
  <c r="AH67" i="56"/>
  <c r="Z67" i="56"/>
  <c r="R67" i="56"/>
  <c r="J67" i="56"/>
  <c r="B67" i="56"/>
  <c r="AF66" i="56"/>
  <c r="X66" i="56"/>
  <c r="P66" i="56"/>
  <c r="H66" i="56"/>
  <c r="AM155" i="56"/>
  <c r="AS154" i="56"/>
  <c r="AY153" i="56"/>
  <c r="BE150" i="56"/>
  <c r="BK152" i="56"/>
  <c r="BQ151" i="56"/>
  <c r="E151" i="56"/>
  <c r="K149" i="56"/>
  <c r="Q148" i="56"/>
  <c r="W147" i="56"/>
  <c r="AC146" i="56"/>
  <c r="BH145" i="56"/>
  <c r="AA145" i="56"/>
  <c r="BM144" i="56"/>
  <c r="AG144" i="56"/>
  <c r="BS143" i="56"/>
  <c r="G143" i="56"/>
  <c r="M142" i="56"/>
  <c r="AB75" i="56"/>
  <c r="K75" i="56"/>
  <c r="AG74" i="56"/>
  <c r="Q74" i="56"/>
  <c r="W73" i="56"/>
  <c r="G73" i="56"/>
  <c r="AC70" i="56"/>
  <c r="M70" i="56"/>
  <c r="AA72" i="56"/>
  <c r="N72" i="56"/>
  <c r="B72" i="56"/>
  <c r="AE71" i="56"/>
  <c r="W71" i="56"/>
  <c r="O71" i="56"/>
  <c r="G71" i="56"/>
  <c r="AK69" i="56"/>
  <c r="AC69" i="56"/>
  <c r="U69" i="56"/>
  <c r="M69" i="56"/>
  <c r="E69" i="56"/>
  <c r="AI68" i="56"/>
  <c r="AA68" i="56"/>
  <c r="S68" i="56"/>
  <c r="K68" i="56"/>
  <c r="C68" i="56"/>
  <c r="AG67" i="56"/>
  <c r="Y67" i="56"/>
  <c r="Q67" i="56"/>
  <c r="I67" i="56"/>
  <c r="AE66" i="56"/>
  <c r="W66" i="56"/>
  <c r="O66" i="56"/>
  <c r="G66" i="56"/>
  <c r="I155" i="56"/>
  <c r="O154" i="56"/>
  <c r="U153" i="56"/>
  <c r="AA150" i="56"/>
  <c r="AG152" i="56"/>
  <c r="AM151" i="56"/>
  <c r="AS149" i="56"/>
  <c r="AY148" i="56"/>
  <c r="BE147" i="56"/>
  <c r="BK146" i="56"/>
  <c r="J146" i="56"/>
  <c r="AS145" i="56"/>
  <c r="M145" i="56"/>
  <c r="AY144" i="56"/>
  <c r="S144" i="56"/>
  <c r="BE143" i="56"/>
  <c r="Y143" i="56"/>
  <c r="AE142" i="56"/>
  <c r="U75" i="56"/>
  <c r="E75" i="56"/>
  <c r="AA74" i="56"/>
  <c r="K74" i="56"/>
  <c r="AG73" i="56"/>
  <c r="Q73" i="56"/>
  <c r="W70" i="56"/>
  <c r="G70" i="56"/>
  <c r="AI72" i="56"/>
  <c r="V72" i="56"/>
  <c r="J72" i="56"/>
  <c r="AJ71" i="56"/>
  <c r="AB71" i="56"/>
  <c r="T71" i="56"/>
  <c r="L71" i="56"/>
  <c r="D71" i="56"/>
  <c r="AH69" i="56"/>
  <c r="Z69" i="56"/>
  <c r="R69" i="56"/>
  <c r="J69" i="56"/>
  <c r="B69" i="56"/>
  <c r="AF68" i="56"/>
  <c r="X68" i="56"/>
  <c r="P68" i="56"/>
  <c r="H68" i="56"/>
  <c r="AL67" i="56"/>
  <c r="AD67" i="56"/>
  <c r="V67" i="56"/>
  <c r="N67" i="56"/>
  <c r="F67" i="56"/>
  <c r="AJ66" i="56"/>
  <c r="AB66" i="56"/>
  <c r="T66" i="56"/>
  <c r="L66" i="56"/>
  <c r="D66" i="56"/>
  <c r="Z155" i="56"/>
  <c r="AL153" i="56"/>
  <c r="AX152" i="56"/>
  <c r="BJ149" i="56"/>
  <c r="D148" i="56"/>
  <c r="U146" i="56"/>
  <c r="V145" i="56"/>
  <c r="AB144" i="56"/>
  <c r="AH143" i="56"/>
  <c r="J75" i="56"/>
  <c r="P74" i="56"/>
  <c r="V73" i="56"/>
  <c r="AB70" i="56"/>
  <c r="AL72" i="56"/>
  <c r="M72" i="56"/>
  <c r="V71" i="56"/>
  <c r="F71" i="56"/>
  <c r="AB69" i="56"/>
  <c r="L69" i="56"/>
  <c r="AH68" i="56"/>
  <c r="R68" i="56"/>
  <c r="B68" i="56"/>
  <c r="AC67" i="56"/>
  <c r="P67" i="56"/>
  <c r="D67" i="56"/>
  <c r="AI66" i="56"/>
  <c r="V66" i="56"/>
  <c r="J66" i="56"/>
  <c r="AE65" i="56"/>
  <c r="W65" i="56"/>
  <c r="O65" i="56"/>
  <c r="G65" i="56"/>
  <c r="AK64" i="56"/>
  <c r="AC64" i="56"/>
  <c r="U64" i="56"/>
  <c r="M64" i="56"/>
  <c r="E64" i="56"/>
  <c r="AI63" i="56"/>
  <c r="AA63" i="56"/>
  <c r="S63" i="56"/>
  <c r="K63" i="56"/>
  <c r="C63" i="56"/>
  <c r="AG62" i="56"/>
  <c r="Y62" i="56"/>
  <c r="Q62" i="56"/>
  <c r="I62" i="56"/>
  <c r="J155" i="56"/>
  <c r="V153" i="56"/>
  <c r="AH152" i="56"/>
  <c r="AT149" i="56"/>
  <c r="BF147" i="56"/>
  <c r="L146" i="56"/>
  <c r="N145" i="56"/>
  <c r="T144" i="56"/>
  <c r="Z143" i="56"/>
  <c r="AF142" i="56"/>
  <c r="F75" i="56"/>
  <c r="L74" i="56"/>
  <c r="R73" i="56"/>
  <c r="X70" i="56"/>
  <c r="AK72" i="56"/>
  <c r="K72" i="56"/>
  <c r="AL71" i="56"/>
  <c r="U71" i="56"/>
  <c r="E71" i="56"/>
  <c r="AA69" i="56"/>
  <c r="K69" i="56"/>
  <c r="AG68" i="56"/>
  <c r="Q68" i="56"/>
  <c r="AB67" i="56"/>
  <c r="O67" i="56"/>
  <c r="C67" i="56"/>
  <c r="AH66" i="56"/>
  <c r="U66" i="56"/>
  <c r="I66" i="56"/>
  <c r="AL65" i="56"/>
  <c r="AD65" i="56"/>
  <c r="V65" i="56"/>
  <c r="N65" i="56"/>
  <c r="F65" i="56"/>
  <c r="AJ64" i="56"/>
  <c r="AB64" i="56"/>
  <c r="T64" i="56"/>
  <c r="L64" i="56"/>
  <c r="D64" i="56"/>
  <c r="AH63" i="56"/>
  <c r="Z63" i="56"/>
  <c r="R63" i="56"/>
  <c r="J63" i="56"/>
  <c r="B63" i="56"/>
  <c r="AF62" i="56"/>
  <c r="X62" i="56"/>
  <c r="P62" i="56"/>
  <c r="H62" i="56"/>
  <c r="G155" i="56"/>
  <c r="S153" i="56"/>
  <c r="AE152" i="56"/>
  <c r="AQ149" i="56"/>
  <c r="BC147" i="56"/>
  <c r="H146" i="56"/>
  <c r="K145" i="56"/>
  <c r="Q144" i="56"/>
  <c r="W143" i="56"/>
  <c r="AC142" i="56"/>
  <c r="AL75" i="56"/>
  <c r="C75" i="56"/>
  <c r="I74" i="56"/>
  <c r="O73" i="56"/>
  <c r="U70" i="56"/>
  <c r="AH72" i="56"/>
  <c r="I72" i="56"/>
  <c r="AI71" i="56"/>
  <c r="S71" i="56"/>
  <c r="C71" i="56"/>
  <c r="Y69" i="56"/>
  <c r="I69" i="56"/>
  <c r="AE68" i="56"/>
  <c r="O68" i="56"/>
  <c r="AA67" i="56"/>
  <c r="M67" i="56"/>
  <c r="AG66" i="56"/>
  <c r="S66" i="56"/>
  <c r="F66" i="56"/>
  <c r="AK65" i="56"/>
  <c r="AC65" i="56"/>
  <c r="U65" i="56"/>
  <c r="M65" i="56"/>
  <c r="E65" i="56"/>
  <c r="AI64" i="56"/>
  <c r="AA64" i="56"/>
  <c r="S64" i="56"/>
  <c r="K64" i="56"/>
  <c r="C64" i="56"/>
  <c r="AG63" i="56"/>
  <c r="Y63" i="56"/>
  <c r="Q63" i="56"/>
  <c r="I63" i="56"/>
  <c r="AE62" i="56"/>
  <c r="W62" i="56"/>
  <c r="O62" i="56"/>
  <c r="G62" i="56"/>
  <c r="BL154" i="56"/>
  <c r="F153" i="56"/>
  <c r="R152" i="56"/>
  <c r="AD149" i="56"/>
  <c r="AP147" i="56"/>
  <c r="V13" i="55" s="1"/>
  <c r="B146" i="56"/>
  <c r="F145" i="56"/>
  <c r="L144" i="56"/>
  <c r="R143" i="56"/>
  <c r="X142" i="56"/>
  <c r="AK75" i="56"/>
  <c r="B75" i="56"/>
  <c r="H74" i="56"/>
  <c r="N73" i="56"/>
  <c r="T70" i="56"/>
  <c r="AG72" i="56"/>
  <c r="F72" i="56"/>
  <c r="AH71" i="56"/>
  <c r="R71" i="56"/>
  <c r="B71" i="56"/>
  <c r="X69" i="56"/>
  <c r="H69" i="56"/>
  <c r="AD68" i="56"/>
  <c r="N68" i="56"/>
  <c r="AK67" i="56"/>
  <c r="X67" i="56"/>
  <c r="L67" i="56"/>
  <c r="AD66" i="56"/>
  <c r="R66" i="56"/>
  <c r="E66" i="56"/>
  <c r="AJ65" i="56"/>
  <c r="AB65" i="56"/>
  <c r="T65" i="56"/>
  <c r="L65" i="56"/>
  <c r="D65" i="56"/>
  <c r="AH64" i="56"/>
  <c r="Z64" i="56"/>
  <c r="R64" i="56"/>
  <c r="J64" i="56"/>
  <c r="B64" i="56"/>
  <c r="AF63" i="56"/>
  <c r="X63" i="56"/>
  <c r="P63" i="56"/>
  <c r="H63" i="56"/>
  <c r="AL62" i="56"/>
  <c r="AD62" i="56"/>
  <c r="V62" i="56"/>
  <c r="N62" i="56"/>
  <c r="F62" i="56"/>
  <c r="C62" i="56"/>
  <c r="S62" i="56"/>
  <c r="AI62" i="56"/>
  <c r="M63" i="56"/>
  <c r="AC63" i="56"/>
  <c r="G64" i="56"/>
  <c r="W64" i="56"/>
  <c r="Q65" i="56"/>
  <c r="AG65" i="56"/>
  <c r="Z66" i="56"/>
  <c r="G67" i="56"/>
  <c r="AF67" i="56"/>
  <c r="W68" i="56"/>
  <c r="Q69" i="56"/>
  <c r="K71" i="56"/>
  <c r="U72" i="56"/>
  <c r="E70" i="56"/>
  <c r="BC143" i="56"/>
  <c r="AQ145" i="56"/>
  <c r="AW148" i="56"/>
  <c r="Y150" i="56"/>
  <c r="BS155" i="56"/>
  <c r="J9" i="54"/>
  <c r="C8" i="54"/>
  <c r="K8" i="54"/>
  <c r="D10" i="54"/>
  <c r="L10" i="54"/>
  <c r="E11" i="54"/>
  <c r="M11" i="54"/>
  <c r="F12" i="54"/>
  <c r="N12" i="54"/>
  <c r="G13" i="54"/>
  <c r="O13" i="54"/>
  <c r="H16" i="54"/>
  <c r="P16" i="54"/>
  <c r="I14" i="54"/>
  <c r="Q14" i="54"/>
  <c r="J17" i="54"/>
  <c r="C18" i="54"/>
  <c r="K18" i="54"/>
  <c r="D15" i="54"/>
  <c r="L15" i="54"/>
  <c r="E19" i="54"/>
  <c r="M19" i="54"/>
  <c r="F20" i="54"/>
  <c r="N20" i="54"/>
  <c r="D62" i="56"/>
  <c r="T62" i="56"/>
  <c r="AJ62" i="56"/>
  <c r="N63" i="56"/>
  <c r="AD63" i="56"/>
  <c r="H64" i="56"/>
  <c r="X64" i="56"/>
  <c r="B65" i="56"/>
  <c r="R65" i="56"/>
  <c r="AH65" i="56"/>
  <c r="B66" i="56"/>
  <c r="AA66" i="56"/>
  <c r="H67" i="56"/>
  <c r="AI67" i="56"/>
  <c r="Y68" i="56"/>
  <c r="S69" i="56"/>
  <c r="M71" i="56"/>
  <c r="Y72" i="56"/>
  <c r="H70" i="56"/>
  <c r="B73" i="56"/>
  <c r="BF143" i="56"/>
  <c r="AT145" i="56"/>
  <c r="AZ148" i="56"/>
  <c r="AB150" i="56"/>
  <c r="K9" i="54"/>
  <c r="E10" i="54"/>
  <c r="N11" i="54"/>
  <c r="H13" i="54"/>
  <c r="Q16" i="54"/>
  <c r="K17" i="54"/>
  <c r="E15" i="54"/>
  <c r="N19" i="54"/>
  <c r="U62" i="56"/>
  <c r="Y64" i="56"/>
  <c r="C65" i="56"/>
  <c r="T69" i="56"/>
  <c r="F73" i="56"/>
  <c r="H142" i="56"/>
  <c r="BP148" i="56"/>
  <c r="L9" i="54"/>
  <c r="F10" i="54"/>
  <c r="O11" i="54"/>
  <c r="I13" i="54"/>
  <c r="C14" i="54"/>
  <c r="L17" i="54"/>
  <c r="F15" i="54"/>
  <c r="H20" i="54"/>
  <c r="T63" i="56"/>
  <c r="X65" i="56"/>
  <c r="K66" i="56"/>
  <c r="S67" i="56"/>
  <c r="AL68" i="56"/>
  <c r="Z71" i="56"/>
  <c r="AJ70" i="56"/>
  <c r="X74" i="56"/>
  <c r="X151" i="56"/>
  <c r="E9" i="54"/>
  <c r="M9" i="54"/>
  <c r="F8" i="54"/>
  <c r="N8" i="54"/>
  <c r="G10" i="54"/>
  <c r="O10" i="54"/>
  <c r="H11" i="54"/>
  <c r="P11" i="54"/>
  <c r="I12" i="54"/>
  <c r="Q12" i="54"/>
  <c r="J13" i="54"/>
  <c r="C16" i="54"/>
  <c r="K16" i="54"/>
  <c r="D14" i="54"/>
  <c r="L14" i="54"/>
  <c r="E17" i="54"/>
  <c r="M17" i="54"/>
  <c r="F18" i="54"/>
  <c r="N18" i="54"/>
  <c r="G15" i="54"/>
  <c r="O15" i="54"/>
  <c r="H19" i="54"/>
  <c r="P19" i="54"/>
  <c r="I20" i="54"/>
  <c r="Q20" i="54"/>
  <c r="K62" i="56"/>
  <c r="AA62" i="56"/>
  <c r="E63" i="56"/>
  <c r="U63" i="56"/>
  <c r="AK63" i="56"/>
  <c r="O64" i="56"/>
  <c r="AE64" i="56"/>
  <c r="I65" i="56"/>
  <c r="Y65" i="56"/>
  <c r="M66" i="56"/>
  <c r="AL66" i="56"/>
  <c r="T67" i="56"/>
  <c r="G68" i="56"/>
  <c r="AG69" i="56"/>
  <c r="AA71" i="56"/>
  <c r="AK70" i="56"/>
  <c r="AE73" i="56"/>
  <c r="Y74" i="56"/>
  <c r="S75" i="56"/>
  <c r="AW144" i="56"/>
  <c r="BI146" i="56"/>
  <c r="AK151" i="56"/>
  <c r="M154" i="56"/>
  <c r="D8" i="54"/>
  <c r="M10" i="54"/>
  <c r="G12" i="54"/>
  <c r="I16" i="54"/>
  <c r="C17" i="54"/>
  <c r="L18" i="54"/>
  <c r="F19" i="54"/>
  <c r="O20" i="54"/>
  <c r="AK62" i="56"/>
  <c r="O63" i="56"/>
  <c r="S65" i="56"/>
  <c r="C66" i="56"/>
  <c r="K67" i="56"/>
  <c r="Z68" i="56"/>
  <c r="Z72" i="56"/>
  <c r="BN143" i="56"/>
  <c r="AR150" i="56"/>
  <c r="E8" i="54"/>
  <c r="G11" i="54"/>
  <c r="P12" i="54"/>
  <c r="J16" i="54"/>
  <c r="D17" i="54"/>
  <c r="M18" i="54"/>
  <c r="G19" i="54"/>
  <c r="P20" i="54"/>
  <c r="Z62" i="56"/>
  <c r="D63" i="56"/>
  <c r="AD64" i="56"/>
  <c r="H65" i="56"/>
  <c r="F68" i="56"/>
  <c r="AF69" i="56"/>
  <c r="R75" i="56"/>
  <c r="AV146" i="56"/>
  <c r="F9" i="54"/>
  <c r="N9" i="54"/>
  <c r="G8" i="54"/>
  <c r="O8" i="54"/>
  <c r="H10" i="54"/>
  <c r="P10" i="54"/>
  <c r="I11" i="54"/>
  <c r="Q11" i="54"/>
  <c r="J12" i="54"/>
  <c r="C13" i="54"/>
  <c r="K13" i="54"/>
  <c r="D16" i="54"/>
  <c r="L16" i="54"/>
  <c r="E14" i="54"/>
  <c r="M14" i="54"/>
  <c r="F17" i="54"/>
  <c r="N17" i="54"/>
  <c r="G18" i="54"/>
  <c r="O18" i="54"/>
  <c r="H15" i="54"/>
  <c r="P15" i="54"/>
  <c r="I19" i="54"/>
  <c r="Q19" i="54"/>
  <c r="J20" i="54"/>
  <c r="L62" i="56"/>
  <c r="AB62" i="56"/>
  <c r="F63" i="56"/>
  <c r="V63" i="56"/>
  <c r="AL63" i="56"/>
  <c r="P64" i="56"/>
  <c r="AF64" i="56"/>
  <c r="J65" i="56"/>
  <c r="Z65" i="56"/>
  <c r="N66" i="56"/>
  <c r="U67" i="56"/>
  <c r="I68" i="56"/>
  <c r="C69" i="56"/>
  <c r="AI69" i="56"/>
  <c r="AC71" i="56"/>
  <c r="AH73" i="56"/>
  <c r="AB74" i="56"/>
  <c r="V75" i="56"/>
  <c r="AZ144" i="56"/>
  <c r="BL146" i="56"/>
  <c r="AN151" i="56"/>
  <c r="P154" i="56"/>
  <c r="C9" i="54"/>
  <c r="L8" i="54"/>
  <c r="F11" i="54"/>
  <c r="O12" i="54"/>
  <c r="P13" i="54"/>
  <c r="J14" i="54"/>
  <c r="D18" i="54"/>
  <c r="M15" i="54"/>
  <c r="G20" i="54"/>
  <c r="E62" i="56"/>
  <c r="AE63" i="56"/>
  <c r="I64" i="56"/>
  <c r="AI65" i="56"/>
  <c r="AC66" i="56"/>
  <c r="AJ67" i="56"/>
  <c r="N71" i="56"/>
  <c r="L70" i="56"/>
  <c r="BB145" i="56"/>
  <c r="D9" i="54"/>
  <c r="M8" i="54"/>
  <c r="N10" i="54"/>
  <c r="H12" i="54"/>
  <c r="Q13" i="54"/>
  <c r="K14" i="54"/>
  <c r="E18" i="54"/>
  <c r="N15" i="54"/>
  <c r="O19" i="54"/>
  <c r="J62" i="56"/>
  <c r="AJ63" i="56"/>
  <c r="N64" i="56"/>
  <c r="AK66" i="56"/>
  <c r="AD73" i="56"/>
  <c r="BR153" i="56"/>
  <c r="G9" i="54"/>
  <c r="O9" i="54"/>
  <c r="H8" i="54"/>
  <c r="P8" i="54"/>
  <c r="I10" i="54"/>
  <c r="Q10" i="54"/>
  <c r="J11" i="54"/>
  <c r="C12" i="54"/>
  <c r="K12" i="54"/>
  <c r="D13" i="54"/>
  <c r="L13" i="54"/>
  <c r="E16" i="54"/>
  <c r="M16" i="54"/>
  <c r="F14" i="54"/>
  <c r="N14" i="54"/>
  <c r="G17" i="54"/>
  <c r="O17" i="54"/>
  <c r="H18" i="54"/>
  <c r="P18" i="54"/>
  <c r="I15" i="54"/>
  <c r="Q15" i="54"/>
  <c r="J19" i="54"/>
  <c r="C20" i="54"/>
  <c r="M62" i="56"/>
  <c r="AC62" i="56"/>
  <c r="G63" i="56"/>
  <c r="W63" i="56"/>
  <c r="Q64" i="56"/>
  <c r="AG64" i="56"/>
  <c r="K65" i="56"/>
  <c r="AA65" i="56"/>
  <c r="Q66" i="56"/>
  <c r="W67" i="56"/>
  <c r="J68" i="56"/>
  <c r="D69" i="56"/>
  <c r="AJ69" i="56"/>
  <c r="AD71" i="56"/>
  <c r="AL73" i="56"/>
  <c r="AF74" i="56"/>
  <c r="AA75" i="56"/>
  <c r="B143" i="56"/>
  <c r="BH144" i="56"/>
  <c r="J147" i="56"/>
  <c r="BD151" i="56"/>
  <c r="AF154" i="56"/>
  <c r="V15" i="55" l="1"/>
  <c r="V20" i="55"/>
  <c r="V19" i="55"/>
  <c r="V16" i="55"/>
  <c r="V12" i="55"/>
  <c r="V10" i="55"/>
  <c r="V17" i="55"/>
  <c r="V11" i="55"/>
  <c r="U8" i="55"/>
  <c r="V22" i="54"/>
  <c r="V23" i="54" s="1"/>
  <c r="U10" i="55"/>
  <c r="U9" i="55"/>
  <c r="U18" i="55"/>
  <c r="U20" i="55"/>
  <c r="U11" i="55"/>
  <c r="U19" i="55"/>
  <c r="U15" i="55"/>
  <c r="U12" i="55"/>
  <c r="U16" i="55"/>
  <c r="U17" i="55"/>
  <c r="U13" i="55"/>
  <c r="U14" i="55"/>
  <c r="T10" i="55"/>
  <c r="T12" i="55"/>
  <c r="T11" i="55"/>
  <c r="G15" i="55"/>
  <c r="T19" i="55"/>
  <c r="S16" i="55"/>
  <c r="T16" i="55"/>
  <c r="T17" i="55"/>
  <c r="P22" i="54"/>
  <c r="P23" i="54" s="1"/>
  <c r="O22" i="54"/>
  <c r="O23" i="54" s="1"/>
  <c r="H22" i="54"/>
  <c r="M22" i="54"/>
  <c r="M23" i="54" s="1"/>
  <c r="G22" i="54"/>
  <c r="L22" i="54"/>
  <c r="L23" i="54" s="1"/>
  <c r="N22" i="54"/>
  <c r="N23" i="54" s="1"/>
  <c r="Q22" i="54"/>
  <c r="Q23" i="54" s="1"/>
  <c r="E22" i="54"/>
  <c r="F22" i="54"/>
  <c r="I22" i="54"/>
  <c r="R22" i="54"/>
  <c r="R23" i="54" s="1"/>
  <c r="S22" i="54"/>
  <c r="S23" i="54" s="1"/>
  <c r="D22" i="54"/>
  <c r="K22" i="54"/>
  <c r="C22" i="54"/>
  <c r="J22" i="54"/>
  <c r="T22" i="54"/>
  <c r="T23" i="54" s="1"/>
  <c r="U22" i="54"/>
  <c r="Q18" i="55"/>
  <c r="R12" i="55"/>
  <c r="T9" i="55"/>
  <c r="N15" i="55"/>
  <c r="S18" i="55"/>
  <c r="R17" i="55"/>
  <c r="T15" i="55"/>
  <c r="S11" i="55"/>
  <c r="T20" i="55"/>
  <c r="T18" i="55"/>
  <c r="T14" i="55"/>
  <c r="T8" i="55"/>
  <c r="T13" i="55"/>
  <c r="R19" i="55"/>
  <c r="R9" i="55"/>
  <c r="R10" i="55"/>
  <c r="S8" i="55"/>
  <c r="S20" i="55"/>
  <c r="Q13" i="55"/>
  <c r="Q8" i="55"/>
  <c r="Q11" i="55"/>
  <c r="Q14" i="55"/>
  <c r="R15" i="55"/>
  <c r="S14" i="55"/>
  <c r="S13" i="55"/>
  <c r="S10" i="55"/>
  <c r="S19" i="55"/>
  <c r="S9" i="55"/>
  <c r="S12" i="55"/>
  <c r="S17" i="55"/>
  <c r="S15" i="55"/>
  <c r="Q20" i="55"/>
  <c r="Q9" i="55"/>
  <c r="Q19" i="55"/>
  <c r="Q10" i="55"/>
  <c r="Q16" i="55"/>
  <c r="R8" i="55"/>
  <c r="P10" i="55"/>
  <c r="F16" i="55"/>
  <c r="R11" i="55"/>
  <c r="R14" i="55"/>
  <c r="Q17" i="55"/>
  <c r="R16" i="55"/>
  <c r="Q15" i="55"/>
  <c r="Q12" i="55"/>
  <c r="R20" i="55"/>
  <c r="R18" i="55"/>
  <c r="R13" i="55"/>
  <c r="O11" i="55"/>
  <c r="M11" i="55"/>
  <c r="H14" i="55"/>
  <c r="E13" i="55"/>
  <c r="P19" i="55"/>
  <c r="O13" i="55"/>
  <c r="L16" i="55"/>
  <c r="I14" i="55"/>
  <c r="F17" i="55"/>
  <c r="C18" i="55"/>
  <c r="J16" i="55"/>
  <c r="L19" i="55"/>
  <c r="J9" i="55"/>
  <c r="C10" i="55"/>
  <c r="M8" i="55"/>
  <c r="K13" i="55"/>
  <c r="H16" i="55"/>
  <c r="E14" i="55"/>
  <c r="L17" i="55"/>
  <c r="G14" i="55"/>
  <c r="G11" i="55"/>
  <c r="N16" i="55"/>
  <c r="H17" i="55"/>
  <c r="K16" i="55"/>
  <c r="G8" i="55"/>
  <c r="D10" i="55"/>
  <c r="K14" i="55"/>
  <c r="E18" i="55"/>
  <c r="I8" i="55"/>
  <c r="I18" i="55"/>
  <c r="C15" i="55"/>
  <c r="O17" i="55"/>
  <c r="F20" i="55"/>
  <c r="E19" i="55"/>
  <c r="M14" i="55"/>
  <c r="D15" i="55"/>
  <c r="P18" i="55"/>
  <c r="M15" i="55"/>
  <c r="J20" i="55"/>
  <c r="G19" i="55"/>
  <c r="K10" i="55"/>
  <c r="P17" i="55"/>
  <c r="J15" i="55"/>
  <c r="D19" i="55"/>
  <c r="N17" i="55"/>
  <c r="K18" i="55"/>
  <c r="H15" i="55"/>
  <c r="E20" i="55"/>
  <c r="C12" i="55"/>
  <c r="N8" i="55"/>
  <c r="L11" i="55"/>
  <c r="O16" i="55"/>
  <c r="L18" i="55"/>
  <c r="C19" i="55"/>
  <c r="J17" i="55"/>
  <c r="C11" i="55"/>
  <c r="I17" i="55"/>
  <c r="I15" i="55"/>
  <c r="K11" i="55"/>
  <c r="K15" i="55"/>
  <c r="P16" i="55"/>
  <c r="G18" i="55"/>
  <c r="H9" i="55"/>
  <c r="I13" i="55"/>
  <c r="C14" i="55"/>
  <c r="I19" i="55"/>
  <c r="E17" i="55"/>
  <c r="F12" i="55"/>
  <c r="J8" i="55"/>
  <c r="D11" i="55"/>
  <c r="O8" i="55"/>
  <c r="L10" i="55"/>
  <c r="I11" i="55"/>
  <c r="H12" i="55"/>
  <c r="O20" i="55"/>
  <c r="D12" i="55"/>
  <c r="N11" i="55"/>
  <c r="G16" i="55"/>
  <c r="N12" i="55"/>
  <c r="N14" i="55"/>
  <c r="K17" i="55"/>
  <c r="H18" i="55"/>
  <c r="E15" i="55"/>
  <c r="C16" i="55"/>
  <c r="P9" i="55"/>
  <c r="K20" i="55"/>
  <c r="L12" i="55"/>
  <c r="L20" i="55"/>
  <c r="E8" i="55"/>
  <c r="M13" i="55"/>
  <c r="F13" i="55"/>
  <c r="N9" i="55"/>
  <c r="K8" i="55"/>
  <c r="H10" i="55"/>
  <c r="E11" i="55"/>
  <c r="M18" i="55"/>
  <c r="G20" i="55"/>
  <c r="P8" i="55"/>
  <c r="M10" i="55"/>
  <c r="J11" i="55"/>
  <c r="I12" i="55"/>
  <c r="P20" i="55"/>
  <c r="G13" i="55"/>
  <c r="D16" i="55"/>
  <c r="P13" i="55"/>
  <c r="M16" i="55"/>
  <c r="J14" i="55"/>
  <c r="G17" i="55"/>
  <c r="D18" i="55"/>
  <c r="J10" i="55"/>
  <c r="D17" i="55"/>
  <c r="P11" i="55"/>
  <c r="M12" i="55"/>
  <c r="C9" i="55"/>
  <c r="M19" i="55"/>
  <c r="N20" i="55"/>
  <c r="K19" i="55"/>
  <c r="I9" i="55"/>
  <c r="F15" i="55"/>
  <c r="E9" i="55"/>
  <c r="E12" i="55"/>
  <c r="H19" i="55"/>
  <c r="D9" i="55"/>
  <c r="M9" i="55"/>
  <c r="G10" i="55"/>
  <c r="P14" i="55"/>
  <c r="D20" i="55"/>
  <c r="G9" i="55"/>
  <c r="D8" i="55"/>
  <c r="J13" i="55"/>
  <c r="D14" i="55"/>
  <c r="O18" i="55"/>
  <c r="L15" i="55"/>
  <c r="I20" i="55"/>
  <c r="F19" i="55"/>
  <c r="G12" i="55"/>
  <c r="D13" i="55"/>
  <c r="O19" i="55"/>
  <c r="H11" i="55"/>
  <c r="F8" i="55"/>
  <c r="N13" i="55"/>
  <c r="L9" i="55"/>
  <c r="F10" i="55"/>
  <c r="O14" i="55"/>
  <c r="C20" i="55"/>
  <c r="O10" i="55"/>
  <c r="F9" i="55"/>
  <c r="C8" i="55"/>
  <c r="K9" i="55"/>
  <c r="H8" i="55"/>
  <c r="E10" i="55"/>
  <c r="L14" i="55"/>
  <c r="F18" i="55"/>
  <c r="P15" i="55"/>
  <c r="M20" i="55"/>
  <c r="J19" i="55"/>
  <c r="K12" i="55"/>
  <c r="H13" i="55"/>
  <c r="E16" i="55"/>
  <c r="J18" i="55"/>
  <c r="O15" i="55"/>
  <c r="P12" i="55"/>
  <c r="N10" i="55"/>
  <c r="J12" i="55"/>
  <c r="M17" i="55"/>
  <c r="O9" i="55"/>
  <c r="L8" i="55"/>
  <c r="I10" i="55"/>
  <c r="F11" i="55"/>
  <c r="N18" i="55"/>
  <c r="H20" i="55"/>
  <c r="C13" i="55"/>
  <c r="N19" i="55"/>
  <c r="O12" i="55"/>
  <c r="L13" i="55"/>
  <c r="I16" i="55"/>
  <c r="F14" i="55"/>
  <c r="C17" i="55"/>
  <c r="M1" i="54"/>
  <c r="Q1" i="54"/>
  <c r="S1" i="54"/>
  <c r="V1" i="54"/>
  <c r="P1" i="54"/>
  <c r="N1" i="54"/>
  <c r="L1" i="54"/>
  <c r="O1" i="54"/>
  <c r="R1" i="54"/>
  <c r="T1" i="54"/>
  <c r="V22" i="55" l="1"/>
  <c r="V23" i="55" s="1"/>
  <c r="U22" i="55"/>
  <c r="U23" i="55" s="1"/>
  <c r="U23" i="54"/>
  <c r="O22" i="55"/>
  <c r="O23" i="55" s="1"/>
  <c r="M22" i="55"/>
  <c r="M23" i="55" s="1"/>
  <c r="H22" i="55"/>
  <c r="K22" i="55"/>
  <c r="K23" i="55" s="1"/>
  <c r="J22" i="55"/>
  <c r="I22" i="55"/>
  <c r="R22" i="55"/>
  <c r="R23" i="55" s="1"/>
  <c r="C22" i="55"/>
  <c r="F22" i="55"/>
  <c r="Q22" i="55"/>
  <c r="Q23" i="55" s="1"/>
  <c r="T22" i="55"/>
  <c r="L22" i="55"/>
  <c r="L23" i="55" s="1"/>
  <c r="P22" i="55"/>
  <c r="P23" i="55" s="1"/>
  <c r="N22" i="55"/>
  <c r="N23" i="55" s="1"/>
  <c r="D22" i="55"/>
  <c r="E22" i="55"/>
  <c r="G22" i="55"/>
  <c r="S22" i="55"/>
  <c r="S23" i="55" s="1"/>
  <c r="Q104" i="54"/>
  <c r="P104" i="54"/>
  <c r="S104" i="54"/>
  <c r="R104" i="54"/>
  <c r="T104" i="54"/>
  <c r="U104" i="54"/>
  <c r="O104" i="54"/>
  <c r="N104" i="54"/>
  <c r="P1" i="55"/>
  <c r="J1" i="55"/>
  <c r="G1" i="55"/>
  <c r="D1" i="55"/>
  <c r="Q1" i="55"/>
  <c r="I1" i="55"/>
  <c r="E1" i="55"/>
  <c r="H1" i="55"/>
  <c r="K1" i="55"/>
  <c r="O1" i="55"/>
  <c r="U1" i="55"/>
  <c r="L1" i="55"/>
  <c r="N1" i="55"/>
  <c r="R1" i="55"/>
  <c r="M1" i="55"/>
  <c r="S1" i="55"/>
  <c r="C1" i="55"/>
  <c r="F1" i="55"/>
  <c r="T23" i="55" l="1"/>
  <c r="Q103" i="55"/>
  <c r="T103" i="55"/>
  <c r="O103" i="55"/>
  <c r="S103" i="55"/>
  <c r="P103" i="55"/>
  <c r="R103" i="55"/>
  <c r="N49" i="43"/>
  <c r="N50" i="43"/>
  <c r="N48" i="43"/>
  <c r="U1" i="54"/>
  <c r="V1" i="55"/>
  <c r="V104" i="54" l="1"/>
  <c r="W104" i="54"/>
  <c r="A79" i="43"/>
  <c r="B79" i="43"/>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59" i="43"/>
  <c r="B59"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G7" i="43"/>
  <c r="H7" i="43"/>
  <c r="I7" i="43"/>
  <c r="T1" i="55"/>
  <c r="U103" i="55" l="1"/>
  <c r="V103" i="55"/>
  <c r="X103" i="55"/>
  <c r="W103" i="55"/>
  <c r="AG38" i="46"/>
  <c r="AG39" i="46" s="1"/>
  <c r="AF38" i="46"/>
  <c r="AF39" i="46" s="1"/>
  <c r="AE38" i="46"/>
  <c r="AE39" i="46" s="1"/>
  <c r="AD38" i="46"/>
  <c r="AD39" i="46" s="1"/>
  <c r="AC38" i="46"/>
  <c r="AC39" i="46" s="1"/>
  <c r="AB38" i="46"/>
  <c r="AB39" i="46" s="1"/>
  <c r="AA38" i="46"/>
  <c r="AA39" i="46" s="1"/>
  <c r="Z38" i="46"/>
  <c r="Z39" i="46" s="1"/>
  <c r="Y38" i="46"/>
  <c r="Y39" i="46" s="1"/>
  <c r="X38" i="46"/>
  <c r="X39" i="46" s="1"/>
  <c r="W38" i="46"/>
  <c r="W39" i="46" s="1"/>
  <c r="V38" i="46"/>
  <c r="V39" i="46" s="1"/>
  <c r="U38" i="46"/>
  <c r="U39" i="46" s="1"/>
  <c r="T38" i="46"/>
  <c r="T39" i="46" s="1"/>
  <c r="S38" i="46"/>
  <c r="S39" i="46" s="1"/>
  <c r="R38" i="46"/>
  <c r="R39" i="46" s="1"/>
  <c r="Q38" i="46"/>
  <c r="Q39" i="46" s="1"/>
  <c r="P38" i="46"/>
  <c r="P39" i="46" s="1"/>
  <c r="O38" i="46"/>
  <c r="O39" i="46" s="1"/>
  <c r="N38" i="46"/>
  <c r="N39" i="46" s="1"/>
  <c r="M38" i="46"/>
  <c r="M39" i="46" s="1"/>
  <c r="L38" i="46"/>
  <c r="L39" i="46" s="1"/>
  <c r="K38" i="46"/>
  <c r="K39" i="46" s="1"/>
  <c r="J38" i="46"/>
  <c r="J39" i="46" s="1"/>
  <c r="I38" i="46"/>
  <c r="I39" i="46" s="1"/>
  <c r="H38" i="46"/>
  <c r="H39" i="46" s="1"/>
  <c r="G38" i="46"/>
  <c r="G39" i="46" s="1"/>
  <c r="F38" i="46"/>
  <c r="F39" i="46" s="1"/>
  <c r="E38" i="46"/>
  <c r="E39" i="46" s="1"/>
  <c r="D38" i="46"/>
  <c r="D39" i="46" s="1"/>
  <c r="C38" i="46"/>
  <c r="C39" i="46" s="1"/>
  <c r="B38" i="46"/>
  <c r="AG21" i="46"/>
  <c r="AG22" i="46" s="1"/>
  <c r="AF21" i="46"/>
  <c r="AF22" i="46" s="1"/>
  <c r="AE21" i="46"/>
  <c r="AE22" i="46" s="1"/>
  <c r="AD21" i="46"/>
  <c r="AD22" i="46" s="1"/>
  <c r="AC21" i="46"/>
  <c r="AC22" i="46" s="1"/>
  <c r="AB21" i="46"/>
  <c r="AB22" i="46" s="1"/>
  <c r="AA21" i="46"/>
  <c r="AA22" i="46" s="1"/>
  <c r="Z21" i="46"/>
  <c r="Z22" i="46" s="1"/>
  <c r="Y21" i="46"/>
  <c r="Y22" i="46" s="1"/>
  <c r="X21" i="46"/>
  <c r="X22" i="46" s="1"/>
  <c r="W21" i="46"/>
  <c r="W22" i="46" s="1"/>
  <c r="V21" i="46"/>
  <c r="V22" i="46" s="1"/>
  <c r="U21" i="46"/>
  <c r="U22" i="46" s="1"/>
  <c r="T21" i="46"/>
  <c r="T22" i="46" s="1"/>
  <c r="S21" i="46"/>
  <c r="S22" i="46" s="1"/>
  <c r="R21" i="46"/>
  <c r="R22" i="46" s="1"/>
  <c r="Q21" i="46"/>
  <c r="Q22" i="46" s="1"/>
  <c r="P21" i="46"/>
  <c r="P22" i="46" s="1"/>
  <c r="O21" i="46"/>
  <c r="O22" i="46" s="1"/>
  <c r="N21" i="46"/>
  <c r="N22" i="46" s="1"/>
  <c r="M21" i="46"/>
  <c r="M22" i="46" s="1"/>
  <c r="L21" i="46"/>
  <c r="L22" i="46" s="1"/>
  <c r="K21" i="46"/>
  <c r="K22" i="46" s="1"/>
  <c r="J21" i="46"/>
  <c r="J22" i="46" s="1"/>
  <c r="I21" i="46"/>
  <c r="I22" i="46" s="1"/>
  <c r="H21" i="46"/>
  <c r="H22" i="46" s="1"/>
  <c r="G21" i="46"/>
  <c r="G22" i="46" s="1"/>
  <c r="F21" i="46"/>
  <c r="F22" i="46" s="1"/>
  <c r="E21" i="46"/>
  <c r="E22" i="46" s="1"/>
  <c r="D21" i="46"/>
  <c r="D22" i="46" s="1"/>
  <c r="C21" i="46"/>
  <c r="C22" i="46" s="1"/>
  <c r="B21" i="46"/>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D95" i="44"/>
  <c r="A95" i="44"/>
  <c r="F94" i="44"/>
  <c r="D94" i="44"/>
  <c r="A94" i="44"/>
  <c r="F93" i="44"/>
  <c r="D93" i="44"/>
  <c r="A93" i="44"/>
  <c r="F92" i="44"/>
  <c r="D92" i="44"/>
  <c r="A92" i="44"/>
  <c r="F91" i="44"/>
  <c r="D91" i="44"/>
  <c r="A91" i="44"/>
  <c r="F90" i="44"/>
  <c r="D90" i="44"/>
  <c r="A90" i="44"/>
  <c r="F89" i="44"/>
  <c r="D89" i="44"/>
  <c r="A89" i="44"/>
  <c r="F88" i="44"/>
  <c r="D88" i="44"/>
  <c r="A88" i="44"/>
  <c r="F87" i="44"/>
  <c r="D87" i="44"/>
  <c r="A87" i="44"/>
  <c r="F86" i="44"/>
  <c r="D86" i="44"/>
  <c r="A86" i="44"/>
  <c r="F85" i="44"/>
  <c r="D85" i="44"/>
  <c r="A85" i="44"/>
  <c r="F84" i="44"/>
  <c r="D84" i="44"/>
  <c r="A84" i="44"/>
  <c r="F83" i="44"/>
  <c r="D83" i="44"/>
  <c r="A83" i="44"/>
  <c r="F82" i="44"/>
  <c r="D82" i="44"/>
  <c r="A82" i="44"/>
  <c r="F81" i="44"/>
  <c r="D81" i="44"/>
  <c r="A81" i="44"/>
  <c r="F80" i="44"/>
  <c r="D80" i="44"/>
  <c r="A80" i="44"/>
  <c r="F79" i="44"/>
  <c r="D79" i="44"/>
  <c r="A79" i="44"/>
  <c r="F78" i="44"/>
  <c r="D78" i="44"/>
  <c r="A78" i="44"/>
  <c r="F77" i="44"/>
  <c r="D77" i="44"/>
  <c r="A77" i="44"/>
  <c r="F76" i="44"/>
  <c r="D76" i="44"/>
  <c r="A76" i="44"/>
  <c r="F75" i="44"/>
  <c r="D75" i="44"/>
  <c r="A75" i="44"/>
  <c r="F74" i="44"/>
  <c r="D74" i="44"/>
  <c r="A74" i="44"/>
  <c r="F73" i="44"/>
  <c r="D73" i="44"/>
  <c r="A73" i="44"/>
  <c r="F72" i="44"/>
  <c r="D72" i="44"/>
  <c r="A72" i="44"/>
  <c r="F71" i="44"/>
  <c r="D71" i="44"/>
  <c r="A71" i="44"/>
  <c r="F70" i="44"/>
  <c r="D70" i="44"/>
  <c r="A70" i="44"/>
  <c r="F69" i="44"/>
  <c r="D69" i="44"/>
  <c r="A69" i="44"/>
  <c r="F68" i="44"/>
  <c r="D68" i="44"/>
  <c r="A68" i="44"/>
  <c r="F67" i="44"/>
  <c r="D67" i="44"/>
  <c r="A67" i="44"/>
  <c r="F66" i="44"/>
  <c r="D66" i="44"/>
  <c r="A66" i="44"/>
  <c r="F65" i="44"/>
  <c r="D65" i="44"/>
  <c r="A65" i="44"/>
  <c r="F64" i="44"/>
  <c r="D64" i="44"/>
  <c r="A64" i="44"/>
  <c r="F63" i="44"/>
  <c r="D63" i="44"/>
  <c r="A63" i="44"/>
  <c r="F62" i="44"/>
  <c r="D62" i="44"/>
  <c r="A62" i="44"/>
  <c r="F61" i="44"/>
  <c r="D61" i="44"/>
  <c r="A61" i="44"/>
  <c r="F60" i="44"/>
  <c r="D60" i="44"/>
  <c r="A60" i="44"/>
  <c r="F59" i="44"/>
  <c r="D59" i="44"/>
  <c r="A59" i="44"/>
  <c r="F58" i="44"/>
  <c r="D58" i="44"/>
  <c r="A58" i="44"/>
  <c r="F57" i="44"/>
  <c r="D57" i="44"/>
  <c r="A57" i="44"/>
  <c r="F56" i="44"/>
  <c r="D56" i="44"/>
  <c r="A56" i="44"/>
  <c r="F55" i="44"/>
  <c r="D55" i="44"/>
  <c r="A55" i="44"/>
  <c r="F54" i="44"/>
  <c r="D54" i="44"/>
  <c r="A54" i="44"/>
  <c r="F53" i="44"/>
  <c r="D53" i="44"/>
  <c r="A53" i="44"/>
  <c r="F52" i="44"/>
  <c r="D52" i="44"/>
  <c r="A52" i="44"/>
  <c r="F51" i="44"/>
  <c r="D51" i="44"/>
  <c r="A51" i="44"/>
  <c r="F50" i="44"/>
  <c r="D50" i="44"/>
  <c r="A50" i="44"/>
  <c r="F49" i="44"/>
  <c r="D49" i="44"/>
  <c r="A49" i="44"/>
  <c r="F48" i="44"/>
  <c r="D48" i="44"/>
  <c r="A48" i="44"/>
  <c r="F47" i="44"/>
  <c r="D47" i="44"/>
  <c r="A47" i="44"/>
  <c r="F46" i="44"/>
  <c r="D46" i="44"/>
  <c r="A46" i="44"/>
  <c r="F45" i="44"/>
  <c r="D45" i="44"/>
  <c r="A45" i="44"/>
  <c r="F44" i="44"/>
  <c r="D44" i="44"/>
  <c r="A44" i="44"/>
  <c r="F43" i="44"/>
  <c r="D43" i="44"/>
  <c r="A43" i="44"/>
  <c r="F42" i="44"/>
  <c r="D42" i="44"/>
  <c r="A42" i="44"/>
  <c r="F41" i="44"/>
  <c r="D41" i="44"/>
  <c r="A41" i="44"/>
  <c r="F40" i="44"/>
  <c r="D40" i="44"/>
  <c r="A40" i="44"/>
  <c r="F39" i="44"/>
  <c r="D39" i="44"/>
  <c r="A39" i="44"/>
  <c r="F38" i="44"/>
  <c r="D38" i="44"/>
  <c r="A38" i="44"/>
  <c r="F37" i="44"/>
  <c r="D37" i="44"/>
  <c r="A37" i="44"/>
  <c r="F36" i="44"/>
  <c r="D36" i="44"/>
  <c r="A36" i="44"/>
  <c r="F35" i="44"/>
  <c r="D35" i="44"/>
  <c r="A35" i="44"/>
  <c r="F34" i="44"/>
  <c r="D34" i="44"/>
  <c r="A34" i="44"/>
  <c r="F33" i="44"/>
  <c r="D33" i="44"/>
  <c r="A33" i="44"/>
  <c r="F32" i="44"/>
  <c r="D32" i="44"/>
  <c r="A32" i="44"/>
  <c r="F31" i="44"/>
  <c r="D31" i="44"/>
  <c r="A31" i="44"/>
  <c r="F30" i="44"/>
  <c r="D30" i="44"/>
  <c r="A30" i="44"/>
  <c r="F29" i="44"/>
  <c r="D29" i="44"/>
  <c r="A29" i="44"/>
  <c r="F28" i="44"/>
  <c r="D28" i="44"/>
  <c r="A28" i="44"/>
  <c r="F27" i="44"/>
  <c r="D27" i="44"/>
  <c r="A27" i="44"/>
  <c r="F26" i="44"/>
  <c r="D26" i="44"/>
  <c r="A26" i="44"/>
  <c r="F25" i="44"/>
  <c r="D25" i="44"/>
  <c r="A25" i="44"/>
  <c r="F24" i="44"/>
  <c r="D24" i="44"/>
  <c r="A24" i="44"/>
  <c r="F23" i="44"/>
  <c r="D23" i="44"/>
  <c r="A23" i="44"/>
  <c r="F22" i="44"/>
  <c r="D22" i="44"/>
  <c r="A22" i="44"/>
  <c r="F21" i="44"/>
  <c r="D21" i="44"/>
  <c r="A21" i="44"/>
  <c r="F20" i="44"/>
  <c r="D20" i="44"/>
  <c r="A20" i="44"/>
  <c r="F19" i="44"/>
  <c r="D19" i="44"/>
  <c r="A19" i="44"/>
  <c r="F18" i="44"/>
  <c r="D18" i="44"/>
  <c r="A18" i="44"/>
  <c r="F17" i="44"/>
  <c r="D17" i="44"/>
  <c r="A17" i="44"/>
  <c r="F16" i="44"/>
  <c r="D16" i="44"/>
  <c r="A16" i="44"/>
  <c r="F15" i="44"/>
  <c r="D15" i="44"/>
  <c r="A15" i="44"/>
  <c r="F14" i="44"/>
  <c r="D14" i="44"/>
  <c r="A14" i="44"/>
  <c r="F13" i="44"/>
  <c r="D13" i="44"/>
  <c r="A13" i="44"/>
  <c r="F12" i="44"/>
  <c r="D12" i="44"/>
  <c r="A12" i="44"/>
  <c r="F11" i="44"/>
  <c r="D11" i="44"/>
  <c r="A11" i="44"/>
  <c r="F10" i="44"/>
  <c r="D10" i="44"/>
  <c r="A10" i="44"/>
  <c r="F9" i="44"/>
  <c r="D9" i="44"/>
  <c r="A9" i="44"/>
  <c r="F8" i="44"/>
  <c r="D8" i="44"/>
  <c r="A8" i="44"/>
  <c r="H1" i="44"/>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5" i="41"/>
  <c r="A134" i="41"/>
  <c r="A133" i="41"/>
  <c r="A132" i="41"/>
  <c r="A131" i="41"/>
  <c r="A130" i="41"/>
  <c r="A129" i="41"/>
  <c r="A128" i="41"/>
  <c r="A127" i="41"/>
  <c r="A126" i="41"/>
  <c r="A125" i="41"/>
  <c r="A124" i="41"/>
  <c r="A123" i="41"/>
  <c r="A122" i="41"/>
  <c r="A121" i="41"/>
  <c r="A120" i="41"/>
  <c r="A119" i="41"/>
  <c r="F118" i="41"/>
  <c r="D118" i="41"/>
  <c r="A118" i="41"/>
  <c r="F117" i="41"/>
  <c r="D117" i="41"/>
  <c r="A117" i="41"/>
  <c r="F116" i="41"/>
  <c r="D116" i="41"/>
  <c r="A116" i="41"/>
  <c r="F115" i="41"/>
  <c r="D115" i="41"/>
  <c r="A115" i="41"/>
  <c r="F114" i="41"/>
  <c r="D114" i="41"/>
  <c r="A114" i="41"/>
  <c r="F113" i="41"/>
  <c r="D113" i="41"/>
  <c r="A113" i="41"/>
  <c r="F112" i="41"/>
  <c r="D112" i="41"/>
  <c r="A112" i="41"/>
  <c r="F111" i="41"/>
  <c r="D111" i="41"/>
  <c r="A111" i="41"/>
  <c r="F110" i="41"/>
  <c r="D110" i="41"/>
  <c r="A110" i="41"/>
  <c r="F109" i="41"/>
  <c r="D109" i="41"/>
  <c r="A109" i="41"/>
  <c r="F108" i="41"/>
  <c r="D108" i="41"/>
  <c r="A108" i="41"/>
  <c r="F107" i="41"/>
  <c r="D107" i="41"/>
  <c r="A107" i="41"/>
  <c r="F106" i="41"/>
  <c r="D106" i="41"/>
  <c r="A106" i="41"/>
  <c r="F105" i="41"/>
  <c r="D105" i="41"/>
  <c r="A105" i="41"/>
  <c r="F104" i="41"/>
  <c r="D104" i="41"/>
  <c r="A104" i="41"/>
  <c r="F103" i="41"/>
  <c r="D103" i="41"/>
  <c r="A103" i="41"/>
  <c r="F102" i="41"/>
  <c r="D102" i="41"/>
  <c r="A102" i="41"/>
  <c r="F101" i="41"/>
  <c r="D101" i="41"/>
  <c r="A101" i="41"/>
  <c r="F100" i="41"/>
  <c r="D100" i="41"/>
  <c r="A100" i="41"/>
  <c r="F99" i="41"/>
  <c r="D99" i="41"/>
  <c r="A99" i="41"/>
  <c r="F98" i="41"/>
  <c r="D98" i="41"/>
  <c r="A98" i="41"/>
  <c r="F97" i="41"/>
  <c r="D97" i="41"/>
  <c r="A97" i="41"/>
  <c r="F96" i="41"/>
  <c r="D96" i="41"/>
  <c r="A96" i="41"/>
  <c r="F95" i="41"/>
  <c r="D95" i="41"/>
  <c r="A95" i="41"/>
  <c r="F94" i="41"/>
  <c r="D94" i="41"/>
  <c r="A94" i="41"/>
  <c r="F93" i="41"/>
  <c r="D93" i="41"/>
  <c r="A93" i="41"/>
  <c r="F92" i="41"/>
  <c r="D92" i="41"/>
  <c r="A92" i="41"/>
  <c r="F91" i="41"/>
  <c r="D91" i="41"/>
  <c r="A91" i="41"/>
  <c r="F90" i="41"/>
  <c r="D90" i="41"/>
  <c r="A90" i="41"/>
  <c r="F89" i="41"/>
  <c r="D89" i="41"/>
  <c r="A89" i="41"/>
  <c r="F88" i="41"/>
  <c r="D88" i="41"/>
  <c r="A88" i="41"/>
  <c r="F87" i="41"/>
  <c r="D87" i="41"/>
  <c r="A87" i="41"/>
  <c r="F86" i="41"/>
  <c r="D86" i="41"/>
  <c r="A86" i="41"/>
  <c r="F85" i="41"/>
  <c r="D85" i="41"/>
  <c r="A85" i="41"/>
  <c r="F84" i="41"/>
  <c r="D84" i="41"/>
  <c r="A84" i="41"/>
  <c r="F83" i="41"/>
  <c r="D83" i="41"/>
  <c r="A83" i="41"/>
  <c r="F82" i="41"/>
  <c r="D82" i="41"/>
  <c r="A82" i="41"/>
  <c r="F81" i="41"/>
  <c r="D81" i="41"/>
  <c r="A81" i="41"/>
  <c r="F80" i="41"/>
  <c r="D80" i="41"/>
  <c r="A80" i="41"/>
  <c r="F79" i="41"/>
  <c r="D79" i="41"/>
  <c r="A79" i="41"/>
  <c r="F78" i="41"/>
  <c r="D78" i="41"/>
  <c r="A78" i="41"/>
  <c r="F77" i="41"/>
  <c r="D77" i="41"/>
  <c r="A77" i="41"/>
  <c r="F76" i="41"/>
  <c r="D76" i="41"/>
  <c r="A76" i="41"/>
  <c r="F75" i="41"/>
  <c r="D75" i="41"/>
  <c r="A75" i="41"/>
  <c r="F74" i="41"/>
  <c r="D74" i="41"/>
  <c r="A74" i="41"/>
  <c r="F73" i="41"/>
  <c r="D73" i="41"/>
  <c r="A73" i="41"/>
  <c r="F72" i="41"/>
  <c r="D72" i="41"/>
  <c r="A72" i="41"/>
  <c r="F71" i="41"/>
  <c r="D71" i="41"/>
  <c r="A71" i="41"/>
  <c r="F70" i="41"/>
  <c r="D70" i="41"/>
  <c r="A70" i="41"/>
  <c r="F69" i="41"/>
  <c r="D69" i="41"/>
  <c r="A69" i="41"/>
  <c r="F68" i="41"/>
  <c r="D68" i="41"/>
  <c r="A68" i="41"/>
  <c r="F67" i="41"/>
  <c r="D67" i="41"/>
  <c r="A67" i="41"/>
  <c r="F66" i="41"/>
  <c r="D66" i="41"/>
  <c r="A66" i="41"/>
  <c r="F65" i="41"/>
  <c r="D65" i="41"/>
  <c r="A65" i="41"/>
  <c r="F64" i="41"/>
  <c r="D64" i="41"/>
  <c r="A64" i="41"/>
  <c r="F63" i="41"/>
  <c r="D63" i="41"/>
  <c r="A63" i="41"/>
  <c r="F62" i="41"/>
  <c r="D62" i="41"/>
  <c r="A62" i="41"/>
  <c r="F61" i="41"/>
  <c r="D61" i="41"/>
  <c r="A61" i="41"/>
  <c r="F60" i="41"/>
  <c r="D60" i="41"/>
  <c r="A60" i="41"/>
  <c r="F59" i="41"/>
  <c r="D59" i="41"/>
  <c r="A59" i="41"/>
  <c r="F58" i="41"/>
  <c r="D58" i="41"/>
  <c r="A58" i="41"/>
  <c r="F57" i="41"/>
  <c r="D57" i="41"/>
  <c r="A57" i="41"/>
  <c r="F56" i="41"/>
  <c r="D56" i="41"/>
  <c r="A56" i="41"/>
  <c r="F55" i="41"/>
  <c r="D55" i="41"/>
  <c r="A55" i="41"/>
  <c r="F54" i="41"/>
  <c r="D54" i="41"/>
  <c r="A54" i="41"/>
  <c r="F53" i="41"/>
  <c r="D53" i="41"/>
  <c r="A53" i="41"/>
  <c r="F52" i="41"/>
  <c r="D52" i="41"/>
  <c r="A52" i="41"/>
  <c r="F51" i="41"/>
  <c r="D51" i="41"/>
  <c r="A51" i="41"/>
  <c r="F50" i="41"/>
  <c r="D50" i="41"/>
  <c r="A50" i="41"/>
  <c r="F49" i="41"/>
  <c r="D49" i="41"/>
  <c r="A49" i="41"/>
  <c r="F48" i="41"/>
  <c r="D48" i="41"/>
  <c r="A48" i="41"/>
  <c r="F47" i="41"/>
  <c r="D47" i="41"/>
  <c r="A47" i="41"/>
  <c r="F46" i="41"/>
  <c r="D46" i="41"/>
  <c r="A46" i="41"/>
  <c r="F45" i="41"/>
  <c r="D45" i="41"/>
  <c r="A45" i="41"/>
  <c r="F44" i="41"/>
  <c r="D44" i="41"/>
  <c r="A44" i="41"/>
  <c r="F43" i="41"/>
  <c r="D43" i="41"/>
  <c r="A43" i="41"/>
  <c r="F42" i="41"/>
  <c r="D42" i="41"/>
  <c r="A42" i="41"/>
  <c r="F41" i="41"/>
  <c r="D41" i="41"/>
  <c r="A41" i="41"/>
  <c r="F40" i="41"/>
  <c r="D40" i="41"/>
  <c r="A40" i="41"/>
  <c r="F39" i="41"/>
  <c r="D39" i="41"/>
  <c r="A39" i="41"/>
  <c r="F38" i="41"/>
  <c r="D38" i="41"/>
  <c r="A38" i="41"/>
  <c r="F37" i="41"/>
  <c r="D37" i="41"/>
  <c r="A37" i="41"/>
  <c r="F36" i="41"/>
  <c r="D36" i="41"/>
  <c r="A36" i="41"/>
  <c r="F35" i="41"/>
  <c r="D35" i="41"/>
  <c r="A35" i="41"/>
  <c r="F34" i="41"/>
  <c r="D34" i="41"/>
  <c r="A34" i="41"/>
  <c r="F33" i="41"/>
  <c r="D33" i="41"/>
  <c r="A33" i="41"/>
  <c r="F32" i="41"/>
  <c r="D32" i="41"/>
  <c r="A32" i="41"/>
  <c r="F31" i="41"/>
  <c r="D31" i="41"/>
  <c r="A31" i="41"/>
  <c r="F30" i="41"/>
  <c r="D30" i="41"/>
  <c r="A30" i="41"/>
  <c r="F29" i="41"/>
  <c r="D29" i="41"/>
  <c r="A29" i="41"/>
  <c r="F28" i="41"/>
  <c r="D28" i="41"/>
  <c r="A28" i="41"/>
  <c r="F27" i="41"/>
  <c r="D27" i="41"/>
  <c r="A27" i="41"/>
  <c r="F26" i="41"/>
  <c r="D26" i="41"/>
  <c r="A26" i="41"/>
  <c r="F25" i="41"/>
  <c r="D25" i="41"/>
  <c r="A25" i="41"/>
  <c r="F24" i="41"/>
  <c r="D24" i="41"/>
  <c r="A24" i="41"/>
  <c r="F23" i="41"/>
  <c r="D23" i="41"/>
  <c r="A23" i="41"/>
  <c r="F22" i="41"/>
  <c r="D22" i="41"/>
  <c r="A22" i="41"/>
  <c r="F21" i="41"/>
  <c r="D21" i="41"/>
  <c r="A21" i="41"/>
  <c r="F20" i="41"/>
  <c r="D20" i="41"/>
  <c r="A20" i="41"/>
  <c r="F19" i="41"/>
  <c r="D19" i="41"/>
  <c r="A19" i="41"/>
  <c r="F18" i="41"/>
  <c r="D18" i="41"/>
  <c r="A18" i="41"/>
  <c r="F17" i="41"/>
  <c r="D17" i="41"/>
  <c r="A17" i="41"/>
  <c r="F16" i="41"/>
  <c r="D16" i="41"/>
  <c r="A16" i="41"/>
  <c r="F15" i="41"/>
  <c r="D15" i="41"/>
  <c r="A15" i="41"/>
  <c r="F14" i="41"/>
  <c r="D14" i="41"/>
  <c r="A14" i="41"/>
  <c r="F13" i="41"/>
  <c r="D13" i="41"/>
  <c r="A13" i="41"/>
  <c r="F12" i="41"/>
  <c r="D12" i="41"/>
  <c r="A12" i="41"/>
  <c r="F11" i="41"/>
  <c r="D11" i="41"/>
  <c r="A11" i="41"/>
  <c r="F10" i="41"/>
  <c r="D10" i="41"/>
  <c r="A10" i="41"/>
  <c r="F9" i="41"/>
  <c r="D9" i="41"/>
  <c r="A9" i="41"/>
  <c r="F8" i="41"/>
  <c r="D8" i="41"/>
  <c r="A8" i="41"/>
  <c r="H1" i="41"/>
  <c r="H2" i="41" s="1"/>
  <c r="A508" i="40"/>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88" i="40"/>
  <c r="A87" i="40"/>
  <c r="A86" i="40"/>
  <c r="A85" i="40"/>
  <c r="A84" i="40"/>
  <c r="A83" i="40"/>
  <c r="A82" i="40"/>
  <c r="A81" i="40"/>
  <c r="A80" i="40"/>
  <c r="A79" i="40"/>
  <c r="A78" i="40"/>
  <c r="A77" i="40"/>
  <c r="A76" i="40"/>
  <c r="A75" i="40"/>
  <c r="A74" i="40"/>
  <c r="A73" i="40"/>
  <c r="A72" i="40"/>
  <c r="G71" i="40"/>
  <c r="A71" i="40"/>
  <c r="G70" i="40"/>
  <c r="A70" i="40"/>
  <c r="G69" i="40"/>
  <c r="A69" i="40"/>
  <c r="G68" i="40"/>
  <c r="A68" i="40"/>
  <c r="G67" i="40"/>
  <c r="A67" i="40"/>
  <c r="G66" i="40"/>
  <c r="A66" i="40"/>
  <c r="G65" i="40"/>
  <c r="A65" i="40"/>
  <c r="G64" i="40"/>
  <c r="A64" i="40"/>
  <c r="G63" i="40"/>
  <c r="A63" i="40"/>
  <c r="G62" i="40"/>
  <c r="A62" i="40"/>
  <c r="G61" i="40"/>
  <c r="A61" i="40"/>
  <c r="G60" i="40"/>
  <c r="A60" i="40"/>
  <c r="G59" i="40"/>
  <c r="A59" i="40"/>
  <c r="G58" i="40"/>
  <c r="A58" i="40"/>
  <c r="G57" i="40"/>
  <c r="A57" i="40"/>
  <c r="G56" i="40"/>
  <c r="A56" i="40"/>
  <c r="G55" i="40"/>
  <c r="A55" i="40"/>
  <c r="G54" i="40"/>
  <c r="A54" i="40"/>
  <c r="G53" i="40"/>
  <c r="A53" i="40"/>
  <c r="G52" i="40"/>
  <c r="A52" i="40"/>
  <c r="G51" i="40"/>
  <c r="A51" i="40"/>
  <c r="G50" i="40"/>
  <c r="A50" i="40"/>
  <c r="G49" i="40"/>
  <c r="A49" i="40"/>
  <c r="G48" i="40"/>
  <c r="A48" i="40"/>
  <c r="G47" i="40"/>
  <c r="A47" i="40"/>
  <c r="G46" i="40"/>
  <c r="A46" i="40"/>
  <c r="G45" i="40"/>
  <c r="A45" i="40"/>
  <c r="G44" i="40"/>
  <c r="A44" i="40"/>
  <c r="G43" i="40"/>
  <c r="A43" i="40"/>
  <c r="G42" i="40"/>
  <c r="A42" i="40"/>
  <c r="G41" i="40"/>
  <c r="A41" i="40"/>
  <c r="G40" i="40"/>
  <c r="A40" i="40"/>
  <c r="G39" i="40"/>
  <c r="A39" i="40"/>
  <c r="G38" i="40"/>
  <c r="A38" i="40"/>
  <c r="G37" i="40"/>
  <c r="A37" i="40"/>
  <c r="G36" i="40"/>
  <c r="A36" i="40"/>
  <c r="G35" i="40"/>
  <c r="A35" i="40"/>
  <c r="G34" i="40"/>
  <c r="A34" i="40"/>
  <c r="G33" i="40"/>
  <c r="A33" i="40"/>
  <c r="G32" i="40"/>
  <c r="A32" i="40"/>
  <c r="G31" i="40"/>
  <c r="A31" i="40"/>
  <c r="G30" i="40"/>
  <c r="A30" i="40"/>
  <c r="G29" i="40"/>
  <c r="A29" i="40"/>
  <c r="G28" i="40"/>
  <c r="A28" i="40"/>
  <c r="G27" i="40"/>
  <c r="A27" i="40"/>
  <c r="G26" i="40"/>
  <c r="A26" i="40"/>
  <c r="G25" i="40"/>
  <c r="A25" i="40"/>
  <c r="G24" i="40"/>
  <c r="A24" i="40"/>
  <c r="G23" i="40"/>
  <c r="A23" i="40"/>
  <c r="G22" i="40"/>
  <c r="A22" i="40"/>
  <c r="G21" i="40"/>
  <c r="A21" i="40"/>
  <c r="G20" i="40"/>
  <c r="A20" i="40"/>
  <c r="G19" i="40"/>
  <c r="A19" i="40"/>
  <c r="G18" i="40"/>
  <c r="A18" i="40"/>
  <c r="G17" i="40"/>
  <c r="A17" i="40"/>
  <c r="G16" i="40"/>
  <c r="A16" i="40"/>
  <c r="G15" i="40"/>
  <c r="A15" i="40"/>
  <c r="G14" i="40"/>
  <c r="A14" i="40"/>
  <c r="G13" i="40"/>
  <c r="A13" i="40"/>
  <c r="G12" i="40"/>
  <c r="A12" i="40"/>
  <c r="G11" i="40"/>
  <c r="A11" i="40"/>
  <c r="G10" i="40"/>
  <c r="A10" i="40"/>
  <c r="G9" i="40"/>
  <c r="A9" i="40"/>
  <c r="G8" i="40"/>
  <c r="A8" i="40"/>
  <c r="I1" i="40"/>
  <c r="I2" i="40"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1" i="39"/>
  <c r="A130" i="39"/>
  <c r="A129" i="39"/>
  <c r="A128" i="39"/>
  <c r="A127" i="39"/>
  <c r="A126" i="39"/>
  <c r="A125" i="39"/>
  <c r="A124" i="39"/>
  <c r="A123" i="39"/>
  <c r="A122" i="39"/>
  <c r="A121" i="39"/>
  <c r="A120" i="39"/>
  <c r="A119" i="39"/>
  <c r="A118" i="39"/>
  <c r="A117" i="39"/>
  <c r="F116" i="39"/>
  <c r="D116" i="39"/>
  <c r="A116" i="39"/>
  <c r="F115" i="39"/>
  <c r="D115" i="39"/>
  <c r="A115" i="39"/>
  <c r="F114" i="39"/>
  <c r="D114" i="39"/>
  <c r="A114" i="39"/>
  <c r="F113" i="39"/>
  <c r="D113" i="39"/>
  <c r="A113" i="39"/>
  <c r="F112" i="39"/>
  <c r="D112" i="39"/>
  <c r="A112" i="39"/>
  <c r="F111" i="39"/>
  <c r="D111" i="39"/>
  <c r="A111" i="39"/>
  <c r="F110" i="39"/>
  <c r="D110" i="39"/>
  <c r="A110" i="39"/>
  <c r="F109" i="39"/>
  <c r="D109" i="39"/>
  <c r="A109" i="39"/>
  <c r="F108" i="39"/>
  <c r="D108" i="39"/>
  <c r="A108" i="39"/>
  <c r="F107" i="39"/>
  <c r="D107" i="39"/>
  <c r="A107" i="39"/>
  <c r="F106" i="39"/>
  <c r="D106" i="39"/>
  <c r="A106" i="39"/>
  <c r="F105" i="39"/>
  <c r="D105" i="39"/>
  <c r="A105" i="39"/>
  <c r="F104" i="39"/>
  <c r="D104" i="39"/>
  <c r="A104" i="39"/>
  <c r="F103" i="39"/>
  <c r="D103" i="39"/>
  <c r="A103" i="39"/>
  <c r="F102" i="39"/>
  <c r="D102" i="39"/>
  <c r="A102" i="39"/>
  <c r="F101" i="39"/>
  <c r="D101" i="39"/>
  <c r="A101" i="39"/>
  <c r="F100" i="39"/>
  <c r="D100" i="39"/>
  <c r="A100" i="39"/>
  <c r="F99" i="39"/>
  <c r="D99" i="39"/>
  <c r="A99" i="39"/>
  <c r="F98" i="39"/>
  <c r="D98" i="39"/>
  <c r="A98" i="39"/>
  <c r="F97" i="39"/>
  <c r="D97" i="39"/>
  <c r="A97" i="39"/>
  <c r="F96" i="39"/>
  <c r="D96" i="39"/>
  <c r="A96" i="39"/>
  <c r="F95" i="39"/>
  <c r="D95" i="39"/>
  <c r="A95" i="39"/>
  <c r="F94" i="39"/>
  <c r="D94" i="39"/>
  <c r="A94" i="39"/>
  <c r="F93" i="39"/>
  <c r="D93" i="39"/>
  <c r="A93" i="39"/>
  <c r="F92" i="39"/>
  <c r="D92" i="39"/>
  <c r="A92" i="39"/>
  <c r="F91" i="39"/>
  <c r="D91" i="39"/>
  <c r="A91" i="39"/>
  <c r="F90" i="39"/>
  <c r="D90" i="39"/>
  <c r="A90" i="39"/>
  <c r="F89" i="39"/>
  <c r="D89" i="39"/>
  <c r="A89" i="39"/>
  <c r="F88" i="39"/>
  <c r="D88" i="39"/>
  <c r="A88" i="39"/>
  <c r="F87" i="39"/>
  <c r="D87" i="39"/>
  <c r="A87" i="39"/>
  <c r="F86" i="39"/>
  <c r="D86" i="39"/>
  <c r="A86" i="39"/>
  <c r="F85" i="39"/>
  <c r="D85" i="39"/>
  <c r="A85" i="39"/>
  <c r="F84" i="39"/>
  <c r="D84" i="39"/>
  <c r="A84" i="39"/>
  <c r="F83" i="39"/>
  <c r="D83" i="39"/>
  <c r="A83" i="39"/>
  <c r="F82" i="39"/>
  <c r="D82" i="39"/>
  <c r="A82" i="39"/>
  <c r="F81" i="39"/>
  <c r="D81" i="39"/>
  <c r="A81" i="39"/>
  <c r="F80" i="39"/>
  <c r="D80" i="39"/>
  <c r="A80" i="39"/>
  <c r="F79" i="39"/>
  <c r="D79" i="39"/>
  <c r="A79" i="39"/>
  <c r="F78" i="39"/>
  <c r="D78" i="39"/>
  <c r="A78" i="39"/>
  <c r="F77" i="39"/>
  <c r="D77" i="39"/>
  <c r="A77" i="39"/>
  <c r="F76" i="39"/>
  <c r="D76" i="39"/>
  <c r="A76" i="39"/>
  <c r="F75" i="39"/>
  <c r="D75" i="39"/>
  <c r="A75" i="39"/>
  <c r="F74" i="39"/>
  <c r="D74" i="39"/>
  <c r="A74" i="39"/>
  <c r="F73" i="39"/>
  <c r="D73" i="39"/>
  <c r="A73" i="39"/>
  <c r="F72" i="39"/>
  <c r="D72" i="39"/>
  <c r="A72" i="39"/>
  <c r="F71" i="39"/>
  <c r="D71" i="39"/>
  <c r="A71" i="39"/>
  <c r="F70" i="39"/>
  <c r="D70" i="39"/>
  <c r="A70" i="39"/>
  <c r="F69" i="39"/>
  <c r="D69" i="39"/>
  <c r="A69" i="39"/>
  <c r="F68" i="39"/>
  <c r="D68" i="39"/>
  <c r="A68" i="39"/>
  <c r="F67" i="39"/>
  <c r="D67" i="39"/>
  <c r="A67" i="39"/>
  <c r="F66" i="39"/>
  <c r="D66" i="39"/>
  <c r="A66" i="39"/>
  <c r="F65" i="39"/>
  <c r="D65" i="39"/>
  <c r="A65" i="39"/>
  <c r="F64" i="39"/>
  <c r="D64" i="39"/>
  <c r="A64" i="39"/>
  <c r="F63" i="39"/>
  <c r="D63" i="39"/>
  <c r="A63" i="39"/>
  <c r="F62" i="39"/>
  <c r="D62" i="39"/>
  <c r="A62" i="39"/>
  <c r="F61" i="39"/>
  <c r="D61" i="39"/>
  <c r="A61" i="39"/>
  <c r="F60" i="39"/>
  <c r="D60" i="39"/>
  <c r="A60" i="39"/>
  <c r="F59" i="39"/>
  <c r="D59" i="39"/>
  <c r="A59" i="39"/>
  <c r="F58" i="39"/>
  <c r="D58" i="39"/>
  <c r="A58" i="39"/>
  <c r="F57" i="39"/>
  <c r="D57" i="39"/>
  <c r="A57" i="39"/>
  <c r="F56" i="39"/>
  <c r="D56" i="39"/>
  <c r="A56" i="39"/>
  <c r="F55" i="39"/>
  <c r="D55" i="39"/>
  <c r="A55" i="39"/>
  <c r="F54" i="39"/>
  <c r="D54" i="39"/>
  <c r="A54" i="39"/>
  <c r="F53" i="39"/>
  <c r="D53" i="39"/>
  <c r="A53" i="39"/>
  <c r="F52" i="39"/>
  <c r="D52" i="39"/>
  <c r="A52" i="39"/>
  <c r="F51" i="39"/>
  <c r="D51" i="39"/>
  <c r="A51" i="39"/>
  <c r="F50" i="39"/>
  <c r="D50" i="39"/>
  <c r="A50" i="39"/>
  <c r="F49" i="39"/>
  <c r="D49" i="39"/>
  <c r="A49" i="39"/>
  <c r="F48" i="39"/>
  <c r="D48" i="39"/>
  <c r="A48" i="39"/>
  <c r="F47" i="39"/>
  <c r="D47" i="39"/>
  <c r="A47" i="39"/>
  <c r="F46" i="39"/>
  <c r="D46" i="39"/>
  <c r="A46" i="39"/>
  <c r="F45" i="39"/>
  <c r="D45" i="39"/>
  <c r="A45" i="39"/>
  <c r="F44" i="39"/>
  <c r="D44" i="39"/>
  <c r="A44" i="39"/>
  <c r="F43" i="39"/>
  <c r="D43" i="39"/>
  <c r="A43" i="39"/>
  <c r="F42" i="39"/>
  <c r="D42" i="39"/>
  <c r="A42" i="39"/>
  <c r="F41" i="39"/>
  <c r="D41" i="39"/>
  <c r="A41" i="39"/>
  <c r="F40" i="39"/>
  <c r="D40" i="39"/>
  <c r="A40" i="39"/>
  <c r="F39" i="39"/>
  <c r="D39" i="39"/>
  <c r="A39" i="39"/>
  <c r="F38" i="39"/>
  <c r="D38" i="39"/>
  <c r="A38" i="39"/>
  <c r="F37" i="39"/>
  <c r="D37" i="39"/>
  <c r="A37" i="39"/>
  <c r="F36" i="39"/>
  <c r="D36" i="39"/>
  <c r="A36" i="39"/>
  <c r="F35" i="39"/>
  <c r="D35" i="39"/>
  <c r="A35" i="39"/>
  <c r="F34" i="39"/>
  <c r="D34" i="39"/>
  <c r="A34" i="39"/>
  <c r="F33" i="39"/>
  <c r="D33" i="39"/>
  <c r="A33" i="39"/>
  <c r="F32" i="39"/>
  <c r="D32" i="39"/>
  <c r="A32" i="39"/>
  <c r="F31" i="39"/>
  <c r="D31" i="39"/>
  <c r="A31" i="39"/>
  <c r="F30" i="39"/>
  <c r="D30" i="39"/>
  <c r="A30" i="39"/>
  <c r="F29" i="39"/>
  <c r="D29" i="39"/>
  <c r="A29" i="39"/>
  <c r="F28" i="39"/>
  <c r="D28" i="39"/>
  <c r="A28" i="39"/>
  <c r="F27" i="39"/>
  <c r="D27" i="39"/>
  <c r="A27" i="39"/>
  <c r="F26" i="39"/>
  <c r="D26" i="39"/>
  <c r="A26" i="39"/>
  <c r="F25" i="39"/>
  <c r="D25" i="39"/>
  <c r="A25" i="39"/>
  <c r="F24" i="39"/>
  <c r="D24" i="39"/>
  <c r="A24" i="39"/>
  <c r="F23" i="39"/>
  <c r="D23" i="39"/>
  <c r="A23" i="39"/>
  <c r="F22" i="39"/>
  <c r="D22" i="39"/>
  <c r="A22" i="39"/>
  <c r="F21" i="39"/>
  <c r="D21" i="39"/>
  <c r="A21" i="39"/>
  <c r="F20" i="39"/>
  <c r="D20" i="39"/>
  <c r="A20" i="39"/>
  <c r="F19" i="39"/>
  <c r="D19" i="39"/>
  <c r="A19" i="39"/>
  <c r="F18" i="39"/>
  <c r="D18" i="39"/>
  <c r="A18" i="39"/>
  <c r="F17" i="39"/>
  <c r="D17" i="39"/>
  <c r="A17" i="39"/>
  <c r="F16" i="39"/>
  <c r="D16" i="39"/>
  <c r="A16" i="39"/>
  <c r="F15" i="39"/>
  <c r="D15" i="39"/>
  <c r="A15" i="39"/>
  <c r="F14" i="39"/>
  <c r="D14" i="39"/>
  <c r="A14" i="39"/>
  <c r="F13" i="39"/>
  <c r="D13" i="39"/>
  <c r="A13" i="39"/>
  <c r="F12" i="39"/>
  <c r="D12" i="39"/>
  <c r="A12" i="39"/>
  <c r="F11" i="39"/>
  <c r="D11" i="39"/>
  <c r="A11" i="39"/>
  <c r="F10" i="39"/>
  <c r="D10" i="39"/>
  <c r="A10" i="39"/>
  <c r="F9" i="39"/>
  <c r="D9" i="39"/>
  <c r="A9" i="39"/>
  <c r="F8" i="39"/>
  <c r="D8" i="39"/>
  <c r="A8" i="39"/>
  <c r="I1" i="39"/>
  <c r="I2" i="39" s="1"/>
  <c r="B49" i="38"/>
  <c r="B29" i="38"/>
  <c r="B24" i="38"/>
  <c r="H71" i="36"/>
  <c r="H70" i="36"/>
  <c r="H69" i="36"/>
  <c r="H68" i="36"/>
  <c r="H67" i="36"/>
  <c r="H66" i="36"/>
  <c r="H65" i="36"/>
  <c r="H64" i="36"/>
  <c r="H63" i="36"/>
  <c r="S63" i="35"/>
  <c r="T63" i="35" s="1"/>
  <c r="S62" i="35"/>
  <c r="T62" i="35" s="1"/>
  <c r="S61" i="35"/>
  <c r="T61" i="35" s="1"/>
  <c r="S60" i="35"/>
  <c r="U60" i="35" s="1"/>
  <c r="S59" i="35"/>
  <c r="S58" i="35"/>
  <c r="U58" i="35" s="1"/>
  <c r="S57" i="35"/>
  <c r="S56" i="35"/>
  <c r="T56" i="35" s="1"/>
  <c r="S55" i="35"/>
  <c r="S54" i="35"/>
  <c r="V54" i="35" s="1"/>
  <c r="S53" i="35"/>
  <c r="T53" i="35" s="1"/>
  <c r="S52" i="35"/>
  <c r="S51" i="35"/>
  <c r="T51" i="35" s="1"/>
  <c r="S50" i="35"/>
  <c r="T50" i="35" s="1"/>
  <c r="S49" i="35"/>
  <c r="S48" i="35"/>
  <c r="T48" i="35" s="1"/>
  <c r="S47" i="35"/>
  <c r="S46" i="35"/>
  <c r="T46" i="35" s="1"/>
  <c r="S45" i="35"/>
  <c r="S44" i="35"/>
  <c r="S43" i="35"/>
  <c r="S42" i="35"/>
  <c r="S41" i="35"/>
  <c r="S40" i="35"/>
  <c r="T40" i="35" s="1"/>
  <c r="E31" i="33"/>
  <c r="E30" i="33"/>
  <c r="E29" i="33"/>
  <c r="E28" i="33"/>
  <c r="E27" i="33"/>
  <c r="E26" i="33"/>
  <c r="E25" i="33"/>
  <c r="E24" i="33"/>
  <c r="E23" i="33"/>
  <c r="E22" i="33"/>
  <c r="E21" i="33"/>
  <c r="E20" i="33"/>
  <c r="E19" i="33"/>
  <c r="E18" i="33"/>
  <c r="E17" i="33"/>
  <c r="E16" i="33"/>
  <c r="E15" i="33"/>
  <c r="E14" i="33"/>
  <c r="E13" i="33"/>
  <c r="E12" i="33"/>
  <c r="E11" i="33"/>
  <c r="E10" i="33"/>
  <c r="E9" i="33"/>
  <c r="E8" i="33"/>
  <c r="I3" i="39"/>
  <c r="I3" i="40"/>
  <c r="H3" i="41"/>
  <c r="I8" i="41" l="1"/>
  <c r="AN21" i="46"/>
  <c r="P17" i="40"/>
  <c r="O17" i="39"/>
  <c r="Q15" i="41"/>
  <c r="Q12" i="41"/>
  <c r="Q10" i="41"/>
  <c r="Q17" i="41"/>
  <c r="Q8" i="41"/>
  <c r="Q14" i="41"/>
  <c r="Q13" i="41"/>
  <c r="Q11" i="41"/>
  <c r="Q9" i="41"/>
  <c r="Q16" i="41"/>
  <c r="O15" i="41"/>
  <c r="O13" i="41"/>
  <c r="O11" i="41"/>
  <c r="O10" i="41"/>
  <c r="O17" i="41"/>
  <c r="O16" i="41"/>
  <c r="O14" i="41"/>
  <c r="O12" i="41"/>
  <c r="O9" i="41"/>
  <c r="O8" i="41"/>
  <c r="N11" i="41"/>
  <c r="N12" i="41"/>
  <c r="N13" i="41"/>
  <c r="N14" i="41"/>
  <c r="N15" i="41"/>
  <c r="N16" i="41"/>
  <c r="N9" i="41"/>
  <c r="N17" i="41"/>
  <c r="N10" i="41"/>
  <c r="N8" i="41"/>
  <c r="AM38" i="46"/>
  <c r="K17" i="44"/>
  <c r="I17" i="44"/>
  <c r="P16" i="40"/>
  <c r="P14" i="40"/>
  <c r="P15" i="40"/>
  <c r="P8" i="40"/>
  <c r="P9" i="40"/>
  <c r="P10" i="40"/>
  <c r="P11" i="40"/>
  <c r="P12" i="40"/>
  <c r="P13" i="40"/>
  <c r="L16" i="40"/>
  <c r="J16" i="40"/>
  <c r="L17" i="40"/>
  <c r="J17" i="40"/>
  <c r="O15" i="39"/>
  <c r="O14" i="39"/>
  <c r="O16" i="39"/>
  <c r="J17" i="39"/>
  <c r="L16" i="39"/>
  <c r="J16" i="39"/>
  <c r="K16" i="41"/>
  <c r="I16" i="41"/>
  <c r="B22" i="46"/>
  <c r="AN22" i="46" s="1"/>
  <c r="B39" i="46"/>
  <c r="AM39" i="46" s="1"/>
  <c r="F19" i="33"/>
  <c r="G19" i="33"/>
  <c r="F27" i="33"/>
  <c r="G27" i="33"/>
  <c r="F12" i="33"/>
  <c r="G12" i="33"/>
  <c r="F20" i="33"/>
  <c r="G20" i="33"/>
  <c r="F28" i="33"/>
  <c r="G28" i="33"/>
  <c r="F13" i="33"/>
  <c r="G13" i="33"/>
  <c r="F21" i="33"/>
  <c r="G21" i="33"/>
  <c r="F29" i="33"/>
  <c r="G29" i="33"/>
  <c r="F11" i="33"/>
  <c r="G11" i="33"/>
  <c r="F14" i="33"/>
  <c r="G14" i="33"/>
  <c r="F22" i="33"/>
  <c r="G22" i="33"/>
  <c r="F30" i="33"/>
  <c r="G30" i="33"/>
  <c r="F23" i="33"/>
  <c r="G23" i="33"/>
  <c r="F31" i="33"/>
  <c r="G31" i="33"/>
  <c r="F8" i="33"/>
  <c r="G8" i="33"/>
  <c r="F16" i="33"/>
  <c r="G16" i="33"/>
  <c r="F24" i="33"/>
  <c r="G24" i="33"/>
  <c r="F9" i="33"/>
  <c r="G9" i="33"/>
  <c r="F17" i="33"/>
  <c r="G17" i="33"/>
  <c r="F25" i="33"/>
  <c r="G25" i="33"/>
  <c r="F15" i="33"/>
  <c r="G15" i="33"/>
  <c r="F10" i="33"/>
  <c r="G10" i="33"/>
  <c r="F18" i="33"/>
  <c r="G18" i="33"/>
  <c r="F26" i="33"/>
  <c r="G26" i="33"/>
  <c r="J13" i="40"/>
  <c r="J14" i="40"/>
  <c r="J15" i="40"/>
  <c r="L13" i="40"/>
  <c r="L14" i="40"/>
  <c r="L15" i="40"/>
  <c r="L12" i="40"/>
  <c r="J12" i="40"/>
  <c r="L11" i="40"/>
  <c r="J11" i="40"/>
  <c r="L10" i="40"/>
  <c r="J10" i="40"/>
  <c r="J9" i="40"/>
  <c r="L9" i="40"/>
  <c r="J8" i="40"/>
  <c r="L8" i="40"/>
  <c r="I16" i="44"/>
  <c r="G59" i="43"/>
  <c r="G91" i="43"/>
  <c r="G62" i="43"/>
  <c r="G94" i="43"/>
  <c r="G65" i="43"/>
  <c r="G97" i="43"/>
  <c r="G129" i="43"/>
  <c r="G60" i="43"/>
  <c r="G92" i="43"/>
  <c r="G124" i="43"/>
  <c r="G119" i="43"/>
  <c r="G104" i="43"/>
  <c r="G127" i="43"/>
  <c r="G66" i="43"/>
  <c r="G98" i="43"/>
  <c r="G77" i="43"/>
  <c r="G109" i="43"/>
  <c r="G72" i="43"/>
  <c r="H111" i="43"/>
  <c r="G67" i="43"/>
  <c r="G99" i="43"/>
  <c r="G70" i="43"/>
  <c r="G102" i="43"/>
  <c r="G73" i="43"/>
  <c r="G105" i="43"/>
  <c r="G103" i="43"/>
  <c r="G68" i="43"/>
  <c r="G100" i="43"/>
  <c r="G63" i="43"/>
  <c r="G106" i="43"/>
  <c r="G112" i="43"/>
  <c r="G114" i="43"/>
  <c r="G74" i="43"/>
  <c r="H75" i="43" s="1"/>
  <c r="G123" i="43"/>
  <c r="G85" i="43"/>
  <c r="G117" i="43"/>
  <c r="G80" i="43"/>
  <c r="H102" i="43"/>
  <c r="H93" i="43"/>
  <c r="G75" i="43"/>
  <c r="H77" i="43" s="1"/>
  <c r="G107" i="43"/>
  <c r="G78" i="43"/>
  <c r="G110" i="43"/>
  <c r="G81" i="43"/>
  <c r="G113" i="43"/>
  <c r="G111" i="43"/>
  <c r="G76" i="43"/>
  <c r="H97" i="43" s="1"/>
  <c r="G108" i="43"/>
  <c r="G87" i="43"/>
  <c r="G122" i="43"/>
  <c r="G71" i="43"/>
  <c r="G120" i="43"/>
  <c r="G82" i="43"/>
  <c r="G61" i="43"/>
  <c r="G93" i="43"/>
  <c r="G125" i="43"/>
  <c r="G88" i="43"/>
  <c r="H80" i="43"/>
  <c r="H112" i="43"/>
  <c r="H83" i="43"/>
  <c r="H115" i="43"/>
  <c r="H78" i="43"/>
  <c r="H110" i="43"/>
  <c r="H76" i="43"/>
  <c r="I99" i="43" s="1"/>
  <c r="H95" i="43"/>
  <c r="H127" i="43"/>
  <c r="H81" i="43"/>
  <c r="H113" i="43"/>
  <c r="H108" i="43"/>
  <c r="H79" i="43"/>
  <c r="H82" i="43"/>
  <c r="H114" i="43"/>
  <c r="H117" i="43"/>
  <c r="I88" i="43"/>
  <c r="I115" i="43"/>
  <c r="I129" i="43"/>
  <c r="I117" i="43"/>
  <c r="I84" i="43"/>
  <c r="I106" i="43"/>
  <c r="I79" i="43"/>
  <c r="G83" i="43"/>
  <c r="G115" i="43"/>
  <c r="G86" i="43"/>
  <c r="G118" i="43"/>
  <c r="G89" i="43"/>
  <c r="G121" i="43"/>
  <c r="G128" i="43"/>
  <c r="G84" i="43"/>
  <c r="G116" i="43"/>
  <c r="G95" i="43"/>
  <c r="G130" i="43"/>
  <c r="G79" i="43"/>
  <c r="G126" i="43"/>
  <c r="G90" i="43"/>
  <c r="G69" i="43"/>
  <c r="H68" i="43" s="1"/>
  <c r="G101" i="43"/>
  <c r="G64" i="43"/>
  <c r="G96" i="43"/>
  <c r="H88" i="43"/>
  <c r="H91" i="43"/>
  <c r="H123" i="43"/>
  <c r="H86" i="43"/>
  <c r="H118" i="43"/>
  <c r="H84" i="43"/>
  <c r="H103" i="43"/>
  <c r="H101" i="43"/>
  <c r="H89" i="43"/>
  <c r="H121" i="43"/>
  <c r="H124" i="43"/>
  <c r="H109" i="43"/>
  <c r="H87" i="43"/>
  <c r="H90" i="43"/>
  <c r="H122" i="43"/>
  <c r="H128" i="43"/>
  <c r="I85" i="43"/>
  <c r="I96" i="43"/>
  <c r="I91" i="43"/>
  <c r="I123" i="43"/>
  <c r="I114" i="43"/>
  <c r="I78" i="43"/>
  <c r="I110" i="43"/>
  <c r="I81" i="43"/>
  <c r="I116" i="43"/>
  <c r="I105" i="43"/>
  <c r="I108" i="43"/>
  <c r="I17" i="41"/>
  <c r="K17" i="41"/>
  <c r="L15" i="39"/>
  <c r="AN34" i="46"/>
  <c r="K16" i="44"/>
  <c r="S15" i="39"/>
  <c r="D15" i="45"/>
  <c r="E15" i="45" s="1"/>
  <c r="AN27" i="46"/>
  <c r="J15" i="39"/>
  <c r="T7" i="45"/>
  <c r="G53" i="43"/>
  <c r="G57" i="43"/>
  <c r="G54" i="43"/>
  <c r="G58" i="43"/>
  <c r="G51" i="43"/>
  <c r="G55" i="43"/>
  <c r="G52" i="43"/>
  <c r="G56" i="43"/>
  <c r="G134" i="43"/>
  <c r="I144" i="43"/>
  <c r="G144" i="43"/>
  <c r="H131" i="43"/>
  <c r="G131" i="43"/>
  <c r="H149" i="43"/>
  <c r="G143" i="43"/>
  <c r="H132" i="43"/>
  <c r="G141" i="43"/>
  <c r="G136" i="43"/>
  <c r="H135" i="43"/>
  <c r="G133" i="43"/>
  <c r="I149" i="43"/>
  <c r="I136" i="43"/>
  <c r="G135" i="43"/>
  <c r="G148" i="43"/>
  <c r="I135" i="43"/>
  <c r="G140" i="43"/>
  <c r="G132" i="43"/>
  <c r="G139" i="43"/>
  <c r="G147" i="43"/>
  <c r="I142" i="43"/>
  <c r="I143" i="43"/>
  <c r="H138" i="43"/>
  <c r="I141" i="43"/>
  <c r="G149" i="43"/>
  <c r="H139" i="43"/>
  <c r="I147" i="43"/>
  <c r="I146" i="43"/>
  <c r="I145" i="43"/>
  <c r="G8" i="43"/>
  <c r="I134" i="43"/>
  <c r="I138" i="43"/>
  <c r="H147" i="43"/>
  <c r="H146" i="43"/>
  <c r="H136" i="43"/>
  <c r="I133" i="43"/>
  <c r="I140" i="43"/>
  <c r="I139" i="43"/>
  <c r="H144" i="43"/>
  <c r="H133" i="43"/>
  <c r="H143" i="43"/>
  <c r="H148" i="43"/>
  <c r="G138" i="43"/>
  <c r="H134" i="43"/>
  <c r="G146" i="43"/>
  <c r="I132" i="43"/>
  <c r="I131" i="43"/>
  <c r="H141" i="43"/>
  <c r="H137" i="43"/>
  <c r="H140" i="43"/>
  <c r="H145" i="43"/>
  <c r="G145" i="43"/>
  <c r="I137" i="43"/>
  <c r="G137" i="43"/>
  <c r="H142" i="43"/>
  <c r="G142" i="43"/>
  <c r="I148" i="43"/>
  <c r="G12" i="43"/>
  <c r="G16" i="43"/>
  <c r="G20" i="43"/>
  <c r="G24" i="43"/>
  <c r="G28" i="43"/>
  <c r="G32" i="43"/>
  <c r="G36" i="43"/>
  <c r="G40" i="43"/>
  <c r="G44" i="43"/>
  <c r="G48" i="43"/>
  <c r="G9" i="43"/>
  <c r="G13" i="43"/>
  <c r="G17" i="43"/>
  <c r="G21" i="43"/>
  <c r="G25" i="43"/>
  <c r="G29" i="43"/>
  <c r="G33" i="43"/>
  <c r="G37" i="43"/>
  <c r="G41" i="43"/>
  <c r="G45" i="43"/>
  <c r="G49" i="43"/>
  <c r="G10" i="43"/>
  <c r="G14" i="43"/>
  <c r="G18" i="43"/>
  <c r="G22" i="43"/>
  <c r="G26" i="43"/>
  <c r="G30" i="43"/>
  <c r="G34" i="43"/>
  <c r="G38" i="43"/>
  <c r="G42" i="43"/>
  <c r="G46" i="43"/>
  <c r="G50" i="43"/>
  <c r="H53" i="43" s="1"/>
  <c r="G11" i="43"/>
  <c r="G15" i="43"/>
  <c r="G19" i="43"/>
  <c r="H18" i="43" s="1"/>
  <c r="G23" i="43"/>
  <c r="G27" i="43"/>
  <c r="G31" i="43"/>
  <c r="G35" i="43"/>
  <c r="G39" i="43"/>
  <c r="G43" i="43"/>
  <c r="G47" i="43"/>
  <c r="J9" i="45"/>
  <c r="M13" i="45"/>
  <c r="B45" i="38"/>
  <c r="M18" i="45"/>
  <c r="V40" i="35"/>
  <c r="V56" i="35"/>
  <c r="V50" i="35"/>
  <c r="U48" i="35"/>
  <c r="V48" i="35"/>
  <c r="U50" i="35"/>
  <c r="B41" i="38"/>
  <c r="B28" i="38"/>
  <c r="D7" i="45"/>
  <c r="T42" i="35"/>
  <c r="V42" i="35"/>
  <c r="V47" i="35"/>
  <c r="U47" i="35"/>
  <c r="V55" i="35"/>
  <c r="U55" i="35"/>
  <c r="T55" i="35"/>
  <c r="U42" i="35"/>
  <c r="T47" i="35"/>
  <c r="V61" i="35"/>
  <c r="U61" i="35"/>
  <c r="V41" i="35"/>
  <c r="U41" i="35"/>
  <c r="T41" i="35"/>
  <c r="T44" i="35"/>
  <c r="V44" i="35"/>
  <c r="U44" i="35"/>
  <c r="T58" i="35"/>
  <c r="V58" i="35"/>
  <c r="V63" i="35"/>
  <c r="U63" i="35"/>
  <c r="T52" i="35"/>
  <c r="V52" i="35"/>
  <c r="U52" i="35"/>
  <c r="V45" i="35"/>
  <c r="U45" i="35"/>
  <c r="T60" i="35"/>
  <c r="V60" i="35"/>
  <c r="V57" i="35"/>
  <c r="U57" i="35"/>
  <c r="T57" i="35"/>
  <c r="T45" i="35"/>
  <c r="T54" i="35"/>
  <c r="U54" i="35"/>
  <c r="V51" i="35"/>
  <c r="U51" i="35"/>
  <c r="V49" i="35"/>
  <c r="U49" i="35"/>
  <c r="V43" i="35"/>
  <c r="U43" i="35"/>
  <c r="U46" i="35"/>
  <c r="T49" i="35"/>
  <c r="V59" i="35"/>
  <c r="U59" i="35"/>
  <c r="U62" i="35"/>
  <c r="U40" i="35"/>
  <c r="T43" i="35"/>
  <c r="V46" i="35"/>
  <c r="V53" i="35"/>
  <c r="U53" i="35"/>
  <c r="U56" i="35"/>
  <c r="T59" i="35"/>
  <c r="V62" i="35"/>
  <c r="P9" i="41" l="1"/>
  <c r="L17" i="44"/>
  <c r="N16" i="40"/>
  <c r="L16" i="41"/>
  <c r="J17" i="44"/>
  <c r="N17" i="40"/>
  <c r="M17" i="40"/>
  <c r="M16" i="40"/>
  <c r="K17" i="40"/>
  <c r="K16" i="40"/>
  <c r="K14" i="40"/>
  <c r="M15" i="40"/>
  <c r="M16" i="39"/>
  <c r="M17" i="39"/>
  <c r="K17" i="39"/>
  <c r="K16" i="39"/>
  <c r="J16" i="41"/>
  <c r="K15" i="40"/>
  <c r="AO15" i="46"/>
  <c r="AO19" i="46"/>
  <c r="AO18" i="46"/>
  <c r="AO13" i="46"/>
  <c r="AO11" i="46"/>
  <c r="AO16" i="46"/>
  <c r="AO12" i="46"/>
  <c r="AO14" i="46"/>
  <c r="AO17" i="46"/>
  <c r="AO10" i="46"/>
  <c r="H74" i="43"/>
  <c r="I89" i="43"/>
  <c r="I109" i="43"/>
  <c r="I100" i="43"/>
  <c r="I77" i="43"/>
  <c r="I119" i="43"/>
  <c r="I102" i="43"/>
  <c r="I124" i="43"/>
  <c r="I104" i="43"/>
  <c r="I92" i="43"/>
  <c r="I103" i="43"/>
  <c r="I83" i="43"/>
  <c r="I120" i="43"/>
  <c r="I126" i="43"/>
  <c r="H106" i="43"/>
  <c r="H107" i="43"/>
  <c r="I128" i="43"/>
  <c r="I93" i="43"/>
  <c r="H92" i="43"/>
  <c r="I130" i="43"/>
  <c r="I94" i="43"/>
  <c r="H104" i="43"/>
  <c r="I113" i="43"/>
  <c r="H85" i="43"/>
  <c r="H126" i="43"/>
  <c r="I111" i="43"/>
  <c r="I121" i="43"/>
  <c r="H120" i="43"/>
  <c r="I118" i="43"/>
  <c r="H130" i="43"/>
  <c r="H94" i="43"/>
  <c r="I90" i="43"/>
  <c r="I107" i="43"/>
  <c r="H100" i="43"/>
  <c r="I86" i="43"/>
  <c r="H98" i="43"/>
  <c r="H99" i="43"/>
  <c r="I127" i="43"/>
  <c r="I112" i="43"/>
  <c r="H105" i="43"/>
  <c r="I82" i="43"/>
  <c r="I125" i="43"/>
  <c r="H125" i="43"/>
  <c r="H96" i="43"/>
  <c r="I95" i="43"/>
  <c r="I80" i="43"/>
  <c r="H119" i="43"/>
  <c r="I87" i="43"/>
  <c r="I97" i="43"/>
  <c r="H129" i="43"/>
  <c r="I98" i="43"/>
  <c r="I101" i="43"/>
  <c r="H116" i="43"/>
  <c r="I122" i="43"/>
  <c r="H11" i="43"/>
  <c r="I76" i="43"/>
  <c r="H15" i="43"/>
  <c r="H9" i="43"/>
  <c r="H28" i="43"/>
  <c r="H22" i="43"/>
  <c r="H31" i="43"/>
  <c r="H27" i="43"/>
  <c r="H50" i="43"/>
  <c r="H21" i="43"/>
  <c r="H59" i="43"/>
  <c r="H47" i="43"/>
  <c r="H17" i="43"/>
  <c r="H54" i="43"/>
  <c r="H73" i="43"/>
  <c r="H64" i="43"/>
  <c r="H42" i="43"/>
  <c r="H10" i="43"/>
  <c r="H20" i="43"/>
  <c r="H57" i="43"/>
  <c r="H66" i="43"/>
  <c r="H38" i="43"/>
  <c r="H55" i="43"/>
  <c r="H37" i="43"/>
  <c r="H56" i="43"/>
  <c r="H30" i="43"/>
  <c r="H39" i="43"/>
  <c r="H23" i="43"/>
  <c r="H46" i="43"/>
  <c r="H26" i="43"/>
  <c r="H14" i="43"/>
  <c r="H25" i="43"/>
  <c r="H16" i="43"/>
  <c r="H69" i="43"/>
  <c r="H61" i="43"/>
  <c r="H72" i="43"/>
  <c r="H63" i="43"/>
  <c r="H35" i="43"/>
  <c r="H34" i="43"/>
  <c r="H45" i="43"/>
  <c r="H33" i="43"/>
  <c r="H36" i="43"/>
  <c r="H62" i="43"/>
  <c r="H13" i="43"/>
  <c r="H44" i="43"/>
  <c r="H24" i="43"/>
  <c r="H12" i="43"/>
  <c r="H60" i="43"/>
  <c r="H43" i="43"/>
  <c r="H32" i="43"/>
  <c r="H51" i="43"/>
  <c r="H71" i="43"/>
  <c r="H67" i="43"/>
  <c r="H41" i="43"/>
  <c r="H8" i="43"/>
  <c r="H70" i="43"/>
  <c r="H65" i="43"/>
  <c r="H19" i="43"/>
  <c r="H49" i="43"/>
  <c r="H40" i="43"/>
  <c r="H52" i="43"/>
  <c r="H58" i="43"/>
  <c r="H29" i="43"/>
  <c r="H48" i="43"/>
  <c r="N10" i="40"/>
  <c r="K9" i="40"/>
  <c r="K8" i="40"/>
  <c r="N12" i="40"/>
  <c r="K13" i="40"/>
  <c r="K11" i="40"/>
  <c r="K12" i="40"/>
  <c r="N9" i="40"/>
  <c r="K10" i="40"/>
  <c r="N11" i="40"/>
  <c r="N15" i="40"/>
  <c r="N14" i="40"/>
  <c r="N8" i="40"/>
  <c r="N13" i="40"/>
  <c r="L16" i="44"/>
  <c r="J17" i="41"/>
  <c r="L17" i="41"/>
  <c r="J16" i="44"/>
  <c r="S14" i="39"/>
  <c r="Q14" i="39"/>
  <c r="Q15" i="39"/>
  <c r="K15" i="39"/>
  <c r="M15" i="39"/>
  <c r="K15" i="44"/>
  <c r="I15" i="44"/>
  <c r="AO22" i="46"/>
  <c r="AN33" i="46"/>
  <c r="AN31" i="46"/>
  <c r="R8" i="41"/>
  <c r="S10" i="39"/>
  <c r="R17" i="41"/>
  <c r="R9" i="41"/>
  <c r="D16" i="45"/>
  <c r="E16" i="45" s="1"/>
  <c r="D12" i="45"/>
  <c r="E12" i="45" s="1"/>
  <c r="R10" i="41"/>
  <c r="R15" i="41"/>
  <c r="D14" i="45"/>
  <c r="E14" i="45" s="1"/>
  <c r="R12" i="41"/>
  <c r="Q13" i="39"/>
  <c r="R14" i="41"/>
  <c r="P11" i="41"/>
  <c r="Q8" i="39"/>
  <c r="D11" i="45"/>
  <c r="E11" i="45" s="1"/>
  <c r="S11" i="39"/>
  <c r="S9" i="39"/>
  <c r="P16" i="41"/>
  <c r="R13" i="41"/>
  <c r="Q12" i="39"/>
  <c r="D10" i="45"/>
  <c r="E10" i="45" s="1"/>
  <c r="K15" i="41"/>
  <c r="I15" i="41"/>
  <c r="D20" i="45"/>
  <c r="E20" i="45" s="1"/>
  <c r="P15" i="41"/>
  <c r="P14" i="41"/>
  <c r="S13" i="39"/>
  <c r="S8" i="39"/>
  <c r="AN30" i="46"/>
  <c r="D17" i="45"/>
  <c r="E17" i="45" s="1"/>
  <c r="P12" i="41"/>
  <c r="Q10" i="39"/>
  <c r="D9" i="45"/>
  <c r="E9" i="45" s="1"/>
  <c r="P13" i="41"/>
  <c r="AN36" i="46"/>
  <c r="AN28" i="46"/>
  <c r="D13" i="45"/>
  <c r="E13" i="45" s="1"/>
  <c r="P10" i="41"/>
  <c r="R11" i="41"/>
  <c r="R16" i="41"/>
  <c r="P8" i="41"/>
  <c r="L14" i="39"/>
  <c r="I13" i="39"/>
  <c r="O13" i="39" s="1"/>
  <c r="J14" i="39"/>
  <c r="M14" i="40" s="1"/>
  <c r="Q9" i="39"/>
  <c r="AN39" i="46"/>
  <c r="AN29" i="46"/>
  <c r="AN35" i="46"/>
  <c r="AN32" i="46"/>
  <c r="D18" i="45"/>
  <c r="E18" i="45" s="1"/>
  <c r="P17" i="41"/>
  <c r="Q11" i="39"/>
  <c r="S12" i="39"/>
  <c r="I66" i="43" l="1"/>
  <c r="I75" i="43"/>
  <c r="I74" i="43"/>
  <c r="I20" i="43"/>
  <c r="I52" i="43"/>
  <c r="I55" i="43"/>
  <c r="I32" i="43"/>
  <c r="I45" i="43"/>
  <c r="I12" i="43"/>
  <c r="I56" i="43"/>
  <c r="I53" i="43"/>
  <c r="I54" i="43"/>
  <c r="I57" i="43"/>
  <c r="I39" i="43"/>
  <c r="I25" i="43"/>
  <c r="I43" i="43"/>
  <c r="I41" i="43"/>
  <c r="I69" i="43"/>
  <c r="I24" i="43"/>
  <c r="I70" i="43"/>
  <c r="I73" i="43"/>
  <c r="I72" i="43"/>
  <c r="I71" i="43"/>
  <c r="I44" i="43"/>
  <c r="I38" i="43"/>
  <c r="I68" i="43"/>
  <c r="I23" i="43"/>
  <c r="I58" i="43"/>
  <c r="I61" i="43"/>
  <c r="I59" i="43"/>
  <c r="I60" i="43"/>
  <c r="I9" i="43"/>
  <c r="I8" i="43"/>
  <c r="I51" i="43"/>
  <c r="I42" i="43"/>
  <c r="I40" i="43"/>
  <c r="I67" i="43"/>
  <c r="I22" i="43"/>
  <c r="I36" i="43"/>
  <c r="I35" i="43"/>
  <c r="I37" i="43"/>
  <c r="I34" i="43"/>
  <c r="I15" i="43"/>
  <c r="I16" i="43"/>
  <c r="I17" i="43"/>
  <c r="I14" i="43"/>
  <c r="I13" i="43"/>
  <c r="I21" i="43"/>
  <c r="I26" i="43"/>
  <c r="I27" i="43"/>
  <c r="I28" i="43"/>
  <c r="I29" i="43"/>
  <c r="I11" i="43"/>
  <c r="I19" i="43"/>
  <c r="I33" i="43"/>
  <c r="I48" i="43"/>
  <c r="I49" i="43"/>
  <c r="I46" i="43"/>
  <c r="I47" i="43"/>
  <c r="I10" i="43"/>
  <c r="I18" i="43"/>
  <c r="I31" i="43"/>
  <c r="I50" i="43"/>
  <c r="I30" i="43"/>
  <c r="I62" i="43"/>
  <c r="I64" i="43"/>
  <c r="I65" i="43"/>
  <c r="I63" i="43"/>
  <c r="L15" i="44"/>
  <c r="K14" i="44"/>
  <c r="I14" i="44"/>
  <c r="J15" i="44"/>
  <c r="L15" i="41"/>
  <c r="M14" i="39"/>
  <c r="I12" i="39"/>
  <c r="O12" i="39" s="1"/>
  <c r="J13" i="39"/>
  <c r="M13" i="40" s="1"/>
  <c r="L13" i="39"/>
  <c r="K14" i="39"/>
  <c r="I14" i="41"/>
  <c r="K14" i="41"/>
  <c r="D19" i="45"/>
  <c r="E19" i="45" s="1"/>
  <c r="J15" i="41"/>
  <c r="L14" i="44" l="1"/>
  <c r="K13" i="44"/>
  <c r="I13" i="44"/>
  <c r="J14" i="44"/>
  <c r="D21" i="45"/>
  <c r="E21" i="45" s="1"/>
  <c r="K13" i="39"/>
  <c r="L14" i="41"/>
  <c r="M13" i="39"/>
  <c r="J14" i="41"/>
  <c r="L12" i="39"/>
  <c r="I11" i="39"/>
  <c r="O11" i="39" s="1"/>
  <c r="J12" i="39"/>
  <c r="M12" i="40" s="1"/>
  <c r="K13" i="41"/>
  <c r="I13" i="41"/>
  <c r="J13" i="44" l="1"/>
  <c r="L13" i="44"/>
  <c r="I12" i="44"/>
  <c r="K12" i="44"/>
  <c r="K12" i="39"/>
  <c r="J13" i="41"/>
  <c r="M12" i="39"/>
  <c r="L11" i="39"/>
  <c r="I10" i="39"/>
  <c r="O10" i="39" s="1"/>
  <c r="J11" i="39"/>
  <c r="M11" i="40" s="1"/>
  <c r="L13" i="41"/>
  <c r="I12" i="41"/>
  <c r="K12" i="41"/>
  <c r="J12" i="44" l="1"/>
  <c r="L12" i="44"/>
  <c r="K11" i="44"/>
  <c r="I11" i="44"/>
  <c r="L12" i="41"/>
  <c r="M11" i="39"/>
  <c r="J12" i="41"/>
  <c r="J10" i="39"/>
  <c r="M10" i="40" s="1"/>
  <c r="L10" i="39"/>
  <c r="I9" i="39"/>
  <c r="O9" i="39" s="1"/>
  <c r="K11" i="39"/>
  <c r="I11" i="41"/>
  <c r="K11" i="41"/>
  <c r="I8" i="39" l="1"/>
  <c r="O8" i="39" s="1"/>
  <c r="J11" i="44"/>
  <c r="L11" i="44"/>
  <c r="K10" i="44"/>
  <c r="I10" i="44"/>
  <c r="J11" i="41"/>
  <c r="K10" i="39"/>
  <c r="M10" i="39"/>
  <c r="K10" i="41"/>
  <c r="I10" i="41"/>
  <c r="L9" i="39"/>
  <c r="J9" i="39"/>
  <c r="M9" i="40" s="1"/>
  <c r="L11" i="41"/>
  <c r="J8" i="39" l="1"/>
  <c r="L8" i="39"/>
  <c r="L10" i="44"/>
  <c r="I9" i="44"/>
  <c r="K9" i="44"/>
  <c r="J10" i="44"/>
  <c r="M9" i="39"/>
  <c r="L10" i="41"/>
  <c r="K9" i="39"/>
  <c r="I9" i="41"/>
  <c r="K9" i="41"/>
  <c r="J10" i="41"/>
  <c r="K8" i="39" l="1"/>
  <c r="M8" i="39"/>
  <c r="M8" i="40"/>
  <c r="L9" i="44"/>
  <c r="J9" i="44"/>
  <c r="K8" i="44"/>
  <c r="I8" i="44"/>
  <c r="J9" i="41"/>
  <c r="K8" i="41"/>
  <c r="L9" i="41"/>
  <c r="L8" i="44" l="1"/>
  <c r="J8" i="44"/>
  <c r="L8" i="41"/>
  <c r="J8"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<sst xmlns="http://schemas.openxmlformats.org/spreadsheetml/2006/main" count="6779" uniqueCount="1412">
  <si>
    <t>% difference</t>
  </si>
  <si>
    <t>% Difference</t>
  </si>
  <si>
    <t>Unit</t>
  </si>
  <si>
    <t>US$</t>
  </si>
  <si>
    <t>A$</t>
  </si>
  <si>
    <t>bbl</t>
  </si>
  <si>
    <t>Alumina</t>
  </si>
  <si>
    <t>t</t>
  </si>
  <si>
    <t>Gold</t>
  </si>
  <si>
    <t>oz</t>
  </si>
  <si>
    <t>Nickel</t>
  </si>
  <si>
    <t>Cobalt</t>
  </si>
  <si>
    <t>Ilmenite</t>
  </si>
  <si>
    <t>Rutile</t>
  </si>
  <si>
    <t>Zircon</t>
  </si>
  <si>
    <t>Copper</t>
  </si>
  <si>
    <t>Lead</t>
  </si>
  <si>
    <t>Zinc</t>
  </si>
  <si>
    <t>All items</t>
  </si>
  <si>
    <t>Non-rural component</t>
  </si>
  <si>
    <t>SDR</t>
  </si>
  <si>
    <t>Source</t>
  </si>
  <si>
    <t>:</t>
  </si>
  <si>
    <t>Sources</t>
  </si>
  <si>
    <t>Quarter</t>
  </si>
  <si>
    <t>Last 24 Months</t>
  </si>
  <si>
    <t>Trade Weighted Index</t>
  </si>
  <si>
    <t>Exchange Rates</t>
  </si>
  <si>
    <t>Reserve Bank of Australia (RBA)</t>
  </si>
  <si>
    <t>RBA Statistical Tables</t>
  </si>
  <si>
    <t>RBA Historical Data and Exchange Rates</t>
  </si>
  <si>
    <t>Data</t>
  </si>
  <si>
    <t>Link</t>
  </si>
  <si>
    <t>Economic Summaries</t>
  </si>
  <si>
    <t>Exports</t>
  </si>
  <si>
    <t>Mining Investment</t>
  </si>
  <si>
    <t>Western Australia (A$ Million)</t>
  </si>
  <si>
    <t>New Capital Expenditure</t>
  </si>
  <si>
    <t>WA</t>
  </si>
  <si>
    <t>Period</t>
  </si>
  <si>
    <t>Petroleum Exploration Expenditure</t>
  </si>
  <si>
    <t>Mineral Exploration</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</si>
  <si>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</si>
  <si>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</si>
  <si>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</si>
  <si>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</si>
  <si>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</si>
  <si>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</si>
  <si>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</si>
  <si>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</si>
  <si>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</si>
  <si>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</si>
  <si>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</si>
  <si>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</si>
  <si>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</si>
  <si>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</si>
  <si>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</si>
  <si>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</si>
  <si>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</si>
  <si>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</si>
  <si>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Mincor Operations Pty Ltd</t>
  </si>
  <si>
    <t>Murrin Murrin Operations Pty Ltd</t>
  </si>
  <si>
    <t>Salt Lake Mining Pty Ltd</t>
  </si>
  <si>
    <t>Salt</t>
  </si>
  <si>
    <t>Western Salt Refinery Pty Ltd</t>
  </si>
  <si>
    <t>Tin, Tantalum and Lithium</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</si>
  <si>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</si>
  <si>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</si>
  <si>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</si>
  <si>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</si>
  <si>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</si>
  <si>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</si>
  <si>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</si>
  <si>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</si>
  <si>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</si>
  <si>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</si>
  <si>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</si>
  <si>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</si>
  <si>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</si>
  <si>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</si>
  <si>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</si>
  <si>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</si>
  <si>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APA Group</t>
  </si>
  <si>
    <t>Mondarra Gas Storage Facility</t>
  </si>
  <si>
    <t>Plutonic Lateral</t>
  </si>
  <si>
    <t>Goldfields Gas Transmission Pty Ltd</t>
  </si>
  <si>
    <t>Goldfields Gas Pipeline</t>
  </si>
  <si>
    <t>Midwest Joint Venture</t>
  </si>
  <si>
    <t>Mid West Pipeline</t>
  </si>
  <si>
    <t>Neerabup Pipeline-PL75</t>
  </si>
  <si>
    <t>Newmont Yandal Operations Pty Ltd</t>
  </si>
  <si>
    <t>Jundee Lateral</t>
  </si>
  <si>
    <t>Pilbara Iron</t>
  </si>
  <si>
    <t>Magellan Lateral</t>
  </si>
  <si>
    <t>Arrowsmith Stabilisation Facility</t>
  </si>
  <si>
    <t>Commodity</t>
  </si>
  <si>
    <t>Iron ore</t>
  </si>
  <si>
    <t>Total</t>
  </si>
  <si>
    <t>Diamond</t>
  </si>
  <si>
    <t>Chart Data</t>
  </si>
  <si>
    <t>Click above to change chart data</t>
  </si>
  <si>
    <t>Employment</t>
  </si>
  <si>
    <t>Exploration and Investment</t>
  </si>
  <si>
    <t>Total A$</t>
  </si>
  <si>
    <t>%</t>
  </si>
  <si>
    <t>Copper, Lead &amp; Zinc</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</si>
  <si>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</si>
  <si>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</si>
  <si>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</si>
  <si>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</si>
  <si>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</si>
  <si>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</si>
  <si>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</si>
  <si>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</si>
  <si>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</si>
  <si>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</si>
  <si>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</si>
  <si>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</si>
  <si>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</si>
  <si>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</si>
  <si>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</si>
  <si>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</si>
  <si>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</si>
  <si>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</si>
  <si>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</si>
  <si>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</si>
  <si>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</si>
  <si>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</si>
  <si>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</si>
  <si>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</si>
  <si>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</si>
  <si>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</si>
  <si>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</si>
  <si>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</si>
  <si>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</si>
  <si>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</si>
  <si>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</si>
  <si>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</si>
  <si>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</si>
  <si>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</si>
  <si>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Total Mining FTEs</t>
  </si>
  <si>
    <t>Total FTEs</t>
  </si>
  <si>
    <t xml:space="preserve">Iron Ore                           </t>
  </si>
  <si>
    <t xml:space="preserve">Bauxite - Alumina                  </t>
  </si>
  <si>
    <t xml:space="preserve">Nickel                             </t>
  </si>
  <si>
    <t xml:space="preserve">Diamond                            </t>
  </si>
  <si>
    <t xml:space="preserve">Coal                               </t>
  </si>
  <si>
    <t xml:space="preserve">Salt                               </t>
  </si>
  <si>
    <t xml:space="preserve">Construction Materials             </t>
  </si>
  <si>
    <t>Total Re-Export</t>
  </si>
  <si>
    <t>New South Wales</t>
  </si>
  <si>
    <t>Victoria</t>
  </si>
  <si>
    <t>Queensland</t>
  </si>
  <si>
    <t>South Australia</t>
  </si>
  <si>
    <t>Western Australia</t>
  </si>
  <si>
    <t>Tasmania</t>
  </si>
  <si>
    <t>Northern Territory</t>
  </si>
  <si>
    <t>Australian Capital Territory</t>
  </si>
  <si>
    <t>No State Available</t>
  </si>
  <si>
    <t>Total Other</t>
  </si>
  <si>
    <t>State</t>
  </si>
  <si>
    <t>WA vs Australia vs The World</t>
  </si>
  <si>
    <t>Royalties</t>
  </si>
  <si>
    <t>Historic royalty receipts and North West Shelf grants, 1984-present.</t>
  </si>
  <si>
    <t>$ million</t>
  </si>
  <si>
    <t>WA minerals</t>
  </si>
  <si>
    <t>WA petroleum</t>
  </si>
  <si>
    <t>Million barrels</t>
  </si>
  <si>
    <t xml:space="preserve">Australia </t>
  </si>
  <si>
    <t xml:space="preserve">WA share </t>
  </si>
  <si>
    <t>Australia</t>
  </si>
  <si>
    <t>WA share</t>
  </si>
  <si>
    <t>Rest of Australia</t>
  </si>
  <si>
    <t>Rest of World</t>
  </si>
  <si>
    <t>LNG</t>
  </si>
  <si>
    <t>Keysbrook Leucoxene Pty Ltd</t>
  </si>
  <si>
    <t>Pluton Resources Limited</t>
  </si>
  <si>
    <t>Roy Hill Holdings Pty Ltd</t>
  </si>
  <si>
    <t>Poseidon Nickel Limited</t>
  </si>
  <si>
    <t>Western Areas Limited</t>
  </si>
  <si>
    <t>Wingstar Investments Pty Ltd</t>
  </si>
  <si>
    <t>Talison Lithium Australia Pty Ltd</t>
  </si>
  <si>
    <t>Latent Petroleum Pty Ltd</t>
  </si>
  <si>
    <t>Country</t>
  </si>
  <si>
    <t>Exploration</t>
  </si>
  <si>
    <t>Click to Select: FTE (Full Time Equivalent)</t>
  </si>
  <si>
    <t>Click to Select: Average Number of Individuals</t>
  </si>
  <si>
    <t>Month:</t>
  </si>
  <si>
    <t>Year:</t>
  </si>
  <si>
    <t xml:space="preserve">Base Metals               </t>
  </si>
  <si>
    <t>FTE (Full Time Equivalent)</t>
  </si>
  <si>
    <t>Mineral Sands</t>
  </si>
  <si>
    <t xml:space="preserve">Mineral Sands                </t>
  </si>
  <si>
    <t>Select:</t>
  </si>
  <si>
    <t>Financial Year</t>
  </si>
  <si>
    <t>Calendar Year</t>
  </si>
  <si>
    <t>Mineral sands</t>
  </si>
  <si>
    <t>Absolute Disparity (FTEs vs Number of Individuals)</t>
  </si>
  <si>
    <r>
      <t>TiO</t>
    </r>
    <r>
      <rPr>
        <b/>
        <vertAlign val="subscript"/>
        <sz val="10"/>
        <color theme="0"/>
        <rFont val="Arial"/>
        <family val="2"/>
      </rPr>
      <t>2</t>
    </r>
  </si>
  <si>
    <t>2015-16</t>
  </si>
  <si>
    <t>Royalty receipts and North West Shelf from the most recent calendar/financial years.</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</si>
  <si>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</si>
  <si>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</si>
  <si>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</si>
  <si>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</si>
  <si>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</si>
  <si>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</si>
  <si>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</si>
  <si>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</si>
  <si>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</si>
  <si>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</si>
  <si>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</si>
  <si>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</si>
  <si>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</si>
  <si>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</si>
  <si>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</si>
  <si>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</si>
  <si>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</si>
  <si>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</si>
  <si>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</si>
  <si>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</si>
  <si>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</si>
  <si>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</si>
  <si>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</si>
  <si>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</si>
  <si>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</si>
  <si>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</si>
  <si>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</si>
  <si>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</si>
  <si>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</si>
  <si>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</si>
  <si>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</si>
  <si>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</si>
  <si>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</si>
  <si>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</si>
  <si>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</si>
  <si>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</si>
  <si>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</si>
  <si>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</si>
  <si>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</si>
  <si>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</si>
  <si>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</si>
  <si>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</si>
  <si>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</si>
  <si>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</si>
  <si>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</si>
  <si>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</si>
  <si>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</si>
  <si>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</si>
  <si>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</si>
  <si>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</si>
  <si>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</si>
  <si>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</si>
  <si>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</si>
  <si>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</si>
  <si>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</si>
  <si>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</si>
  <si>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</si>
  <si>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</si>
  <si>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</si>
  <si>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</si>
  <si>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</si>
  <si>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</si>
  <si>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</si>
  <si>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</si>
  <si>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</si>
  <si>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</si>
  <si>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</si>
  <si>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</si>
  <si>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</si>
  <si>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</si>
  <si>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</si>
  <si>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How to Use</t>
  </si>
  <si>
    <t>Details about how to use this file, and access the information held within it.</t>
  </si>
  <si>
    <t>ABS data showing historic and current expenditure on mineral exploration in WA and the rest of Australia.</t>
  </si>
  <si>
    <t>ABS data showing historic and current exploration drilling and expenditure on new and existing mineral deposits.</t>
  </si>
  <si>
    <t>ABS data showing historic and current expenditure on petroleum exploration in WA and the rest of Australia.</t>
  </si>
  <si>
    <t>Silver, Lead, Zinc</t>
  </si>
  <si>
    <t>Uranium</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</si>
  <si>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</si>
  <si>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</si>
  <si>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</si>
  <si>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</si>
  <si>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</si>
  <si>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</si>
  <si>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</si>
  <si>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</si>
  <si>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Hanson Construction Materials Pty Ltd</t>
  </si>
  <si>
    <t>Italia Stone Group Pty Ltd</t>
  </si>
  <si>
    <t>Urban Resources Pty Ltd</t>
  </si>
  <si>
    <t>Focus Minerals Ltd</t>
  </si>
  <si>
    <t>C.A Bywaters &amp; P.J Bywaters</t>
  </si>
  <si>
    <t>The Trustee For Westdeen Unit Trust</t>
  </si>
  <si>
    <t>Whitfield Minerals Pty Ltd</t>
  </si>
  <si>
    <t>Crosslands Resources Ltd</t>
  </si>
  <si>
    <t>Fortescue Metals Group Ltd</t>
  </si>
  <si>
    <t>Hamersley Iron - Yandi Pty Limited</t>
  </si>
  <si>
    <t>Hamersley Iron Pty. Limited</t>
  </si>
  <si>
    <t>Mineral Resources Limited</t>
  </si>
  <si>
    <t>Mount Gibson Mining Limited</t>
  </si>
  <si>
    <t>Polaris Metals Pty Ltd</t>
  </si>
  <si>
    <t>Roy Hill Iron Ore Pty Ltd</t>
  </si>
  <si>
    <t>Top Iron Pty Ltd</t>
  </si>
  <si>
    <t>Limestone - Limesand</t>
  </si>
  <si>
    <t>Central Earthmoving Company Pty Ltd</t>
  </si>
  <si>
    <t>Charles Hull Contracting Co. Pty Ltd</t>
  </si>
  <si>
    <t>Cockburn Cement Limited</t>
  </si>
  <si>
    <t>Fairplan Holdings Pty Ltd</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</si>
  <si>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</si>
  <si>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</si>
  <si>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</si>
  <si>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</si>
  <si>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</si>
  <si>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</si>
  <si>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</si>
  <si>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</si>
  <si>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</si>
  <si>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</si>
  <si>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</si>
  <si>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</si>
  <si>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</si>
  <si>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</si>
  <si>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</si>
  <si>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</si>
  <si>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</si>
  <si>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</si>
  <si>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</si>
  <si>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</si>
  <si>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</si>
  <si>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</si>
  <si>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</si>
  <si>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</si>
  <si>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</si>
  <si>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</si>
  <si>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Vanadium - Titanium</t>
  </si>
  <si>
    <t xml:space="preserve">New Deposits (Quarterly average over </t>
  </si>
  <si>
    <t xml:space="preserve">Existing Deposits (Quarterly average over </t>
  </si>
  <si>
    <t xml:space="preserve">Total (Quarterly average over </t>
  </si>
  <si>
    <t>Estimates of Western Australian mineral and petroleum exports as well as Australian and Western Australian merchandise exports.</t>
  </si>
  <si>
    <t>Crude oil</t>
  </si>
  <si>
    <t>Iron ore fines China 62%</t>
  </si>
  <si>
    <t>Iron ore fines China 58%</t>
  </si>
  <si>
    <t>Mining investment</t>
  </si>
  <si>
    <t>Last 10 calendar years</t>
  </si>
  <si>
    <t>Mining Reported Total numbers (HYs)</t>
  </si>
  <si>
    <t>Rare Earth Oxides</t>
  </si>
  <si>
    <t>Other *</t>
  </si>
  <si>
    <t>Producer</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</si>
  <si>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</si>
  <si>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</si>
  <si>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</si>
  <si>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</si>
  <si>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</si>
  <si>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</si>
  <si>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</si>
  <si>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</si>
  <si>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</si>
  <si>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</si>
  <si>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</si>
  <si>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</si>
  <si>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</si>
  <si>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</si>
  <si>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</si>
  <si>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</si>
  <si>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Boral Resources (W.A.) Ltd</t>
  </si>
  <si>
    <t>Guerinoni Nominees Pty Ltd</t>
  </si>
  <si>
    <t>Mobile Concreting Solutions Pty Ltd</t>
  </si>
  <si>
    <t>Norwest Sand &amp; Gravel Pty Ltd</t>
  </si>
  <si>
    <t>Kimberley Quarry Pty Ltd</t>
  </si>
  <si>
    <t>Brown, Ronald William</t>
  </si>
  <si>
    <t>Cook Industrial Minerals Pty Ltd</t>
  </si>
  <si>
    <t>Brajkovich Landfill &amp; Recycling Pty Ltd</t>
  </si>
  <si>
    <t>Scorpion Mining Pty Ltd</t>
  </si>
  <si>
    <t>Avago Pty Ltd</t>
  </si>
  <si>
    <t>Moore Sands Resources Pty Ltd</t>
  </si>
  <si>
    <t>Vernice Pty Ltd</t>
  </si>
  <si>
    <t>Congiu, Pasquale</t>
  </si>
  <si>
    <t>The Trustee For Borrello Family Trust</t>
  </si>
  <si>
    <t>Castle Equipment Hire Pty Ltd</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</si>
  <si>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</si>
  <si>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</si>
  <si>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</si>
  <si>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</si>
  <si>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</si>
  <si>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</si>
  <si>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</si>
  <si>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</si>
  <si>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</si>
  <si>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B. &amp; J. Catalano Pty Ltd</t>
  </si>
  <si>
    <t>Spinifex Crushing &amp; Screening Services Pty Ltd</t>
  </si>
  <si>
    <t>Carbone Bros. Pty Ltd</t>
  </si>
  <si>
    <t>B Versaci Pty Ltd</t>
  </si>
  <si>
    <t>Caves Road Sands</t>
  </si>
  <si>
    <t>Dawson, Peter Bruce</t>
  </si>
  <si>
    <t>Karratha Earth Moving And Sand Supplies</t>
  </si>
  <si>
    <t>Jones Contracting Pty Ltd</t>
  </si>
  <si>
    <t>Quarry Park Pty Ltd</t>
  </si>
  <si>
    <t>Onslow Resources Ltd</t>
  </si>
  <si>
    <t>El Paso Estates Pty Ltd</t>
  </si>
  <si>
    <t>Pilbara Stone Pty Ltd</t>
  </si>
  <si>
    <t>Great Southern Quarries Pty Ltd</t>
  </si>
  <si>
    <t>Paternostro Pty Ltd</t>
  </si>
  <si>
    <t>Armogedin Pty Ltd</t>
  </si>
  <si>
    <t>G &amp; K Bassett</t>
  </si>
  <si>
    <t>Drilline Pty Ltd</t>
  </si>
  <si>
    <t>Leeuwin Civil Pty Ltd</t>
  </si>
  <si>
    <t>Margaret River Earth Cartage Pty Ltd</t>
  </si>
  <si>
    <t>Patience Bulk Haulage Pty Ltd</t>
  </si>
  <si>
    <t>Blackrock Metals Pty Ltd</t>
  </si>
  <si>
    <t>Rosslyn Hill Mining Pty Ltd</t>
  </si>
  <si>
    <t>Qube Ports Pty Ltd</t>
  </si>
  <si>
    <t>Qube Bulk Pty Ltd</t>
  </si>
  <si>
    <t>Southern Spongelite Industries Pty Ltd</t>
  </si>
  <si>
    <t>Dimension Stone Group Australia Pty Ltd</t>
  </si>
  <si>
    <t>Limestone Building Blocks Company Pty. Ltd.</t>
  </si>
  <si>
    <t>Cosmic Resources Pty Ltd</t>
  </si>
  <si>
    <t>Stone Dimensions Australia Pty Ltd</t>
  </si>
  <si>
    <t>Lunard Pty Ltd</t>
  </si>
  <si>
    <t>Australia Menzies Emerald Pty Ltd</t>
  </si>
  <si>
    <t>Karratha Greenstone Pty Ltd</t>
  </si>
  <si>
    <t>Regis Resources Limited</t>
  </si>
  <si>
    <t>Clifton Earthmoving Pty Ltd</t>
  </si>
  <si>
    <t>Anglogold Ashanti Australia Limited</t>
  </si>
  <si>
    <t>Big Bell Gold Operations Pty Ltd</t>
  </si>
  <si>
    <t>Norton Gold Fields Ltd</t>
  </si>
  <si>
    <t>Sand Queen Gold Mines Pty Ltd</t>
  </si>
  <si>
    <t>Darlot Mining Company Pty Ltd</t>
  </si>
  <si>
    <t>Agnew Gold Mining Company Pty Limited</t>
  </si>
  <si>
    <t>Kalgoorlie Consolidated Gold Mines Pty Ltd</t>
  </si>
  <si>
    <t>Aragon Resources Pty Ltd</t>
  </si>
  <si>
    <t>Deflector Mining Limited</t>
  </si>
  <si>
    <t>Avoca Resources Pty Ltd</t>
  </si>
  <si>
    <t>Mt Magnet Gold Pty Ltd</t>
  </si>
  <si>
    <t>St Ives Gold Mining Company Pty Limited</t>
  </si>
  <si>
    <t>St Barbara Limited</t>
  </si>
  <si>
    <t>Lloyd George Mining Pty Ltd</t>
  </si>
  <si>
    <t>Northern Star Resources Ltd</t>
  </si>
  <si>
    <t>Golden Mile Milling Pty Ltd</t>
  </si>
  <si>
    <t>Ramelius Resources Limited</t>
  </si>
  <si>
    <t>Newcrest Mining Limited</t>
  </si>
  <si>
    <t>Dawsons Mining Pty Ltd</t>
  </si>
  <si>
    <t>Lukah Mining Pty Ltd</t>
  </si>
  <si>
    <t>Empire Resources Limited</t>
  </si>
  <si>
    <t>Halls Creek Mining Pty Ltd</t>
  </si>
  <si>
    <t>Kalnorth Gold Mines Limited</t>
  </si>
  <si>
    <t>Dulcie Operations</t>
  </si>
  <si>
    <t>Saxonwood Holdings Pty Ltd</t>
  </si>
  <si>
    <t>Radman Mining Pty Ltd</t>
  </si>
  <si>
    <t>Millennium Minerals Limited</t>
  </si>
  <si>
    <t>Sherwood Engineers Pty. Ltd.</t>
  </si>
  <si>
    <t>Andy Well Mining Pty Ltd</t>
  </si>
  <si>
    <t>Campbell, Ernest Edward</t>
  </si>
  <si>
    <t>Evolution Mining (Mungari) Pty Ltd</t>
  </si>
  <si>
    <t>Galaxy Lithium Australia Limited</t>
  </si>
  <si>
    <t>Gem &amp; Semi-Precious Stones</t>
  </si>
  <si>
    <t>Buckski Holdings Pty Ltd</t>
  </si>
  <si>
    <t>South32 Worsley Alumina Pty Ltd</t>
  </si>
  <si>
    <t>2016-17</t>
  </si>
  <si>
    <t>Silver Lake Resources Limited</t>
  </si>
  <si>
    <t>Hawthorn Resources Limited</t>
  </si>
  <si>
    <t>Minjar Gold Pty Ltd</t>
  </si>
  <si>
    <t>ARC Energy Limited</t>
  </si>
  <si>
    <t>Well Intervention Activities</t>
  </si>
  <si>
    <t>Kwinana Operations</t>
  </si>
  <si>
    <t>Pinjarra Operations</t>
  </si>
  <si>
    <t>Wagerup Operations</t>
  </si>
  <si>
    <t>Doral Fused Materials Pty Ltd</t>
  </si>
  <si>
    <t>Rockingham Operations</t>
  </si>
  <si>
    <t>Halliburton Australia Pty Ltd</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</si>
  <si>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</si>
  <si>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</si>
  <si>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</si>
  <si>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</si>
  <si>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</si>
  <si>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</si>
  <si>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</si>
  <si>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</si>
  <si>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</si>
  <si>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</si>
  <si>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</si>
  <si>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</si>
  <si>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</si>
  <si>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</si>
  <si>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</si>
  <si>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</si>
  <si>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Albany Operations</t>
  </si>
  <si>
    <t>Christmas Island Operations</t>
  </si>
  <si>
    <t>South West Operations</t>
  </si>
  <si>
    <t>Great Southern Operations</t>
  </si>
  <si>
    <t>Winchester Operations</t>
  </si>
  <si>
    <t>Myalup Operations</t>
  </si>
  <si>
    <t>Chidlow Operations</t>
  </si>
  <si>
    <t>Ravensthorpe Operations</t>
  </si>
  <si>
    <t>Port Hedland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</si>
  <si>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</si>
  <si>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</si>
  <si>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</si>
  <si>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</si>
  <si>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</si>
  <si>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</si>
  <si>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</si>
  <si>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</si>
  <si>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</si>
  <si>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</si>
  <si>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</si>
  <si>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</si>
  <si>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</si>
  <si>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</si>
  <si>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</si>
  <si>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</si>
  <si>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</si>
  <si>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</si>
  <si>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</si>
  <si>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</si>
  <si>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</si>
  <si>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</si>
  <si>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</si>
  <si>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</si>
  <si>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</si>
  <si>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</si>
  <si>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</si>
  <si>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</si>
  <si>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</si>
  <si>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</si>
  <si>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</si>
  <si>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</si>
  <si>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</si>
  <si>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</si>
  <si>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</si>
  <si>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Busselton Operations</t>
  </si>
  <si>
    <t>Clackline Operations</t>
  </si>
  <si>
    <t>Maitland River Operations</t>
  </si>
  <si>
    <t>Derby May River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</si>
  <si>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</si>
  <si>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</si>
  <si>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</si>
  <si>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</si>
  <si>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</si>
  <si>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</si>
  <si>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</si>
  <si>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</si>
  <si>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</si>
  <si>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</si>
  <si>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</si>
  <si>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</si>
  <si>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</si>
  <si>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Toodyay Operations</t>
  </si>
  <si>
    <t>Cawse Operations</t>
  </si>
  <si>
    <t>Caraban Limestone Operations</t>
  </si>
  <si>
    <t>Mindijup Operations</t>
  </si>
  <si>
    <t>Neerabup Operations</t>
  </si>
  <si>
    <t>Moonyoonooka Operations</t>
  </si>
  <si>
    <t>Bowelling Operation</t>
  </si>
  <si>
    <t>Exmouth Sand Operations</t>
  </si>
  <si>
    <t>South Metro Operations</t>
  </si>
  <si>
    <t>Perth South Operations</t>
  </si>
  <si>
    <t>Waroona Operations</t>
  </si>
  <si>
    <t>Argyle Diamonds Limited</t>
  </si>
  <si>
    <t>Argyle Operations</t>
  </si>
  <si>
    <t>Kendenup Operations</t>
  </si>
  <si>
    <t>Donnybrook Operations</t>
  </si>
  <si>
    <t>Fraser Range Operations</t>
  </si>
  <si>
    <t>Mt Regal Chalcedony Operations</t>
  </si>
  <si>
    <t>Hope Valley Operations</t>
  </si>
  <si>
    <t>Wadrah Plateau Operations</t>
  </si>
  <si>
    <t>North Metro Operations</t>
  </si>
  <si>
    <t>Wonder Well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</si>
  <si>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</si>
  <si>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</si>
  <si>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</si>
  <si>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</si>
  <si>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</si>
  <si>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</si>
  <si>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</si>
  <si>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</si>
  <si>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</si>
  <si>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</si>
  <si>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</si>
  <si>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</si>
  <si>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</si>
  <si>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</si>
  <si>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</si>
  <si>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</si>
  <si>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Cue - Meekatharra Operations</t>
  </si>
  <si>
    <t>Norseman Operations</t>
  </si>
  <si>
    <t>Hatts Reward Operations</t>
  </si>
  <si>
    <t>Darlot Operations</t>
  </si>
  <si>
    <t>Menzies Operations</t>
  </si>
  <si>
    <t>Deflector Operations</t>
  </si>
  <si>
    <t>Davyhurst Operations</t>
  </si>
  <si>
    <t>Eastern Goldfields Milling Services Pty Ltd</t>
  </si>
  <si>
    <t>Kalgoorlie - Lake Penny Operations</t>
  </si>
  <si>
    <t>Broad Arrow Operations</t>
  </si>
  <si>
    <t>Mungari Operations</t>
  </si>
  <si>
    <t>Edna May Operations</t>
  </si>
  <si>
    <t>Yarri Operations</t>
  </si>
  <si>
    <t>Station Peak Operations</t>
  </si>
  <si>
    <t>Coolgardie Operations</t>
  </si>
  <si>
    <t>Laverton Operations</t>
  </si>
  <si>
    <t>Gascoyne Resources Limited</t>
  </si>
  <si>
    <t>Dalgaranga Operations</t>
  </si>
  <si>
    <t>Widgiemooltha Operations</t>
  </si>
  <si>
    <t>Leonora Operations</t>
  </si>
  <si>
    <t>Gruyere Operations</t>
  </si>
  <si>
    <t>Lakewood Operations</t>
  </si>
  <si>
    <t>Yilgangi Queen Operations</t>
  </si>
  <si>
    <t>Granny Smith Operations</t>
  </si>
  <si>
    <t>Halls Creek Operations</t>
  </si>
  <si>
    <t>Anglo Saxon Operations</t>
  </si>
  <si>
    <t>Lindsays Operations</t>
  </si>
  <si>
    <t>Gibraltar Operations</t>
  </si>
  <si>
    <t>The Mount Operations</t>
  </si>
  <si>
    <t>Boorara Operations</t>
  </si>
  <si>
    <t>Wiluna Operations</t>
  </si>
  <si>
    <t>Matsa Gold Pty Ltd</t>
  </si>
  <si>
    <t>Minjar Operations</t>
  </si>
  <si>
    <t>Bronzewing Operations</t>
  </si>
  <si>
    <t>Westonia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</si>
  <si>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</si>
  <si>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</si>
  <si>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</si>
  <si>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</si>
  <si>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</si>
  <si>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</si>
  <si>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</si>
  <si>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</si>
  <si>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</si>
  <si>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</si>
  <si>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</si>
  <si>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Vivien Operations</t>
  </si>
  <si>
    <t>Moolart Well Operations</t>
  </si>
  <si>
    <t>Rosemont Operations</t>
  </si>
  <si>
    <t>Riqo Pty Ltd</t>
  </si>
  <si>
    <t>Comet Vale Operations</t>
  </si>
  <si>
    <t>Carosue Dam Operations</t>
  </si>
  <si>
    <t>Thunderbox Operations</t>
  </si>
  <si>
    <t>Mount Monger Operations</t>
  </si>
  <si>
    <t>Gwalia Operations</t>
  </si>
  <si>
    <t>St Ives Operations</t>
  </si>
  <si>
    <t>Brightstar Operations</t>
  </si>
  <si>
    <t>Greenfields Operations</t>
  </si>
  <si>
    <t>Southern Cross Operations</t>
  </si>
  <si>
    <t>Perth Airport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</si>
  <si>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</si>
  <si>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</si>
  <si>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</si>
  <si>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</si>
  <si>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</si>
  <si>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</si>
  <si>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</si>
  <si>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</si>
  <si>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</si>
  <si>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</si>
  <si>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</si>
  <si>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</si>
  <si>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</si>
  <si>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</si>
  <si>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</si>
  <si>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</si>
  <si>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</si>
  <si>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</si>
  <si>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</si>
  <si>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Jimblebar Operations</t>
  </si>
  <si>
    <t>Mining Area C Operations</t>
  </si>
  <si>
    <t>Port Hedland Port Operations</t>
  </si>
  <si>
    <t>Yandi Operations</t>
  </si>
  <si>
    <t>Yarrie - Nimingarra Operations</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</si>
  <si>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</si>
  <si>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</si>
  <si>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</si>
  <si>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</si>
  <si>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</si>
  <si>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</si>
  <si>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</si>
  <si>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</si>
  <si>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</si>
  <si>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</si>
  <si>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</si>
  <si>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</si>
  <si>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</si>
  <si>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</si>
  <si>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</si>
  <si>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</si>
  <si>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</si>
  <si>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</si>
  <si>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</si>
  <si>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</si>
  <si>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</si>
  <si>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</si>
  <si>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</si>
  <si>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Robe River Mining Co. Pty. Ltd.</t>
  </si>
  <si>
    <t>Cape Lambert Port Operations</t>
  </si>
  <si>
    <t>Mesa A Operations</t>
  </si>
  <si>
    <t>Mesa J Operations</t>
  </si>
  <si>
    <t>West Angelas Operations</t>
  </si>
  <si>
    <t>Roy Hill - Port Hedland Operations</t>
  </si>
  <si>
    <t>Roy Hill Operations</t>
  </si>
  <si>
    <t>Mummaloo Operations</t>
  </si>
  <si>
    <t>Dongara Operations</t>
  </si>
  <si>
    <t>Cockburn Operations</t>
  </si>
  <si>
    <t>Parkeston Operations</t>
  </si>
  <si>
    <t>Woodman Point Operations</t>
  </si>
  <si>
    <t>Hamelin Bay Operations</t>
  </si>
  <si>
    <t>Mason Bay Operations</t>
  </si>
  <si>
    <t>Exmouth Operations</t>
  </si>
  <si>
    <t>Watheroo Operations</t>
  </si>
  <si>
    <t>Boranup Operations</t>
  </si>
  <si>
    <t>Lancelin Operations</t>
  </si>
  <si>
    <t>Meteor Stone</t>
  </si>
  <si>
    <t>Omaha Nominees Pty Ltd</t>
  </si>
  <si>
    <t>Lake Preston Operations</t>
  </si>
  <si>
    <t>Redgate Holdings Pty Ltd</t>
  </si>
  <si>
    <t>Carabooda Operations</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</si>
  <si>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</si>
  <si>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</si>
  <si>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</si>
  <si>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</si>
  <si>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</si>
  <si>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</si>
  <si>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</si>
  <si>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</si>
  <si>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</si>
  <si>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</si>
  <si>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</si>
  <si>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</si>
  <si>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</si>
  <si>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</si>
  <si>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</si>
  <si>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</si>
  <si>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</si>
  <si>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</si>
  <si>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</si>
  <si>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</si>
  <si>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</si>
  <si>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</si>
  <si>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</si>
  <si>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</si>
  <si>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</si>
  <si>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</si>
  <si>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</si>
  <si>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</si>
  <si>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</si>
  <si>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</si>
  <si>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</si>
  <si>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</si>
  <si>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</si>
  <si>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Bald Hill Operations</t>
  </si>
  <si>
    <t>Altura Mining Limited</t>
  </si>
  <si>
    <t>Pilgangoora Operations</t>
  </si>
  <si>
    <t>Wodgina Operations</t>
  </si>
  <si>
    <t>Mt Cattlin Operations</t>
  </si>
  <si>
    <t>Greenbushes Operations</t>
  </si>
  <si>
    <t>Pilbara Minerals Limited</t>
  </si>
  <si>
    <t>Kambalda - Mount Marion Operations</t>
  </si>
  <si>
    <t>Kelmscott Operations</t>
  </si>
  <si>
    <t>Atlantic Vanadium Pty Ltd</t>
  </si>
  <si>
    <t>Windimurra Operations</t>
  </si>
  <si>
    <t>Transalta Energy (Australia) Pty Ltd</t>
  </si>
  <si>
    <t>Southern Cross Energy Operations</t>
  </si>
  <si>
    <t>Esperance Port Operations</t>
  </si>
  <si>
    <t>Alumina and Bauxite</t>
  </si>
  <si>
    <t>Bunbury Port Operations</t>
  </si>
  <si>
    <t>Huntly Operations</t>
  </si>
  <si>
    <t>Willowdale Operations</t>
  </si>
  <si>
    <t>Wickepin Operations</t>
  </si>
  <si>
    <t>Horseshoe Operations</t>
  </si>
  <si>
    <t>Horseshoe Manganese Pty Ltd</t>
  </si>
  <si>
    <t>Yoongarillup Operations</t>
  </si>
  <si>
    <t>Port Gregory Operations</t>
  </si>
  <si>
    <t>Cataby Operations</t>
  </si>
  <si>
    <t>Tutunup Operations</t>
  </si>
  <si>
    <t>Chandala Operations</t>
  </si>
  <si>
    <t>Thunderbird Operations Pty Ltd</t>
  </si>
  <si>
    <t>Leonora Rail Terminal</t>
  </si>
  <si>
    <t>Mt Keith Mining Operations</t>
  </si>
  <si>
    <t>Mining Area C South Flank Operations</t>
  </si>
  <si>
    <t>Extension Hill Rail Terminal</t>
  </si>
  <si>
    <t>Boddington Mining Operations</t>
  </si>
  <si>
    <t>Beacon Mining Pty Ltd</t>
  </si>
  <si>
    <t>Edna May Operations Pty Ltd</t>
  </si>
  <si>
    <t>Gruyere Management Pty Ltd</t>
  </si>
  <si>
    <t>Mc Verde Minerals Pty Ltd</t>
  </si>
  <si>
    <t>Karnup Operations</t>
  </si>
  <si>
    <t>Gosnells Operations</t>
  </si>
  <si>
    <t>Jandabup Operations</t>
  </si>
  <si>
    <t>Kellerberrin Operations</t>
  </si>
  <si>
    <t>Roebourne Operations</t>
  </si>
  <si>
    <t>Baldivis - Nambeelup Operations</t>
  </si>
  <si>
    <t>Jarrahdale - West Coolup Operations</t>
  </si>
  <si>
    <t>Ashby D R &amp; A I</t>
  </si>
  <si>
    <t>Fairbelle Pty Ltd &amp; Hillpoint Holdings Pty Ltd</t>
  </si>
  <si>
    <t>Lenane Holdings Pty Ltd</t>
  </si>
  <si>
    <t>APA Group - Epic Energy</t>
  </si>
  <si>
    <t>Pilbara Pipeline System</t>
  </si>
  <si>
    <t>APT Parmelia Pty Ltd (APA Group)</t>
  </si>
  <si>
    <t>AWE Perth Pty Limited</t>
  </si>
  <si>
    <t>BHP Billiton Petroleum</t>
  </si>
  <si>
    <t>Buru Energy Limited</t>
  </si>
  <si>
    <t>Chevron</t>
  </si>
  <si>
    <t>Chevron Australia Pty Ltd</t>
  </si>
  <si>
    <t>CSBP/AGR (Australian Gold Reagents)</t>
  </si>
  <si>
    <t>Jingemia Production Facility</t>
  </si>
  <si>
    <t>DBNGP (WA) Transmission P/L</t>
  </si>
  <si>
    <t>DBNGP</t>
  </si>
  <si>
    <t>Empire Oil Company (WA) Limited</t>
  </si>
  <si>
    <t>Energy Developments Ltd</t>
  </si>
  <si>
    <t>P00001</t>
  </si>
  <si>
    <t>Energy Generation Pty Ltd</t>
  </si>
  <si>
    <t>Leonora Lateral</t>
  </si>
  <si>
    <t>Lion Ore</t>
  </si>
  <si>
    <t>Thunderbox Lateral</t>
  </si>
  <si>
    <t>Origin</t>
  </si>
  <si>
    <t>Cockburn Lateral</t>
  </si>
  <si>
    <t>Origin Energy Upstream</t>
  </si>
  <si>
    <t>Redback Pipelines Pty Ltd</t>
  </si>
  <si>
    <t>Southern Cross Pipelines</t>
  </si>
  <si>
    <t>Southern Cross Pipelines Australia Pty Limited</t>
  </si>
  <si>
    <t>The Esperance Pipeline Company Pty Ltd</t>
  </si>
  <si>
    <t>KEGP</t>
  </si>
  <si>
    <t>WA Gas Networks</t>
  </si>
  <si>
    <t>Mandurah Gas Lateral PL83 Area</t>
  </si>
  <si>
    <t>2017-18</t>
  </si>
  <si>
    <t>Diamond Resources (Canning) Pty Ltd</t>
  </si>
  <si>
    <t>Asgard and Valhalla North</t>
  </si>
  <si>
    <t>Red Gully Pipeline and Processing Facility</t>
  </si>
  <si>
    <t>RCMA Australia</t>
  </si>
  <si>
    <t>Triangle Energy (Operations) Pty Ltd</t>
  </si>
  <si>
    <t>Gorgon, WA Oil Asset and WA Oil Asset and Drilling (all ops excluding Gorgon)</t>
  </si>
  <si>
    <t>Mineral Crushing Services (Wa) Pty Ltd</t>
  </si>
  <si>
    <t>Round Oak Jaguar Pty Ltd</t>
  </si>
  <si>
    <t>Diatomite - Spongolite</t>
  </si>
  <si>
    <t>Beaufort River Operations</t>
  </si>
  <si>
    <t>Coolgardie Minerals Limited</t>
  </si>
  <si>
    <t>Farno-Mcmahon Pty. Ltd.</t>
  </si>
  <si>
    <t>Nu-Fortune Gold Ltd</t>
  </si>
  <si>
    <t>South West Rehabilitation Operations</t>
  </si>
  <si>
    <t>Boonanarring Operations</t>
  </si>
  <si>
    <t>Agxpress Pty Ltd</t>
  </si>
  <si>
    <t>H.M Mcdonald &amp; L.G Mcdonald</t>
  </si>
  <si>
    <t>Madora Bay Operations</t>
  </si>
  <si>
    <t>Triple M Transport (Wa) Pty Ltd</t>
  </si>
  <si>
    <t>Walco Western Agricultural Lime Company (Australia)</t>
  </si>
  <si>
    <t>Manganese Ore</t>
  </si>
  <si>
    <t>Australia Western Railroad Pty Ltd</t>
  </si>
  <si>
    <t>Silica - Silica Sand</t>
  </si>
  <si>
    <t>Ellenbrook Operations</t>
  </si>
  <si>
    <t>Grand Total</t>
  </si>
  <si>
    <t>Bardies Well Pty Ltd</t>
  </si>
  <si>
    <t>Egan Street Rothsay Pty Ltd</t>
  </si>
  <si>
    <t>Perenjori Operations</t>
  </si>
  <si>
    <t>Gold Corporation</t>
  </si>
  <si>
    <t>Larsen, Jake Thomas</t>
  </si>
  <si>
    <t>Yilgarn Operations</t>
  </si>
  <si>
    <t>M.R. Millwood Pty. Ltd.</t>
  </si>
  <si>
    <t>Marble Bar Operations</t>
  </si>
  <si>
    <t>Radio Gold Pty Ltd</t>
  </si>
  <si>
    <t>Bullfinch Operations</t>
  </si>
  <si>
    <t>Eliwana Operations</t>
  </si>
  <si>
    <t>Mount Bruce Mining Pty Limited</t>
  </si>
  <si>
    <t>East Pilbara Operations</t>
  </si>
  <si>
    <t>Pilbara Iron Company (Services) Pty Ltd</t>
  </si>
  <si>
    <t>West Pilbara Operations</t>
  </si>
  <si>
    <t>Black Mountain Metals Pty Ltd</t>
  </si>
  <si>
    <t>2017-2018</t>
  </si>
  <si>
    <t>2016-2017</t>
  </si>
  <si>
    <t>2011-2012</t>
  </si>
  <si>
    <t>2012-2013</t>
  </si>
  <si>
    <t>2013-2014</t>
  </si>
  <si>
    <t>2014-2015</t>
  </si>
  <si>
    <t>2015-2016</t>
  </si>
  <si>
    <t>2018-19</t>
  </si>
  <si>
    <t>2018-2019</t>
  </si>
  <si>
    <t>Chemicals Total</t>
  </si>
  <si>
    <t>Coal Total</t>
  </si>
  <si>
    <t>Northern Star (Hbj) Pty Ltd</t>
  </si>
  <si>
    <t>Ora Banda Mining Ltd</t>
  </si>
  <si>
    <t>Atlas Iron Pty Ltd</t>
  </si>
  <si>
    <t>Paraburdoo Operations</t>
  </si>
  <si>
    <t>Leinster Processing Operations</t>
  </si>
  <si>
    <t>Mincor Long Pty Ltd</t>
  </si>
  <si>
    <t>Wagerup Oxalate Operations</t>
  </si>
  <si>
    <t>Tellus Holdings Ltd</t>
  </si>
  <si>
    <t>Bindoon Hill Gravel Supply Pty Ltd</t>
  </si>
  <si>
    <t>Bindoon Hill Operations</t>
  </si>
  <si>
    <t>Adaman Gold Pty Ltd</t>
  </si>
  <si>
    <t>Golden Range Pty Ltd</t>
  </si>
  <si>
    <t>Meekatharra Operations</t>
  </si>
  <si>
    <t>Red October Gold Pty Ltd</t>
  </si>
  <si>
    <t>Red October Operations</t>
  </si>
  <si>
    <t>Wildy, Dylan</t>
  </si>
  <si>
    <t>M.J Kalajzic &amp; R.J Kalajzic &amp; S.M Kalajzic</t>
  </si>
  <si>
    <t>Cockatoo Iron Nl</t>
  </si>
  <si>
    <t>Robe Valley Sustaining Operations</t>
  </si>
  <si>
    <t>West Angelas Deposits C &amp; D Operations</t>
  </si>
  <si>
    <t>Attwell, Gerard Majella</t>
  </si>
  <si>
    <t>Wandin Hill Pty Ltd</t>
  </si>
  <si>
    <t>Agrimin Potash Pty Ltd</t>
  </si>
  <si>
    <t>Lake Mackay Operations</t>
  </si>
  <si>
    <t>Kalium Lakes Potash Pty Ltd</t>
  </si>
  <si>
    <t>Beyondie Lakes Operations</t>
  </si>
  <si>
    <t>Salt Lake Potash Limited</t>
  </si>
  <si>
    <t>Covalent Lithium Pty Ltd</t>
  </si>
  <si>
    <t>Pioneer Dome Operations</t>
  </si>
  <si>
    <t>The Trustee For The David Campbell Trust</t>
  </si>
  <si>
    <t>P00045</t>
  </si>
  <si>
    <t>Warro Gas Field</t>
  </si>
  <si>
    <t>Lattice Energy Resource (Perth Basin) Pty Ltd</t>
  </si>
  <si>
    <t>Xanadu 3DTZ Seismic Survey</t>
  </si>
  <si>
    <t>Robe River Mining Co. Pty Ltd</t>
  </si>
  <si>
    <t>West Angelas Gas Pipeline Realignment</t>
  </si>
  <si>
    <t>Strike West Pty Ltd</t>
  </si>
  <si>
    <t>Lithium</t>
  </si>
  <si>
    <t>Lithium Hydroxide</t>
  </si>
  <si>
    <t>Million cubic metres</t>
  </si>
  <si>
    <t>ABS data showing historic and current investment in mining in WA and the rest of Australia.</t>
  </si>
  <si>
    <t>ABS data showing historic and current investment in new capital for mining in WA and the rest of Australia.</t>
  </si>
  <si>
    <t>ABS data showing the breakdown of WA's exploration spend by commodity compared to the rest of Australia</t>
  </si>
  <si>
    <t>Short summary of pertinent data on major commodities and the mining industry overall in WA and Australia.</t>
  </si>
  <si>
    <t>Comparative summary of the prices of major Western Australian commodities over the past two calendar years.</t>
  </si>
  <si>
    <t>RBA Index</t>
  </si>
  <si>
    <t>New capital expenditure</t>
  </si>
  <si>
    <t>Employment in the WA mining and exploration industries by commodity on a monthly basis since 2001.</t>
  </si>
  <si>
    <t>Index of Non-Rural Commodity Prices</t>
  </si>
  <si>
    <t>Australian Bureau of Statistics (ABS)</t>
  </si>
  <si>
    <t>RBA</t>
  </si>
  <si>
    <t>Commodity Prices</t>
  </si>
  <si>
    <t>Office of the Chief Economist, Department of Industry, Innovation and Science</t>
  </si>
  <si>
    <t>ABS</t>
  </si>
  <si>
    <t>ABS 8412.0 - Mineral and Petroleum Exploration, Australia</t>
  </si>
  <si>
    <t>ABS 5368.0 - International Trade in Goods and Services</t>
  </si>
  <si>
    <t>ABS 5625.0 - Private New Capital Expenditure and Expected Expenditure, Australia</t>
  </si>
  <si>
    <t>Resources and Energy Quarterly</t>
  </si>
  <si>
    <t>Gross Domestic Product</t>
  </si>
  <si>
    <t>Gross State Product, WA</t>
  </si>
  <si>
    <t>Australian National Accounts: State Accounts</t>
  </si>
  <si>
    <t>United States Geological Survey</t>
  </si>
  <si>
    <t>EnergyQuest</t>
  </si>
  <si>
    <t>Mineral Commodity Summaries</t>
  </si>
  <si>
    <t>DMIRS and WA Treasury</t>
  </si>
  <si>
    <t>http://www.energyquest.com.au/</t>
  </si>
  <si>
    <t>https://www.watc.wa.gov.au/</t>
  </si>
  <si>
    <t>Various as described in Major Commodities resources file</t>
  </si>
  <si>
    <t>Alcoa of Australia Limited</t>
  </si>
  <si>
    <t>Worsley Operations</t>
  </si>
  <si>
    <t>Amalgamated Civil &amp; Plant Hire Pty Ltd</t>
  </si>
  <si>
    <t>APH Contractors Pty Ltd</t>
  </si>
  <si>
    <t>BCP Materials Pty Ltd</t>
  </si>
  <si>
    <t>BGC (Australia) Pty Ltd</t>
  </si>
  <si>
    <t>BM &amp; RV Waters</t>
  </si>
  <si>
    <t>CBR Trading Pty Ltd &amp; Red Rust Contracting Pty Ltd</t>
  </si>
  <si>
    <t>CEC Excavations Pty Ltd</t>
  </si>
  <si>
    <t>GFSG Pty Ltd</t>
  </si>
  <si>
    <t>North of Perth Operations</t>
  </si>
  <si>
    <t>South of Perth Operations</t>
  </si>
  <si>
    <t>Hovey Management Trust</t>
  </si>
  <si>
    <t>SJ &amp; AM Clifton</t>
  </si>
  <si>
    <t>Dowerin Operations</t>
  </si>
  <si>
    <t>Construction Materials Total</t>
  </si>
  <si>
    <t>Abra Mining Pty Limited</t>
  </si>
  <si>
    <t>Sandfire Resources Limited</t>
  </si>
  <si>
    <t>Diatomite - Spongolite Total</t>
  </si>
  <si>
    <t>Dimension Stone Total</t>
  </si>
  <si>
    <t>Gem &amp; Semi-Precious Stones Total</t>
  </si>
  <si>
    <t>Aurenne Parker Range Pty Ltd</t>
  </si>
  <si>
    <t>Blue Cap Mining Pty Ltd</t>
  </si>
  <si>
    <t>Bmgs Menzies Pty Ltd</t>
  </si>
  <si>
    <t>Bullfinch One Pty Ltd</t>
  </si>
  <si>
    <t>Coil Group Pty Ltd</t>
  </si>
  <si>
    <t>Goldview Metals Pty Ltd</t>
  </si>
  <si>
    <t>Cue Operations</t>
  </si>
  <si>
    <t>Greenmount Resources Pty Ltd</t>
  </si>
  <si>
    <t>Habrok (Battler Pit) Pty Ltd</t>
  </si>
  <si>
    <t>Infinity Metals Pty Ltd</t>
  </si>
  <si>
    <t>Marda Operations Pty Ltd</t>
  </si>
  <si>
    <t>Pantoro South Pty Ltd</t>
  </si>
  <si>
    <t>Shine Resources Pty Ltd</t>
  </si>
  <si>
    <t>CSR Building Products Limited</t>
  </si>
  <si>
    <t>Gypsum Total</t>
  </si>
  <si>
    <t>BHP Titanium Minerals Pty Ltd</t>
  </si>
  <si>
    <t>GMA Garnet Pty Ltd</t>
  </si>
  <si>
    <t>Tronox Mining Australia Limited</t>
  </si>
  <si>
    <t>Kalgoorlie Container Terminal</t>
  </si>
  <si>
    <t>BHP Billiton Iron Ore Pty. Ltd.</t>
  </si>
  <si>
    <t>Sino Iron North / Port Operations</t>
  </si>
  <si>
    <t>Sino Iron South Operations</t>
  </si>
  <si>
    <t>Gold Valley Iron Pty Ltd</t>
  </si>
  <si>
    <t>Warmun Operations</t>
  </si>
  <si>
    <t>IB Operations Pty Ltd</t>
  </si>
  <si>
    <t>Iron Ore Total</t>
  </si>
  <si>
    <t>Beachborough Pty Ltd</t>
  </si>
  <si>
    <t>DG &amp; H Wilson</t>
  </si>
  <si>
    <t>RC &amp; D Kowald</t>
  </si>
  <si>
    <t>Limestone - Limesand Total</t>
  </si>
  <si>
    <t>Bryah Resources Limited</t>
  </si>
  <si>
    <t>Peak Hill Manganese Operations</t>
  </si>
  <si>
    <t>Manganese Ore Total</t>
  </si>
  <si>
    <t>Nickel Total</t>
  </si>
  <si>
    <t>Other Total</t>
  </si>
  <si>
    <t>Phosphate Total</t>
  </si>
  <si>
    <t>Potash Total</t>
  </si>
  <si>
    <t>Rare Earths Total</t>
  </si>
  <si>
    <t>BCI Minerals Limited</t>
  </si>
  <si>
    <t>Salt Total</t>
  </si>
  <si>
    <t>Silica - Silica Sand Total</t>
  </si>
  <si>
    <t>Silver Total</t>
  </si>
  <si>
    <t>Talc Total</t>
  </si>
  <si>
    <t>Alita Resources Limited</t>
  </si>
  <si>
    <t>Marbl Lithium Operations Pty Ltd</t>
  </si>
  <si>
    <t>Unassigned</t>
  </si>
  <si>
    <t>Unassigned Total</t>
  </si>
  <si>
    <t>Vanadium - Titanium Total</t>
  </si>
  <si>
    <t>Various Laterals and Pipelines</t>
  </si>
  <si>
    <t>Domgas, Gorgon and Jansz Onshore Pipelines and Wheatstone Trunkline</t>
  </si>
  <si>
    <t>NewGen Neerabup PARTNERSHIP</t>
  </si>
  <si>
    <t>Norwest Energy NL / Westranch Holdings Pty Ltd</t>
  </si>
  <si>
    <t>Beharra Springs</t>
  </si>
  <si>
    <t>Cape Lambert Lateral, Paraburdoo Gas Lateral</t>
  </si>
  <si>
    <t>Santos WA Asset Holdings Pty Ltd</t>
  </si>
  <si>
    <t>Mt Keith, Parkeston Lateral</t>
  </si>
  <si>
    <t>Kambalda Lateral and Leinster Lateral</t>
  </si>
  <si>
    <t>UIL Energy Ltd</t>
  </si>
  <si>
    <t>Walyering</t>
  </si>
  <si>
    <t>Garnet</t>
  </si>
  <si>
    <t>Spodumene Concentrate</t>
  </si>
  <si>
    <t>Office of the Chief Economist</t>
  </si>
  <si>
    <t>WA Treasury Corporation</t>
  </si>
  <si>
    <t>Clays Total</t>
  </si>
  <si>
    <t>Alumina - Bauxite</t>
  </si>
  <si>
    <t>Mineral Sands Total</t>
  </si>
  <si>
    <t>Project(s)</t>
  </si>
  <si>
    <t xml:space="preserve">Alumina - Bauxite  </t>
  </si>
  <si>
    <t xml:space="preserve">Diamonds                            </t>
  </si>
  <si>
    <t xml:space="preserve">Diamonds                           </t>
  </si>
  <si>
    <t>Total Mining NoIs</t>
  </si>
  <si>
    <t>Mineral Exploration By Type</t>
  </si>
  <si>
    <t>Company Employees</t>
  </si>
  <si>
    <t>Marine Crew</t>
  </si>
  <si>
    <t>Global Ranking</t>
  </si>
  <si>
    <t>Petroleum exploration expenditure</t>
  </si>
  <si>
    <t xml:space="preserve"> Australia (A$ Million)</t>
  </si>
  <si>
    <t>Australia (A$ Million)</t>
  </si>
  <si>
    <t>Australia total (A$ Million)</t>
  </si>
  <si>
    <t>Mineral Exploration Expenditure</t>
  </si>
  <si>
    <t>Mineral Exploration By Commodity</t>
  </si>
  <si>
    <t>ABS data showing the breakdown of WA's exploration spend by type (i.e. new deposits and existing deposits) compared to the rest of Australia.</t>
  </si>
  <si>
    <t>Mineral Exploration Metres Drilled</t>
  </si>
  <si>
    <t>Australia mineral and energy exports</t>
  </si>
  <si>
    <t>Mineral exploration expenditure and metres drilled</t>
  </si>
  <si>
    <t>Australia merchandise exports by State and by Destination</t>
  </si>
  <si>
    <t>TWI</t>
  </si>
  <si>
    <t>Index of Commodity Prices</t>
  </si>
  <si>
    <t>Snapshot</t>
  </si>
  <si>
    <t>Commodity Price Comparison</t>
  </si>
  <si>
    <t>WA's production of major commodities as compared to the rest of Australia and the world.</t>
  </si>
  <si>
    <t>Month</t>
  </si>
  <si>
    <t>Exchange rates</t>
  </si>
  <si>
    <t>Historic US:Australian dollar exchange rate and Trade-weighted Index.</t>
  </si>
  <si>
    <t>US$:A$ exchange rate</t>
  </si>
  <si>
    <t>Petroleum Employment Monthly</t>
  </si>
  <si>
    <t>Mining investment share of Western Australia new capital expenditure</t>
  </si>
  <si>
    <t>Minerals and energy share of Western Australia merchandise exports</t>
  </si>
  <si>
    <t>RBA data showing the comparative historic value of major Australian commodities, indexed to 2018-19.</t>
  </si>
  <si>
    <t>Value</t>
  </si>
  <si>
    <t>Year</t>
  </si>
  <si>
    <t>Nickel, cobalt</t>
  </si>
  <si>
    <t>FY H1</t>
  </si>
  <si>
    <t>WA Rank</t>
  </si>
  <si>
    <t>Petroleum NoIs</t>
  </si>
  <si>
    <t>Exploration FTEs</t>
  </si>
  <si>
    <t>Contractors</t>
  </si>
  <si>
    <t>Exploration NoIs</t>
  </si>
  <si>
    <t>Petroleum FTEs</t>
  </si>
  <si>
    <t>Total Mining</t>
  </si>
  <si>
    <t>N/A</t>
  </si>
  <si>
    <t>Total Petroleum FTEs (HYs)</t>
  </si>
  <si>
    <t>Total Petroleum NoIs (HYs)</t>
  </si>
  <si>
    <t>Click to Select: NoIs</t>
  </si>
  <si>
    <t>Click to Select: FTEs</t>
  </si>
  <si>
    <t>Royalties Latest</t>
  </si>
  <si>
    <t>Royalties Historic</t>
  </si>
  <si>
    <t>Mining Employment Monthly</t>
  </si>
  <si>
    <t>Employment Calendar Year</t>
  </si>
  <si>
    <t>Employment Financial Year</t>
  </si>
  <si>
    <t>Employment in the WA petroleum industry on a monthly basis since 2010.</t>
  </si>
  <si>
    <t>Current and previous period employment data in the mining industry in WA by site.</t>
  </si>
  <si>
    <t>Current and previous period employment data in the petroleum industry in WA by site.</t>
  </si>
  <si>
    <t>Annual calendar year employment by commodity data and graph in the WA mining and petroleum sector since 2001.</t>
  </si>
  <si>
    <t>Annual financial year employment by commodity data and graph in the WA mining and petroleum sector since 2001-02.</t>
  </si>
  <si>
    <t>2019-20</t>
  </si>
  <si>
    <t>2019-2020</t>
  </si>
  <si>
    <t>Cumulative Total</t>
  </si>
  <si>
    <t>Total Share</t>
  </si>
  <si>
    <t>Western Australia ($ Million)</t>
  </si>
  <si>
    <t>Rest of Australia ($ Million)</t>
  </si>
  <si>
    <t>Worsley Logistics and Port Operations</t>
  </si>
  <si>
    <t>Bennett Resources Pty Ltd</t>
  </si>
  <si>
    <t>Asgard 1, Valhalla North &amp; Valhalla 2</t>
  </si>
  <si>
    <t>Perth Operations</t>
  </si>
  <si>
    <t>Red Dirt Agriculture Pty Ltd</t>
  </si>
  <si>
    <t>Vinci Gravel Supplies Pty Ltd</t>
  </si>
  <si>
    <t>Venturex Pilbara Pty Ltd</t>
  </si>
  <si>
    <t>Click above to change column chart data</t>
  </si>
  <si>
    <t>Column Chart Data</t>
  </si>
  <si>
    <t>Essential Metals Limited</t>
  </si>
  <si>
    <t>Alltrack Wa Pty Ltd</t>
  </si>
  <si>
    <t>Corunna Downs Operations</t>
  </si>
  <si>
    <t>Greater Tom Price Operations</t>
  </si>
  <si>
    <t>Indus Mining Services Pty Ltd</t>
  </si>
  <si>
    <t>Spinifex Iron Pty Ltd</t>
  </si>
  <si>
    <t>Yalgoo Operations</t>
  </si>
  <si>
    <t>Golden Spur Resources Pty Ltd</t>
  </si>
  <si>
    <t>Gum Creek Gold Mines Pty Ltd</t>
  </si>
  <si>
    <t>US$ vs A$</t>
  </si>
  <si>
    <t>ABS data showing historic and current expenditure on offshore and onshore petroleum exploration in Australia.</t>
  </si>
  <si>
    <t>Petroleum Exploration By Location</t>
  </si>
  <si>
    <t>Mineral Exploration Expenditure By Type</t>
  </si>
  <si>
    <t xml:space="preserve"> Last 10 Calendar Years</t>
  </si>
  <si>
    <t>Last 10 Financial Years</t>
  </si>
  <si>
    <t>Last 10 Calendar Years</t>
  </si>
  <si>
    <t>Petroleum Exploration Expenditure By Location</t>
  </si>
  <si>
    <t>Percentage Of Total Mineral And Petroleum Exports</t>
  </si>
  <si>
    <t>Percentage Of Total</t>
  </si>
  <si>
    <t>Export Value ($ Million)</t>
  </si>
  <si>
    <t>Percentage of Total</t>
  </si>
  <si>
    <t>Rural Component</t>
  </si>
  <si>
    <t>Non-rural Component</t>
  </si>
  <si>
    <t>Non-rural Component - Base Metals</t>
  </si>
  <si>
    <t>RBA Index Of Non-rural Commodity Prices</t>
  </si>
  <si>
    <t>Western Australia Share Of Australia</t>
  </si>
  <si>
    <t>Rest Of Australia ($ Million)</t>
  </si>
  <si>
    <t>Mining Share Of Western Australia (A$ Million)</t>
  </si>
  <si>
    <t>Rest Of Australia (A$ Million)</t>
  </si>
  <si>
    <t>Share Of Western Australia</t>
  </si>
  <si>
    <t>Western Australia New Deposits (A$ Million)</t>
  </si>
  <si>
    <t xml:space="preserve"> Australia New Deposits (A$ Million)</t>
  </si>
  <si>
    <t>Western Australia Existing Deposits (A$ Million)</t>
  </si>
  <si>
    <t xml:space="preserve"> Rest Of Australia New Deposits (A$ Million)</t>
  </si>
  <si>
    <t>Rest Of Australia Existing Deposits (A$ Million)</t>
  </si>
  <si>
    <t xml:space="preserve"> Australia Existing Deposits (A$ Million)</t>
  </si>
  <si>
    <t>Western Australia Share Of Australia New Deposits</t>
  </si>
  <si>
    <t>Western Australia Share Of Australia Existing Deposits</t>
  </si>
  <si>
    <t>New Deposits Share Of Western Australia</t>
  </si>
  <si>
    <t>Australia New Deposits Metres Drilled ('000)</t>
  </si>
  <si>
    <t>Australia Existing Deposits Metres Drilled ('000)</t>
  </si>
  <si>
    <t>Australia Total Deposits Metres Drilled ('000)</t>
  </si>
  <si>
    <t>Australia Onshore Drilling (A$ Million)</t>
  </si>
  <si>
    <t>Australia Onshore Other (A$ Million)</t>
  </si>
  <si>
    <t>Australian Onshore Total (A$ Million)</t>
  </si>
  <si>
    <t>Australia Offshore Drilling  (A$ Million)</t>
  </si>
  <si>
    <t>Australia Offshore Other (A$ Million)</t>
  </si>
  <si>
    <t>Australia Offshore Total (A$ Million)</t>
  </si>
  <si>
    <t>Australia Total (A$ Million)</t>
  </si>
  <si>
    <t xml:space="preserve">Onshore Share of Australia </t>
  </si>
  <si>
    <t xml:space="preserve">Onshore Share Of Australia </t>
  </si>
  <si>
    <t>Total Royalty Receipts</t>
  </si>
  <si>
    <t>Total Revenue</t>
  </si>
  <si>
    <t>Nickel, Cobalt</t>
  </si>
  <si>
    <t>($A Million)</t>
  </si>
  <si>
    <t>Historic Royalty Revenue By Commodity (Financial Year)</t>
  </si>
  <si>
    <t>Historic Royalty Revenue By Commodity (Calendar Year)</t>
  </si>
  <si>
    <t>Total Royalty Receipts (Excluding NWS Grants)</t>
  </si>
  <si>
    <t>Mining And Petroleum Employment By Calendar Year</t>
  </si>
  <si>
    <t>Mining And Petroleum Employment By Financial Year</t>
  </si>
  <si>
    <t>Mining Company Employees FTEs</t>
  </si>
  <si>
    <t>Mining Contractors FTEs</t>
  </si>
  <si>
    <t>Mining Company Employees NoIs</t>
  </si>
  <si>
    <t>Mining Contractors NoIs</t>
  </si>
  <si>
    <t>Mining Employment - By Site</t>
  </si>
  <si>
    <t>Petroleum Employment - By Site</t>
  </si>
  <si>
    <t>Operation</t>
  </si>
  <si>
    <t>Mining Employment By Calendar Year Pre-2001</t>
  </si>
  <si>
    <t>Mining Employment By Site</t>
  </si>
  <si>
    <t>Petroleum Employment By Site</t>
  </si>
  <si>
    <t xml:space="preserve">    </t>
  </si>
  <si>
    <t>Rest Of Australia</t>
  </si>
  <si>
    <t>Export Value ($)</t>
  </si>
  <si>
    <t>Merchandise Exports From WA ($)</t>
  </si>
  <si>
    <t>Mineral And Petroleum Exports ($)</t>
  </si>
  <si>
    <t>Other WA Exports ($)</t>
  </si>
  <si>
    <t>* Excludes manufactured products.</t>
  </si>
  <si>
    <t>Private New Capital Expenditure</t>
  </si>
  <si>
    <t>Petroleum Exploration</t>
  </si>
  <si>
    <t>Merchandise Exports</t>
  </si>
  <si>
    <t>Mineral and Energy Exports</t>
  </si>
  <si>
    <t>Economic Impact</t>
  </si>
  <si>
    <t>Natural Gas (inc. LNG feedstock and CSG)</t>
  </si>
  <si>
    <t>Crude Oil and Condensate</t>
  </si>
  <si>
    <t>Major Western Australian Commodities</t>
  </si>
  <si>
    <t>Output of Minerals and Energy</t>
  </si>
  <si>
    <t>Crude Oil</t>
  </si>
  <si>
    <t>&gt;11</t>
  </si>
  <si>
    <t>World alumina, cobalt, copper, diamonds, garnet, gold, ilmenite, iron ore, lead, lithium, manganese, nickel, rare earth oxides, rutile, salt, zinc and zircon production</t>
  </si>
  <si>
    <t>World LNG and crude oil production</t>
  </si>
  <si>
    <t>BP</t>
  </si>
  <si>
    <t>BP Statistical Review of World Energy</t>
  </si>
  <si>
    <t>Western Australia alumina, cobalt, copper, crude oil, diamonds, garnet, gold, ilmenite, iron ore, lead, lithium, LNG, manganese, nickel, rare earth oxides, rutile, salt, zinc, and zircon production</t>
  </si>
  <si>
    <t>DMIRS</t>
  </si>
  <si>
    <t>Australia alumina, copper, diamonds, gold, iron ore, lead, nickel and zinc production</t>
  </si>
  <si>
    <t>Australia ilmenite, rutile, salt, and zircon production</t>
  </si>
  <si>
    <t xml:space="preserve">Australia cobalt, garnet, lithium, manganese, rare earth oxides, </t>
  </si>
  <si>
    <t>Australia LNG, crude oil, condensate and natural gas production</t>
  </si>
  <si>
    <t>Mining component of WA GSP *</t>
  </si>
  <si>
    <t>Alumina and bauxite</t>
  </si>
  <si>
    <t xml:space="preserve">Lithium           </t>
  </si>
  <si>
    <t>Lithium Total</t>
  </si>
  <si>
    <t xml:space="preserve">Non-rural Component - Bulk commodities  </t>
  </si>
  <si>
    <t>West Kimberley Operations</t>
  </si>
  <si>
    <t>India Bore Diamond Holdings Pty Ltd</t>
  </si>
  <si>
    <t>Bridgetown Operations</t>
  </si>
  <si>
    <t>Mount Marshall Operations</t>
  </si>
  <si>
    <t>Olynthos Bridgetown Pty Ltd</t>
  </si>
  <si>
    <t>Pilbara Stone Holdings Pty Ltd</t>
  </si>
  <si>
    <t>Q Stone Pty Ltd</t>
  </si>
  <si>
    <t>The Trustee For Wa Limestone Unit Trust</t>
  </si>
  <si>
    <t>Australasian Sands International Pty Ltd</t>
  </si>
  <si>
    <t>Australian Stone Company Pty Ltd</t>
  </si>
  <si>
    <t>Carthy, Graeme</t>
  </si>
  <si>
    <t>Dmb Civil &amp; Mining Pty Ltd</t>
  </si>
  <si>
    <t>L &amp; G Granite Pty Ltd</t>
  </si>
  <si>
    <t>Rural Stone Company Wa Pty Ltd</t>
  </si>
  <si>
    <t>The Trustee For Palmer Earthmoving Unit Trust</t>
  </si>
  <si>
    <t>The Trustee For Ransberg Unit Trust</t>
  </si>
  <si>
    <t>The Trustee For The Great Sand Supplies Trust</t>
  </si>
  <si>
    <t>The Trustee For The Italo Pirone Family Trust</t>
  </si>
  <si>
    <t>The Trustee For The Jab Familytrust</t>
  </si>
  <si>
    <t>The Trustee For The Seven Springs Family Trust Trading As Ringa Civil</t>
  </si>
  <si>
    <t>The Trustee For The Sloan Family Trust &amp; T.J Sloan</t>
  </si>
  <si>
    <t>The Trustee For The Spiers Earthworks Trust</t>
  </si>
  <si>
    <t>The Trustee For The Sweetman No 2 Trust</t>
  </si>
  <si>
    <t>Murchison Operations</t>
  </si>
  <si>
    <t>Bamboo Creek Operations</t>
  </si>
  <si>
    <t>Paynes Find Operations</t>
  </si>
  <si>
    <t>Garden Well / Rosemont Operations</t>
  </si>
  <si>
    <t>O'Connor Operations</t>
  </si>
  <si>
    <t>Abalone (Wa) Pty Ltd</t>
  </si>
  <si>
    <t>Aurumin Mt Palmer Pty Ltd</t>
  </si>
  <si>
    <t>Bar Twenty Pty Ltd</t>
  </si>
  <si>
    <t>Barto Gold Mining Pty Ltd</t>
  </si>
  <si>
    <t>Genesis Minerals Limited</t>
  </si>
  <si>
    <t>Goldfields Technical Services Pty Ltd</t>
  </si>
  <si>
    <t>Greenstone Resources (Wa) Pty Ltd</t>
  </si>
  <si>
    <t>Gsm Mining Company Pty Ltd</t>
  </si>
  <si>
    <t>Habrok (Geko Pit) Pty Ltd</t>
  </si>
  <si>
    <t>Haoma Mining Nl</t>
  </si>
  <si>
    <t>Keras (Pilbara) Gold Pty Ltd</t>
  </si>
  <si>
    <t>Klaus Contracting Pty Ltd</t>
  </si>
  <si>
    <t>Linden Gold Pty Ltd</t>
  </si>
  <si>
    <t>Mt Morgans Wa Mining Pty Ltd</t>
  </si>
  <si>
    <t>Newmont Boddington Gold Pty Ltd</t>
  </si>
  <si>
    <t>Nex Metals Explorations Ltd</t>
  </si>
  <si>
    <t>Northern Star (Bronzewing) Pty Ltd</t>
  </si>
  <si>
    <t>Paynes Find Mining Pty Ltd</t>
  </si>
  <si>
    <t>Roxbury Trading Pty Ltd</t>
  </si>
  <si>
    <t>Summit Resource Holdings Pty Ltd</t>
  </si>
  <si>
    <t>The Trustee For Cb Mining Services Unit Trust</t>
  </si>
  <si>
    <t>The Trustee For Fmr Unit Trust</t>
  </si>
  <si>
    <t>Wiluna Operations Pty Ltd</t>
  </si>
  <si>
    <t>Yilgangi Queen Goldmines Pty Ltd</t>
  </si>
  <si>
    <t>The R &amp; H Trust And The Robert Nixon Family Trust</t>
  </si>
  <si>
    <t>Karara Mining Operations</t>
  </si>
  <si>
    <t>Blue Hills Operations</t>
  </si>
  <si>
    <t>Pilbara Operations</t>
  </si>
  <si>
    <t>Cockatoo Island Mining Pty Ltd</t>
  </si>
  <si>
    <t>Fenix Resources Ltd</t>
  </si>
  <si>
    <t>Gwr Group Limited</t>
  </si>
  <si>
    <t>Wonmunna Iron Ore Pty Ltd</t>
  </si>
  <si>
    <t>L'Haridon Bight Operations</t>
  </si>
  <si>
    <t>Doust Enterprises (Wa) Pty Ltd</t>
  </si>
  <si>
    <t>Exmouth Quarries &amp; Concrete Pty Ltd</t>
  </si>
  <si>
    <t>L'Haridon Bight Mining Pty Ltd</t>
  </si>
  <si>
    <t>The Trustee For Candeloro Farm Trust</t>
  </si>
  <si>
    <t>Element 25 Limited</t>
  </si>
  <si>
    <t>Meckering Operations</t>
  </si>
  <si>
    <t>Austral Bricks (Wa) Pty Ltd</t>
  </si>
  <si>
    <t>Capitary No.3 Pty Ltd</t>
  </si>
  <si>
    <t>Dana Minerals Pty. Ltd.</t>
  </si>
  <si>
    <t>GWR Group Limited</t>
  </si>
  <si>
    <t>Ashbridge Holdings Pty Ltd</t>
  </si>
  <si>
    <t xml:space="preserve">Magnesite   </t>
  </si>
  <si>
    <t>Magnesite Total</t>
  </si>
  <si>
    <t>Kambalda Operations</t>
  </si>
  <si>
    <t>Kalgoorlie - Bulong Operations</t>
  </si>
  <si>
    <t>Department Of Mines, Industry Regulation And Safety</t>
  </si>
  <si>
    <t>FQM Australia Nickel Pty Ltd</t>
  </si>
  <si>
    <t>Pigments</t>
  </si>
  <si>
    <t>Lake MacLeod Operations</t>
  </si>
  <si>
    <t>IMI Fabi (Australia) Pty Ltd</t>
  </si>
  <si>
    <t>Mulga Rock Operations</t>
  </si>
  <si>
    <t>Vimy Resources Limited</t>
  </si>
  <si>
    <t>RN Hebiton &amp; LM Hebiton</t>
  </si>
  <si>
    <t>Diamonds Total</t>
  </si>
  <si>
    <t>Griffin Export Facility, Macedon Gas Project</t>
  </si>
  <si>
    <t>Devil Creek, Varanus</t>
  </si>
  <si>
    <t>Total Mining and Exploration</t>
  </si>
  <si>
    <t>Total Mining, Exploration and Petroleum</t>
  </si>
  <si>
    <t>Gold Total</t>
  </si>
  <si>
    <t>Uranium Total</t>
  </si>
  <si>
    <t>Alumina - Bauxite Total</t>
  </si>
  <si>
    <t>Base Metals Total</t>
  </si>
  <si>
    <t>China</t>
  </si>
  <si>
    <t>Japan</t>
  </si>
  <si>
    <t>United Kingdom</t>
  </si>
  <si>
    <t>Korea, Republic of</t>
  </si>
  <si>
    <t>Singapore</t>
  </si>
  <si>
    <t>Hong Kong (SAR of China)</t>
  </si>
  <si>
    <t>Taiwan</t>
  </si>
  <si>
    <t>Western Australia Global Production Share And Ranking</t>
  </si>
  <si>
    <t>Australia ($ Million)</t>
  </si>
  <si>
    <t>Western Australia GSP 2019-20</t>
  </si>
  <si>
    <t>Australia GDP 2019-20</t>
  </si>
  <si>
    <t>Australian mining GVA 2019-20</t>
  </si>
  <si>
    <t>Western Australia mining GVA 2019-20</t>
  </si>
  <si>
    <t>Static calendar year employment data by commodity for 1987-2000.</t>
  </si>
  <si>
    <t>(2019/2020 = 100)</t>
  </si>
  <si>
    <t>2020-21</t>
  </si>
  <si>
    <t xml:space="preserve">United States of America </t>
  </si>
  <si>
    <t>Indonesia</t>
  </si>
  <si>
    <t>India</t>
  </si>
  <si>
    <t>2020-2021</t>
  </si>
  <si>
    <t>Total Australian Exports 2020-2021*</t>
  </si>
  <si>
    <t>2019-20
NoI</t>
  </si>
  <si>
    <t>2020-21
NoI</t>
  </si>
  <si>
    <t>2019-20
FTE</t>
  </si>
  <si>
    <t>2020-21
FTE</t>
  </si>
  <si>
    <t>Shenton Ridge Operations</t>
  </si>
  <si>
    <t>Cauldron Energy Limited</t>
  </si>
  <si>
    <t>Hallgrav Pty Ltd</t>
  </si>
  <si>
    <t>Jurien Concrete Services Wa Pty Ltd</t>
  </si>
  <si>
    <t>Nielsen, Anders Conrad Koefoed</t>
  </si>
  <si>
    <t>The Trustee For The Mcguinness Family Trust</t>
  </si>
  <si>
    <t>Tremor - The Earth'S Moving Company Pty Ltd</t>
  </si>
  <si>
    <t>WBHO Infrastructure Pty Ltd</t>
  </si>
  <si>
    <t>The Trustee For WA Limestone Unit Trust</t>
  </si>
  <si>
    <t>The Trustee For The GJ Lange Family Trust</t>
  </si>
  <si>
    <t>The Trustee For AVC Miles Testamentary Trust</t>
  </si>
  <si>
    <t>NTC Contracting Pty Ltd</t>
  </si>
  <si>
    <t>Mr &amp; JL Piggott</t>
  </si>
  <si>
    <t>MLG Oz Pty Ltd</t>
  </si>
  <si>
    <t>MGM Limestone Pty Ltd</t>
  </si>
  <si>
    <t>KDMJ (WA) Pty Ltd</t>
  </si>
  <si>
    <t>Leinster/Sir Samuel Operations</t>
  </si>
  <si>
    <t>Kanowna Belle Operations</t>
  </si>
  <si>
    <t>Kundana Operations</t>
  </si>
  <si>
    <t>Sandstone Operations</t>
  </si>
  <si>
    <t>Yundamindera Operations</t>
  </si>
  <si>
    <t>Burbanks Operations</t>
  </si>
  <si>
    <t>Adaman Minerals Pty Ltd</t>
  </si>
  <si>
    <t>Bk Gold Mines Pty Ltd</t>
  </si>
  <si>
    <t>Brightstar Resources Limited</t>
  </si>
  <si>
    <t>Corinthian Mining Pty Ltd</t>
  </si>
  <si>
    <t>Explaurum Operations Pty Ltd</t>
  </si>
  <si>
    <t>Gbf Number 3 Pty Ltd</t>
  </si>
  <si>
    <t>Golden Grove Operations Pty Ltd</t>
  </si>
  <si>
    <t>Kirkalocka Gold Spv Pty Ltd</t>
  </si>
  <si>
    <t>Lindsay'S Find Pty Ltd</t>
  </si>
  <si>
    <t>Northern Star (Carosue Dam) Pty Ltd</t>
  </si>
  <si>
    <t>Northern Star (Thunderbox) Pty Ltd</t>
  </si>
  <si>
    <t>Orminex Penny'S Find Pty Ltd</t>
  </si>
  <si>
    <t>Penny Operations Pty Ltd</t>
  </si>
  <si>
    <t>Resources &amp; Energy Group Limited</t>
  </si>
  <si>
    <t>Sandstone Industries Pty Ltd</t>
  </si>
  <si>
    <t>Taylor, Douglas</t>
  </si>
  <si>
    <t>Torque Metals Limited</t>
  </si>
  <si>
    <t>Lake Seabrook Operations</t>
  </si>
  <si>
    <t>Wiluna Fe Pty Ltd</t>
  </si>
  <si>
    <t>Hamersley HMS Pty Ltd</t>
  </si>
  <si>
    <t>KMG Mining Pty Ltd</t>
  </si>
  <si>
    <t>SMS Innovative Mining Pty Ltd</t>
  </si>
  <si>
    <t>Lithco No.2 Pty Ltd</t>
  </si>
  <si>
    <t>Geraldton Port (Berths 1 to 6) Operations</t>
  </si>
  <si>
    <t>Bunbury Port (Berths 1, 5 and 8) Operations</t>
  </si>
  <si>
    <t>Lynas Kalgoorlie Pty Ltd</t>
  </si>
  <si>
    <t>Northern Star (Talisman) Pty Ltd</t>
  </si>
  <si>
    <t>BHP Nickel West Pty Ltd</t>
  </si>
  <si>
    <t>Strandline Resources Limited</t>
  </si>
  <si>
    <t>Image Resources NL</t>
  </si>
  <si>
    <t>Coolimba Operations</t>
  </si>
  <si>
    <t>Shire Of Denmark</t>
  </si>
  <si>
    <t>WA Limestone And Italia Stone Group Joint Venture</t>
  </si>
  <si>
    <t>Degrussa Operations</t>
  </si>
  <si>
    <t>Anax Metals Limited</t>
  </si>
  <si>
    <t>Cyprium Services Pty Ltd</t>
  </si>
  <si>
    <t>Dongara Production Facility, Hovea Production facility, P00143, Senecio Waitsia Development, Well Intervention Activities, Woodada Gas Field, Workover Operations</t>
  </si>
  <si>
    <t>Adoxa 1, Blina Field, EP 391, EP 428, EP 457, Kurrajong 1, Miani 1, Pictor, Rafael, Ungani Field, Yulleroo (4)</t>
  </si>
  <si>
    <t>Trieste 3D Seismic Survey</t>
  </si>
  <si>
    <t>West Erregulla 2, West Erregulla 3, West Erregulla 4, West Erregulla 5</t>
  </si>
  <si>
    <t>Kalium Lakes Infrastructure Pty Ltd</t>
  </si>
  <si>
    <t>The Beyondie Gas Pipeline (BGP)</t>
  </si>
  <si>
    <t>Energy Resources Limited</t>
  </si>
  <si>
    <t>P00200, Seismic Surveys</t>
  </si>
  <si>
    <t>AWE Perth Pty Ltd</t>
  </si>
  <si>
    <t>IRWIN-01 Exploration Well Site, Perth Basin Petroleum Operations, Pipeline Operations - Woodada Pipeline, Xyris Export Pipeline, Waitsia Gas Export Pipeline</t>
  </si>
  <si>
    <t>Lattice Energy Resources (Perth Basin) Pty Limited</t>
  </si>
  <si>
    <t>P00178</t>
  </si>
  <si>
    <t>2019/20</t>
  </si>
  <si>
    <t>2020/21</t>
  </si>
  <si>
    <t>2019/20 versus 2020/21 Exchange Rates and Commodity Prices</t>
  </si>
  <si>
    <t>2021-22</t>
  </si>
  <si>
    <t>H2 2036</t>
  </si>
  <si>
    <t>H2 2037</t>
  </si>
  <si>
    <t>H1 2036</t>
  </si>
  <si>
    <t>H1 2037</t>
  </si>
  <si>
    <t>H1 2038</t>
  </si>
  <si>
    <t>H1 2039</t>
  </si>
  <si>
    <t>H1 2040</t>
  </si>
  <si>
    <t>H1 2041</t>
  </si>
  <si>
    <t>H1 2042</t>
  </si>
  <si>
    <t>H1 2043</t>
  </si>
  <si>
    <t>H1 2044</t>
  </si>
  <si>
    <t>Snapshot - 2020-21</t>
  </si>
  <si>
    <t>Liquefied Natural Gas</t>
  </si>
  <si>
    <t>Condensate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</si>
</sst>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6" formatCode="&quot;$&quot;#,##0;[Red]\-&quot;$&quot;#,##0"/>
    <numFmt numFmtId="8" formatCode="&quot;$&quot;#,##0.00;[Red]\-&quot;$&quot;#,##0.00"/>
    <numFmt numFmtId="44" formatCode="_-&quot;$&quot;* #,##0.00_-;\-&quot;$&quot;* #,##0.00_-;_-&quot;$&quot;* &quot;-&quot;??_-;_-@_-"/>
    <numFmt numFmtId="43" formatCode="_-* #,##0.00_-;\-* #,##0.00_-;_-* &quot;-&quot;??_-;_-@_-"/>
    <numFmt numFmtId="164" formatCode="&quot;$&quot;#,##0.00_);[Red]\(&quot;$&quot;#,##0.00\)"/>
    <numFmt numFmtId="165" formatCode="_(* #,##0.00_);_(* \(#,##0.00\);_(* &quot;-&quot;??_);_(@_)"/>
    <numFmt numFmtId="166" formatCode="0.0000"/>
    <numFmt numFmtId="167" formatCode="0.0"/>
    <numFmt numFmtId="168" formatCode="0.0%"/>
    <numFmt numFmtId="169" formatCode="_-* #,##0_-;\-* #,##0_-;_-* &quot;-&quot;??_-;_-@_-"/>
    <numFmt numFmtId="170" formatCode="mmm\-yyyy"/>
    <numFmt numFmtId="171" formatCode="0.000"/>
    <numFmt numFmtId="172" formatCode="0_)"/>
    <numFmt numFmtId="173" formatCode="0;\-0;0;@"/>
    <numFmt numFmtId="174" formatCode="General_)"/>
    <numFmt numFmtId="175" formatCode="0.000000"/>
    <numFmt numFmtId="176" formatCode="#,##0.000000"/>
    <numFmt numFmtId="177" formatCode="_-&quot;$&quot;* #,##0_-;\-&quot;$&quot;* #,##0_-;_-&quot;$&quot;* &quot;-&quot;??_-;_-@_-"/>
    <numFmt numFmtId="178" formatCode="mmm\ dd\,\ yyyy"/>
    <numFmt numFmtId="179" formatCode="0.0_ ;[Red]\-0.0\ "/>
    <numFmt numFmtId="180" formatCode="_-* #,##0.0_-;\-* #,##0.0_-;_-* &quot;-&quot;??_-;_-@_-"/>
    <numFmt numFmtId="181" formatCode="[$-C09]dd\-mmm\-yy;@"/>
    <numFmt numFmtId="182" formatCode="0.0000000000000"/>
    <numFmt numFmtId="183" formatCode="#,##0.00000"/>
    <numFmt numFmtId="184" formatCode="#,##0.0_ ;\-#,##0.0\ "/>
    <numFmt numFmtId="185" formatCode="#,##0_ ;\-#,##0\ "/>
    <numFmt numFmtId="186" formatCode="0.00000"/>
    <numFmt numFmtId="187" formatCode="0.0;\-0.0;0.0;@"/>
    <numFmt numFmtId="188" formatCode="0.0_ ;\-0.0\ "/>
    <numFmt numFmtId="189" formatCode="#,##0_ ;[Red]\-#,##0\ "/>
    <numFmt numFmtId="190" formatCode="#,##0.0"/>
    <numFmt numFmtId="191" formatCode="#,##0.00_);\-#,##0.00_);\-_)"/>
    <numFmt numFmtId="192" formatCode="#,##0.0_);\-#,##0.0_);\-_)"/>
    <numFmt numFmtId="193" formatCode="#,##0_);\-#,##0_);\-_)"/>
    <numFmt numFmtId="194" formatCode="#,##0_ ;[Red]\(#,##0\)\ "/>
  </numFmts>
  <fonts count="176">
    <font>
      <sz val="11"/>
      <color theme="1"/>
      <name val="Calibri"/>
      <family val="2"/>
      <scheme val="minor"/>
    </font>
    <font>
      <sz val="16"/>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rgb="FFFF0000"/>
      <name val="Arial"/>
      <family val="2"/>
    </font>
    <font>
      <b/>
      <sz val="10"/>
      <color rgb="FFFF0000"/>
      <name val="Arial"/>
      <family val="2"/>
    </font>
    <font>
      <u/>
      <sz val="10"/>
      <color theme="10"/>
      <name val="Arial"/>
      <family val="2"/>
    </font>
    <font>
      <sz val="9"/>
      <name val="Arial"/>
      <family val="2"/>
    </font>
    <font>
      <sz val="8"/>
      <color indexed="10"/>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sz val="11"/>
      <name val="Calibri"/>
      <family val="2"/>
      <scheme val="minor"/>
    </font>
    <font>
      <sz val="11"/>
      <color theme="0"/>
      <name val="Calibri"/>
      <family val="2"/>
      <scheme val="minor"/>
    </font>
    <font>
      <b/>
      <sz val="12"/>
      <name val="Arial"/>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b/>
      <vertAlign val="subscript"/>
      <sz val="10"/>
      <color theme="0"/>
      <name val="Arial"/>
      <family val="2"/>
    </font>
    <font>
      <sz val="8"/>
      <name val="Arial"/>
      <family val="2"/>
    </font>
    <font>
      <u/>
      <sz val="10"/>
      <color indexed="12"/>
      <name val="Arial"/>
      <family val="2"/>
    </font>
    <font>
      <sz val="4"/>
      <color theme="0"/>
      <name val="Calibri"/>
      <family val="2"/>
      <scheme val="minor"/>
    </font>
    <font>
      <sz val="8"/>
      <color theme="0"/>
      <name val="Arial"/>
      <family val="2"/>
    </font>
    <font>
      <sz val="3"/>
      <color theme="0"/>
      <name val="Calibri"/>
      <family val="2"/>
      <scheme val="minor"/>
    </font>
    <font>
      <b/>
      <sz val="9"/>
      <color theme="1"/>
      <name val="Arial"/>
      <family val="2"/>
    </font>
    <font>
      <sz val="9"/>
      <color theme="1"/>
      <name val="Arial"/>
      <family val="2"/>
    </font>
    <font>
      <sz val="10"/>
      <name val="Arial"/>
      <family val="2"/>
    </font>
    <font>
      <u/>
      <sz val="10"/>
      <color indexed="12"/>
      <name val="Arial"/>
      <family val="2"/>
    </font>
    <font>
      <sz val="10"/>
      <color theme="1"/>
      <name val="Calibri"/>
      <family val="2"/>
    </font>
    <font>
      <i/>
      <sz val="9"/>
      <color theme="1"/>
      <name val="Calibri"/>
      <family val="2"/>
      <scheme val="minor"/>
    </font>
    <font>
      <sz val="11"/>
      <color indexed="8"/>
      <name val="Calibri"/>
      <family val="2"/>
    </font>
    <font>
      <i/>
      <sz val="11"/>
      <color theme="1"/>
      <name val="Calibri"/>
      <family val="2"/>
      <scheme val="minor"/>
    </font>
    <font>
      <sz val="10"/>
      <name val="Helvetica"/>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u/>
      <sz val="10"/>
      <color indexed="12"/>
      <name val="Arial"/>
      <family val="2"/>
    </font>
    <font>
      <sz val="2"/>
      <color theme="1"/>
      <name val="Calibri"/>
      <family val="2"/>
      <scheme val="minor"/>
    </font>
    <font>
      <sz val="2"/>
      <name val="Arial"/>
      <family val="2"/>
    </font>
    <font>
      <sz val="10"/>
      <color theme="0"/>
      <name val="Arial"/>
      <family val="2"/>
    </font>
    <font>
      <sz val="10"/>
      <name val="Arial"/>
      <family val="2"/>
    </font>
    <font>
      <u/>
      <sz val="10"/>
      <color indexed="12"/>
      <name val="Geneva"/>
      <family val="2"/>
    </font>
    <font>
      <sz val="8"/>
      <color theme="1"/>
      <name val="Arial"/>
      <family val="2"/>
    </font>
    <font>
      <sz val="10"/>
      <name val="Arial"/>
      <family val="2"/>
    </font>
    <font>
      <u/>
      <sz val="11"/>
      <color theme="3" tint="0.39997558519241921"/>
      <name val="Calibri"/>
      <family val="2"/>
      <scheme val="minor"/>
    </font>
    <font>
      <sz val="11"/>
      <color theme="4"/>
      <name val="Calibri"/>
      <family val="2"/>
      <scheme val="minor"/>
    </font>
    <font>
      <b/>
      <sz val="11"/>
      <color rgb="FFFF0000"/>
      <name val="Calibri"/>
      <family val="2"/>
      <scheme val="minor"/>
    </font>
    <font>
      <b/>
      <sz val="11"/>
      <color rgb="FFFF0000"/>
      <name val="Calibri"/>
      <family val="2"/>
    </font>
    <font>
      <i/>
      <sz val="11"/>
      <color theme="3" tint="0.39997558519241921"/>
      <name val="Calibri"/>
      <family val="2"/>
      <scheme val="minor"/>
    </font>
    <font>
      <u/>
      <sz val="10"/>
      <color indexed="12"/>
      <name val="Geneva"/>
    </font>
    <font>
      <b/>
      <sz val="11"/>
      <color theme="4"/>
      <name val="Calibri"/>
      <family val="2"/>
      <scheme val="minor"/>
    </font>
    <font>
      <b/>
      <sz val="12"/>
      <color rgb="FF333333"/>
      <name val="Calibri"/>
      <family val="2"/>
      <scheme val="minor"/>
    </font>
    <font>
      <b/>
      <i/>
      <sz val="13.5"/>
      <color rgb="FFFF0000"/>
      <name val="Calibri"/>
      <family val="2"/>
      <scheme val="minor"/>
    </font>
    <font>
      <b/>
      <i/>
      <sz val="12"/>
      <color rgb="FFFF0000"/>
      <name val="Calibri"/>
      <family val="2"/>
      <scheme val="minor"/>
    </font>
    <font>
      <sz val="11"/>
      <color rgb="FF00B050"/>
      <name val="Calibri"/>
      <family val="2"/>
      <scheme val="minor"/>
    </font>
    <font>
      <sz val="11"/>
      <color rgb="FF00B0F0"/>
      <name val="Calibri"/>
      <family val="2"/>
      <scheme val="minor"/>
    </font>
    <font>
      <sz val="10"/>
      <name val="Geneva"/>
    </font>
    <font>
      <sz val="18"/>
      <color theme="3"/>
      <name val="Cambria"/>
      <family val="2"/>
      <scheme val="major"/>
    </font>
    <font>
      <sz val="11"/>
      <color theme="5"/>
      <name val="Calibri"/>
      <family val="2"/>
      <scheme val="minor"/>
    </font>
    <font>
      <b/>
      <i/>
      <sz val="11"/>
      <color theme="1"/>
      <name val="Calibri"/>
      <family val="2"/>
      <scheme val="minor"/>
    </font>
    <font>
      <sz val="12"/>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8"/>
      <color rgb="FF00B050"/>
      <name val="Arial"/>
      <family val="2"/>
    </font>
    <font>
      <sz val="11"/>
      <color rgb="FF21FF85"/>
      <name val="Calibri"/>
      <family val="2"/>
      <scheme val="minor"/>
    </font>
    <font>
      <sz val="16"/>
      <color rgb="FF006100"/>
      <name val="Calibri"/>
      <family val="2"/>
      <scheme val="minor"/>
    </font>
    <font>
      <sz val="16"/>
      <color rgb="FF9C0006"/>
      <name val="Calibri"/>
      <family val="2"/>
      <scheme val="minor"/>
    </font>
    <font>
      <sz val="16"/>
      <color rgb="FF9C6500"/>
      <name val="Calibri"/>
      <family val="2"/>
      <scheme val="minor"/>
    </font>
    <font>
      <sz val="16"/>
      <color rgb="FF3F3F76"/>
      <name val="Calibri"/>
      <family val="2"/>
      <scheme val="minor"/>
    </font>
    <font>
      <b/>
      <sz val="16"/>
      <color rgb="FF3F3F3F"/>
      <name val="Calibri"/>
      <family val="2"/>
      <scheme val="minor"/>
    </font>
    <font>
      <b/>
      <sz val="16"/>
      <color rgb="FFFA7D00"/>
      <name val="Calibri"/>
      <family val="2"/>
      <scheme val="minor"/>
    </font>
    <font>
      <sz val="16"/>
      <color rgb="FFFA7D00"/>
      <name val="Calibri"/>
      <family val="2"/>
      <scheme val="minor"/>
    </font>
    <font>
      <b/>
      <sz val="16"/>
      <color theme="0"/>
      <name val="Calibri"/>
      <family val="2"/>
      <scheme val="minor"/>
    </font>
    <font>
      <sz val="16"/>
      <color rgb="FFFF0000"/>
      <name val="Calibri"/>
      <family val="2"/>
      <scheme val="minor"/>
    </font>
    <font>
      <i/>
      <sz val="16"/>
      <color rgb="FF7F7F7F"/>
      <name val="Calibri"/>
      <family val="2"/>
      <scheme val="minor"/>
    </font>
    <font>
      <b/>
      <sz val="16"/>
      <color theme="1"/>
      <name val="Calibri"/>
      <family val="2"/>
      <scheme val="minor"/>
    </font>
    <font>
      <sz val="16"/>
      <color theme="0"/>
      <name val="Calibri"/>
      <family val="2"/>
      <scheme val="minor"/>
    </font>
    <font>
      <sz val="11"/>
      <color theme="9" tint="-0.249977111117893"/>
      <name val="Calibri"/>
      <family val="2"/>
      <scheme val="minor"/>
    </font>
    <font>
      <b/>
      <i/>
      <sz val="11"/>
      <color theme="0"/>
      <name val="Calibri"/>
      <family val="2"/>
      <scheme val="minor"/>
    </font>
    <font>
      <sz val="8"/>
      <color rgb="FFFF0000"/>
      <name val="Arial"/>
      <family val="2"/>
    </font>
    <font>
      <b/>
      <sz val="11"/>
      <color theme="0"/>
      <name val="Calibri"/>
      <family val="2"/>
    </font>
    <font>
      <sz val="12"/>
      <color rgb="FFFF0000"/>
      <name val="Calibri"/>
      <family val="2"/>
      <scheme val="minor"/>
    </font>
    <font>
      <sz val="8"/>
      <color theme="0"/>
      <name val="Calibri"/>
      <family val="2"/>
      <scheme val="minor"/>
    </font>
    <font>
      <sz val="10"/>
      <color theme="1"/>
      <name val="Arial"/>
      <family val="2"/>
    </font>
    <font>
      <b/>
      <sz val="8"/>
      <color theme="0"/>
      <name val="Calibri"/>
      <family val="2"/>
      <scheme val="minor"/>
    </font>
    <font>
      <sz val="10"/>
      <color theme="0"/>
      <name val="Calibri"/>
      <family val="2"/>
      <scheme val="minor"/>
    </font>
    <font>
      <sz val="10"/>
      <color theme="1"/>
      <name val="Calibri"/>
      <family val="2"/>
      <scheme val="minor"/>
    </font>
    <font>
      <sz val="11"/>
      <name val="Calibri"/>
      <family val="2"/>
    </font>
    <font>
      <b/>
      <sz val="11"/>
      <name val="Calibri"/>
      <family val="2"/>
    </font>
    <font>
      <sz val="11"/>
      <color theme="3" tint="0.39997558519241921"/>
      <name val="Calibri"/>
      <family val="2"/>
      <scheme val="minor"/>
    </font>
    <font>
      <b/>
      <sz val="11"/>
      <color theme="3" tint="0.39997558519241921"/>
      <name val="Calibri"/>
      <family val="2"/>
      <scheme val="minor"/>
    </font>
    <font>
      <i/>
      <sz val="10"/>
      <color rgb="FFFF0000"/>
      <name val="Calibri"/>
      <family val="2"/>
      <scheme val="minor"/>
    </font>
    <font>
      <sz val="10"/>
      <color rgb="FFFF0000"/>
      <name val="Calibri"/>
      <family val="2"/>
      <scheme val="minor"/>
    </font>
    <font>
      <b/>
      <sz val="11"/>
      <color rgb="FF00B050"/>
      <name val="Calibri"/>
      <family val="2"/>
      <scheme val="minor"/>
    </font>
    <font>
      <sz val="8"/>
      <color rgb="FF00B050"/>
      <name val="Calibri"/>
      <family val="2"/>
      <scheme val="minor"/>
    </font>
    <font>
      <i/>
      <sz val="11"/>
      <color theme="3" tint="0.39997558519241921"/>
      <name val="Calibri"/>
      <family val="2"/>
    </font>
    <font>
      <sz val="14"/>
      <color theme="0"/>
      <name val="Calibri"/>
      <family val="2"/>
      <scheme val="minor"/>
    </font>
    <font>
      <i/>
      <sz val="8"/>
      <color theme="0"/>
      <name val="Calibri"/>
      <family val="2"/>
      <scheme val="minor"/>
    </font>
    <font>
      <b/>
      <sz val="8"/>
      <color rgb="FF00B050"/>
      <name val="Calibri"/>
      <family val="2"/>
      <scheme val="minor"/>
    </font>
    <font>
      <b/>
      <i/>
      <sz val="8"/>
      <color theme="0"/>
      <name val="Calibri"/>
      <family val="2"/>
      <scheme val="minor"/>
    </font>
  </fonts>
  <fills count="95">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indexed="64"/>
      </patternFill>
    </fill>
    <fill>
      <patternFill patternType="solid">
        <fgColor rgb="FFF3DEDD"/>
        <bgColor indexed="64"/>
      </patternFill>
    </fill>
    <fill>
      <patternFill patternType="solid">
        <fgColor theme="0"/>
        <bgColor theme="6" tint="0.79998168889431442"/>
      </patternFill>
    </fill>
    <fill>
      <patternFill patternType="solid">
        <fgColor rgb="FFF79646"/>
        <bgColor theme="6"/>
      </patternFill>
    </fill>
    <fill>
      <patternFill patternType="solid">
        <fgColor rgb="FFFFFF00"/>
        <bgColor indexed="64"/>
      </patternFill>
    </fill>
    <fill>
      <patternFill patternType="solid">
        <fgColor rgb="FFC0504D"/>
        <bgColor rgb="FFC0504D"/>
      </patternFill>
    </fill>
    <fill>
      <patternFill patternType="solid">
        <fgColor theme="5" tint="0.79998168889431442"/>
        <bgColor rgb="FFE6B8B7"/>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rgb="FFF79646"/>
        <bgColor indexed="64"/>
      </patternFill>
    </fill>
    <fill>
      <patternFill patternType="solid">
        <fgColor rgb="FFFFC000"/>
        <bgColor indexed="64"/>
      </patternFill>
    </fill>
  </fills>
  <borders count="134">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auto="1"/>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double">
        <color auto="1"/>
      </top>
      <bottom style="double">
        <color auto="1"/>
      </bottom>
      <diagonal/>
    </border>
    <border>
      <left/>
      <right/>
      <top/>
      <bottom style="medium">
        <color auto="1"/>
      </bottom>
      <diagonal/>
    </border>
    <border>
      <left/>
      <right style="medium">
        <color auto="1"/>
      </right>
      <top/>
      <bottom style="medium">
        <color auto="1"/>
      </bottom>
      <diagonal/>
    </border>
    <border>
      <left style="medium">
        <color indexed="64"/>
      </left>
      <right/>
      <top style="thin">
        <color indexed="64"/>
      </top>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double">
        <color indexed="64"/>
      </top>
      <bottom style="double">
        <color auto="1"/>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bottom style="double">
        <color auto="1"/>
      </bottom>
      <diagonal/>
    </border>
    <border>
      <left style="thin">
        <color auto="1"/>
      </left>
      <right style="thin">
        <color auto="1"/>
      </right>
      <top/>
      <bottom style="double">
        <color auto="1"/>
      </bottom>
      <diagonal/>
    </border>
    <border>
      <left style="thin">
        <color auto="1"/>
      </left>
      <right style="thin">
        <color auto="1"/>
      </right>
      <top style="double">
        <color auto="1"/>
      </top>
      <bottom style="double">
        <color auto="1"/>
      </bottom>
      <diagonal/>
    </border>
    <border>
      <left style="thin">
        <color indexed="64"/>
      </left>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double">
        <color indexed="64"/>
      </top>
      <bottom/>
      <diagonal/>
    </border>
    <border>
      <left style="thin">
        <color indexed="64"/>
      </left>
      <right style="medium">
        <color indexed="64"/>
      </right>
      <top style="double">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double">
        <color indexed="64"/>
      </top>
      <bottom style="double">
        <color auto="1"/>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double">
        <color auto="1"/>
      </bottom>
      <diagonal/>
    </border>
    <border>
      <left/>
      <right/>
      <top style="double">
        <color auto="1"/>
      </top>
      <bottom/>
      <diagonal/>
    </border>
    <border>
      <left/>
      <right style="thin">
        <color indexed="64"/>
      </right>
      <top/>
      <bottom style="medium">
        <color indexed="64"/>
      </bottom>
      <diagonal/>
    </border>
    <border>
      <left/>
      <right/>
      <top/>
      <bottom style="double">
        <color indexed="52"/>
      </bottom>
      <diagonal/>
    </border>
    <border>
      <left/>
      <right/>
      <top/>
      <bottom style="medium">
        <color indexed="3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indexed="64"/>
      </top>
      <bottom style="thin">
        <color auto="1"/>
      </bottom>
      <diagonal/>
    </border>
    <border>
      <left style="thin">
        <color auto="1"/>
      </left>
      <right style="thin">
        <color auto="1"/>
      </right>
      <top style="double">
        <color auto="1"/>
      </top>
      <bottom style="medium">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s>
  <cellStyleXfs count="44646">
    <xf numFmtId="0" fontId="0"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3" fillId="0" borderId="0" applyNumberFormat="0" applyFill="0" applyBorder="0" applyAlignment="0" applyProtection="0"/>
    <xf numFmtId="0" fontId="24" fillId="0" borderId="48" applyNumberFormat="0" applyFill="0" applyAlignment="0" applyProtection="0"/>
    <xf numFmtId="0" fontId="25" fillId="0" borderId="49" applyNumberFormat="0" applyFill="0" applyAlignment="0" applyProtection="0"/>
    <xf numFmtId="0" fontId="26" fillId="0" borderId="50" applyNumberFormat="0" applyFill="0" applyAlignment="0" applyProtection="0"/>
    <xf numFmtId="0" fontId="26" fillId="0" borderId="0" applyNumberFormat="0" applyFill="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30" fillId="18" borderId="51" applyNumberFormat="0" applyAlignment="0" applyProtection="0"/>
    <xf numFmtId="0" fontId="31" fillId="19" borderId="52" applyNumberFormat="0" applyAlignment="0" applyProtection="0"/>
    <xf numFmtId="0" fontId="32" fillId="19" borderId="51" applyNumberFormat="0" applyAlignment="0" applyProtection="0"/>
    <xf numFmtId="0" fontId="33" fillId="0" borderId="53" applyNumberFormat="0" applyFill="0" applyAlignment="0" applyProtection="0"/>
    <xf numFmtId="0" fontId="11" fillId="20" borderId="54" applyNumberFormat="0" applyAlignment="0" applyProtection="0"/>
    <xf numFmtId="0" fontId="12" fillId="0" borderId="0" applyNumberFormat="0" applyFill="0" applyBorder="0" applyAlignment="0" applyProtection="0"/>
    <xf numFmtId="0" fontId="2" fillId="21" borderId="55" applyNumberFormat="0" applyFont="0" applyAlignment="0" applyProtection="0"/>
    <xf numFmtId="0" fontId="34" fillId="0" borderId="0" applyNumberFormat="0" applyFill="0" applyBorder="0" applyAlignment="0" applyProtection="0"/>
    <xf numFmtId="0" fontId="13" fillId="0" borderId="56" applyNumberFormat="0" applyFill="0" applyAlignment="0" applyProtection="0"/>
    <xf numFmtId="0" fontId="1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7" fillId="4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40" fillId="0" borderId="0" applyFont="0" applyFill="0" applyBorder="0" applyAlignment="0" applyProtection="0"/>
    <xf numFmtId="164" fontId="40" fillId="0" borderId="0" applyFont="0" applyFill="0" applyBorder="0" applyAlignment="0" applyProtection="0"/>
    <xf numFmtId="9" fontId="40" fillId="0" borderId="0" applyFont="0" applyFill="0" applyBorder="0" applyAlignment="0" applyProtection="0"/>
    <xf numFmtId="178"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3" fillId="0" borderId="0"/>
    <xf numFmtId="0" fontId="3" fillId="0" borderId="0"/>
    <xf numFmtId="43" fontId="3" fillId="0" borderId="0" applyFont="0" applyFill="0" applyBorder="0" applyAlignment="0" applyProtection="0"/>
    <xf numFmtId="0" fontId="42"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42" fillId="0" borderId="0"/>
    <xf numFmtId="165" fontId="42" fillId="0" borderId="0" applyFont="0" applyFill="0" applyBorder="0" applyAlignment="0" applyProtection="0"/>
    <xf numFmtId="0" fontId="3" fillId="0" borderId="0"/>
    <xf numFmtId="0" fontId="41" fillId="51"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60" borderId="0" applyNumberFormat="0" applyBorder="0" applyAlignment="0" applyProtection="0"/>
    <xf numFmtId="0" fontId="43" fillId="61"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62" borderId="0" applyNumberFormat="0" applyBorder="0" applyAlignment="0" applyProtection="0"/>
    <xf numFmtId="0" fontId="43" fillId="63" borderId="0" applyNumberFormat="0" applyBorder="0" applyAlignment="0" applyProtection="0"/>
    <xf numFmtId="0" fontId="43" fillId="64"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7" borderId="0" applyNumberFormat="0" applyBorder="0" applyAlignment="0" applyProtection="0"/>
    <xf numFmtId="0" fontId="43" fillId="62" borderId="0" applyNumberFormat="0" applyBorder="0" applyAlignment="0" applyProtection="0"/>
    <xf numFmtId="0" fontId="43" fillId="63" borderId="0" applyNumberFormat="0" applyBorder="0" applyAlignment="0" applyProtection="0"/>
    <xf numFmtId="0" fontId="43" fillId="68" borderId="0" applyNumberFormat="0" applyBorder="0" applyAlignment="0" applyProtection="0"/>
    <xf numFmtId="0" fontId="5" fillId="0" borderId="0" applyNumberFormat="0" applyFill="0" applyBorder="0" applyAlignment="0" applyProtection="0"/>
    <xf numFmtId="0" fontId="44" fillId="69" borderId="57" applyNumberFormat="0" applyAlignment="0" applyProtection="0"/>
    <xf numFmtId="0" fontId="45" fillId="0" borderId="58" applyNumberFormat="0" applyFill="0" applyAlignment="0" applyProtection="0"/>
    <xf numFmtId="0" fontId="41" fillId="70" borderId="59" applyNumberFormat="0" applyFont="0" applyAlignment="0" applyProtection="0"/>
    <xf numFmtId="0" fontId="46" fillId="56" borderId="57" applyNumberFormat="0" applyAlignment="0" applyProtection="0"/>
    <xf numFmtId="0" fontId="47" fillId="52" borderId="0" applyNumberFormat="0" applyBorder="0" applyAlignment="0" applyProtection="0"/>
    <xf numFmtId="0" fontId="48" fillId="71" borderId="0" applyNumberFormat="0" applyBorder="0" applyAlignment="0" applyProtection="0"/>
    <xf numFmtId="0" fontId="49" fillId="53" borderId="0" applyNumberFormat="0" applyBorder="0" applyAlignment="0" applyProtection="0"/>
    <xf numFmtId="0" fontId="50" fillId="69" borderId="60"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61" applyNumberFormat="0" applyFill="0" applyAlignment="0" applyProtection="0"/>
    <xf numFmtId="0" fontId="54" fillId="0" borderId="62" applyNumberFormat="0" applyFill="0" applyAlignment="0" applyProtection="0"/>
    <xf numFmtId="0" fontId="55" fillId="0" borderId="63" applyNumberFormat="0" applyFill="0" applyAlignment="0" applyProtection="0"/>
    <xf numFmtId="0" fontId="55" fillId="0" borderId="0" applyNumberFormat="0" applyFill="0" applyBorder="0" applyAlignment="0" applyProtection="0"/>
    <xf numFmtId="0" fontId="56" fillId="0" borderId="64" applyNumberFormat="0" applyFill="0" applyAlignment="0" applyProtection="0"/>
    <xf numFmtId="0" fontId="57" fillId="72" borderId="65" applyNumberFormat="0" applyAlignment="0" applyProtection="0"/>
    <xf numFmtId="0" fontId="3" fillId="0" borderId="0"/>
    <xf numFmtId="178"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42" fillId="0" borderId="0"/>
    <xf numFmtId="0" fontId="42"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42"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8" fillId="0" borderId="0"/>
    <xf numFmtId="0" fontId="58" fillId="0" borderId="0"/>
    <xf numFmtId="0" fontId="58" fillId="0" borderId="0"/>
    <xf numFmtId="0" fontId="42" fillId="0" borderId="0"/>
    <xf numFmtId="0" fontId="42" fillId="0" borderId="0"/>
    <xf numFmtId="0" fontId="3" fillId="0" borderId="0"/>
    <xf numFmtId="0" fontId="2" fillId="0" borderId="0"/>
    <xf numFmtId="0" fontId="2" fillId="0" borderId="0"/>
    <xf numFmtId="0" fontId="2" fillId="0" borderId="0"/>
    <xf numFmtId="0" fontId="2"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42" fillId="0" borderId="0"/>
    <xf numFmtId="0" fontId="3" fillId="0" borderId="0"/>
    <xf numFmtId="0" fontId="3" fillId="0" borderId="0"/>
    <xf numFmtId="0" fontId="3"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2" fillId="0" borderId="0"/>
    <xf numFmtId="0" fontId="42" fillId="0" borderId="0"/>
    <xf numFmtId="0" fontId="4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3" fillId="0" borderId="0" applyFont="0" applyFill="0" applyBorder="0" applyAlignment="0" applyProtection="0"/>
    <xf numFmtId="0" fontId="58" fillId="0" borderId="0"/>
    <xf numFmtId="0" fontId="58" fillId="0" borderId="0"/>
    <xf numFmtId="0" fontId="58" fillId="0" borderId="0"/>
    <xf numFmtId="43" fontId="2" fillId="0" borderId="0" applyFont="0" applyFill="0" applyBorder="0" applyAlignment="0" applyProtection="0"/>
    <xf numFmtId="43" fontId="2" fillId="0" borderId="0" applyFont="0" applyFill="0" applyBorder="0" applyAlignment="0" applyProtection="0"/>
    <xf numFmtId="0" fontId="58" fillId="0" borderId="0"/>
    <xf numFmtId="0" fontId="58" fillId="0" borderId="0"/>
    <xf numFmtId="0" fontId="3" fillId="0" borderId="0"/>
    <xf numFmtId="0" fontId="58"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4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8" fontId="3" fillId="0" borderId="0" applyFill="0" applyBorder="0" applyAlignment="0" applyProtection="0">
      <alignment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165"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 fontId="40" fillId="0" borderId="0" applyFont="0" applyFill="0" applyBorder="0" applyAlignment="0" applyProtection="0"/>
    <xf numFmtId="164" fontId="40" fillId="0" borderId="0" applyFont="0" applyFill="0" applyBorder="0" applyAlignment="0" applyProtection="0"/>
    <xf numFmtId="9" fontId="40" fillId="0" borderId="0" applyFont="0" applyFill="0" applyBorder="0" applyAlignment="0" applyProtection="0"/>
    <xf numFmtId="43" fontId="3" fillId="0" borderId="0" applyFont="0" applyFill="0" applyBorder="0" applyAlignment="0" applyProtection="0"/>
    <xf numFmtId="0" fontId="42" fillId="0" borderId="0"/>
    <xf numFmtId="0" fontId="3" fillId="0" borderId="0"/>
    <xf numFmtId="0" fontId="3" fillId="0" borderId="0"/>
    <xf numFmtId="0" fontId="42" fillId="0" borderId="0"/>
    <xf numFmtId="165" fontId="42"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42" fillId="0" borderId="0"/>
    <xf numFmtId="0" fontId="42"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42" fillId="0" borderId="0"/>
    <xf numFmtId="0" fontId="3" fillId="0" borderId="0"/>
    <xf numFmtId="0" fontId="42" fillId="0" borderId="0"/>
    <xf numFmtId="0" fontId="4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58" fillId="0" borderId="0"/>
    <xf numFmtId="0" fontId="58"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58" fillId="0" borderId="0"/>
    <xf numFmtId="0" fontId="3" fillId="0" borderId="0"/>
    <xf numFmtId="9" fontId="3" fillId="0" borderId="0" applyFont="0" applyFill="0" applyBorder="0" applyAlignment="0" applyProtection="0"/>
    <xf numFmtId="0" fontId="58" fillId="0" borderId="0"/>
    <xf numFmtId="0" fontId="58" fillId="0" borderId="0"/>
    <xf numFmtId="0" fontId="58" fillId="0" borderId="0"/>
    <xf numFmtId="43" fontId="2" fillId="0" borderId="0" applyFont="0" applyFill="0" applyBorder="0" applyAlignment="0" applyProtection="0"/>
    <xf numFmtId="0" fontId="58" fillId="0" borderId="0"/>
    <xf numFmtId="0" fontId="58"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2" fillId="0" borderId="0"/>
    <xf numFmtId="0" fontId="3" fillId="0" borderId="0"/>
    <xf numFmtId="9" fontId="2" fillId="0" borderId="0" applyFont="0" applyFill="0" applyBorder="0" applyAlignment="0" applyProtection="0"/>
    <xf numFmtId="0" fontId="42" fillId="0" borderId="0"/>
    <xf numFmtId="0" fontId="42" fillId="0" borderId="0"/>
    <xf numFmtId="9" fontId="40" fillId="0" borderId="0" applyFont="0" applyFill="0" applyBorder="0" applyAlignment="0" applyProtection="0"/>
    <xf numFmtId="4" fontId="40" fillId="0" borderId="0" applyFont="0" applyFill="0" applyBorder="0" applyAlignment="0" applyProtection="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43" fontId="2" fillId="0" borderId="0" applyFont="0" applyFill="0" applyBorder="0" applyAlignment="0" applyProtection="0"/>
    <xf numFmtId="0" fontId="2" fillId="0" borderId="0"/>
    <xf numFmtId="165" fontId="42" fillId="0" borderId="0" applyFont="0" applyFill="0" applyBorder="0" applyAlignment="0" applyProtection="0"/>
    <xf numFmtId="0" fontId="3" fillId="0" borderId="0"/>
    <xf numFmtId="0" fontId="3" fillId="0" borderId="0"/>
    <xf numFmtId="165" fontId="4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3" fillId="0" borderId="0"/>
    <xf numFmtId="43" fontId="2" fillId="0" borderId="0" applyFont="0" applyFill="0" applyBorder="0" applyAlignment="0" applyProtection="0"/>
    <xf numFmtId="0" fontId="2" fillId="0" borderId="0"/>
    <xf numFmtId="0" fontId="3"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40" fillId="0" borderId="0"/>
    <xf numFmtId="0" fontId="3" fillId="0" borderId="0"/>
    <xf numFmtId="0" fontId="40" fillId="0" borderId="0"/>
    <xf numFmtId="0" fontId="40" fillId="0" borderId="0"/>
    <xf numFmtId="0" fontId="40" fillId="0" borderId="0"/>
    <xf numFmtId="0" fontId="3"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lignment horizontal="center" wrapText="1"/>
    </xf>
    <xf numFmtId="0" fontId="4" fillId="0" borderId="0" applyNumberFormat="0" applyFill="0" applyBorder="0">
      <alignment horizont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21" borderId="55"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8" fillId="0" borderId="0" applyNumberFormat="0" applyFill="0" applyBorder="0" applyAlignment="0" applyProtection="0"/>
    <xf numFmtId="0" fontId="2" fillId="21" borderId="55" applyNumberFormat="0" applyFont="0" applyAlignment="0" applyProtection="0"/>
    <xf numFmtId="0" fontId="2" fillId="21" borderId="55" applyNumberFormat="0" applyFont="0" applyAlignment="0" applyProtection="0"/>
    <xf numFmtId="0" fontId="3" fillId="0" borderId="0"/>
    <xf numFmtId="0" fontId="2" fillId="0" borderId="0"/>
    <xf numFmtId="0" fontId="2" fillId="0" borderId="0"/>
    <xf numFmtId="43" fontId="21" fillId="0" borderId="0" applyFont="0" applyFill="0" applyBorder="0" applyAlignment="0" applyProtection="0"/>
    <xf numFmtId="4" fontId="40"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3"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 fillId="0" borderId="0"/>
    <xf numFmtId="0" fontId="3" fillId="0" borderId="0"/>
    <xf numFmtId="0" fontId="68" fillId="0" borderId="0"/>
    <xf numFmtId="0" fontId="69" fillId="0" borderId="0" applyNumberFormat="0" applyFill="0" applyBorder="0" applyAlignment="0" applyProtection="0">
      <alignment vertical="top"/>
      <protection locked="0"/>
    </xf>
    <xf numFmtId="0" fontId="68" fillId="0" borderId="0"/>
    <xf numFmtId="0" fontId="3" fillId="0" borderId="0"/>
    <xf numFmtId="0" fontId="3" fillId="0" borderId="0"/>
    <xf numFmtId="44" fontId="2" fillId="0" borderId="0" applyFont="0" applyFill="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181"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181"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81"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181"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72" fillId="5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181"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181"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72" fillId="5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181"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181"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181"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181"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1" fillId="0" borderId="0" applyFont="0" applyFill="0" applyBorder="0" applyAlignment="0" applyProtection="0"/>
    <xf numFmtId="4" fontId="4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58" fillId="0" borderId="0"/>
    <xf numFmtId="0" fontId="2" fillId="0" borderId="0"/>
    <xf numFmtId="0" fontId="58" fillId="0" borderId="0"/>
    <xf numFmtId="0" fontId="58" fillId="0" borderId="0"/>
    <xf numFmtId="0" fontId="2" fillId="0" borderId="0"/>
    <xf numFmtId="0" fontId="58" fillId="0" borderId="0"/>
    <xf numFmtId="0" fontId="2" fillId="0" borderId="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1" borderId="55" applyNumberFormat="0" applyFont="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72" fillId="56" borderId="0" applyNumberFormat="0" applyBorder="0" applyAlignment="0" applyProtection="0"/>
    <xf numFmtId="44" fontId="74" fillId="0" borderId="0" applyFont="0" applyFill="0" applyBorder="0" applyAlignment="0" applyProtection="0"/>
    <xf numFmtId="0" fontId="88" fillId="0" borderId="0" applyNumberFormat="0" applyFill="0" applyBorder="0" applyAlignment="0" applyProtection="0"/>
    <xf numFmtId="0" fontId="3" fillId="70" borderId="59" applyNumberFormat="0" applyFont="0" applyAlignment="0" applyProtection="0"/>
    <xf numFmtId="0" fontId="75" fillId="66" borderId="0" applyNumberFormat="0" applyBorder="0" applyAlignment="0" applyProtection="0"/>
    <xf numFmtId="0" fontId="85" fillId="0" borderId="0" applyNumberFormat="0" applyFill="0" applyBorder="0" applyAlignment="0" applyProtection="0"/>
    <xf numFmtId="0" fontId="89" fillId="0" borderId="73" applyNumberFormat="0" applyFill="0" applyAlignment="0" applyProtection="0"/>
    <xf numFmtId="0" fontId="72" fillId="55" borderId="0" applyNumberFormat="0" applyBorder="0" applyAlignment="0" applyProtection="0"/>
    <xf numFmtId="0" fontId="72" fillId="70" borderId="0" applyNumberFormat="0" applyBorder="0" applyAlignment="0" applyProtection="0"/>
    <xf numFmtId="0" fontId="72" fillId="58" borderId="0" applyNumberFormat="0" applyBorder="0" applyAlignment="0" applyProtection="0"/>
    <xf numFmtId="0" fontId="72" fillId="57" borderId="0" applyNumberFormat="0" applyBorder="0" applyAlignment="0" applyProtection="0"/>
    <xf numFmtId="174" fontId="74" fillId="0" borderId="0"/>
    <xf numFmtId="0" fontId="82" fillId="0" borderId="70" applyNumberFormat="0" applyFill="0" applyAlignment="0" applyProtection="0"/>
    <xf numFmtId="0" fontId="75" fillId="68" borderId="0" applyNumberFormat="0" applyBorder="0" applyAlignment="0" applyProtection="0"/>
    <xf numFmtId="0" fontId="87" fillId="77" borderId="60" applyNumberFormat="0" applyAlignment="0" applyProtection="0"/>
    <xf numFmtId="0" fontId="86" fillId="71" borderId="0" applyNumberFormat="0" applyBorder="0" applyAlignment="0" applyProtection="0"/>
    <xf numFmtId="0" fontId="85" fillId="0" borderId="72" applyNumberFormat="0" applyFill="0" applyAlignment="0" applyProtection="0"/>
    <xf numFmtId="0" fontId="84" fillId="71" borderId="57" applyNumberFormat="0" applyAlignment="0" applyProtection="0"/>
    <xf numFmtId="0" fontId="83" fillId="0" borderId="0" applyNumberFormat="0" applyFill="0" applyBorder="0" applyAlignment="0" applyProtection="0"/>
    <xf numFmtId="0" fontId="83" fillId="0" borderId="71" applyNumberFormat="0" applyFill="0" applyAlignment="0" applyProtection="0"/>
    <xf numFmtId="0" fontId="81" fillId="0" borderId="69" applyNumberFormat="0" applyFill="0" applyAlignment="0" applyProtection="0"/>
    <xf numFmtId="0" fontId="80" fillId="55" borderId="0" applyNumberFormat="0" applyBorder="0" applyAlignment="0" applyProtection="0"/>
    <xf numFmtId="0" fontId="79" fillId="0" borderId="0" applyNumberFormat="0" applyFill="0" applyBorder="0" applyAlignment="0" applyProtection="0"/>
    <xf numFmtId="40" fontId="40" fillId="0" borderId="0" applyFont="0" applyFill="0" applyBorder="0" applyAlignment="0" applyProtection="0"/>
    <xf numFmtId="0" fontId="78" fillId="72" borderId="65" applyNumberFormat="0" applyAlignment="0" applyProtection="0"/>
    <xf numFmtId="0" fontId="77" fillId="77" borderId="57" applyNumberFormat="0" applyAlignment="0" applyProtection="0"/>
    <xf numFmtId="0" fontId="75" fillId="63" borderId="0" applyNumberFormat="0" applyBorder="0" applyAlignment="0" applyProtection="0"/>
    <xf numFmtId="0" fontId="75" fillId="76" borderId="0" applyNumberFormat="0" applyBorder="0" applyAlignment="0" applyProtection="0"/>
    <xf numFmtId="0" fontId="75" fillId="60" borderId="0" applyNumberFormat="0" applyBorder="0" applyAlignment="0" applyProtection="0"/>
    <xf numFmtId="0" fontId="75" fillId="68" borderId="0" applyNumberFormat="0" applyBorder="0" applyAlignment="0" applyProtection="0"/>
    <xf numFmtId="0" fontId="75" fillId="75" borderId="0" applyNumberFormat="0" applyBorder="0" applyAlignment="0" applyProtection="0"/>
    <xf numFmtId="0" fontId="75" fillId="58" borderId="0" applyNumberFormat="0" applyBorder="0" applyAlignment="0" applyProtection="0"/>
    <xf numFmtId="0" fontId="75" fillId="55" borderId="0" applyNumberFormat="0" applyBorder="0" applyAlignment="0" applyProtection="0"/>
    <xf numFmtId="0" fontId="75" fillId="52"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2" fillId="70" borderId="0" applyNumberFormat="0" applyBorder="0" applyAlignment="0" applyProtection="0"/>
    <xf numFmtId="0" fontId="72" fillId="55" borderId="0" applyNumberFormat="0" applyBorder="0" applyAlignment="0" applyProtection="0"/>
    <xf numFmtId="0" fontId="72" fillId="52" borderId="0" applyNumberFormat="0" applyBorder="0" applyAlignment="0" applyProtection="0"/>
    <xf numFmtId="0" fontId="72" fillId="71" borderId="0" applyNumberFormat="0" applyBorder="0" applyAlignment="0" applyProtection="0"/>
    <xf numFmtId="0" fontId="72" fillId="58" borderId="0" applyNumberFormat="0" applyBorder="0" applyAlignment="0" applyProtection="0"/>
    <xf numFmtId="0" fontId="72" fillId="55" borderId="0" applyNumberFormat="0" applyBorder="0" applyAlignment="0" applyProtection="0"/>
    <xf numFmtId="0" fontId="76" fillId="54" borderId="0" applyNumberFormat="0" applyBorder="0" applyAlignment="0" applyProtection="0"/>
    <xf numFmtId="0" fontId="72" fillId="70" borderId="0" applyNumberFormat="0" applyBorder="0" applyAlignment="0" applyProtection="0"/>
    <xf numFmtId="0" fontId="91" fillId="0" borderId="0"/>
    <xf numFmtId="0" fontId="92" fillId="0" borderId="0" applyNumberFormat="0" applyFill="0" applyBorder="0" applyAlignment="0" applyProtection="0">
      <alignment vertical="top"/>
      <protection locked="0"/>
    </xf>
    <xf numFmtId="0" fontId="15"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0" fontId="2" fillId="0" borderId="0"/>
    <xf numFmtId="0" fontId="58" fillId="0" borderId="0"/>
    <xf numFmtId="43" fontId="2" fillId="0" borderId="0" applyFont="0" applyFill="0" applyBorder="0" applyAlignment="0" applyProtection="0"/>
    <xf numFmtId="43" fontId="2" fillId="0" borderId="0" applyFont="0" applyFill="0" applyBorder="0" applyAlignment="0" applyProtection="0"/>
    <xf numFmtId="0" fontId="3" fillId="0" borderId="0"/>
    <xf numFmtId="8" fontId="40" fillId="0" borderId="0" applyFont="0" applyFill="0" applyBorder="0" applyAlignment="0" applyProtection="0"/>
    <xf numFmtId="9" fontId="40" fillId="0" borderId="0" applyFont="0" applyFill="0" applyBorder="0" applyAlignment="0" applyProtection="0"/>
    <xf numFmtId="0" fontId="2" fillId="0" borderId="0"/>
    <xf numFmtId="0" fontId="2" fillId="0" borderId="0"/>
    <xf numFmtId="43" fontId="21" fillId="0" borderId="0" applyFont="0" applyFill="0" applyBorder="0" applyAlignment="0" applyProtection="0"/>
    <xf numFmtId="4" fontId="40" fillId="0" borderId="0" applyFont="0" applyFill="0" applyBorder="0" applyAlignment="0" applyProtection="0"/>
    <xf numFmtId="9" fontId="40" fillId="0" borderId="0" applyFont="0" applyFill="0" applyBorder="0" applyAlignment="0" applyProtection="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 fontId="40" fillId="0" borderId="0" applyFont="0" applyFill="0" applyBorder="0" applyAlignment="0" applyProtection="0"/>
    <xf numFmtId="0" fontId="3" fillId="0" borderId="0"/>
    <xf numFmtId="0" fontId="3" fillId="0" borderId="0"/>
    <xf numFmtId="0" fontId="2" fillId="3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0" fontId="40" fillId="0" borderId="0"/>
    <xf numFmtId="0" fontId="58" fillId="0" borderId="0"/>
    <xf numFmtId="0" fontId="58" fillId="0" borderId="0"/>
    <xf numFmtId="0" fontId="58" fillId="0" borderId="0"/>
    <xf numFmtId="0" fontId="58" fillId="0" borderId="0"/>
    <xf numFmtId="0" fontId="2" fillId="44" borderId="0" applyNumberFormat="0" applyBorder="0" applyAlignment="0" applyProtection="0"/>
    <xf numFmtId="0" fontId="2" fillId="43"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96" fillId="0" borderId="0"/>
    <xf numFmtId="0" fontId="2" fillId="28"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96" fillId="0" borderId="0"/>
    <xf numFmtId="0" fontId="23" fillId="0" borderId="0" applyNumberFormat="0" applyFill="0" applyBorder="0" applyAlignment="0" applyProtection="0"/>
    <xf numFmtId="9" fontId="3" fillId="0" borderId="0" applyFont="0" applyFill="0" applyBorder="0" applyAlignment="0" applyProtection="0"/>
    <xf numFmtId="0" fontId="96" fillId="0" borderId="0"/>
    <xf numFmtId="0" fontId="3" fillId="0" borderId="0"/>
    <xf numFmtId="0" fontId="3" fillId="0" borderId="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0" borderId="0"/>
    <xf numFmtId="43" fontId="2" fillId="0" borderId="0" applyFont="0" applyFill="0" applyBorder="0" applyAlignment="0" applyProtection="0"/>
    <xf numFmtId="0" fontId="2" fillId="0" borderId="0"/>
    <xf numFmtId="0" fontId="3" fillId="0" borderId="0"/>
    <xf numFmtId="44" fontId="2" fillId="0" borderId="0" applyFont="0" applyFill="0" applyBorder="0" applyAlignment="0" applyProtection="0"/>
    <xf numFmtId="9" fontId="2"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21" fillId="0" borderId="0" applyFont="0" applyFill="0" applyBorder="0" applyAlignment="0" applyProtection="0"/>
    <xf numFmtId="8" fontId="40"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8" fillId="0" borderId="0"/>
    <xf numFmtId="181" fontId="2" fillId="23" borderId="0" applyNumberFormat="0" applyBorder="0" applyAlignment="0" applyProtection="0"/>
    <xf numFmtId="181" fontId="2" fillId="27" borderId="0" applyNumberFormat="0" applyBorder="0" applyAlignment="0" applyProtection="0"/>
    <xf numFmtId="181" fontId="2" fillId="31" borderId="0" applyNumberFormat="0" applyBorder="0" applyAlignment="0" applyProtection="0"/>
    <xf numFmtId="181" fontId="2" fillId="35" borderId="0" applyNumberFormat="0" applyBorder="0" applyAlignment="0" applyProtection="0"/>
    <xf numFmtId="181" fontId="2" fillId="43" borderId="0" applyNumberFormat="0" applyBorder="0" applyAlignment="0" applyProtection="0"/>
    <xf numFmtId="181" fontId="2" fillId="24" borderId="0" applyNumberFormat="0" applyBorder="0" applyAlignment="0" applyProtection="0"/>
    <xf numFmtId="181" fontId="2" fillId="32" borderId="0" applyNumberFormat="0" applyBorder="0" applyAlignment="0" applyProtection="0"/>
    <xf numFmtId="181" fontId="2" fillId="36" borderId="0" applyNumberFormat="0" applyBorder="0" applyAlignment="0" applyProtection="0"/>
    <xf numFmtId="181" fontId="2" fillId="40" borderId="0" applyNumberFormat="0" applyBorder="0" applyAlignment="0" applyProtection="0"/>
    <xf numFmtId="181" fontId="2" fillId="44" borderId="0" applyNumberFormat="0" applyBorder="0" applyAlignment="0" applyProtection="0"/>
    <xf numFmtId="0" fontId="72" fillId="55" borderId="0" applyNumberFormat="0" applyBorder="0" applyAlignment="0" applyProtection="0"/>
    <xf numFmtId="0" fontId="72" fillId="5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40" fillId="0" borderId="0" applyFont="0" applyFill="0" applyBorder="0" applyAlignment="0" applyProtection="0"/>
    <xf numFmtId="0" fontId="3" fillId="0" borderId="0"/>
    <xf numFmtId="43" fontId="2" fillId="0" borderId="0" applyFont="0" applyFill="0" applyBorder="0" applyAlignment="0" applyProtection="0"/>
    <xf numFmtId="43" fontId="2" fillId="0" borderId="0" applyFont="0" applyFill="0" applyBorder="0" applyAlignment="0" applyProtection="0"/>
    <xf numFmtId="0" fontId="21"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2" fillId="35"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 fillId="0" borderId="0" applyFont="0" applyFill="0" applyBorder="0" applyAlignment="0" applyProtection="0"/>
    <xf numFmtId="43" fontId="3" fillId="0" borderId="0" applyFont="0" applyFill="0" applyBorder="0" applyAlignment="0" applyProtection="0"/>
    <xf numFmtId="0" fontId="21" fillId="0" borderId="0"/>
    <xf numFmtId="0" fontId="21" fillId="0" borderId="0"/>
    <xf numFmtId="0" fontId="21"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9"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181" fontId="2" fillId="23" borderId="0" applyNumberFormat="0" applyBorder="0" applyAlignment="0" applyProtection="0"/>
    <xf numFmtId="181" fontId="2" fillId="27" borderId="0" applyNumberFormat="0" applyBorder="0" applyAlignment="0" applyProtection="0"/>
    <xf numFmtId="181" fontId="2" fillId="31" borderId="0" applyNumberFormat="0" applyBorder="0" applyAlignment="0" applyProtection="0"/>
    <xf numFmtId="181" fontId="2" fillId="35" borderId="0" applyNumberFormat="0" applyBorder="0" applyAlignment="0" applyProtection="0"/>
    <xf numFmtId="181" fontId="2" fillId="43" borderId="0" applyNumberFormat="0" applyBorder="0" applyAlignment="0" applyProtection="0"/>
    <xf numFmtId="181" fontId="2" fillId="24" borderId="0" applyNumberFormat="0" applyBorder="0" applyAlignment="0" applyProtection="0"/>
    <xf numFmtId="181" fontId="2" fillId="32" borderId="0" applyNumberFormat="0" applyBorder="0" applyAlignment="0" applyProtection="0"/>
    <xf numFmtId="181" fontId="2" fillId="36" borderId="0" applyNumberFormat="0" applyBorder="0" applyAlignment="0" applyProtection="0"/>
    <xf numFmtId="181" fontId="2" fillId="40" borderId="0" applyNumberFormat="0" applyBorder="0" applyAlignment="0" applyProtection="0"/>
    <xf numFmtId="181"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xf numFmtId="8" fontId="40" fillId="0" borderId="0" applyFont="0" applyFill="0" applyBorder="0" applyAlignment="0" applyProtection="0"/>
    <xf numFmtId="9" fontId="40"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21" fillId="0" borderId="0" applyFont="0" applyFill="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1" borderId="55" applyNumberFormat="0" applyFont="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58" fillId="0" borderId="0"/>
    <xf numFmtId="0" fontId="58" fillId="0" borderId="0"/>
    <xf numFmtId="0" fontId="2" fillId="21" borderId="55" applyNumberFormat="0" applyFont="0" applyAlignment="0" applyProtection="0"/>
    <xf numFmtId="0" fontId="40" fillId="0" borderId="0"/>
    <xf numFmtId="0" fontId="58" fillId="0" borderId="0"/>
    <xf numFmtId="0" fontId="58" fillId="0" borderId="0"/>
    <xf numFmtId="0" fontId="21" fillId="0" borderId="0"/>
    <xf numFmtId="0" fontId="97" fillId="0" borderId="0" applyNumberFormat="0" applyFill="0" applyBorder="0" applyAlignment="0" applyProtection="0">
      <alignment vertical="top"/>
      <protection locked="0"/>
    </xf>
    <xf numFmtId="0" fontId="3" fillId="0" borderId="0"/>
    <xf numFmtId="0" fontId="99" fillId="0" borderId="0"/>
    <xf numFmtId="0" fontId="99" fillId="0" borderId="0"/>
    <xf numFmtId="0" fontId="99" fillId="0" borderId="0"/>
    <xf numFmtId="0" fontId="62"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2" fillId="0" borderId="0" applyFont="0" applyFill="0" applyBorder="0" applyAlignment="0" applyProtection="0"/>
    <xf numFmtId="0" fontId="23"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8"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8" fontId="4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2" fillId="0" borderId="0" applyNumberFormat="0" applyFill="0" applyBorder="0" applyAlignment="0" applyProtection="0">
      <alignment vertical="top"/>
      <protection locked="0"/>
    </xf>
    <xf numFmtId="44"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74" fillId="0" borderId="0" applyFont="0" applyFill="0" applyBorder="0" applyAlignment="0" applyProtection="0"/>
    <xf numFmtId="0" fontId="3" fillId="0" borderId="0"/>
    <xf numFmtId="0" fontId="62" fillId="0" borderId="0" applyNumberFormat="0" applyFill="0" applyBorder="0" applyAlignment="0" applyProtection="0">
      <alignment vertical="top"/>
      <protection locked="0"/>
    </xf>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1" fillId="0" borderId="0"/>
    <xf numFmtId="0" fontId="41" fillId="0" borderId="0"/>
    <xf numFmtId="0" fontId="41" fillId="0" borderId="0"/>
    <xf numFmtId="0" fontId="105" fillId="0" borderId="0" applyNumberFormat="0" applyFill="0" applyBorder="0" applyAlignment="0" applyProtection="0">
      <alignment vertical="top"/>
      <protection locked="0"/>
    </xf>
    <xf numFmtId="0" fontId="3" fillId="0" borderId="0"/>
    <xf numFmtId="0" fontId="3" fillId="0" borderId="0"/>
    <xf numFmtId="43" fontId="2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8" fillId="0" borderId="0"/>
    <xf numFmtId="0" fontId="58" fillId="0" borderId="0"/>
    <xf numFmtId="43" fontId="2" fillId="0" borderId="0" applyFont="0" applyFill="0" applyBorder="0" applyAlignment="0" applyProtection="0"/>
    <xf numFmtId="43" fontId="2" fillId="0" borderId="0" applyFont="0" applyFill="0" applyBorder="0" applyAlignment="0" applyProtection="0"/>
    <xf numFmtId="0" fontId="58" fillId="0" borderId="0"/>
    <xf numFmtId="0" fontId="2" fillId="0" borderId="0"/>
    <xf numFmtId="0" fontId="2" fillId="0" borderId="0"/>
    <xf numFmtId="0" fontId="2" fillId="0" borderId="0"/>
    <xf numFmtId="0" fontId="2"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45" fillId="0" borderId="118"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8" fillId="0" borderId="0"/>
    <xf numFmtId="0" fontId="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3" fillId="0" borderId="0"/>
    <xf numFmtId="0" fontId="55" fillId="0" borderId="119" applyNumberFormat="0" applyFill="0" applyAlignment="0" applyProtection="0"/>
    <xf numFmtId="0" fontId="2" fillId="0" borderId="0"/>
    <xf numFmtId="0" fontId="2" fillId="0" borderId="0"/>
    <xf numFmtId="0" fontId="3" fillId="0" borderId="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0" fontId="58" fillId="0" borderId="0"/>
    <xf numFmtId="0" fontId="58" fillId="0" borderId="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21" fillId="0" borderId="0" applyFont="0" applyFill="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 fillId="21" borderId="55" applyNumberFormat="0" applyFont="0" applyAlignment="0" applyProtection="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43" fontId="3" fillId="0" borderId="0" applyFont="0" applyFill="0" applyBorder="0" applyAlignment="0" applyProtection="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13" fillId="0" borderId="0" applyNumberFormat="0" applyFill="0" applyBorder="0" applyAlignment="0" applyProtection="0"/>
    <xf numFmtId="0" fontId="2" fillId="0" borderId="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2" fillId="0" borderId="0"/>
    <xf numFmtId="0" fontId="15" fillId="0" borderId="0" applyNumberFormat="0" applyFill="0" applyBorder="0" applyAlignment="0" applyProtection="0"/>
    <xf numFmtId="0" fontId="2" fillId="0" borderId="0"/>
    <xf numFmtId="0" fontId="2" fillId="0" borderId="0"/>
    <xf numFmtId="0" fontId="2" fillId="21" borderId="55" applyNumberFormat="0" applyFont="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58" fillId="0" borderId="0"/>
    <xf numFmtId="0" fontId="3" fillId="0" borderId="0"/>
    <xf numFmtId="0" fontId="58" fillId="0" borderId="0"/>
    <xf numFmtId="0" fontId="58" fillId="0" borderId="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0" fontId="58" fillId="0" borderId="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40" fillId="0" borderId="0"/>
    <xf numFmtId="0" fontId="57" fillId="72" borderId="12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0" fontId="116" fillId="0" borderId="0"/>
    <xf numFmtId="0" fontId="116" fillId="0" borderId="0"/>
    <xf numFmtId="0" fontId="116" fillId="0" borderId="0"/>
    <xf numFmtId="0" fontId="3" fillId="0" borderId="0"/>
    <xf numFmtId="0" fontId="116" fillId="0" borderId="0"/>
    <xf numFmtId="0" fontId="41" fillId="0" borderId="0">
      <alignment vertical="top"/>
    </xf>
    <xf numFmtId="0" fontId="116" fillId="0" borderId="0"/>
    <xf numFmtId="0" fontId="116" fillId="0" borderId="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xf numFmtId="43" fontId="2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8"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1" fillId="0" borderId="0" applyFont="0" applyFill="0" applyBorder="0" applyAlignment="0" applyProtection="0"/>
    <xf numFmtId="8"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40"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92" fontId="61" fillId="0" borderId="0"/>
    <xf numFmtId="1" fontId="118" fillId="0" borderId="105">
      <alignment vertical="top"/>
    </xf>
    <xf numFmtId="43" fontId="123" fillId="0" borderId="0" applyFont="0" applyFill="0" applyBorder="0" applyAlignment="0" applyProtection="0"/>
    <xf numFmtId="43" fontId="123" fillId="0" borderId="0" applyFont="0" applyFill="0" applyBorder="0" applyAlignment="0" applyProtection="0"/>
    <xf numFmtId="43" fontId="3" fillId="0" borderId="0" applyFont="0" applyFill="0" applyBorder="0" applyAlignment="0" applyProtection="0"/>
    <xf numFmtId="190" fontId="121" fillId="0" borderId="0"/>
    <xf numFmtId="190" fontId="61" fillId="0" borderId="0"/>
    <xf numFmtId="192" fontId="137" fillId="0" borderId="0" applyNumberFormat="0" applyFill="0" applyBorder="0" applyAlignment="0" applyProtection="0"/>
    <xf numFmtId="193" fontId="61" fillId="0" borderId="0"/>
    <xf numFmtId="191" fontId="61" fillId="0" borderId="0"/>
    <xf numFmtId="192" fontId="61" fillId="0" borderId="0"/>
    <xf numFmtId="0" fontId="138" fillId="0" borderId="0"/>
    <xf numFmtId="0" fontId="2" fillId="0" borderId="0"/>
    <xf numFmtId="0" fontId="124" fillId="0" borderId="0"/>
    <xf numFmtId="0" fontId="123" fillId="0" borderId="0"/>
    <xf numFmtId="0" fontId="61" fillId="0" borderId="0"/>
    <xf numFmtId="0" fontId="61" fillId="0" borderId="0"/>
    <xf numFmtId="0" fontId="61" fillId="0" borderId="0"/>
    <xf numFmtId="0" fontId="61" fillId="0" borderId="0"/>
    <xf numFmtId="9" fontId="124" fillId="0" borderId="0" applyFont="0" applyFill="0" applyBorder="0" applyAlignment="0" applyProtection="0"/>
    <xf numFmtId="9" fontId="61" fillId="0" borderId="0" applyFont="0" applyFill="0" applyBorder="0" applyAlignment="0" applyProtection="0"/>
    <xf numFmtId="192" fontId="119" fillId="0" borderId="0"/>
    <xf numFmtId="49" fontId="125" fillId="86" borderId="127">
      <alignment horizontal="center"/>
    </xf>
    <xf numFmtId="0" fontId="126" fillId="85" borderId="0"/>
    <xf numFmtId="49" fontId="127" fillId="87" borderId="127">
      <alignment horizontal="center"/>
    </xf>
    <xf numFmtId="49" fontId="128" fillId="86" borderId="127">
      <alignment horizontal="center"/>
    </xf>
    <xf numFmtId="0" fontId="129" fillId="85" borderId="0"/>
    <xf numFmtId="49" fontId="123" fillId="87" borderId="127">
      <alignment horizontal="center"/>
    </xf>
    <xf numFmtId="49" fontId="130" fillId="0" borderId="0"/>
    <xf numFmtId="0" fontId="131" fillId="88" borderId="128"/>
    <xf numFmtId="0" fontId="131" fillId="89" borderId="128"/>
    <xf numFmtId="38" fontId="132" fillId="90" borderId="128"/>
    <xf numFmtId="194" fontId="133" fillId="90" borderId="128"/>
    <xf numFmtId="0" fontId="131" fillId="90" borderId="128"/>
    <xf numFmtId="49" fontId="134" fillId="86" borderId="127">
      <alignment vertical="center"/>
    </xf>
    <xf numFmtId="49" fontId="135" fillId="91" borderId="127">
      <alignment horizontal="left" vertical="center"/>
    </xf>
    <xf numFmtId="49" fontId="127" fillId="87" borderId="127">
      <alignment vertical="center"/>
    </xf>
    <xf numFmtId="49" fontId="132" fillId="86" borderId="127">
      <alignment vertical="center"/>
    </xf>
    <xf numFmtId="49" fontId="136" fillId="91" borderId="127">
      <alignment horizontal="left" vertical="center"/>
    </xf>
    <xf numFmtId="49" fontId="123" fillId="87" borderId="127">
      <alignment vertical="center"/>
    </xf>
    <xf numFmtId="49" fontId="132" fillId="0" borderId="0">
      <alignment horizontal="right"/>
    </xf>
    <xf numFmtId="49" fontId="124" fillId="0" borderId="127">
      <alignment horizontal="right" vertical="center"/>
    </xf>
    <xf numFmtId="49" fontId="123" fillId="0" borderId="0">
      <alignment horizontal="right"/>
    </xf>
    <xf numFmtId="0" fontId="131" fillId="92" borderId="128"/>
    <xf numFmtId="0" fontId="3" fillId="0" borderId="0"/>
    <xf numFmtId="192" fontId="120" fillId="0" borderId="0"/>
    <xf numFmtId="190" fontId="18" fillId="0" borderId="0"/>
    <xf numFmtId="190" fontId="122" fillId="0" borderId="0"/>
    <xf numFmtId="192" fontId="118" fillId="0" borderId="121" applyAlignment="0">
      <alignment horizontal="right"/>
    </xf>
    <xf numFmtId="193" fontId="118" fillId="0" borderId="121" applyAlignment="0"/>
    <xf numFmtId="191" fontId="118" fillId="0" borderId="121" applyAlignment="0"/>
    <xf numFmtId="0" fontId="117" fillId="0" borderId="121" applyFont="0" applyFill="0" applyBorder="0" applyAlignment="0" applyProtection="0"/>
    <xf numFmtId="0" fontId="3" fillId="0" borderId="0"/>
    <xf numFmtId="0" fontId="3" fillId="0" borderId="0"/>
    <xf numFmtId="0" fontId="141" fillId="15" borderId="0" applyNumberFormat="0" applyBorder="0" applyAlignment="0" applyProtection="0"/>
    <xf numFmtId="0" fontId="142" fillId="16" borderId="0" applyNumberFormat="0" applyBorder="0" applyAlignment="0" applyProtection="0"/>
    <xf numFmtId="0" fontId="143" fillId="17" borderId="0" applyNumberFormat="0" applyBorder="0" applyAlignment="0" applyProtection="0"/>
    <xf numFmtId="0" fontId="144" fillId="18" borderId="51" applyNumberFormat="0" applyAlignment="0" applyProtection="0"/>
    <xf numFmtId="0" fontId="145" fillId="19" borderId="52" applyNumberFormat="0" applyAlignment="0" applyProtection="0"/>
    <xf numFmtId="0" fontId="146" fillId="19" borderId="51" applyNumberFormat="0" applyAlignment="0" applyProtection="0"/>
    <xf numFmtId="0" fontId="147" fillId="0" borderId="53" applyNumberFormat="0" applyFill="0" applyAlignment="0" applyProtection="0"/>
    <xf numFmtId="0" fontId="148" fillId="20" borderId="54" applyNumberFormat="0" applyAlignment="0" applyProtection="0"/>
    <xf numFmtId="0" fontId="149" fillId="0" borderId="0" applyNumberFormat="0" applyFill="0" applyBorder="0" applyAlignment="0" applyProtection="0"/>
    <xf numFmtId="0" fontId="1" fillId="21" borderId="55" applyNumberFormat="0" applyFont="0" applyAlignment="0" applyProtection="0"/>
    <xf numFmtId="0" fontId="150" fillId="0" borderId="0" applyNumberFormat="0" applyFill="0" applyBorder="0" applyAlignment="0" applyProtection="0"/>
    <xf numFmtId="0" fontId="151" fillId="0" borderId="56" applyNumberFormat="0" applyFill="0" applyAlignment="0" applyProtection="0"/>
    <xf numFmtId="0" fontId="15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52" fillId="25" borderId="0" applyNumberFormat="0" applyBorder="0" applyAlignment="0" applyProtection="0"/>
    <xf numFmtId="0" fontId="15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52" fillId="29" borderId="0" applyNumberFormat="0" applyBorder="0" applyAlignment="0" applyProtection="0"/>
    <xf numFmtId="0" fontId="15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52" fillId="33" borderId="0" applyNumberFormat="0" applyBorder="0" applyAlignment="0" applyProtection="0"/>
    <xf numFmtId="0" fontId="15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52" fillId="45" borderId="0" applyNumberFormat="0" applyBorder="0" applyAlignment="0" applyProtection="0"/>
    <xf numFmtId="0" fontId="3" fillId="0" borderId="0"/>
  </cellStyleXfs>
  <cellXfs count="1077">
    <xf numFmtId="0" fontId="0" fillId="0" borderId="0" xfId="0"/>
    <xf numFmtId="169" fontId="16" fillId="0" borderId="5" xfId="0" applyNumberFormat="1" applyFont="1" applyFill="1" applyBorder="1"/>
    <xf numFmtId="0" fontId="11" fillId="7" borderId="30" xfId="0" applyFont="1" applyFill="1" applyBorder="1"/>
    <xf numFmtId="2" fontId="4" fillId="0" borderId="0" xfId="0" applyNumberFormat="1" applyFont="1" applyAlignment="1">
      <alignment horizontal="right"/>
    </xf>
    <xf numFmtId="166" fontId="4" fillId="0" borderId="0" xfId="0" applyNumberFormat="1" applyFont="1" applyAlignment="1">
      <alignment horizontal="centerContinuous"/>
    </xf>
    <xf numFmtId="0" fontId="9" fillId="0" borderId="0" xfId="0" applyNumberFormat="1" applyFont="1" applyBorder="1" applyProtection="1"/>
    <xf numFmtId="0" fontId="10" fillId="0" borderId="0" xfId="0" applyFont="1" applyBorder="1"/>
    <xf numFmtId="167" fontId="0" fillId="0" borderId="0" xfId="0" applyNumberFormat="1"/>
    <xf numFmtId="0" fontId="12" fillId="0" borderId="0" xfId="0" applyFont="1"/>
    <xf numFmtId="17" fontId="0" fillId="0" borderId="4" xfId="0" applyNumberFormat="1" applyFont="1" applyFill="1" applyBorder="1"/>
    <xf numFmtId="17" fontId="0" fillId="3" borderId="4" xfId="0" applyNumberFormat="1" applyFont="1" applyFill="1" applyBorder="1"/>
    <xf numFmtId="17" fontId="0" fillId="2" borderId="6" xfId="0" applyNumberFormat="1" applyFont="1" applyFill="1" applyBorder="1"/>
    <xf numFmtId="17" fontId="14" fillId="5" borderId="4" xfId="0" applyNumberFormat="1" applyFont="1" applyFill="1" applyBorder="1"/>
    <xf numFmtId="167" fontId="9" fillId="0" borderId="0" xfId="0" applyNumberFormat="1" applyFont="1" applyAlignment="1">
      <alignment horizontal="right"/>
    </xf>
    <xf numFmtId="0" fontId="11" fillId="4" borderId="6" xfId="0" applyFont="1" applyFill="1" applyBorder="1"/>
    <xf numFmtId="0" fontId="11" fillId="5" borderId="2" xfId="0" applyFont="1" applyFill="1" applyBorder="1" applyAlignment="1">
      <alignment horizontal="center"/>
    </xf>
    <xf numFmtId="170" fontId="11" fillId="5" borderId="4" xfId="0" applyNumberFormat="1" applyFont="1" applyFill="1" applyBorder="1" applyAlignment="1">
      <alignment horizontal="right"/>
    </xf>
    <xf numFmtId="0" fontId="11" fillId="5" borderId="19" xfId="0" applyNumberFormat="1" applyFont="1" applyFill="1" applyBorder="1" applyAlignment="1" applyProtection="1">
      <alignment horizontal="center"/>
    </xf>
    <xf numFmtId="0" fontId="0" fillId="0" borderId="0" xfId="0" applyFont="1" applyFill="1"/>
    <xf numFmtId="0" fontId="0" fillId="0" borderId="0" xfId="0" applyNumberFormat="1"/>
    <xf numFmtId="0" fontId="11" fillId="5" borderId="25" xfId="0" applyNumberFormat="1" applyFont="1" applyFill="1" applyBorder="1" applyAlignment="1" applyProtection="1">
      <alignment horizontal="center" vertical="center" wrapText="1"/>
    </xf>
    <xf numFmtId="0" fontId="11" fillId="5" borderId="21" xfId="0" applyNumberFormat="1" applyFont="1" applyFill="1" applyBorder="1" applyAlignment="1" applyProtection="1">
      <alignment horizontal="center" vertical="center" wrapText="1"/>
    </xf>
    <xf numFmtId="0" fontId="0" fillId="0" borderId="2" xfId="0" applyNumberFormat="1" applyFont="1" applyFill="1" applyBorder="1"/>
    <xf numFmtId="0" fontId="0" fillId="3" borderId="4" xfId="0" applyNumberFormat="1" applyFont="1" applyFill="1" applyBorder="1"/>
    <xf numFmtId="0" fontId="0" fillId="0" borderId="4" xfId="0" applyNumberFormat="1" applyFont="1" applyFill="1" applyBorder="1"/>
    <xf numFmtId="0" fontId="0" fillId="2" borderId="6" xfId="0" applyNumberFormat="1" applyFont="1" applyFill="1" applyBorder="1"/>
    <xf numFmtId="0" fontId="13" fillId="0" borderId="0" xfId="0" applyFont="1" applyBorder="1" applyAlignment="1">
      <alignment horizontal="center"/>
    </xf>
    <xf numFmtId="171" fontId="0" fillId="0" borderId="0" xfId="0" applyNumberFormat="1" applyFont="1" applyFill="1" applyBorder="1"/>
    <xf numFmtId="0" fontId="11" fillId="0" borderId="0" xfId="0" applyNumberFormat="1" applyFont="1" applyFill="1" applyBorder="1" applyAlignment="1" applyProtection="1">
      <alignment horizontal="center" vertical="center" wrapText="1"/>
    </xf>
    <xf numFmtId="172" fontId="3" fillId="0" borderId="0" xfId="0" applyNumberFormat="1" applyFont="1" applyFill="1" applyProtection="1"/>
    <xf numFmtId="172" fontId="3" fillId="0" borderId="0" xfId="0" applyNumberFormat="1" applyFont="1" applyProtection="1"/>
    <xf numFmtId="173" fontId="3" fillId="0" borderId="0" xfId="0" applyNumberFormat="1" applyFont="1" applyAlignment="1"/>
    <xf numFmtId="0" fontId="11" fillId="7" borderId="2" xfId="0" applyFont="1" applyFill="1" applyBorder="1" applyAlignment="1">
      <alignment horizontal="center"/>
    </xf>
    <xf numFmtId="0" fontId="0" fillId="0" borderId="0" xfId="0" applyFont="1"/>
    <xf numFmtId="0" fontId="3" fillId="0" borderId="0" xfId="0" applyFont="1" applyBorder="1"/>
    <xf numFmtId="0" fontId="7" fillId="0" borderId="0" xfId="0" applyFont="1"/>
    <xf numFmtId="0" fontId="16" fillId="0" borderId="4" xfId="0" applyFont="1" applyBorder="1"/>
    <xf numFmtId="0" fontId="16" fillId="0" borderId="4" xfId="0" applyFont="1" applyFill="1" applyBorder="1"/>
    <xf numFmtId="0" fontId="16" fillId="0" borderId="0" xfId="0" applyFont="1" applyFill="1"/>
    <xf numFmtId="0" fontId="4" fillId="0" borderId="0" xfId="0" applyFont="1"/>
    <xf numFmtId="0" fontId="3" fillId="0" borderId="0" xfId="0" applyFont="1"/>
    <xf numFmtId="0" fontId="4" fillId="0" borderId="0" xfId="0" applyNumberFormat="1" applyFont="1" applyAlignment="1">
      <alignment horizontal="right"/>
    </xf>
    <xf numFmtId="0" fontId="4" fillId="0" borderId="0" xfId="0" applyNumberFormat="1" applyFont="1"/>
    <xf numFmtId="169" fontId="16" fillId="0" borderId="0" xfId="0" applyNumberFormat="1" applyFont="1"/>
    <xf numFmtId="0" fontId="19" fillId="0" borderId="0" xfId="0" applyNumberFormat="1" applyFont="1" applyAlignment="1">
      <alignment horizontal="right"/>
    </xf>
    <xf numFmtId="0" fontId="19" fillId="0" borderId="0" xfId="0" applyNumberFormat="1" applyFont="1"/>
    <xf numFmtId="0" fontId="11" fillId="7" borderId="33" xfId="0" applyNumberFormat="1" applyFont="1" applyFill="1" applyBorder="1" applyAlignment="1">
      <alignment horizontal="right"/>
    </xf>
    <xf numFmtId="0" fontId="11" fillId="7" borderId="33" xfId="0" applyNumberFormat="1" applyFont="1" applyFill="1" applyBorder="1"/>
    <xf numFmtId="0" fontId="11" fillId="7" borderId="9" xfId="0" applyNumberFormat="1" applyFont="1" applyFill="1" applyBorder="1"/>
    <xf numFmtId="0" fontId="11" fillId="7" borderId="31" xfId="0" applyFont="1" applyFill="1" applyBorder="1"/>
    <xf numFmtId="0" fontId="11" fillId="7" borderId="32" xfId="0" applyFont="1" applyFill="1" applyBorder="1"/>
    <xf numFmtId="0" fontId="16" fillId="0" borderId="0" xfId="0" applyFont="1" applyFill="1" applyBorder="1"/>
    <xf numFmtId="174" fontId="16" fillId="0" borderId="0" xfId="0" applyNumberFormat="1" applyFont="1" applyFill="1" applyBorder="1" applyAlignment="1" applyProtection="1">
      <alignment horizontal="left"/>
    </xf>
    <xf numFmtId="0" fontId="16" fillId="0" borderId="0" xfId="0" applyFont="1" applyFill="1"/>
    <xf numFmtId="0" fontId="16" fillId="0" borderId="0" xfId="0" applyFont="1" applyAlignment="1">
      <alignment vertical="center"/>
    </xf>
    <xf numFmtId="0" fontId="16" fillId="0" borderId="0" xfId="0" applyFont="1"/>
    <xf numFmtId="0" fontId="19" fillId="0" borderId="0" xfId="0" applyFont="1"/>
    <xf numFmtId="3" fontId="11" fillId="10" borderId="0" xfId="0" applyNumberFormat="1" applyFont="1" applyFill="1" applyBorder="1" applyAlignment="1">
      <alignment horizontal="center"/>
    </xf>
    <xf numFmtId="0" fontId="11" fillId="10" borderId="0" xfId="0" applyFont="1" applyFill="1" applyBorder="1" applyAlignment="1">
      <alignment horizontal="center"/>
    </xf>
    <xf numFmtId="3" fontId="11" fillId="10" borderId="0" xfId="0" applyNumberFormat="1" applyFont="1" applyFill="1" applyBorder="1" applyAlignment="1" applyProtection="1">
      <alignment horizontal="center"/>
    </xf>
    <xf numFmtId="0" fontId="17" fillId="0" borderId="0" xfId="0" applyFont="1" applyFill="1"/>
    <xf numFmtId="1" fontId="11" fillId="0" borderId="0" xfId="0" applyNumberFormat="1" applyFont="1" applyFill="1"/>
    <xf numFmtId="0" fontId="19" fillId="0" borderId="0" xfId="0" applyFont="1" applyFill="1"/>
    <xf numFmtId="171" fontId="19" fillId="0" borderId="0" xfId="0" applyNumberFormat="1" applyFont="1" applyFill="1"/>
    <xf numFmtId="171" fontId="19" fillId="0" borderId="0" xfId="0" applyNumberFormat="1" applyFont="1" applyFill="1" applyBorder="1" applyAlignment="1" applyProtection="1">
      <alignment horizontal="right"/>
    </xf>
    <xf numFmtId="171" fontId="0" fillId="0" borderId="0" xfId="0" applyNumberFormat="1" applyFont="1"/>
    <xf numFmtId="3" fontId="11" fillId="10" borderId="12" xfId="0" applyNumberFormat="1" applyFont="1" applyFill="1" applyBorder="1" applyAlignment="1">
      <alignment horizontal="center"/>
    </xf>
    <xf numFmtId="0" fontId="11" fillId="10" borderId="12" xfId="0" applyFont="1" applyFill="1" applyBorder="1" applyAlignment="1">
      <alignment horizontal="center"/>
    </xf>
    <xf numFmtId="3" fontId="11" fillId="10" borderId="12" xfId="0" applyNumberFormat="1" applyFont="1" applyFill="1" applyBorder="1" applyAlignment="1" applyProtection="1">
      <alignment horizontal="center"/>
    </xf>
    <xf numFmtId="169" fontId="11" fillId="10" borderId="12" xfId="0" applyNumberFormat="1" applyFont="1" applyFill="1" applyBorder="1" applyAlignment="1">
      <alignment horizontal="center"/>
    </xf>
    <xf numFmtId="1" fontId="11" fillId="10" borderId="12" xfId="0" applyNumberFormat="1" applyFont="1" applyFill="1" applyBorder="1" applyAlignment="1">
      <alignment horizontal="center"/>
    </xf>
    <xf numFmtId="175" fontId="11" fillId="10" borderId="12" xfId="0" applyNumberFormat="1" applyFont="1" applyFill="1" applyBorder="1" applyAlignment="1">
      <alignment horizontal="center"/>
    </xf>
    <xf numFmtId="171" fontId="11" fillId="10" borderId="5" xfId="0" applyNumberFormat="1" applyFont="1" applyFill="1" applyBorder="1" applyAlignment="1">
      <alignment horizontal="center"/>
    </xf>
    <xf numFmtId="169" fontId="11" fillId="10" borderId="0" xfId="0" applyNumberFormat="1" applyFont="1" applyFill="1" applyBorder="1" applyAlignment="1">
      <alignment horizontal="center"/>
    </xf>
    <xf numFmtId="175" fontId="11" fillId="10" borderId="0" xfId="0" applyNumberFormat="1" applyFont="1" applyFill="1" applyBorder="1" applyAlignment="1">
      <alignment horizontal="center"/>
    </xf>
    <xf numFmtId="175" fontId="0" fillId="0" borderId="0" xfId="0" applyNumberFormat="1" applyFont="1"/>
    <xf numFmtId="0" fontId="3" fillId="0" borderId="0" xfId="0" applyFont="1" applyFill="1"/>
    <xf numFmtId="169" fontId="4" fillId="0" borderId="0" xfId="0" applyNumberFormat="1" applyFont="1" applyFill="1" applyAlignment="1">
      <alignment horizontal="center"/>
    </xf>
    <xf numFmtId="1" fontId="3" fillId="0" borderId="0" xfId="0" applyNumberFormat="1" applyFont="1" applyFill="1" applyBorder="1" applyAlignment="1" applyProtection="1">
      <alignment horizontal="left"/>
    </xf>
    <xf numFmtId="0" fontId="11" fillId="0" borderId="0" xfId="0" applyFont="1" applyFill="1" applyBorder="1"/>
    <xf numFmtId="17" fontId="11" fillId="7" borderId="33" xfId="0" applyNumberFormat="1" applyFont="1" applyFill="1" applyBorder="1" applyAlignment="1">
      <alignment horizontal="right"/>
    </xf>
    <xf numFmtId="0" fontId="22" fillId="14" borderId="44" xfId="0" applyFont="1" applyFill="1" applyBorder="1" applyAlignment="1">
      <alignment vertical="center"/>
    </xf>
    <xf numFmtId="0" fontId="22" fillId="14" borderId="45" xfId="0" applyFont="1" applyFill="1" applyBorder="1" applyAlignment="1">
      <alignment vertical="center"/>
    </xf>
    <xf numFmtId="0" fontId="22" fillId="14" borderId="46" xfId="0" applyFont="1" applyFill="1" applyBorder="1" applyAlignment="1">
      <alignment vertical="center"/>
    </xf>
    <xf numFmtId="175" fontId="0" fillId="0" borderId="0" xfId="0" applyNumberFormat="1" applyFill="1" applyAlignment="1">
      <alignment horizontal="right"/>
    </xf>
    <xf numFmtId="1" fontId="0" fillId="0" borderId="0" xfId="0" applyNumberFormat="1" applyFill="1"/>
    <xf numFmtId="44" fontId="2" fillId="0" borderId="0" xfId="6307" applyFont="1"/>
    <xf numFmtId="0" fontId="4" fillId="0" borderId="0" xfId="0" applyFont="1" applyFill="1"/>
    <xf numFmtId="176" fontId="4" fillId="0" borderId="0" xfId="0" applyNumberFormat="1" applyFont="1" applyFill="1"/>
    <xf numFmtId="0" fontId="0" fillId="0" borderId="0" xfId="0" applyFill="1"/>
    <xf numFmtId="175" fontId="0" fillId="0" borderId="0" xfId="0" applyNumberFormat="1" applyFont="1" applyFill="1"/>
    <xf numFmtId="44" fontId="2" fillId="0" borderId="0" xfId="0" applyNumberFormat="1" applyFont="1"/>
    <xf numFmtId="176" fontId="0" fillId="0" borderId="0" xfId="0" applyNumberFormat="1" applyFill="1"/>
    <xf numFmtId="175" fontId="0" fillId="0" borderId="0" xfId="0" applyNumberFormat="1" applyFill="1"/>
    <xf numFmtId="175" fontId="3" fillId="0" borderId="0" xfId="0" applyNumberFormat="1" applyFont="1" applyFill="1"/>
    <xf numFmtId="175" fontId="4" fillId="0" borderId="0" xfId="0" applyNumberFormat="1" applyFont="1" applyFill="1"/>
    <xf numFmtId="0" fontId="11" fillId="46" borderId="2" xfId="0" applyFont="1" applyFill="1" applyBorder="1"/>
    <xf numFmtId="0" fontId="11" fillId="46" borderId="12" xfId="0" applyFont="1" applyFill="1" applyBorder="1"/>
    <xf numFmtId="0" fontId="11" fillId="46" borderId="3" xfId="0" applyFont="1" applyFill="1" applyBorder="1"/>
    <xf numFmtId="0" fontId="11" fillId="7" borderId="12" xfId="0" applyFont="1" applyFill="1" applyBorder="1" applyAlignment="1">
      <alignment horizontal="center"/>
    </xf>
    <xf numFmtId="0" fontId="11" fillId="7" borderId="3" xfId="0" applyFont="1" applyFill="1" applyBorder="1" applyAlignment="1">
      <alignment horizontal="center" wrapText="1"/>
    </xf>
    <xf numFmtId="0" fontId="11" fillId="10" borderId="4" xfId="0" applyFont="1" applyFill="1" applyBorder="1" applyAlignment="1">
      <alignment vertical="top" wrapText="1"/>
    </xf>
    <xf numFmtId="0" fontId="11" fillId="10" borderId="6" xfId="0" applyFont="1" applyFill="1" applyBorder="1" applyAlignment="1">
      <alignment vertical="top" wrapText="1"/>
    </xf>
    <xf numFmtId="0" fontId="11" fillId="47" borderId="2" xfId="0" applyFont="1" applyFill="1" applyBorder="1"/>
    <xf numFmtId="0" fontId="11" fillId="47" borderId="4" xfId="0" applyFont="1" applyFill="1" applyBorder="1" applyAlignment="1"/>
    <xf numFmtId="0" fontId="11" fillId="47" borderId="6" xfId="0" applyFont="1" applyFill="1" applyBorder="1" applyAlignment="1"/>
    <xf numFmtId="0" fontId="11" fillId="7" borderId="4" xfId="0" applyFont="1" applyFill="1" applyBorder="1"/>
    <xf numFmtId="0" fontId="11" fillId="7" borderId="6" xfId="0" applyFont="1" applyFill="1" applyBorder="1"/>
    <xf numFmtId="0" fontId="11" fillId="5" borderId="2" xfId="0" applyFont="1" applyFill="1" applyBorder="1"/>
    <xf numFmtId="0" fontId="11" fillId="5" borderId="3" xfId="0" applyFont="1" applyFill="1" applyBorder="1" applyAlignment="1">
      <alignment horizontal="right"/>
    </xf>
    <xf numFmtId="0" fontId="11" fillId="5" borderId="4" xfId="0" applyFont="1" applyFill="1" applyBorder="1"/>
    <xf numFmtId="9" fontId="16" fillId="0" borderId="5" xfId="0" applyNumberFormat="1" applyFont="1" applyBorder="1" applyAlignment="1">
      <alignment horizontal="right"/>
    </xf>
    <xf numFmtId="0" fontId="16" fillId="2" borderId="4" xfId="0" applyFont="1" applyFill="1" applyBorder="1"/>
    <xf numFmtId="9" fontId="16" fillId="2" borderId="5" xfId="0" applyNumberFormat="1" applyFont="1" applyFill="1" applyBorder="1" applyAlignment="1">
      <alignment horizontal="right"/>
    </xf>
    <xf numFmtId="0" fontId="16" fillId="2" borderId="4" xfId="0" applyFont="1" applyFill="1" applyBorder="1" applyAlignment="1">
      <alignment vertical="top"/>
    </xf>
    <xf numFmtId="4" fontId="0" fillId="0" borderId="0" xfId="0" applyNumberFormat="1"/>
    <xf numFmtId="1" fontId="0" fillId="0" borderId="0" xfId="0" applyNumberFormat="1"/>
    <xf numFmtId="0" fontId="11" fillId="10" borderId="2" xfId="0" applyFont="1" applyFill="1" applyBorder="1"/>
    <xf numFmtId="1" fontId="11" fillId="10" borderId="27" xfId="0" applyNumberFormat="1" applyFont="1" applyFill="1" applyBorder="1" applyAlignment="1">
      <alignment horizontal="center"/>
    </xf>
    <xf numFmtId="1" fontId="11" fillId="10" borderId="4" xfId="0" applyNumberFormat="1" applyFont="1" applyFill="1" applyBorder="1" applyAlignment="1" applyProtection="1">
      <alignment horizontal="left"/>
    </xf>
    <xf numFmtId="3" fontId="11" fillId="10" borderId="42" xfId="0" applyNumberFormat="1" applyFont="1" applyFill="1" applyBorder="1" applyAlignment="1" applyProtection="1">
      <alignment horizontal="center"/>
    </xf>
    <xf numFmtId="3" fontId="11" fillId="10" borderId="41" xfId="0" applyNumberFormat="1" applyFont="1" applyFill="1" applyBorder="1" applyAlignment="1" applyProtection="1">
      <alignment horizontal="center"/>
    </xf>
    <xf numFmtId="0" fontId="36" fillId="11" borderId="4" xfId="0" applyFont="1" applyFill="1" applyBorder="1" applyAlignment="1">
      <alignment vertical="center"/>
    </xf>
    <xf numFmtId="3" fontId="16" fillId="12" borderId="10" xfId="0" applyNumberFormat="1" applyFont="1" applyFill="1" applyBorder="1"/>
    <xf numFmtId="3" fontId="16" fillId="6" borderId="10" xfId="0" applyNumberFormat="1" applyFont="1" applyFill="1" applyBorder="1"/>
    <xf numFmtId="0" fontId="36" fillId="11" borderId="6" xfId="0" applyFont="1" applyFill="1" applyBorder="1" applyAlignment="1">
      <alignment vertical="center"/>
    </xf>
    <xf numFmtId="0" fontId="35" fillId="0" borderId="0" xfId="0" applyFont="1"/>
    <xf numFmtId="0" fontId="38" fillId="0" borderId="0" xfId="0" applyFont="1"/>
    <xf numFmtId="169" fontId="16" fillId="0" borderId="0" xfId="0" applyNumberFormat="1" applyFont="1" applyFill="1" applyBorder="1"/>
    <xf numFmtId="169" fontId="16" fillId="0" borderId="0" xfId="0" applyNumberFormat="1" applyFont="1" applyFill="1" applyBorder="1" applyProtection="1"/>
    <xf numFmtId="169" fontId="16" fillId="8" borderId="0" xfId="0" applyNumberFormat="1" applyFont="1" applyFill="1" applyBorder="1" applyProtection="1"/>
    <xf numFmtId="169" fontId="16" fillId="8" borderId="5" xfId="157" applyNumberFormat="1" applyFont="1" applyFill="1" applyBorder="1"/>
    <xf numFmtId="169" fontId="0" fillId="0" borderId="0" xfId="0" applyNumberFormat="1"/>
    <xf numFmtId="0" fontId="39" fillId="0" borderId="0" xfId="0" applyFont="1" applyFill="1" applyBorder="1"/>
    <xf numFmtId="0" fontId="13" fillId="0" borderId="0" xfId="0" applyFont="1"/>
    <xf numFmtId="168" fontId="3" fillId="0" borderId="0" xfId="2264" applyNumberFormat="1" applyFont="1" applyFill="1" applyBorder="1"/>
    <xf numFmtId="0" fontId="39" fillId="73" borderId="30" xfId="0" applyFont="1" applyFill="1" applyBorder="1"/>
    <xf numFmtId="0" fontId="59" fillId="0" borderId="0" xfId="0" applyFont="1"/>
    <xf numFmtId="0" fontId="0" fillId="12" borderId="9" xfId="0" applyFill="1" applyBorder="1"/>
    <xf numFmtId="0" fontId="11" fillId="10" borderId="8" xfId="0" applyFont="1" applyFill="1" applyBorder="1"/>
    <xf numFmtId="38" fontId="11" fillId="10" borderId="43" xfId="0" quotePrefix="1" applyNumberFormat="1" applyFont="1" applyFill="1" applyBorder="1" applyAlignment="1" applyProtection="1">
      <alignment horizontal="center"/>
    </xf>
    <xf numFmtId="168" fontId="16" fillId="12" borderId="66" xfId="131" applyNumberFormat="1" applyFont="1" applyFill="1" applyBorder="1"/>
    <xf numFmtId="168" fontId="16" fillId="6" borderId="17" xfId="131" applyNumberFormat="1" applyFont="1" applyFill="1" applyBorder="1"/>
    <xf numFmtId="44" fontId="0" fillId="0" borderId="0" xfId="0" applyNumberFormat="1" applyBorder="1"/>
    <xf numFmtId="0" fontId="3" fillId="0" borderId="0" xfId="1275"/>
    <xf numFmtId="0" fontId="7" fillId="0" borderId="0" xfId="1275" applyFont="1"/>
    <xf numFmtId="0" fontId="3" fillId="0" borderId="0" xfId="1275" applyFont="1"/>
    <xf numFmtId="0" fontId="5" fillId="0" borderId="0" xfId="1275" applyFont="1"/>
    <xf numFmtId="0" fontId="6" fillId="0" borderId="0" xfId="1275" applyFont="1"/>
    <xf numFmtId="17" fontId="11" fillId="7" borderId="9" xfId="0" applyNumberFormat="1" applyFont="1" applyFill="1" applyBorder="1" applyAlignment="1">
      <alignment horizontal="right"/>
    </xf>
    <xf numFmtId="3" fontId="19" fillId="8" borderId="13" xfId="0" applyNumberFormat="1" applyFont="1" applyFill="1" applyBorder="1" applyProtection="1"/>
    <xf numFmtId="3" fontId="19" fillId="8" borderId="7" xfId="0" applyNumberFormat="1" applyFont="1" applyFill="1" applyBorder="1" applyProtection="1"/>
    <xf numFmtId="0" fontId="4" fillId="0" borderId="0" xfId="0" applyFont="1" applyAlignment="1">
      <alignment horizontal="right"/>
    </xf>
    <xf numFmtId="0" fontId="14" fillId="5" borderId="2" xfId="0" applyFont="1" applyFill="1" applyBorder="1"/>
    <xf numFmtId="0" fontId="14" fillId="5" borderId="10" xfId="0" applyFont="1" applyFill="1" applyBorder="1" applyAlignment="1">
      <alignment horizontal="center"/>
    </xf>
    <xf numFmtId="0" fontId="14" fillId="5" borderId="11" xfId="0" applyFont="1" applyFill="1" applyBorder="1" applyAlignment="1">
      <alignment horizontal="center"/>
    </xf>
    <xf numFmtId="0" fontId="14" fillId="5" borderId="0" xfId="0" applyFont="1" applyFill="1" applyBorder="1" applyAlignment="1">
      <alignment horizontal="center"/>
    </xf>
    <xf numFmtId="0" fontId="14" fillId="5" borderId="5" xfId="0" applyFont="1" applyFill="1" applyBorder="1" applyAlignment="1">
      <alignment horizontal="center"/>
    </xf>
    <xf numFmtId="0" fontId="14" fillId="5" borderId="23" xfId="0" applyFont="1" applyFill="1" applyBorder="1"/>
    <xf numFmtId="0" fontId="14" fillId="5" borderId="24" xfId="0" applyFont="1" applyFill="1" applyBorder="1"/>
    <xf numFmtId="167" fontId="3" fillId="0" borderId="0" xfId="0" applyNumberFormat="1" applyFont="1"/>
    <xf numFmtId="37" fontId="0" fillId="0" borderId="0" xfId="0" applyNumberFormat="1"/>
    <xf numFmtId="173" fontId="61" fillId="0" borderId="0" xfId="6297" applyNumberFormat="1" applyFont="1" applyAlignment="1"/>
    <xf numFmtId="0" fontId="63" fillId="0" borderId="0" xfId="0" applyFont="1"/>
    <xf numFmtId="44" fontId="0" fillId="0" borderId="0" xfId="0" applyNumberFormat="1"/>
    <xf numFmtId="0" fontId="0" fillId="0" borderId="0" xfId="0"/>
    <xf numFmtId="169" fontId="16" fillId="8" borderId="5" xfId="0" applyNumberFormat="1" applyFont="1" applyFill="1" applyBorder="1"/>
    <xf numFmtId="3" fontId="0" fillId="0" borderId="0" xfId="0" applyNumberFormat="1"/>
    <xf numFmtId="0" fontId="17" fillId="0" borderId="0" xfId="0" applyFont="1"/>
    <xf numFmtId="17" fontId="11" fillId="7" borderId="33" xfId="0" applyNumberFormat="1" applyFont="1" applyFill="1" applyBorder="1"/>
    <xf numFmtId="169" fontId="16" fillId="8" borderId="0" xfId="0" applyNumberFormat="1" applyFont="1" applyFill="1" applyBorder="1"/>
    <xf numFmtId="10" fontId="0" fillId="0" borderId="0" xfId="131" applyNumberFormat="1" applyFont="1"/>
    <xf numFmtId="3" fontId="19" fillId="0" borderId="0" xfId="0" applyNumberFormat="1" applyFont="1" applyFill="1" applyBorder="1" applyProtection="1"/>
    <xf numFmtId="0" fontId="61" fillId="0" borderId="0" xfId="1275" applyFont="1" applyAlignment="1"/>
    <xf numFmtId="0" fontId="64" fillId="0" borderId="0" xfId="1275" applyFont="1" applyFill="1" applyBorder="1" applyAlignment="1"/>
    <xf numFmtId="0" fontId="9" fillId="0" borderId="0" xfId="1275" applyFont="1" applyAlignment="1"/>
    <xf numFmtId="0" fontId="61" fillId="0" borderId="0" xfId="0" applyFont="1" applyAlignment="1">
      <alignment wrapText="1"/>
    </xf>
    <xf numFmtId="0" fontId="61" fillId="0" borderId="0" xfId="157" applyNumberFormat="1" applyFont="1" applyAlignment="1">
      <alignment horizontal="left"/>
    </xf>
    <xf numFmtId="170" fontId="61" fillId="0" borderId="0" xfId="0" applyNumberFormat="1" applyFont="1" applyAlignment="1">
      <alignment horizontal="left"/>
    </xf>
    <xf numFmtId="0" fontId="38" fillId="0" borderId="0" xfId="1275" applyFont="1" applyAlignment="1"/>
    <xf numFmtId="9" fontId="0" fillId="0" borderId="0" xfId="131" applyFont="1"/>
    <xf numFmtId="0" fontId="0" fillId="0" borderId="0" xfId="0" applyBorder="1"/>
    <xf numFmtId="0" fontId="0" fillId="0" borderId="0" xfId="0" applyFill="1" applyBorder="1"/>
    <xf numFmtId="0" fontId="64" fillId="6" borderId="0" xfId="1275" applyFont="1" applyFill="1" applyBorder="1" applyAlignment="1"/>
    <xf numFmtId="0" fontId="11" fillId="6" borderId="0" xfId="0" applyNumberFormat="1" applyFont="1" applyFill="1" applyBorder="1" applyAlignment="1" applyProtection="1">
      <alignment horizontal="center" vertical="center" wrapText="1"/>
    </xf>
    <xf numFmtId="180" fontId="17" fillId="6" borderId="0" xfId="157" applyNumberFormat="1" applyFont="1" applyFill="1" applyBorder="1" applyAlignment="1" applyProtection="1">
      <alignment horizontal="right"/>
    </xf>
    <xf numFmtId="44" fontId="0" fillId="0" borderId="0" xfId="131" applyNumberFormat="1" applyFont="1"/>
    <xf numFmtId="0" fontId="65" fillId="0" borderId="0" xfId="0" applyFont="1"/>
    <xf numFmtId="0" fontId="19" fillId="0" borderId="0" xfId="0" applyFont="1" applyAlignment="1">
      <alignment horizontal="center"/>
    </xf>
    <xf numFmtId="168" fontId="4" fillId="0" borderId="0" xfId="2264" applyNumberFormat="1" applyFont="1"/>
    <xf numFmtId="0" fontId="66" fillId="0" borderId="0" xfId="0" applyFont="1" applyAlignment="1">
      <alignment vertical="center"/>
    </xf>
    <xf numFmtId="0" fontId="67" fillId="0" borderId="0" xfId="0" applyFont="1" applyAlignment="1">
      <alignment vertical="center"/>
    </xf>
    <xf numFmtId="169" fontId="16" fillId="6" borderId="34" xfId="0" applyNumberFormat="1" applyFont="1" applyFill="1" applyBorder="1"/>
    <xf numFmtId="169" fontId="16" fillId="6" borderId="35" xfId="0" applyNumberFormat="1" applyFont="1" applyFill="1" applyBorder="1"/>
    <xf numFmtId="169" fontId="16" fillId="6" borderId="36" xfId="0" applyNumberFormat="1" applyFont="1" applyFill="1" applyBorder="1"/>
    <xf numFmtId="0" fontId="61" fillId="0" borderId="0" xfId="6301" applyFont="1" applyAlignment="1">
      <alignment horizontal="right" wrapText="1"/>
    </xf>
    <xf numFmtId="9" fontId="0" fillId="0" borderId="0" xfId="131" applyFont="1" applyBorder="1"/>
    <xf numFmtId="3" fontId="70" fillId="0" borderId="0" xfId="0" applyNumberFormat="1" applyFont="1" applyBorder="1" applyAlignment="1">
      <alignment horizontal="right" vertical="center"/>
    </xf>
    <xf numFmtId="0" fontId="12" fillId="0" borderId="0" xfId="0" applyFont="1" applyFill="1"/>
    <xf numFmtId="14" fontId="17" fillId="0" borderId="0" xfId="0" applyNumberFormat="1" applyFont="1"/>
    <xf numFmtId="0" fontId="3" fillId="0" borderId="0" xfId="1275" applyBorder="1"/>
    <xf numFmtId="10" fontId="3" fillId="0" borderId="0" xfId="131" applyNumberFormat="1" applyFont="1" applyBorder="1"/>
    <xf numFmtId="0" fontId="0" fillId="0" borderId="0" xfId="0"/>
    <xf numFmtId="0" fontId="73" fillId="0" borderId="0" xfId="0" applyFont="1"/>
    <xf numFmtId="1" fontId="0" fillId="0" borderId="0" xfId="0" applyNumberFormat="1" applyFont="1"/>
    <xf numFmtId="0" fontId="0" fillId="0" borderId="0" xfId="0"/>
    <xf numFmtId="0" fontId="0" fillId="0" borderId="0" xfId="0" applyFill="1"/>
    <xf numFmtId="0" fontId="38" fillId="0" borderId="0" xfId="1275" applyFont="1"/>
    <xf numFmtId="173" fontId="90" fillId="0" borderId="0" xfId="6552" applyNumberFormat="1" applyFont="1" applyAlignment="1"/>
    <xf numFmtId="0" fontId="22" fillId="14" borderId="8" xfId="0" applyFont="1" applyFill="1" applyBorder="1" applyAlignment="1">
      <alignment vertical="center"/>
    </xf>
    <xf numFmtId="182" fontId="0" fillId="0" borderId="0" xfId="0" applyNumberFormat="1"/>
    <xf numFmtId="166" fontId="4" fillId="0" borderId="0" xfId="1275" applyNumberFormat="1" applyFont="1"/>
    <xf numFmtId="0" fontId="93" fillId="0" borderId="0" xfId="0" applyFont="1" applyFill="1"/>
    <xf numFmtId="0" fontId="38" fillId="0" borderId="0" xfId="0" applyFont="1" applyFill="1"/>
    <xf numFmtId="0" fontId="94" fillId="0" borderId="0" xfId="1275" applyFont="1" applyFill="1"/>
    <xf numFmtId="0" fontId="38" fillId="0" borderId="0" xfId="1275" applyFont="1" applyFill="1"/>
    <xf numFmtId="183" fontId="0" fillId="0" borderId="0" xfId="0" applyNumberFormat="1" applyFill="1"/>
    <xf numFmtId="169" fontId="0" fillId="0" borderId="0" xfId="131" applyNumberFormat="1" applyFont="1"/>
    <xf numFmtId="169" fontId="0" fillId="0" borderId="14" xfId="157" applyNumberFormat="1" applyFont="1" applyFill="1" applyBorder="1"/>
    <xf numFmtId="169" fontId="0" fillId="0" borderId="27" xfId="157" applyNumberFormat="1" applyFont="1" applyFill="1" applyBorder="1"/>
    <xf numFmtId="169" fontId="0" fillId="0" borderId="3" xfId="157" applyNumberFormat="1" applyFont="1" applyFill="1" applyBorder="1"/>
    <xf numFmtId="169" fontId="0" fillId="3" borderId="10" xfId="157" applyNumberFormat="1" applyFont="1" applyFill="1" applyBorder="1"/>
    <xf numFmtId="169" fontId="0" fillId="3" borderId="28" xfId="157" applyNumberFormat="1" applyFont="1" applyFill="1" applyBorder="1"/>
    <xf numFmtId="169" fontId="0" fillId="3" borderId="5" xfId="157" applyNumberFormat="1" applyFont="1" applyFill="1" applyBorder="1"/>
    <xf numFmtId="169" fontId="0" fillId="0" borderId="10" xfId="157" applyNumberFormat="1" applyFont="1" applyFill="1" applyBorder="1"/>
    <xf numFmtId="169" fontId="0" fillId="0" borderId="28" xfId="157" applyNumberFormat="1" applyFont="1" applyFill="1" applyBorder="1"/>
    <xf numFmtId="169" fontId="0" fillId="0" borderId="5" xfId="157" applyNumberFormat="1" applyFont="1" applyFill="1" applyBorder="1"/>
    <xf numFmtId="169" fontId="0" fillId="2" borderId="15" xfId="157" applyNumberFormat="1" applyFont="1" applyFill="1" applyBorder="1"/>
    <xf numFmtId="169" fontId="0" fillId="2" borderId="29" xfId="157" applyNumberFormat="1" applyFont="1" applyFill="1" applyBorder="1"/>
    <xf numFmtId="169" fontId="0" fillId="2" borderId="7" xfId="157" applyNumberFormat="1" applyFont="1" applyFill="1" applyBorder="1"/>
    <xf numFmtId="0" fontId="13" fillId="0" borderId="0" xfId="0" applyFont="1" applyBorder="1" applyAlignment="1"/>
    <xf numFmtId="0" fontId="61" fillId="0" borderId="0" xfId="0" applyNumberFormat="1" applyFont="1" applyAlignment="1">
      <alignment horizontal="left"/>
    </xf>
    <xf numFmtId="0" fontId="95" fillId="0" borderId="0" xfId="1275" applyFont="1"/>
    <xf numFmtId="169" fontId="16" fillId="8" borderId="0" xfId="157" applyNumberFormat="1" applyFont="1" applyFill="1" applyBorder="1"/>
    <xf numFmtId="168" fontId="0" fillId="0" borderId="0" xfId="131" applyNumberFormat="1" applyFont="1"/>
    <xf numFmtId="168" fontId="0" fillId="0" borderId="0" xfId="0" applyNumberFormat="1"/>
    <xf numFmtId="0" fontId="61" fillId="0" borderId="0" xfId="1275" applyFont="1" applyFill="1" applyAlignment="1"/>
    <xf numFmtId="9" fontId="0" fillId="0" borderId="0" xfId="131" applyFont="1" applyAlignment="1">
      <alignment horizontal="left"/>
    </xf>
    <xf numFmtId="9" fontId="61" fillId="0" borderId="0" xfId="131" applyFont="1" applyAlignment="1"/>
    <xf numFmtId="9" fontId="61" fillId="0" borderId="0" xfId="1275" applyNumberFormat="1" applyFont="1" applyAlignment="1"/>
    <xf numFmtId="3" fontId="0" fillId="0" borderId="0" xfId="0" applyNumberFormat="1" applyFill="1"/>
    <xf numFmtId="16" fontId="0" fillId="0" borderId="0" xfId="0" applyNumberFormat="1" applyFill="1"/>
    <xf numFmtId="8" fontId="0" fillId="0" borderId="0" xfId="0" applyNumberFormat="1" applyFill="1"/>
    <xf numFmtId="0" fontId="16" fillId="6" borderId="0" xfId="0" applyFont="1" applyFill="1" applyBorder="1" applyAlignment="1">
      <alignment wrapText="1"/>
    </xf>
    <xf numFmtId="0" fontId="16" fillId="8" borderId="0" xfId="0" applyFont="1" applyFill="1" applyBorder="1" applyAlignment="1">
      <alignment wrapText="1"/>
    </xf>
    <xf numFmtId="177" fontId="0" fillId="0" borderId="0" xfId="0" applyNumberFormat="1"/>
    <xf numFmtId="6" fontId="0" fillId="0" borderId="0" xfId="0" applyNumberFormat="1"/>
    <xf numFmtId="0" fontId="0" fillId="0" borderId="0" xfId="0"/>
    <xf numFmtId="44" fontId="90" fillId="0" borderId="0" xfId="0" applyNumberFormat="1" applyFont="1" applyAlignment="1"/>
    <xf numFmtId="0" fontId="0" fillId="0" borderId="0" xfId="0"/>
    <xf numFmtId="0" fontId="0" fillId="0" borderId="4" xfId="0" applyBorder="1"/>
    <xf numFmtId="17" fontId="11" fillId="0" borderId="0" xfId="0" applyNumberFormat="1" applyFont="1" applyFill="1" applyBorder="1" applyAlignment="1">
      <alignment horizontal="right"/>
    </xf>
    <xf numFmtId="173" fontId="0" fillId="0" borderId="0" xfId="0" applyNumberFormat="1"/>
    <xf numFmtId="173" fontId="98" fillId="0" borderId="0" xfId="0" applyNumberFormat="1" applyFont="1" applyAlignment="1"/>
    <xf numFmtId="0" fontId="95" fillId="0" borderId="0" xfId="1275" applyFont="1" applyFill="1" applyBorder="1"/>
    <xf numFmtId="0" fontId="17" fillId="0" borderId="0" xfId="0" applyFont="1" applyFill="1" applyBorder="1"/>
    <xf numFmtId="170" fontId="11" fillId="5" borderId="4" xfId="15994" applyNumberFormat="1" applyFont="1" applyFill="1" applyBorder="1" applyAlignment="1">
      <alignment horizontal="right"/>
    </xf>
    <xf numFmtId="0" fontId="14" fillId="0" borderId="0" xfId="0" applyFont="1" applyFill="1" applyBorder="1" applyAlignment="1">
      <alignment horizontal="center"/>
    </xf>
    <xf numFmtId="0" fontId="14" fillId="0" borderId="0" xfId="0" applyFont="1" applyFill="1" applyBorder="1"/>
    <xf numFmtId="179" fontId="3" fillId="0" borderId="0" xfId="0" applyNumberFormat="1" applyFont="1" applyFill="1" applyBorder="1"/>
    <xf numFmtId="9" fontId="16" fillId="0" borderId="5" xfId="131" applyFont="1" applyFill="1" applyBorder="1" applyAlignment="1">
      <alignment horizontal="right"/>
    </xf>
    <xf numFmtId="0" fontId="16" fillId="0" borderId="4" xfId="0" applyFont="1" applyFill="1" applyBorder="1" applyAlignment="1">
      <alignment vertical="top"/>
    </xf>
    <xf numFmtId="0" fontId="16" fillId="6" borderId="4" xfId="0" applyFont="1" applyFill="1" applyBorder="1"/>
    <xf numFmtId="9" fontId="16" fillId="0" borderId="5" xfId="0" applyNumberFormat="1" applyFont="1" applyFill="1" applyBorder="1" applyAlignment="1">
      <alignment horizontal="right"/>
    </xf>
    <xf numFmtId="0" fontId="16" fillId="2" borderId="4" xfId="0" applyFont="1" applyFill="1" applyBorder="1" applyAlignment="1">
      <alignment wrapText="1"/>
    </xf>
    <xf numFmtId="0" fontId="41" fillId="0" borderId="0" xfId="1225" applyFill="1" applyAlignment="1">
      <alignment vertical="center" wrapText="1"/>
    </xf>
    <xf numFmtId="184" fontId="16" fillId="0" borderId="7" xfId="157" applyNumberFormat="1" applyFont="1" applyBorder="1" applyAlignment="1" applyProtection="1">
      <alignment horizontal="right"/>
    </xf>
    <xf numFmtId="3" fontId="19" fillId="0" borderId="77" xfId="0" applyNumberFormat="1" applyFont="1" applyFill="1" applyBorder="1" applyProtection="1"/>
    <xf numFmtId="3" fontId="19" fillId="0" borderId="76" xfId="0" applyNumberFormat="1" applyFont="1" applyFill="1" applyBorder="1" applyProtection="1"/>
    <xf numFmtId="0" fontId="13" fillId="0" borderId="0" xfId="0" applyFont="1" applyFill="1"/>
    <xf numFmtId="0" fontId="0" fillId="0" borderId="0" xfId="0"/>
    <xf numFmtId="0" fontId="16" fillId="0" borderId="0" xfId="0" applyFont="1" applyAlignment="1">
      <alignment wrapText="1"/>
    </xf>
    <xf numFmtId="0" fontId="0" fillId="0" borderId="0" xfId="0" applyAlignment="1">
      <alignment horizontal="center"/>
    </xf>
    <xf numFmtId="0" fontId="100" fillId="0" borderId="0" xfId="28" applyFont="1" applyFill="1"/>
    <xf numFmtId="2" fontId="12" fillId="0" borderId="0" xfId="0" applyNumberFormat="1" applyFont="1"/>
    <xf numFmtId="1" fontId="12" fillId="0" borderId="0" xfId="0" applyNumberFormat="1" applyFont="1"/>
    <xf numFmtId="0" fontId="101" fillId="0" borderId="0" xfId="0" applyFont="1"/>
    <xf numFmtId="0" fontId="11" fillId="5" borderId="2" xfId="0" applyFont="1" applyFill="1" applyBorder="1" applyAlignment="1" applyProtection="1">
      <alignment horizontal="center"/>
    </xf>
    <xf numFmtId="0" fontId="11" fillId="5" borderId="5" xfId="0" applyFont="1" applyFill="1" applyBorder="1" applyAlignment="1">
      <alignment horizontal="right"/>
    </xf>
    <xf numFmtId="177" fontId="16" fillId="0" borderId="0" xfId="6307" applyNumberFormat="1" applyFont="1" applyFill="1" applyBorder="1"/>
    <xf numFmtId="177" fontId="2" fillId="0" borderId="0" xfId="6307" applyNumberFormat="1" applyFont="1" applyFill="1" applyBorder="1"/>
    <xf numFmtId="1" fontId="11" fillId="7" borderId="30" xfId="0" applyNumberFormat="1" applyFont="1" applyFill="1" applyBorder="1" applyAlignment="1">
      <alignment horizontal="left" vertical="center"/>
    </xf>
    <xf numFmtId="169" fontId="16" fillId="0" borderId="0" xfId="157" applyNumberFormat="1" applyFont="1" applyFill="1" applyBorder="1"/>
    <xf numFmtId="169" fontId="16" fillId="0" borderId="5" xfId="157" applyNumberFormat="1" applyFont="1" applyFill="1" applyBorder="1"/>
    <xf numFmtId="3" fontId="16" fillId="0" borderId="0" xfId="0" applyNumberFormat="1" applyFont="1" applyFill="1" applyBorder="1"/>
    <xf numFmtId="3" fontId="16" fillId="8" borderId="0" xfId="0" applyNumberFormat="1" applyFont="1" applyFill="1" applyBorder="1"/>
    <xf numFmtId="3" fontId="0" fillId="8" borderId="0" xfId="0" applyNumberFormat="1" applyFill="1"/>
    <xf numFmtId="3" fontId="19" fillId="0" borderId="87" xfId="0" applyNumberFormat="1" applyFont="1" applyFill="1" applyBorder="1" applyProtection="1"/>
    <xf numFmtId="0" fontId="11" fillId="7" borderId="88" xfId="0" applyFont="1" applyFill="1" applyBorder="1"/>
    <xf numFmtId="0" fontId="11" fillId="5" borderId="16" xfId="0" applyNumberFormat="1" applyFont="1" applyFill="1" applyBorder="1" applyAlignment="1" applyProtection="1">
      <alignment horizontal="center" vertical="center" wrapText="1"/>
    </xf>
    <xf numFmtId="1" fontId="0" fillId="0" borderId="0" xfId="0" applyNumberFormat="1" applyAlignment="1">
      <alignment horizontal="right" indent="1"/>
    </xf>
    <xf numFmtId="1" fontId="0" fillId="8" borderId="0" xfId="0" applyNumberFormat="1" applyFill="1" applyAlignment="1">
      <alignment horizontal="right" indent="1"/>
    </xf>
    <xf numFmtId="0" fontId="0" fillId="0" borderId="0" xfId="0" applyAlignment="1">
      <alignment horizontal="center" vertical="center"/>
    </xf>
    <xf numFmtId="1" fontId="16" fillId="0" borderId="0" xfId="0" applyNumberFormat="1" applyFont="1" applyFill="1" applyBorder="1" applyAlignment="1" applyProtection="1">
      <alignment horizontal="center" vertical="center"/>
    </xf>
    <xf numFmtId="0" fontId="16" fillId="0" borderId="0" xfId="0" applyFont="1" applyFill="1" applyBorder="1" applyAlignment="1">
      <alignment horizontal="center" vertical="center"/>
    </xf>
    <xf numFmtId="0" fontId="0" fillId="0" borderId="0" xfId="0" applyBorder="1" applyAlignment="1">
      <alignment horizontal="center" vertical="center"/>
    </xf>
    <xf numFmtId="3" fontId="0" fillId="0" borderId="0" xfId="0" applyNumberFormat="1" applyAlignment="1">
      <alignment horizontal="center" vertical="center"/>
    </xf>
    <xf numFmtId="0" fontId="13" fillId="0" borderId="0" xfId="0" applyFont="1" applyAlignment="1">
      <alignment horizontal="center" vertical="center"/>
    </xf>
    <xf numFmtId="0" fontId="0" fillId="0" borderId="0" xfId="0"/>
    <xf numFmtId="1" fontId="0" fillId="0" borderId="0" xfId="0" applyNumberFormat="1" applyFill="1" applyBorder="1" applyAlignment="1">
      <alignment horizontal="right" indent="1"/>
    </xf>
    <xf numFmtId="0" fontId="13" fillId="0" borderId="0" xfId="0" applyFont="1" applyFill="1" applyBorder="1"/>
    <xf numFmtId="0" fontId="102" fillId="0" borderId="0" xfId="0" applyFont="1" applyFill="1" applyBorder="1"/>
    <xf numFmtId="17" fontId="11" fillId="0" borderId="0" xfId="0" applyNumberFormat="1" applyFont="1" applyFill="1" applyBorder="1"/>
    <xf numFmtId="0" fontId="103" fillId="0" borderId="0" xfId="0" applyFont="1" applyFill="1" applyBorder="1" applyAlignment="1">
      <alignment vertical="center"/>
    </xf>
    <xf numFmtId="0" fontId="72" fillId="0" borderId="0" xfId="20313" applyFont="1" applyFill="1" applyBorder="1" applyAlignment="1">
      <alignment horizontal="right" wrapText="1" indent="1"/>
    </xf>
    <xf numFmtId="0" fontId="0" fillId="0" borderId="0" xfId="0" applyFill="1" applyBorder="1" applyAlignment="1">
      <alignment horizontal="right" indent="1"/>
    </xf>
    <xf numFmtId="0" fontId="72" fillId="0" borderId="0" xfId="20314" applyFont="1" applyFill="1" applyBorder="1" applyAlignment="1">
      <alignment horizontal="right" wrapText="1" indent="1"/>
    </xf>
    <xf numFmtId="0" fontId="72" fillId="0" borderId="0" xfId="20315" applyFont="1" applyFill="1" applyBorder="1" applyAlignment="1">
      <alignment horizontal="right" wrapText="1" indent="1"/>
    </xf>
    <xf numFmtId="0" fontId="104" fillId="0" borderId="0" xfId="0" applyFont="1"/>
    <xf numFmtId="1" fontId="0" fillId="0" borderId="0" xfId="0" applyNumberFormat="1" applyAlignment="1">
      <alignment horizontal="center"/>
    </xf>
    <xf numFmtId="0" fontId="0" fillId="0" borderId="0" xfId="0" applyFill="1" applyAlignment="1">
      <alignment horizontal="center" vertical="center"/>
    </xf>
    <xf numFmtId="0" fontId="0" fillId="0" borderId="0" xfId="0" applyAlignment="1">
      <alignment horizontal="center"/>
    </xf>
    <xf numFmtId="0" fontId="0" fillId="0" borderId="0" xfId="0" applyAlignment="1">
      <alignment horizontal="center"/>
    </xf>
    <xf numFmtId="0" fontId="11" fillId="5" borderId="0" xfId="0" applyNumberFormat="1" applyFont="1" applyFill="1" applyBorder="1" applyAlignment="1" applyProtection="1">
      <alignment horizontal="center" vertical="center" wrapText="1"/>
    </xf>
    <xf numFmtId="0" fontId="13" fillId="0" borderId="0" xfId="0" applyFont="1" applyBorder="1" applyAlignment="1">
      <alignment horizontal="center"/>
    </xf>
    <xf numFmtId="0" fontId="0" fillId="0" borderId="0" xfId="131" applyNumberFormat="1" applyFont="1"/>
    <xf numFmtId="0" fontId="0" fillId="0" borderId="4" xfId="0" applyNumberFormat="1" applyFont="1" applyFill="1" applyBorder="1" applyAlignment="1">
      <alignment horizontal="right"/>
    </xf>
    <xf numFmtId="0" fontId="0" fillId="3" borderId="4" xfId="0" applyNumberFormat="1" applyFont="1" applyFill="1" applyBorder="1" applyAlignment="1">
      <alignment horizontal="right"/>
    </xf>
    <xf numFmtId="168" fontId="0" fillId="0" borderId="0" xfId="0" applyNumberFormat="1" applyFont="1" applyFill="1" applyBorder="1" applyAlignment="1">
      <alignment horizontal="center" vertical="center"/>
    </xf>
    <xf numFmtId="3" fontId="0" fillId="0" borderId="44" xfId="0" applyNumberFormat="1" applyBorder="1"/>
    <xf numFmtId="184" fontId="16" fillId="0" borderId="0" xfId="157" applyNumberFormat="1" applyFont="1" applyBorder="1" applyAlignment="1" applyProtection="1">
      <alignment horizontal="right"/>
    </xf>
    <xf numFmtId="169" fontId="0" fillId="0" borderId="0" xfId="157" applyNumberFormat="1" applyFont="1" applyFill="1" applyBorder="1"/>
    <xf numFmtId="169" fontId="0" fillId="3" borderId="0" xfId="157" applyNumberFormat="1" applyFont="1" applyFill="1" applyBorder="1"/>
    <xf numFmtId="169" fontId="0" fillId="2" borderId="0" xfId="157" applyNumberFormat="1" applyFont="1" applyFill="1" applyBorder="1"/>
    <xf numFmtId="0" fontId="11" fillId="5" borderId="2" xfId="0" applyNumberFormat="1" applyFont="1" applyFill="1" applyBorder="1" applyAlignment="1" applyProtection="1">
      <alignment horizontal="right"/>
    </xf>
    <xf numFmtId="0" fontId="11" fillId="5" borderId="12" xfId="0" applyNumberFormat="1" applyFont="1" applyFill="1" applyBorder="1" applyAlignment="1" applyProtection="1">
      <alignment horizontal="center" vertical="center" wrapText="1"/>
    </xf>
    <xf numFmtId="0" fontId="11" fillId="5" borderId="3" xfId="0" applyNumberFormat="1" applyFont="1" applyFill="1" applyBorder="1" applyAlignment="1" applyProtection="1">
      <alignment horizontal="center" vertical="center" wrapText="1"/>
    </xf>
    <xf numFmtId="0" fontId="11" fillId="4" borderId="2" xfId="0" applyFont="1" applyFill="1" applyBorder="1" applyAlignment="1">
      <alignment horizontal="right"/>
    </xf>
    <xf numFmtId="1" fontId="0" fillId="0" borderId="0" xfId="0" applyNumberFormat="1" applyFont="1" applyFill="1" applyBorder="1" applyAlignment="1">
      <alignment horizontal="center" vertical="center"/>
    </xf>
    <xf numFmtId="1" fontId="0" fillId="3" borderId="0" xfId="0" applyNumberFormat="1" applyFont="1" applyFill="1" applyBorder="1" applyAlignment="1">
      <alignment horizontal="center" vertical="center"/>
    </xf>
    <xf numFmtId="0" fontId="0" fillId="3" borderId="90" xfId="0" applyNumberFormat="1" applyFont="1" applyFill="1" applyBorder="1" applyAlignment="1">
      <alignment horizontal="right"/>
    </xf>
    <xf numFmtId="1" fontId="0" fillId="3" borderId="84" xfId="0" applyNumberFormat="1" applyFont="1" applyFill="1" applyBorder="1" applyAlignment="1">
      <alignment horizontal="center" vertical="center"/>
    </xf>
    <xf numFmtId="9" fontId="0" fillId="0" borderId="5" xfId="131" applyNumberFormat="1" applyFont="1" applyFill="1" applyBorder="1" applyAlignment="1">
      <alignment horizontal="center" vertical="center"/>
    </xf>
    <xf numFmtId="9" fontId="0" fillId="3" borderId="5" xfId="131" applyNumberFormat="1" applyFont="1" applyFill="1" applyBorder="1" applyAlignment="1">
      <alignment horizontal="center" vertical="center"/>
    </xf>
    <xf numFmtId="9" fontId="0" fillId="3" borderId="85" xfId="131" applyNumberFormat="1" applyFont="1" applyFill="1" applyBorder="1" applyAlignment="1">
      <alignment horizontal="center" vertical="center"/>
    </xf>
    <xf numFmtId="0" fontId="11" fillId="5" borderId="2" xfId="15994" applyNumberFormat="1" applyFont="1" applyFill="1" applyBorder="1" applyAlignment="1" applyProtection="1">
      <alignment horizontal="center"/>
    </xf>
    <xf numFmtId="0" fontId="11" fillId="5" borderId="12" xfId="15997" applyNumberFormat="1" applyFont="1" applyFill="1" applyBorder="1" applyAlignment="1" applyProtection="1">
      <alignment horizontal="center" vertical="center" wrapText="1"/>
    </xf>
    <xf numFmtId="0" fontId="11" fillId="5" borderId="3" xfId="15997" applyNumberFormat="1" applyFont="1" applyFill="1" applyBorder="1" applyAlignment="1" applyProtection="1">
      <alignment horizontal="center" vertical="center" wrapText="1"/>
    </xf>
    <xf numFmtId="9" fontId="0" fillId="0" borderId="0" xfId="0" applyNumberFormat="1" applyFont="1" applyFill="1" applyBorder="1" applyAlignment="1">
      <alignment horizontal="center" vertical="center"/>
    </xf>
    <xf numFmtId="9" fontId="0" fillId="2" borderId="0" xfId="0" applyNumberFormat="1" applyFont="1" applyFill="1" applyBorder="1" applyAlignment="1">
      <alignment horizontal="center" vertical="center"/>
    </xf>
    <xf numFmtId="0" fontId="104" fillId="0" borderId="0" xfId="0" applyFont="1" applyAlignment="1">
      <alignment wrapText="1"/>
    </xf>
    <xf numFmtId="9" fontId="0" fillId="2" borderId="5" xfId="0" applyNumberFormat="1" applyFill="1" applyBorder="1"/>
    <xf numFmtId="0" fontId="16" fillId="2" borderId="6" xfId="0" applyFont="1" applyFill="1" applyBorder="1"/>
    <xf numFmtId="0" fontId="11" fillId="5" borderId="14" xfId="0" applyNumberFormat="1" applyFont="1" applyFill="1" applyBorder="1" applyAlignment="1" applyProtection="1">
      <alignment horizontal="center" vertical="center" wrapText="1"/>
    </xf>
    <xf numFmtId="0" fontId="11" fillId="5" borderId="22" xfId="0" applyNumberFormat="1" applyFont="1" applyFill="1" applyBorder="1" applyAlignment="1" applyProtection="1">
      <alignment horizontal="center" vertical="center" wrapText="1"/>
    </xf>
    <xf numFmtId="0" fontId="11" fillId="5" borderId="27" xfId="0" applyNumberFormat="1" applyFont="1" applyFill="1" applyBorder="1" applyAlignment="1" applyProtection="1">
      <alignment horizontal="center" vertical="center" wrapText="1"/>
    </xf>
    <xf numFmtId="1" fontId="0" fillId="0" borderId="28" xfId="0" applyNumberFormat="1" applyFont="1" applyFill="1" applyBorder="1" applyAlignment="1">
      <alignment horizontal="center" vertical="center"/>
    </xf>
    <xf numFmtId="1" fontId="0" fillId="3" borderId="28" xfId="0" applyNumberFormat="1" applyFont="1" applyFill="1" applyBorder="1" applyAlignment="1">
      <alignment horizontal="center" vertical="center"/>
    </xf>
    <xf numFmtId="9" fontId="16" fillId="2" borderId="28" xfId="131" applyFont="1" applyFill="1" applyBorder="1" applyAlignment="1" applyProtection="1">
      <alignment horizontal="center" vertical="center"/>
    </xf>
    <xf numFmtId="9" fontId="16" fillId="0" borderId="28" xfId="131" applyFont="1" applyFill="1" applyBorder="1" applyAlignment="1" applyProtection="1">
      <alignment horizontal="center" vertical="center"/>
    </xf>
    <xf numFmtId="1" fontId="0" fillId="3" borderId="92" xfId="0" applyNumberFormat="1" applyFont="1" applyFill="1" applyBorder="1" applyAlignment="1">
      <alignment horizontal="center" vertical="center"/>
    </xf>
    <xf numFmtId="9" fontId="0" fillId="0" borderId="28" xfId="131" applyFont="1" applyFill="1" applyBorder="1" applyAlignment="1">
      <alignment horizontal="center" vertical="center"/>
    </xf>
    <xf numFmtId="9" fontId="0" fillId="3" borderId="28" xfId="131" applyFont="1" applyFill="1" applyBorder="1" applyAlignment="1">
      <alignment horizontal="center" vertical="center"/>
    </xf>
    <xf numFmtId="9" fontId="0" fillId="3" borderId="92" xfId="131" applyFont="1" applyFill="1" applyBorder="1" applyAlignment="1">
      <alignment horizontal="center" vertical="center"/>
    </xf>
    <xf numFmtId="0" fontId="11" fillId="4" borderId="20" xfId="0" applyFont="1" applyFill="1" applyBorder="1" applyAlignment="1">
      <alignment horizontal="right"/>
    </xf>
    <xf numFmtId="0" fontId="11" fillId="5" borderId="20" xfId="0" applyNumberFormat="1" applyFont="1" applyFill="1" applyBorder="1" applyAlignment="1" applyProtection="1">
      <alignment horizontal="right"/>
    </xf>
    <xf numFmtId="9" fontId="16" fillId="0" borderId="5" xfId="131" applyNumberFormat="1" applyFont="1" applyBorder="1" applyAlignment="1" applyProtection="1">
      <alignment horizontal="center" vertical="center"/>
    </xf>
    <xf numFmtId="9" fontId="16" fillId="2" borderId="5" xfId="131" applyNumberFormat="1" applyFont="1" applyFill="1" applyBorder="1" applyAlignment="1" applyProtection="1">
      <alignment horizontal="center" vertical="center"/>
    </xf>
    <xf numFmtId="9" fontId="16" fillId="0" borderId="5" xfId="131" applyNumberFormat="1" applyFont="1" applyFill="1" applyBorder="1" applyAlignment="1" applyProtection="1">
      <alignment horizontal="center" vertical="center"/>
    </xf>
    <xf numFmtId="0" fontId="11" fillId="4" borderId="93" xfId="0" applyFont="1" applyFill="1" applyBorder="1" applyAlignment="1">
      <alignment horizontal="right"/>
    </xf>
    <xf numFmtId="1" fontId="0" fillId="0" borderId="28" xfId="0" applyNumberFormat="1" applyFont="1" applyFill="1" applyBorder="1" applyAlignment="1">
      <alignment horizontal="center"/>
    </xf>
    <xf numFmtId="1" fontId="0" fillId="0" borderId="0" xfId="0" applyNumberFormat="1" applyFont="1" applyFill="1" applyBorder="1" applyAlignment="1">
      <alignment horizontal="center"/>
    </xf>
    <xf numFmtId="9" fontId="0" fillId="0" borderId="5" xfId="131" applyNumberFormat="1" applyFont="1" applyFill="1" applyBorder="1" applyAlignment="1">
      <alignment horizontal="center"/>
    </xf>
    <xf numFmtId="1" fontId="0" fillId="3" borderId="28" xfId="0" applyNumberFormat="1" applyFont="1" applyFill="1" applyBorder="1" applyAlignment="1">
      <alignment horizontal="center"/>
    </xf>
    <xf numFmtId="1" fontId="0" fillId="3" borderId="0" xfId="0" applyNumberFormat="1" applyFont="1" applyFill="1" applyBorder="1" applyAlignment="1">
      <alignment horizontal="center"/>
    </xf>
    <xf numFmtId="9" fontId="0" fillId="3" borderId="5" xfId="131" applyNumberFormat="1" applyFont="1" applyFill="1" applyBorder="1" applyAlignment="1">
      <alignment horizontal="center"/>
    </xf>
    <xf numFmtId="9" fontId="16" fillId="0" borderId="0" xfId="131" applyFont="1" applyFill="1" applyBorder="1" applyAlignment="1" applyProtection="1">
      <alignment horizontal="center" vertical="center"/>
    </xf>
    <xf numFmtId="9" fontId="16" fillId="0" borderId="17" xfId="131" applyFont="1" applyFill="1" applyBorder="1" applyAlignment="1" applyProtection="1">
      <alignment horizontal="center" vertical="center"/>
    </xf>
    <xf numFmtId="9" fontId="16" fillId="2" borderId="0" xfId="131" applyFont="1" applyFill="1" applyBorder="1" applyAlignment="1" applyProtection="1">
      <alignment horizontal="center" vertical="center"/>
    </xf>
    <xf numFmtId="9" fontId="16" fillId="2" borderId="17" xfId="131" applyFont="1" applyFill="1" applyBorder="1" applyAlignment="1" applyProtection="1">
      <alignment horizontal="center" vertical="center"/>
    </xf>
    <xf numFmtId="9" fontId="0" fillId="0" borderId="28" xfId="131" applyNumberFormat="1" applyFont="1" applyFill="1" applyBorder="1" applyAlignment="1">
      <alignment horizontal="center" vertical="center"/>
    </xf>
    <xf numFmtId="9" fontId="0" fillId="2" borderId="28" xfId="131" applyNumberFormat="1" applyFont="1" applyFill="1" applyBorder="1" applyAlignment="1">
      <alignment horizontal="center" vertical="center"/>
    </xf>
    <xf numFmtId="9" fontId="0" fillId="0" borderId="17" xfId="0" applyNumberFormat="1" applyFont="1" applyFill="1" applyBorder="1" applyAlignment="1">
      <alignment horizontal="center" vertical="center"/>
    </xf>
    <xf numFmtId="9" fontId="0" fillId="2" borderId="17" xfId="0" applyNumberFormat="1" applyFont="1" applyFill="1" applyBorder="1" applyAlignment="1">
      <alignment horizontal="center" vertical="center"/>
    </xf>
    <xf numFmtId="9" fontId="16" fillId="6" borderId="5" xfId="131" applyNumberFormat="1" applyFont="1" applyFill="1" applyBorder="1" applyAlignment="1" applyProtection="1">
      <alignment horizontal="center" vertical="center"/>
    </xf>
    <xf numFmtId="0" fontId="0" fillId="80" borderId="4" xfId="0" applyNumberFormat="1" applyFont="1" applyFill="1" applyBorder="1" applyAlignment="1">
      <alignment horizontal="right"/>
    </xf>
    <xf numFmtId="9" fontId="16" fillId="0" borderId="17" xfId="131" applyFont="1" applyBorder="1" applyAlignment="1" applyProtection="1">
      <alignment horizontal="center" vertical="center"/>
    </xf>
    <xf numFmtId="185" fontId="0" fillId="80" borderId="10" xfId="157" applyNumberFormat="1" applyFont="1" applyFill="1" applyBorder="1" applyAlignment="1">
      <alignment horizontal="center" vertical="center"/>
    </xf>
    <xf numFmtId="185" fontId="0" fillId="2" borderId="10" xfId="157" applyNumberFormat="1" applyFont="1" applyFill="1" applyBorder="1" applyAlignment="1">
      <alignment horizontal="center" vertical="center"/>
    </xf>
    <xf numFmtId="185" fontId="0" fillId="80" borderId="28" xfId="157" applyNumberFormat="1" applyFont="1" applyFill="1" applyBorder="1" applyAlignment="1">
      <alignment horizontal="center" vertical="center"/>
    </xf>
    <xf numFmtId="185" fontId="0" fillId="3" borderId="10" xfId="157" applyNumberFormat="1" applyFont="1" applyFill="1" applyBorder="1" applyAlignment="1">
      <alignment horizontal="center" vertical="center"/>
    </xf>
    <xf numFmtId="0" fontId="11" fillId="10" borderId="3" xfId="0" applyFont="1" applyFill="1" applyBorder="1" applyAlignment="1">
      <alignment horizontal="center"/>
    </xf>
    <xf numFmtId="0" fontId="11" fillId="47" borderId="12" xfId="0" applyFont="1" applyFill="1" applyBorder="1" applyAlignment="1">
      <alignment horizontal="center"/>
    </xf>
    <xf numFmtId="0" fontId="11" fillId="47" borderId="3" xfId="0" applyFont="1" applyFill="1" applyBorder="1" applyAlignment="1">
      <alignment horizontal="center"/>
    </xf>
    <xf numFmtId="2" fontId="0" fillId="3" borderId="28"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2" fontId="0" fillId="0" borderId="28" xfId="0" applyNumberFormat="1" applyFont="1" applyFill="1" applyBorder="1" applyAlignment="1">
      <alignment horizontal="center" vertical="center"/>
    </xf>
    <xf numFmtId="2" fontId="0" fillId="0" borderId="5" xfId="0" applyNumberFormat="1" applyFont="1" applyFill="1" applyBorder="1" applyAlignment="1">
      <alignment horizontal="center" vertical="center"/>
    </xf>
    <xf numFmtId="2" fontId="0" fillId="6" borderId="28" xfId="0" applyNumberFormat="1" applyFill="1" applyBorder="1" applyAlignment="1">
      <alignment horizontal="center" vertical="center"/>
    </xf>
    <xf numFmtId="2" fontId="0" fillId="2" borderId="28" xfId="0" applyNumberFormat="1" applyFill="1" applyBorder="1" applyAlignment="1">
      <alignment horizontal="center" vertical="center"/>
    </xf>
    <xf numFmtId="2" fontId="0" fillId="2" borderId="92" xfId="0" applyNumberFormat="1" applyFill="1" applyBorder="1" applyAlignment="1">
      <alignment horizontal="center" vertical="center"/>
    </xf>
    <xf numFmtId="2" fontId="0" fillId="3" borderId="7" xfId="0" applyNumberFormat="1" applyFont="1" applyFill="1" applyBorder="1" applyAlignment="1">
      <alignment horizontal="center" vertical="center"/>
    </xf>
    <xf numFmtId="2" fontId="0" fillId="0" borderId="28" xfId="0" applyNumberFormat="1" applyFill="1" applyBorder="1" applyAlignment="1">
      <alignment horizontal="center" vertical="center"/>
    </xf>
    <xf numFmtId="2" fontId="0" fillId="0" borderId="5" xfId="0" applyNumberFormat="1" applyFill="1" applyBorder="1" applyAlignment="1">
      <alignment horizontal="center" vertical="center"/>
    </xf>
    <xf numFmtId="2" fontId="0" fillId="2" borderId="5" xfId="0" applyNumberFormat="1" applyFill="1" applyBorder="1" applyAlignment="1">
      <alignment horizontal="center" vertical="center"/>
    </xf>
    <xf numFmtId="0" fontId="11" fillId="10" borderId="20" xfId="0" applyFont="1" applyFill="1" applyBorder="1"/>
    <xf numFmtId="0" fontId="11" fillId="10" borderId="31" xfId="0" applyFont="1" applyFill="1" applyBorder="1" applyAlignment="1">
      <alignment wrapText="1"/>
    </xf>
    <xf numFmtId="0" fontId="11" fillId="10" borderId="31" xfId="0" applyFont="1" applyFill="1" applyBorder="1"/>
    <xf numFmtId="0" fontId="11" fillId="10" borderId="32" xfId="0" applyFont="1" applyFill="1" applyBorder="1"/>
    <xf numFmtId="0" fontId="11" fillId="5" borderId="46" xfId="15997" applyNumberFormat="1" applyFont="1" applyFill="1" applyBorder="1" applyAlignment="1" applyProtection="1">
      <alignment horizontal="center" vertical="center" wrapText="1"/>
    </xf>
    <xf numFmtId="9" fontId="16" fillId="74" borderId="83" xfId="131" applyFont="1" applyFill="1" applyBorder="1" applyAlignment="1" applyProtection="1">
      <alignment horizontal="center"/>
    </xf>
    <xf numFmtId="9" fontId="16" fillId="74" borderId="89" xfId="131" applyFont="1" applyFill="1" applyBorder="1" applyAlignment="1" applyProtection="1">
      <alignment horizontal="center"/>
    </xf>
    <xf numFmtId="9" fontId="16" fillId="74" borderId="98" xfId="131" applyFont="1" applyFill="1" applyBorder="1" applyAlignment="1" applyProtection="1">
      <alignment horizontal="center"/>
    </xf>
    <xf numFmtId="170" fontId="11" fillId="5" borderId="42" xfId="15994" applyNumberFormat="1" applyFont="1" applyFill="1" applyBorder="1" applyAlignment="1">
      <alignment horizontal="right"/>
    </xf>
    <xf numFmtId="0" fontId="11" fillId="5" borderId="14" xfId="15994" applyNumberFormat="1" applyFont="1" applyFill="1" applyBorder="1" applyAlignment="1" applyProtection="1">
      <alignment horizontal="center" vertical="center" wrapText="1"/>
    </xf>
    <xf numFmtId="0" fontId="11" fillId="5" borderId="22" xfId="15997" applyNumberFormat="1" applyFont="1" applyFill="1" applyBorder="1" applyAlignment="1" applyProtection="1">
      <alignment horizontal="center" vertical="center" wrapText="1"/>
    </xf>
    <xf numFmtId="0" fontId="11" fillId="5" borderId="27" xfId="15994" applyNumberFormat="1" applyFont="1" applyFill="1" applyBorder="1" applyAlignment="1" applyProtection="1">
      <alignment horizontal="center" vertical="center" wrapText="1"/>
    </xf>
    <xf numFmtId="0" fontId="11" fillId="5" borderId="27" xfId="15997" applyNumberFormat="1" applyFont="1" applyFill="1" applyBorder="1" applyAlignment="1" applyProtection="1">
      <alignment horizontal="center" vertical="center" wrapText="1"/>
    </xf>
    <xf numFmtId="0" fontId="11" fillId="5" borderId="25" xfId="0" applyNumberFormat="1" applyFont="1" applyFill="1" applyBorder="1" applyAlignment="1" applyProtection="1">
      <alignment horizontal="right"/>
    </xf>
    <xf numFmtId="0" fontId="11" fillId="4" borderId="100" xfId="0" applyFont="1" applyFill="1" applyBorder="1" applyAlignment="1">
      <alignment horizontal="right"/>
    </xf>
    <xf numFmtId="1" fontId="11" fillId="10" borderId="44" xfId="0" applyNumberFormat="1" applyFont="1" applyFill="1" applyBorder="1"/>
    <xf numFmtId="1" fontId="11" fillId="10" borderId="44" xfId="0" applyNumberFormat="1" applyFont="1" applyFill="1" applyBorder="1" applyAlignment="1" applyProtection="1">
      <alignment horizontal="left"/>
    </xf>
    <xf numFmtId="1" fontId="11" fillId="10" borderId="47" xfId="0" applyNumberFormat="1" applyFont="1" applyFill="1" applyBorder="1"/>
    <xf numFmtId="1" fontId="11" fillId="7" borderId="33" xfId="0" applyNumberFormat="1" applyFont="1" applyFill="1" applyBorder="1" applyAlignment="1">
      <alignment horizontal="left" vertical="center"/>
    </xf>
    <xf numFmtId="0" fontId="16" fillId="6" borderId="31" xfId="0" applyFont="1" applyFill="1" applyBorder="1" applyAlignment="1">
      <alignment horizontal="left" vertical="center"/>
    </xf>
    <xf numFmtId="0" fontId="16" fillId="8" borderId="31" xfId="0" applyFont="1" applyFill="1" applyBorder="1" applyAlignment="1">
      <alignment horizontal="left" vertical="center"/>
    </xf>
    <xf numFmtId="4" fontId="16" fillId="0" borderId="10" xfId="0" applyNumberFormat="1" applyFont="1" applyFill="1" applyBorder="1" applyAlignment="1">
      <alignment horizontal="center" vertical="center"/>
    </xf>
    <xf numFmtId="4" fontId="16" fillId="12" borderId="10" xfId="0" applyNumberFormat="1" applyFont="1" applyFill="1" applyBorder="1" applyAlignment="1">
      <alignment horizontal="center" vertical="center"/>
    </xf>
    <xf numFmtId="4" fontId="16" fillId="12" borderId="102" xfId="0" applyNumberFormat="1" applyFont="1" applyFill="1" applyBorder="1" applyAlignment="1">
      <alignment horizontal="center" vertical="center"/>
    </xf>
    <xf numFmtId="4" fontId="16" fillId="13" borderId="99" xfId="0" applyNumberFormat="1" applyFont="1" applyFill="1" applyBorder="1" applyAlignment="1">
      <alignment horizontal="center" vertical="center"/>
    </xf>
    <xf numFmtId="4" fontId="19" fillId="9" borderId="15" xfId="0" applyNumberFormat="1" applyFont="1" applyFill="1" applyBorder="1" applyAlignment="1">
      <alignment horizontal="center" vertical="center"/>
    </xf>
    <xf numFmtId="9" fontId="16" fillId="0" borderId="17" xfId="0" applyNumberFormat="1" applyFont="1" applyBorder="1" applyAlignment="1">
      <alignment horizontal="center" vertical="center"/>
    </xf>
    <xf numFmtId="9" fontId="16" fillId="12" borderId="17" xfId="0" applyNumberFormat="1" applyFont="1" applyFill="1" applyBorder="1" applyAlignment="1">
      <alignment horizontal="center" vertical="center"/>
    </xf>
    <xf numFmtId="9" fontId="16" fillId="6" borderId="17" xfId="0" applyNumberFormat="1" applyFont="1" applyFill="1" applyBorder="1" applyAlignment="1">
      <alignment horizontal="center" vertical="center"/>
    </xf>
    <xf numFmtId="9" fontId="16" fillId="12" borderId="103" xfId="0" applyNumberFormat="1" applyFont="1" applyFill="1" applyBorder="1" applyAlignment="1">
      <alignment horizontal="center" vertical="center"/>
    </xf>
    <xf numFmtId="171" fontId="16" fillId="13" borderId="67" xfId="0" applyNumberFormat="1" applyFont="1" applyFill="1" applyBorder="1" applyAlignment="1">
      <alignment horizontal="center" vertical="center"/>
    </xf>
    <xf numFmtId="9" fontId="19" fillId="9" borderId="91" xfId="0" applyNumberFormat="1" applyFont="1" applyFill="1" applyBorder="1" applyAlignment="1">
      <alignment horizontal="center" vertical="center"/>
    </xf>
    <xf numFmtId="0" fontId="11" fillId="4" borderId="105" xfId="0" applyFont="1" applyFill="1" applyBorder="1" applyAlignment="1">
      <alignment horizontal="center" vertical="center"/>
    </xf>
    <xf numFmtId="2" fontId="14" fillId="5" borderId="104" xfId="0" applyNumberFormat="1" applyFont="1" applyFill="1" applyBorder="1" applyAlignment="1">
      <alignment horizontal="center" vertical="center"/>
    </xf>
    <xf numFmtId="2" fontId="14" fillId="5" borderId="105" xfId="0" applyNumberFormat="1" applyFont="1" applyFill="1" applyBorder="1" applyAlignment="1">
      <alignment horizontal="center" vertical="center"/>
    </xf>
    <xf numFmtId="0" fontId="14" fillId="5" borderId="93" xfId="0" applyFont="1" applyFill="1" applyBorder="1" applyAlignment="1">
      <alignment horizontal="right"/>
    </xf>
    <xf numFmtId="17" fontId="14" fillId="5" borderId="32" xfId="0" applyNumberFormat="1" applyFont="1" applyFill="1" applyBorder="1"/>
    <xf numFmtId="0" fontId="14" fillId="5" borderId="4" xfId="0" applyFont="1" applyFill="1" applyBorder="1"/>
    <xf numFmtId="0" fontId="14" fillId="5" borderId="106" xfId="0" applyFont="1" applyFill="1" applyBorder="1" applyAlignment="1">
      <alignment horizontal="center"/>
    </xf>
    <xf numFmtId="0" fontId="14" fillId="5" borderId="107" xfId="0" applyFont="1" applyFill="1" applyBorder="1" applyAlignment="1">
      <alignment horizontal="center"/>
    </xf>
    <xf numFmtId="0" fontId="14" fillId="5" borderId="27" xfId="0" applyFont="1" applyFill="1" applyBorder="1"/>
    <xf numFmtId="0" fontId="14" fillId="5" borderId="28" xfId="0" applyFont="1" applyFill="1" applyBorder="1" applyAlignment="1">
      <alignment horizontal="center"/>
    </xf>
    <xf numFmtId="0" fontId="11" fillId="4" borderId="41"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43" xfId="0" applyFont="1" applyFill="1" applyBorder="1" applyAlignment="1">
      <alignment horizontal="center" vertical="center"/>
    </xf>
    <xf numFmtId="0" fontId="11" fillId="5" borderId="8" xfId="15994" applyNumberFormat="1" applyFont="1" applyFill="1" applyBorder="1" applyAlignment="1" applyProtection="1">
      <alignment horizontal="left"/>
    </xf>
    <xf numFmtId="0" fontId="16" fillId="2" borderId="9" xfId="15994" applyNumberFormat="1" applyFont="1" applyFill="1" applyBorder="1" applyAlignment="1" applyProtection="1">
      <alignment horizontal="right"/>
    </xf>
    <xf numFmtId="0" fontId="11" fillId="0" borderId="0" xfId="15994" applyNumberFormat="1" applyFont="1" applyFill="1" applyBorder="1" applyAlignment="1" applyProtection="1">
      <alignment horizontal="left"/>
    </xf>
    <xf numFmtId="0" fontId="16" fillId="0" borderId="0" xfId="15994" applyNumberFormat="1" applyFont="1" applyFill="1" applyBorder="1" applyAlignment="1" applyProtection="1">
      <alignment horizontal="right"/>
    </xf>
    <xf numFmtId="170" fontId="11" fillId="5" borderId="0" xfId="15994" applyNumberFormat="1" applyFont="1" applyFill="1" applyBorder="1" applyAlignment="1">
      <alignment horizontal="right"/>
    </xf>
    <xf numFmtId="0" fontId="16" fillId="74" borderId="98" xfId="15994" applyNumberFormat="1" applyFont="1" applyFill="1" applyBorder="1" applyAlignment="1" applyProtection="1">
      <alignment horizontal="center"/>
    </xf>
    <xf numFmtId="0" fontId="16" fillId="74" borderId="110" xfId="15994" applyNumberFormat="1" applyFont="1" applyFill="1" applyBorder="1" applyAlignment="1" applyProtection="1">
      <alignment horizontal="center"/>
    </xf>
    <xf numFmtId="1" fontId="0" fillId="0" borderId="0" xfId="0" applyNumberFormat="1" applyBorder="1"/>
    <xf numFmtId="170" fontId="11" fillId="0" borderId="0" xfId="0" applyNumberFormat="1" applyFont="1" applyFill="1" applyBorder="1" applyAlignment="1">
      <alignment horizontal="right"/>
    </xf>
    <xf numFmtId="168" fontId="16" fillId="0" borderId="0" xfId="131" applyNumberFormat="1" applyFont="1" applyFill="1" applyBorder="1" applyAlignment="1" applyProtection="1">
      <alignment horizontal="center" vertical="center"/>
    </xf>
    <xf numFmtId="9" fontId="16" fillId="0" borderId="0" xfId="131" applyFont="1" applyBorder="1" applyAlignment="1" applyProtection="1">
      <alignment horizontal="center" vertical="center"/>
    </xf>
    <xf numFmtId="184" fontId="16" fillId="0" borderId="0" xfId="157" applyNumberFormat="1" applyFont="1" applyFill="1" applyBorder="1" applyAlignment="1" applyProtection="1">
      <alignment horizontal="center" vertical="center"/>
    </xf>
    <xf numFmtId="170" fontId="106" fillId="0" borderId="0" xfId="0" applyNumberFormat="1" applyFont="1" applyFill="1" applyBorder="1" applyAlignment="1">
      <alignment horizontal="right"/>
    </xf>
    <xf numFmtId="0" fontId="107" fillId="0" borderId="0" xfId="0" applyFont="1"/>
    <xf numFmtId="0" fontId="108" fillId="0" borderId="0" xfId="0" applyFont="1"/>
    <xf numFmtId="0" fontId="109" fillId="0" borderId="0" xfId="1275" applyFont="1" applyAlignment="1"/>
    <xf numFmtId="0" fontId="22" fillId="14" borderId="4" xfId="0" applyFont="1" applyFill="1" applyBorder="1" applyAlignment="1">
      <alignment vertical="center"/>
    </xf>
    <xf numFmtId="0" fontId="11" fillId="7" borderId="100" xfId="0" applyFont="1" applyFill="1" applyBorder="1"/>
    <xf numFmtId="17" fontId="11" fillId="7" borderId="8" xfId="0" applyNumberFormat="1" applyFont="1" applyFill="1" applyBorder="1"/>
    <xf numFmtId="0" fontId="11" fillId="7" borderId="46" xfId="0" applyFont="1" applyFill="1" applyBorder="1"/>
    <xf numFmtId="0" fontId="11" fillId="7" borderId="44" xfId="0" applyFont="1" applyFill="1" applyBorder="1"/>
    <xf numFmtId="0" fontId="11" fillId="7" borderId="111" xfId="0" applyFont="1" applyFill="1" applyBorder="1"/>
    <xf numFmtId="0" fontId="0" fillId="0" borderId="112" xfId="0" applyBorder="1" applyAlignment="1">
      <alignment horizontal="right" indent="1"/>
    </xf>
    <xf numFmtId="0" fontId="0" fillId="0" borderId="113" xfId="0" applyBorder="1" applyAlignment="1">
      <alignment horizontal="right" indent="1"/>
    </xf>
    <xf numFmtId="1" fontId="0" fillId="0" borderId="0" xfId="0" applyNumberFormat="1" applyBorder="1" applyAlignment="1">
      <alignment horizontal="right" indent="1"/>
    </xf>
    <xf numFmtId="1" fontId="0" fillId="8" borderId="0" xfId="0" applyNumberFormat="1" applyFill="1" applyBorder="1" applyAlignment="1">
      <alignment horizontal="right" indent="1"/>
    </xf>
    <xf numFmtId="1" fontId="0" fillId="0" borderId="113" xfId="0" applyNumberFormat="1" applyBorder="1" applyAlignment="1">
      <alignment horizontal="right" indent="1"/>
    </xf>
    <xf numFmtId="3" fontId="0" fillId="8" borderId="0" xfId="0" applyNumberFormat="1" applyFill="1" applyBorder="1"/>
    <xf numFmtId="0" fontId="22" fillId="14" borderId="112" xfId="0" applyFont="1" applyFill="1" applyBorder="1" applyAlignment="1">
      <alignment vertical="center"/>
    </xf>
    <xf numFmtId="3" fontId="19" fillId="0" borderId="113" xfId="0" applyNumberFormat="1" applyFont="1" applyFill="1" applyBorder="1" applyProtection="1"/>
    <xf numFmtId="0" fontId="22" fillId="14" borderId="44" xfId="0" applyFont="1" applyFill="1" applyBorder="1" applyAlignment="1">
      <alignment horizontal="left" vertical="center"/>
    </xf>
    <xf numFmtId="0" fontId="22" fillId="14" borderId="111" xfId="0" applyFont="1" applyFill="1" applyBorder="1" applyAlignment="1">
      <alignment horizontal="left" vertical="center"/>
    </xf>
    <xf numFmtId="169" fontId="19" fillId="0" borderId="0" xfId="0" applyNumberFormat="1" applyFont="1" applyFill="1" applyBorder="1" applyAlignment="1">
      <alignment horizontal="right"/>
    </xf>
    <xf numFmtId="169" fontId="19" fillId="0" borderId="0" xfId="0" applyNumberFormat="1" applyFont="1" applyFill="1" applyBorder="1"/>
    <xf numFmtId="169" fontId="19" fillId="0" borderId="0" xfId="157" applyNumberFormat="1" applyFont="1" applyFill="1" applyBorder="1"/>
    <xf numFmtId="3" fontId="19" fillId="0" borderId="84" xfId="0" applyNumberFormat="1" applyFont="1" applyFill="1" applyBorder="1" applyProtection="1"/>
    <xf numFmtId="3" fontId="19" fillId="0" borderId="84" xfId="0" applyNumberFormat="1" applyFont="1" applyFill="1" applyBorder="1" applyAlignment="1" applyProtection="1">
      <alignment horizontal="right"/>
    </xf>
    <xf numFmtId="169" fontId="16" fillId="8" borderId="0" xfId="0" applyNumberFormat="1" applyFont="1" applyFill="1" applyBorder="1" applyAlignment="1">
      <alignment horizontal="right"/>
    </xf>
    <xf numFmtId="169" fontId="16" fillId="0" borderId="84" xfId="0" applyNumberFormat="1" applyFont="1" applyFill="1" applyBorder="1" applyProtection="1"/>
    <xf numFmtId="3" fontId="19" fillId="0" borderId="84" xfId="0" applyNumberFormat="1" applyFont="1" applyFill="1" applyBorder="1" applyAlignment="1" applyProtection="1"/>
    <xf numFmtId="3" fontId="19" fillId="0" borderId="12" xfId="0" applyNumberFormat="1" applyFont="1" applyFill="1" applyBorder="1" applyProtection="1"/>
    <xf numFmtId="3" fontId="19" fillId="0" borderId="12" xfId="0" applyNumberFormat="1" applyFont="1" applyFill="1" applyBorder="1" applyAlignment="1" applyProtection="1"/>
    <xf numFmtId="0" fontId="11" fillId="0" borderId="0" xfId="0" applyFont="1" applyFill="1" applyBorder="1" applyAlignment="1">
      <alignment vertical="top" wrapText="1"/>
    </xf>
    <xf numFmtId="0" fontId="110" fillId="0" borderId="0" xfId="0" applyFont="1" applyFill="1"/>
    <xf numFmtId="0" fontId="0" fillId="3" borderId="31" xfId="0" applyNumberFormat="1" applyFont="1" applyFill="1" applyBorder="1" applyAlignment="1">
      <alignment horizontal="right"/>
    </xf>
    <xf numFmtId="9" fontId="16" fillId="2" borderId="85" xfId="131" applyNumberFormat="1" applyFont="1" applyFill="1" applyBorder="1" applyAlignment="1">
      <alignment horizontal="center"/>
    </xf>
    <xf numFmtId="1" fontId="16" fillId="2" borderId="84" xfId="0" applyNumberFormat="1" applyFont="1" applyFill="1" applyBorder="1" applyAlignment="1">
      <alignment horizontal="center"/>
    </xf>
    <xf numFmtId="0" fontId="16" fillId="2" borderId="90" xfId="0" applyNumberFormat="1" applyFont="1" applyFill="1" applyBorder="1" applyAlignment="1">
      <alignment horizontal="right"/>
    </xf>
    <xf numFmtId="1" fontId="16" fillId="2" borderId="92" xfId="0" applyNumberFormat="1" applyFont="1" applyFill="1" applyBorder="1" applyAlignment="1">
      <alignment horizontal="center"/>
    </xf>
    <xf numFmtId="9" fontId="0" fillId="2" borderId="92" xfId="131" applyNumberFormat="1" applyFont="1" applyFill="1" applyBorder="1" applyAlignment="1">
      <alignment horizontal="center" vertical="center"/>
    </xf>
    <xf numFmtId="9" fontId="0" fillId="2" borderId="13" xfId="0" applyNumberFormat="1" applyFont="1" applyFill="1" applyBorder="1" applyAlignment="1">
      <alignment horizontal="center" vertical="center"/>
    </xf>
    <xf numFmtId="9" fontId="0" fillId="2" borderId="91" xfId="0" applyNumberFormat="1" applyFont="1" applyFill="1" applyBorder="1" applyAlignment="1">
      <alignment horizontal="center" vertical="center"/>
    </xf>
    <xf numFmtId="0" fontId="0" fillId="0" borderId="31" xfId="0" applyNumberFormat="1" applyFont="1" applyFill="1" applyBorder="1" applyAlignment="1">
      <alignment horizontal="right"/>
    </xf>
    <xf numFmtId="0" fontId="0" fillId="3" borderId="32" xfId="0" applyNumberFormat="1" applyFont="1" applyFill="1" applyBorder="1" applyAlignment="1">
      <alignment horizontal="right"/>
    </xf>
    <xf numFmtId="175" fontId="11" fillId="0" borderId="0" xfId="0" applyNumberFormat="1" applyFont="1" applyFill="1" applyBorder="1" applyAlignment="1">
      <alignment horizontal="center"/>
    </xf>
    <xf numFmtId="0" fontId="17" fillId="0" borderId="0" xfId="0" applyFont="1" applyFill="1" applyAlignment="1">
      <alignment horizontal="left"/>
    </xf>
    <xf numFmtId="9" fontId="0" fillId="3" borderId="7" xfId="131" applyNumberFormat="1" applyFont="1" applyFill="1" applyBorder="1" applyAlignment="1">
      <alignment horizontal="center" vertical="center"/>
    </xf>
    <xf numFmtId="3" fontId="16" fillId="12" borderId="81" xfId="0" applyNumberFormat="1" applyFont="1" applyFill="1" applyBorder="1" applyAlignment="1" applyProtection="1">
      <alignment horizontal="center"/>
    </xf>
    <xf numFmtId="3" fontId="16" fillId="12" borderId="10" xfId="0" applyNumberFormat="1" applyFont="1" applyFill="1" applyBorder="1" applyAlignment="1">
      <alignment horizontal="center"/>
    </xf>
    <xf numFmtId="9" fontId="16" fillId="12" borderId="66" xfId="131" applyNumberFormat="1" applyFont="1" applyFill="1" applyBorder="1" applyAlignment="1">
      <alignment horizontal="center"/>
    </xf>
    <xf numFmtId="3" fontId="16" fillId="6" borderId="28" xfId="0" applyNumberFormat="1" applyFont="1" applyFill="1" applyBorder="1" applyAlignment="1" applyProtection="1">
      <alignment horizontal="center"/>
    </xf>
    <xf numFmtId="3" fontId="16" fillId="6" borderId="10" xfId="0" applyNumberFormat="1" applyFont="1" applyFill="1" applyBorder="1" applyAlignment="1">
      <alignment horizontal="center"/>
    </xf>
    <xf numFmtId="9" fontId="16" fillId="6" borderId="17" xfId="131" applyNumberFormat="1" applyFont="1" applyFill="1" applyBorder="1" applyAlignment="1">
      <alignment horizontal="center"/>
    </xf>
    <xf numFmtId="3" fontId="16" fillId="12" borderId="28" xfId="0" applyNumberFormat="1" applyFont="1" applyFill="1" applyBorder="1" applyAlignment="1" applyProtection="1">
      <alignment horizontal="center"/>
    </xf>
    <xf numFmtId="9" fontId="16" fillId="12" borderId="17" xfId="131" applyNumberFormat="1" applyFont="1" applyFill="1" applyBorder="1" applyAlignment="1">
      <alignment horizontal="center"/>
    </xf>
    <xf numFmtId="3" fontId="19" fillId="13" borderId="28" xfId="0" applyNumberFormat="1" applyFont="1" applyFill="1" applyBorder="1" applyAlignment="1" applyProtection="1">
      <alignment horizontal="center"/>
    </xf>
    <xf numFmtId="3" fontId="19" fillId="13" borderId="10" xfId="0" applyNumberFormat="1" applyFont="1" applyFill="1" applyBorder="1" applyAlignment="1">
      <alignment horizontal="center"/>
    </xf>
    <xf numFmtId="9" fontId="19" fillId="13" borderId="17" xfId="131" applyNumberFormat="1" applyFont="1" applyFill="1" applyBorder="1" applyAlignment="1">
      <alignment horizontal="center"/>
    </xf>
    <xf numFmtId="3" fontId="16" fillId="13" borderId="97" xfId="0" applyNumberFormat="1" applyFont="1" applyFill="1" applyBorder="1" applyAlignment="1" applyProtection="1">
      <alignment horizontal="center"/>
    </xf>
    <xf numFmtId="3" fontId="16" fillId="13" borderId="34" xfId="0" applyNumberFormat="1" applyFont="1" applyFill="1" applyBorder="1" applyAlignment="1">
      <alignment horizontal="center"/>
    </xf>
    <xf numFmtId="9" fontId="16" fillId="13" borderId="67" xfId="131" applyNumberFormat="1" applyFont="1" applyFill="1" applyBorder="1" applyAlignment="1">
      <alignment horizontal="center"/>
    </xf>
    <xf numFmtId="3" fontId="19" fillId="9" borderId="92" xfId="0" applyNumberFormat="1" applyFont="1" applyFill="1" applyBorder="1" applyAlignment="1" applyProtection="1">
      <alignment horizontal="center"/>
    </xf>
    <xf numFmtId="3" fontId="19" fillId="9" borderId="15" xfId="0" applyNumberFormat="1" applyFont="1" applyFill="1" applyBorder="1" applyAlignment="1">
      <alignment horizontal="center"/>
    </xf>
    <xf numFmtId="9" fontId="19" fillId="9" borderId="18" xfId="131" applyNumberFormat="1" applyFont="1" applyFill="1" applyBorder="1" applyAlignment="1">
      <alignment horizontal="center"/>
    </xf>
    <xf numFmtId="175" fontId="11" fillId="10" borderId="10" xfId="0" applyNumberFormat="1" applyFont="1" applyFill="1" applyBorder="1" applyAlignment="1">
      <alignment horizontal="center"/>
    </xf>
    <xf numFmtId="4" fontId="16" fillId="0" borderId="0" xfId="0" applyNumberFormat="1" applyFont="1" applyBorder="1" applyAlignment="1">
      <alignment horizontal="center"/>
    </xf>
    <xf numFmtId="4" fontId="16" fillId="12" borderId="0" xfId="0" applyNumberFormat="1" applyFont="1" applyFill="1" applyBorder="1" applyAlignment="1">
      <alignment horizontal="center"/>
    </xf>
    <xf numFmtId="4" fontId="16" fillId="0" borderId="0" xfId="0" applyNumberFormat="1" applyFont="1" applyFill="1" applyBorder="1" applyAlignment="1">
      <alignment horizontal="center"/>
    </xf>
    <xf numFmtId="4" fontId="16" fillId="12" borderId="35" xfId="0" applyNumberFormat="1" applyFont="1" applyFill="1" applyBorder="1" applyAlignment="1">
      <alignment horizontal="center"/>
    </xf>
    <xf numFmtId="4" fontId="16" fillId="12" borderId="115" xfId="0" applyNumberFormat="1" applyFont="1" applyFill="1" applyBorder="1" applyAlignment="1">
      <alignment horizontal="center"/>
    </xf>
    <xf numFmtId="4" fontId="16" fillId="12" borderId="116" xfId="0" applyNumberFormat="1" applyFont="1" applyFill="1" applyBorder="1" applyAlignment="1">
      <alignment horizontal="center"/>
    </xf>
    <xf numFmtId="4" fontId="19" fillId="13" borderId="35" xfId="0" applyNumberFormat="1" applyFont="1" applyFill="1" applyBorder="1" applyAlignment="1" applyProtection="1">
      <alignment horizontal="center"/>
    </xf>
    <xf numFmtId="4" fontId="19" fillId="13" borderId="115" xfId="0" applyNumberFormat="1" applyFont="1" applyFill="1" applyBorder="1" applyAlignment="1" applyProtection="1">
      <alignment horizontal="center"/>
    </xf>
    <xf numFmtId="4" fontId="19" fillId="9" borderId="13" xfId="0" applyNumberFormat="1" applyFont="1" applyFill="1" applyBorder="1" applyAlignment="1" applyProtection="1">
      <alignment horizontal="center"/>
    </xf>
    <xf numFmtId="4" fontId="19" fillId="9" borderId="84" xfId="0" applyNumberFormat="1" applyFont="1" applyFill="1" applyBorder="1" applyAlignment="1" applyProtection="1">
      <alignment horizontal="center"/>
    </xf>
    <xf numFmtId="4" fontId="19" fillId="9" borderId="113" xfId="0" applyNumberFormat="1" applyFont="1" applyFill="1" applyBorder="1" applyAlignment="1" applyProtection="1">
      <alignment horizontal="center"/>
    </xf>
    <xf numFmtId="3" fontId="16" fillId="2" borderId="0" xfId="0" applyNumberFormat="1" applyFont="1" applyFill="1" applyBorder="1" applyAlignment="1" applyProtection="1">
      <alignment horizontal="center" vertical="center"/>
    </xf>
    <xf numFmtId="3" fontId="16" fillId="2" borderId="28" xfId="0" applyNumberFormat="1" applyFont="1" applyFill="1" applyBorder="1" applyAlignment="1" applyProtection="1">
      <alignment horizontal="center" vertical="center"/>
    </xf>
    <xf numFmtId="3" fontId="16" fillId="0" borderId="0" xfId="0" applyNumberFormat="1" applyFont="1" applyBorder="1" applyAlignment="1" applyProtection="1">
      <alignment horizontal="center" vertical="center"/>
    </xf>
    <xf numFmtId="3" fontId="16" fillId="0" borderId="28" xfId="0" applyNumberFormat="1" applyFont="1" applyBorder="1" applyAlignment="1" applyProtection="1">
      <alignment horizontal="center" vertical="center"/>
    </xf>
    <xf numFmtId="3" fontId="16" fillId="0" borderId="0" xfId="0" applyNumberFormat="1" applyFont="1" applyFill="1" applyBorder="1" applyAlignment="1" applyProtection="1">
      <alignment horizontal="center" vertical="center"/>
    </xf>
    <xf numFmtId="3" fontId="16" fillId="0" borderId="28" xfId="0" applyNumberFormat="1" applyFont="1" applyFill="1" applyBorder="1" applyAlignment="1" applyProtection="1">
      <alignment horizontal="center" vertical="center"/>
    </xf>
    <xf numFmtId="3" fontId="0" fillId="0" borderId="0" xfId="0" applyNumberFormat="1" applyFont="1" applyFill="1" applyBorder="1" applyAlignment="1">
      <alignment horizontal="center" vertical="center"/>
    </xf>
    <xf numFmtId="3" fontId="0" fillId="0" borderId="28" xfId="0" applyNumberFormat="1" applyFont="1" applyFill="1" applyBorder="1" applyAlignment="1">
      <alignment horizontal="center" vertical="center"/>
    </xf>
    <xf numFmtId="3" fontId="0" fillId="3" borderId="0" xfId="0" applyNumberFormat="1" applyFont="1" applyFill="1" applyBorder="1" applyAlignment="1">
      <alignment horizontal="center" vertical="center"/>
    </xf>
    <xf numFmtId="3" fontId="0" fillId="3" borderId="28" xfId="0" applyNumberFormat="1" applyFont="1" applyFill="1" applyBorder="1" applyAlignment="1">
      <alignment horizontal="center" vertical="center"/>
    </xf>
    <xf numFmtId="3" fontId="0" fillId="2" borderId="0" xfId="0" applyNumberFormat="1" applyFont="1" applyFill="1" applyBorder="1" applyAlignment="1">
      <alignment horizontal="center" vertical="center"/>
    </xf>
    <xf numFmtId="3" fontId="0" fillId="2" borderId="28" xfId="0" applyNumberFormat="1" applyFont="1" applyFill="1" applyBorder="1" applyAlignment="1">
      <alignment horizontal="center" vertical="center"/>
    </xf>
    <xf numFmtId="3" fontId="0" fillId="2" borderId="92" xfId="0" applyNumberFormat="1" applyFont="1" applyFill="1" applyBorder="1" applyAlignment="1">
      <alignment horizontal="center" vertical="center"/>
    </xf>
    <xf numFmtId="3" fontId="0" fillId="3" borderId="13" xfId="0" applyNumberFormat="1" applyFont="1" applyFill="1" applyBorder="1" applyAlignment="1">
      <alignment horizontal="center" vertical="center"/>
    </xf>
    <xf numFmtId="3" fontId="0" fillId="3" borderId="92" xfId="0" applyNumberFormat="1" applyFont="1" applyFill="1" applyBorder="1" applyAlignment="1">
      <alignment horizontal="center" vertical="center"/>
    </xf>
    <xf numFmtId="0" fontId="16" fillId="0" borderId="0" xfId="0" applyFont="1" applyBorder="1" applyAlignment="1"/>
    <xf numFmtId="0" fontId="16" fillId="0" borderId="0" xfId="0" applyFont="1" applyFill="1" applyBorder="1" applyAlignment="1"/>
    <xf numFmtId="0" fontId="111" fillId="0" borderId="0" xfId="0" applyFont="1"/>
    <xf numFmtId="186" fontId="0" fillId="0" borderId="0" xfId="0" applyNumberFormat="1"/>
    <xf numFmtId="3" fontId="16" fillId="8" borderId="0" xfId="0" applyNumberFormat="1" applyFont="1" applyFill="1"/>
    <xf numFmtId="0" fontId="16" fillId="0" borderId="78" xfId="0" applyFont="1" applyBorder="1" applyAlignment="1"/>
    <xf numFmtId="0" fontId="16" fillId="0" borderId="5" xfId="0" applyFont="1" applyBorder="1" applyAlignment="1"/>
    <xf numFmtId="0" fontId="16" fillId="0" borderId="43" xfId="0" applyFont="1" applyBorder="1" applyAlignment="1"/>
    <xf numFmtId="0" fontId="16" fillId="0" borderId="39" xfId="0" applyFont="1" applyBorder="1" applyAlignment="1"/>
    <xf numFmtId="0" fontId="0" fillId="0" borderId="4" xfId="0" applyFill="1" applyBorder="1"/>
    <xf numFmtId="0" fontId="16" fillId="0" borderId="78" xfId="0" applyFont="1" applyBorder="1" applyAlignment="1">
      <alignment vertical="center"/>
    </xf>
    <xf numFmtId="0" fontId="16" fillId="0" borderId="0" xfId="0" applyFont="1" applyBorder="1" applyAlignment="1">
      <alignment vertical="center"/>
    </xf>
    <xf numFmtId="0" fontId="16" fillId="0" borderId="5" xfId="0" applyFont="1" applyBorder="1" applyAlignment="1">
      <alignment vertical="center"/>
    </xf>
    <xf numFmtId="0" fontId="16" fillId="0" borderId="0" xfId="0" applyFont="1" applyFill="1" applyBorder="1" applyAlignment="1">
      <alignment vertical="center"/>
    </xf>
    <xf numFmtId="0" fontId="16" fillId="0" borderId="68" xfId="0" applyFont="1" applyBorder="1" applyAlignment="1"/>
    <xf numFmtId="0" fontId="114" fillId="0" borderId="0" xfId="0" applyFont="1"/>
    <xf numFmtId="4" fontId="3" fillId="2" borderId="0" xfId="20318" applyNumberFormat="1" applyFont="1" applyFill="1" applyBorder="1" applyAlignment="1">
      <alignment horizontal="center"/>
    </xf>
    <xf numFmtId="4" fontId="3" fillId="2" borderId="11" xfId="20318" applyNumberFormat="1" applyFont="1" applyFill="1" applyBorder="1" applyAlignment="1">
      <alignment horizontal="center"/>
    </xf>
    <xf numFmtId="4" fontId="3" fillId="2" borderId="10" xfId="20318" applyNumberFormat="1" applyFont="1" applyFill="1" applyBorder="1" applyAlignment="1">
      <alignment horizontal="center"/>
    </xf>
    <xf numFmtId="168" fontId="3" fillId="2" borderId="0" xfId="6570" applyNumberFormat="1" applyFont="1" applyFill="1" applyBorder="1" applyAlignment="1">
      <alignment horizontal="center"/>
    </xf>
    <xf numFmtId="168" fontId="3" fillId="2" borderId="5" xfId="6570" applyNumberFormat="1" applyFont="1" applyFill="1" applyBorder="1" applyAlignment="1">
      <alignment horizontal="center"/>
    </xf>
    <xf numFmtId="4" fontId="3" fillId="6" borderId="0" xfId="20318" applyNumberFormat="1" applyFont="1" applyFill="1" applyBorder="1" applyAlignment="1">
      <alignment horizontal="center"/>
    </xf>
    <xf numFmtId="4" fontId="3" fillId="6" borderId="11" xfId="20318" applyNumberFormat="1" applyFont="1" applyFill="1" applyBorder="1" applyAlignment="1">
      <alignment horizontal="center"/>
    </xf>
    <xf numFmtId="4" fontId="3" fillId="6" borderId="10" xfId="20318" applyNumberFormat="1" applyFont="1" applyFill="1" applyBorder="1" applyAlignment="1">
      <alignment horizontal="center"/>
    </xf>
    <xf numFmtId="168" fontId="3" fillId="6" borderId="0" xfId="6570" applyNumberFormat="1" applyFont="1" applyFill="1" applyBorder="1" applyAlignment="1">
      <alignment horizontal="center"/>
    </xf>
    <xf numFmtId="168" fontId="3" fillId="6" borderId="5" xfId="6570" applyNumberFormat="1" applyFont="1" applyFill="1" applyBorder="1" applyAlignment="1">
      <alignment horizontal="center"/>
    </xf>
    <xf numFmtId="4" fontId="3" fillId="2" borderId="84" xfId="20318" applyNumberFormat="1" applyFont="1" applyFill="1" applyBorder="1" applyAlignment="1">
      <alignment horizontal="center"/>
    </xf>
    <xf numFmtId="4" fontId="3" fillId="2" borderId="117" xfId="20318" applyNumberFormat="1" applyFont="1" applyFill="1" applyBorder="1" applyAlignment="1">
      <alignment horizontal="center"/>
    </xf>
    <xf numFmtId="4" fontId="3" fillId="2" borderId="15" xfId="20318" applyNumberFormat="1" applyFont="1" applyFill="1" applyBorder="1" applyAlignment="1">
      <alignment horizontal="center"/>
    </xf>
    <xf numFmtId="168" fontId="3" fillId="2" borderId="84" xfId="6570" applyNumberFormat="1" applyFont="1" applyFill="1" applyBorder="1" applyAlignment="1">
      <alignment horizontal="center"/>
    </xf>
    <xf numFmtId="168" fontId="3" fillId="2" borderId="7" xfId="6570" applyNumberFormat="1" applyFont="1" applyFill="1" applyBorder="1" applyAlignment="1">
      <alignment horizontal="center"/>
    </xf>
    <xf numFmtId="0" fontId="95" fillId="0" borderId="0" xfId="28505" applyFont="1" applyBorder="1"/>
    <xf numFmtId="4" fontId="16" fillId="0" borderId="10" xfId="0" applyNumberFormat="1" applyFont="1" applyBorder="1" applyAlignment="1" applyProtection="1">
      <alignment horizontal="center" vertical="center"/>
    </xf>
    <xf numFmtId="4" fontId="16" fillId="0" borderId="28" xfId="0" applyNumberFormat="1" applyFont="1" applyBorder="1" applyAlignment="1" applyProtection="1">
      <alignment horizontal="center" vertical="center"/>
    </xf>
    <xf numFmtId="4" fontId="16" fillId="0" borderId="11" xfId="0" applyNumberFormat="1" applyFont="1" applyBorder="1" applyAlignment="1" applyProtection="1">
      <alignment horizontal="center" vertical="center"/>
    </xf>
    <xf numFmtId="4" fontId="16" fillId="0" borderId="0" xfId="0" applyNumberFormat="1" applyFont="1" applyBorder="1" applyAlignment="1" applyProtection="1">
      <alignment horizontal="center" vertical="center"/>
    </xf>
    <xf numFmtId="4" fontId="16" fillId="0" borderId="0" xfId="0" applyNumberFormat="1" applyFont="1" applyBorder="1" applyAlignment="1">
      <alignment horizontal="center" vertical="center"/>
    </xf>
    <xf numFmtId="4" fontId="16" fillId="0" borderId="28" xfId="0" applyNumberFormat="1" applyFont="1" applyBorder="1" applyAlignment="1">
      <alignment horizontal="center" vertical="center"/>
    </xf>
    <xf numFmtId="4" fontId="16" fillId="2" borderId="10" xfId="0" applyNumberFormat="1" applyFont="1" applyFill="1" applyBorder="1" applyAlignment="1" applyProtection="1">
      <alignment horizontal="center" vertical="center"/>
    </xf>
    <xf numFmtId="4" fontId="16" fillId="2" borderId="28" xfId="0" applyNumberFormat="1" applyFont="1" applyFill="1" applyBorder="1" applyAlignment="1" applyProtection="1">
      <alignment horizontal="center" vertical="center"/>
    </xf>
    <xf numFmtId="4" fontId="16" fillId="2" borderId="11" xfId="0" applyNumberFormat="1" applyFont="1" applyFill="1" applyBorder="1" applyAlignment="1" applyProtection="1">
      <alignment horizontal="center" vertical="center"/>
    </xf>
    <xf numFmtId="4" fontId="16" fillId="2" borderId="0" xfId="0" applyNumberFormat="1" applyFont="1" applyFill="1" applyBorder="1" applyAlignment="1" applyProtection="1">
      <alignment horizontal="center" vertical="center"/>
    </xf>
    <xf numFmtId="4" fontId="16" fillId="2" borderId="0" xfId="0" applyNumberFormat="1" applyFont="1" applyFill="1" applyBorder="1" applyAlignment="1">
      <alignment horizontal="center" vertical="center"/>
    </xf>
    <xf numFmtId="4" fontId="16" fillId="2" borderId="28" xfId="0" applyNumberFormat="1" applyFont="1" applyFill="1" applyBorder="1" applyAlignment="1">
      <alignment horizontal="center" vertical="center"/>
    </xf>
    <xf numFmtId="4" fontId="16" fillId="0" borderId="10" xfId="0" applyNumberFormat="1" applyFont="1" applyBorder="1" applyAlignment="1">
      <alignment horizontal="center" vertical="center"/>
    </xf>
    <xf numFmtId="4" fontId="16" fillId="2" borderId="10" xfId="0" applyNumberFormat="1" applyFont="1" applyFill="1" applyBorder="1" applyAlignment="1">
      <alignment horizontal="center" vertical="center"/>
    </xf>
    <xf numFmtId="0" fontId="11" fillId="4" borderId="101" xfId="0" applyFont="1" applyFill="1" applyBorder="1" applyAlignment="1">
      <alignment horizontal="right"/>
    </xf>
    <xf numFmtId="4" fontId="0" fillId="0" borderId="10" xfId="0" applyNumberFormat="1" applyFont="1" applyFill="1" applyBorder="1" applyAlignment="1">
      <alignment horizontal="center"/>
    </xf>
    <xf numFmtId="4" fontId="0" fillId="0" borderId="17" xfId="0" applyNumberFormat="1" applyFont="1" applyFill="1" applyBorder="1" applyAlignment="1">
      <alignment horizontal="center"/>
    </xf>
    <xf numFmtId="4" fontId="0" fillId="3" borderId="10" xfId="0" applyNumberFormat="1" applyFont="1" applyFill="1" applyBorder="1" applyAlignment="1">
      <alignment horizontal="center"/>
    </xf>
    <xf numFmtId="4" fontId="0" fillId="3" borderId="17" xfId="0" applyNumberFormat="1" applyFont="1" applyFill="1" applyBorder="1" applyAlignment="1">
      <alignment horizontal="center"/>
    </xf>
    <xf numFmtId="4" fontId="0" fillId="2" borderId="15" xfId="0" applyNumberFormat="1" applyFont="1" applyFill="1" applyBorder="1" applyAlignment="1">
      <alignment horizontal="center"/>
    </xf>
    <xf numFmtId="4" fontId="0" fillId="2" borderId="18" xfId="0" applyNumberFormat="1" applyFont="1" applyFill="1" applyBorder="1" applyAlignment="1">
      <alignment horizontal="center"/>
    </xf>
    <xf numFmtId="3" fontId="16" fillId="6" borderId="28" xfId="0" applyNumberFormat="1" applyFont="1" applyFill="1" applyBorder="1" applyAlignment="1" applyProtection="1">
      <alignment horizontal="center" vertical="center"/>
    </xf>
    <xf numFmtId="3" fontId="16" fillId="6" borderId="0" xfId="0" applyNumberFormat="1" applyFont="1" applyFill="1" applyBorder="1" applyAlignment="1" applyProtection="1">
      <alignment horizontal="center" vertical="center"/>
    </xf>
    <xf numFmtId="9" fontId="16" fillId="0" borderId="28" xfId="131" applyNumberFormat="1" applyFont="1" applyBorder="1" applyAlignment="1" applyProtection="1">
      <alignment horizontal="center" vertical="center"/>
    </xf>
    <xf numFmtId="9" fontId="16" fillId="2" borderId="28" xfId="131" applyNumberFormat="1" applyFont="1" applyFill="1" applyBorder="1" applyAlignment="1" applyProtection="1">
      <alignment horizontal="center" vertical="center"/>
    </xf>
    <xf numFmtId="9" fontId="16" fillId="6" borderId="28" xfId="131" applyNumberFormat="1" applyFont="1" applyFill="1" applyBorder="1" applyAlignment="1" applyProtection="1">
      <alignment horizontal="center" vertical="center"/>
    </xf>
    <xf numFmtId="9" fontId="16" fillId="0" borderId="28" xfId="131" applyNumberFormat="1" applyFont="1" applyFill="1" applyBorder="1" applyAlignment="1" applyProtection="1">
      <alignment horizontal="center" vertical="center"/>
    </xf>
    <xf numFmtId="3" fontId="0" fillId="3" borderId="84" xfId="0" applyNumberFormat="1" applyFont="1" applyFill="1" applyBorder="1" applyAlignment="1">
      <alignment horizontal="center" vertical="center"/>
    </xf>
    <xf numFmtId="9" fontId="16" fillId="6" borderId="91" xfId="131" applyFont="1" applyFill="1" applyBorder="1" applyAlignment="1" applyProtection="1">
      <alignment horizontal="center" vertical="center"/>
    </xf>
    <xf numFmtId="0" fontId="11" fillId="81" borderId="20" xfId="0" applyFont="1" applyFill="1" applyBorder="1" applyAlignment="1">
      <alignment horizontal="right"/>
    </xf>
    <xf numFmtId="0" fontId="0" fillId="6" borderId="4" xfId="0" applyNumberFormat="1" applyFont="1" applyFill="1" applyBorder="1" applyAlignment="1">
      <alignment horizontal="right"/>
    </xf>
    <xf numFmtId="185" fontId="0" fillId="6" borderId="10" xfId="157" applyNumberFormat="1" applyFont="1" applyFill="1" applyBorder="1" applyAlignment="1">
      <alignment horizontal="center" vertical="center"/>
    </xf>
    <xf numFmtId="9" fontId="0" fillId="6" borderId="17" xfId="131" applyFont="1" applyFill="1" applyBorder="1" applyAlignment="1">
      <alignment horizontal="center" vertical="center"/>
    </xf>
    <xf numFmtId="9" fontId="0" fillId="3" borderId="17" xfId="131" applyFont="1" applyFill="1" applyBorder="1" applyAlignment="1">
      <alignment horizontal="center" vertical="center"/>
    </xf>
    <xf numFmtId="0" fontId="16" fillId="2" borderId="6" xfId="0" applyNumberFormat="1" applyFont="1" applyFill="1" applyBorder="1" applyAlignment="1">
      <alignment horizontal="right"/>
    </xf>
    <xf numFmtId="185" fontId="16" fillId="2" borderId="15" xfId="157" applyNumberFormat="1" applyFont="1" applyFill="1" applyBorder="1" applyAlignment="1">
      <alignment horizontal="center" vertical="center"/>
    </xf>
    <xf numFmtId="185" fontId="16" fillId="2" borderId="92" xfId="157" applyNumberFormat="1" applyFont="1" applyFill="1" applyBorder="1" applyAlignment="1">
      <alignment horizontal="center" vertical="center"/>
    </xf>
    <xf numFmtId="9" fontId="2" fillId="2" borderId="91" xfId="131" applyFont="1" applyFill="1" applyBorder="1" applyAlignment="1">
      <alignment horizontal="center" vertical="center"/>
    </xf>
    <xf numFmtId="0" fontId="11" fillId="4" borderId="90" xfId="0" applyFont="1" applyFill="1" applyBorder="1"/>
    <xf numFmtId="0" fontId="11" fillId="5" borderId="42" xfId="0" applyNumberFormat="1" applyFont="1" applyFill="1" applyBorder="1" applyAlignment="1" applyProtection="1">
      <alignment horizontal="center" vertical="center" wrapText="1"/>
    </xf>
    <xf numFmtId="0" fontId="11" fillId="5" borderId="123" xfId="0" applyNumberFormat="1" applyFont="1" applyFill="1" applyBorder="1" applyAlignment="1" applyProtection="1">
      <alignment horizontal="center" vertical="center" wrapText="1"/>
    </xf>
    <xf numFmtId="0" fontId="111" fillId="0" borderId="0" xfId="0" applyFont="1" applyFill="1"/>
    <xf numFmtId="0" fontId="36" fillId="14" borderId="46" xfId="0" applyFont="1" applyFill="1" applyBorder="1" applyAlignment="1">
      <alignment vertical="center"/>
    </xf>
    <xf numFmtId="0" fontId="36" fillId="14" borderId="2" xfId="0" applyNumberFormat="1" applyFont="1" applyFill="1" applyBorder="1" applyAlignment="1">
      <alignment vertical="center"/>
    </xf>
    <xf numFmtId="0" fontId="36" fillId="14" borderId="3" xfId="0" applyFont="1" applyFill="1" applyBorder="1" applyAlignment="1">
      <alignment horizontal="left" vertical="center"/>
    </xf>
    <xf numFmtId="0" fontId="15" fillId="0" borderId="0" xfId="28" applyFont="1" applyFill="1"/>
    <xf numFmtId="0" fontId="0" fillId="0" borderId="0" xfId="0" applyFont="1" applyFill="1" applyAlignment="1">
      <alignment wrapText="1"/>
    </xf>
    <xf numFmtId="0" fontId="8" fillId="0" borderId="0" xfId="28" applyFill="1"/>
    <xf numFmtId="49" fontId="18" fillId="0" borderId="0" xfId="0" applyNumberFormat="1" applyFont="1" applyFill="1" applyAlignment="1">
      <alignment horizontal="left"/>
    </xf>
    <xf numFmtId="0" fontId="18" fillId="0" borderId="0" xfId="0" applyFont="1" applyFill="1" applyAlignment="1">
      <alignment horizontal="left"/>
    </xf>
    <xf numFmtId="3" fontId="19" fillId="0" borderId="113" xfId="0" applyNumberFormat="1" applyFont="1" applyFill="1" applyBorder="1"/>
    <xf numFmtId="10" fontId="13" fillId="0" borderId="33" xfId="131" applyNumberFormat="1" applyFont="1" applyBorder="1"/>
    <xf numFmtId="10" fontId="19" fillId="0" borderId="33" xfId="131" applyNumberFormat="1" applyFont="1" applyBorder="1"/>
    <xf numFmtId="187" fontId="61" fillId="0" borderId="0" xfId="0" applyNumberFormat="1" applyFont="1" applyFill="1" applyAlignment="1">
      <alignment horizontal="right"/>
    </xf>
    <xf numFmtId="0" fontId="61" fillId="0" borderId="0" xfId="0" applyFont="1" applyFill="1" applyAlignment="1">
      <alignment horizontal="right"/>
    </xf>
    <xf numFmtId="0" fontId="61" fillId="0" borderId="0" xfId="0" applyFont="1" applyFill="1"/>
    <xf numFmtId="0" fontId="61" fillId="0" borderId="0" xfId="0" applyNumberFormat="1" applyFont="1" applyFill="1" applyAlignment="1"/>
    <xf numFmtId="170" fontId="11" fillId="5" borderId="90" xfId="15994" applyNumberFormat="1" applyFont="1" applyFill="1" applyBorder="1" applyAlignment="1">
      <alignment horizontal="right"/>
    </xf>
    <xf numFmtId="9" fontId="16" fillId="74" borderId="125" xfId="131" applyFont="1" applyFill="1" applyBorder="1" applyAlignment="1" applyProtection="1">
      <alignment horizontal="center"/>
    </xf>
    <xf numFmtId="9" fontId="16" fillId="74" borderId="113" xfId="131" applyFont="1" applyFill="1" applyBorder="1" applyAlignment="1" applyProtection="1">
      <alignment horizontal="center"/>
    </xf>
    <xf numFmtId="9" fontId="16" fillId="74" borderId="114" xfId="131" applyFont="1" applyFill="1" applyBorder="1" applyAlignment="1" applyProtection="1">
      <alignment horizontal="center"/>
    </xf>
    <xf numFmtId="0" fontId="16" fillId="74" borderId="89" xfId="15994" applyNumberFormat="1" applyFont="1" applyFill="1" applyBorder="1" applyAlignment="1" applyProtection="1">
      <alignment horizontal="center" vertical="center"/>
    </xf>
    <xf numFmtId="9" fontId="16" fillId="74" borderId="96" xfId="131" applyFont="1" applyFill="1" applyBorder="1" applyAlignment="1" applyProtection="1">
      <alignment horizontal="center" vertical="center"/>
    </xf>
    <xf numFmtId="9" fontId="16" fillId="74" borderId="114" xfId="131" applyFont="1" applyFill="1" applyBorder="1" applyAlignment="1" applyProtection="1">
      <alignment horizontal="center" vertical="center"/>
    </xf>
    <xf numFmtId="6" fontId="0" fillId="0" borderId="0" xfId="0" applyNumberFormat="1" applyFill="1"/>
    <xf numFmtId="6" fontId="16" fillId="0" borderId="0" xfId="0" applyNumberFormat="1" applyFont="1" applyFill="1" applyBorder="1" applyAlignment="1">
      <alignment horizontal="right"/>
    </xf>
    <xf numFmtId="10" fontId="2" fillId="6" borderId="5" xfId="6307" applyNumberFormat="1" applyFont="1" applyFill="1" applyBorder="1" applyAlignment="1">
      <alignment horizontal="center"/>
    </xf>
    <xf numFmtId="10" fontId="2" fillId="8" borderId="5" xfId="6307" applyNumberFormat="1" applyFont="1" applyFill="1" applyBorder="1" applyAlignment="1">
      <alignment horizontal="center"/>
    </xf>
    <xf numFmtId="3" fontId="16" fillId="0" borderId="5" xfId="0" applyNumberFormat="1" applyFont="1" applyFill="1" applyBorder="1" applyAlignment="1">
      <alignment horizontal="center"/>
    </xf>
    <xf numFmtId="3" fontId="16" fillId="12" borderId="5" xfId="0" applyNumberFormat="1" applyFont="1" applyFill="1" applyBorder="1" applyAlignment="1">
      <alignment horizontal="center"/>
    </xf>
    <xf numFmtId="3" fontId="16" fillId="0" borderId="85" xfId="0" applyNumberFormat="1" applyFont="1" applyFill="1" applyBorder="1" applyAlignment="1">
      <alignment horizontal="center"/>
    </xf>
    <xf numFmtId="3" fontId="0" fillId="6" borderId="5" xfId="0" applyNumberFormat="1" applyFont="1" applyFill="1" applyBorder="1" applyAlignment="1">
      <alignment horizontal="right"/>
    </xf>
    <xf numFmtId="3" fontId="0" fillId="2" borderId="5" xfId="0" applyNumberFormat="1" applyFont="1" applyFill="1" applyBorder="1" applyAlignment="1">
      <alignment horizontal="right"/>
    </xf>
    <xf numFmtId="9" fontId="0" fillId="6" borderId="5" xfId="0" applyNumberFormat="1" applyFont="1" applyFill="1" applyBorder="1" applyAlignment="1">
      <alignment horizontal="right"/>
    </xf>
    <xf numFmtId="9" fontId="0" fillId="2" borderId="85" xfId="0" applyNumberFormat="1" applyFont="1" applyFill="1" applyBorder="1" applyAlignment="1">
      <alignment horizontal="right"/>
    </xf>
    <xf numFmtId="3" fontId="0" fillId="0" borderId="28" xfId="0" applyNumberFormat="1" applyBorder="1" applyAlignment="1">
      <alignment horizontal="center" vertical="center"/>
    </xf>
    <xf numFmtId="185" fontId="16" fillId="0" borderId="11" xfId="157" applyNumberFormat="1" applyFont="1" applyBorder="1" applyAlignment="1" applyProtection="1">
      <alignment horizontal="center" vertical="center"/>
    </xf>
    <xf numFmtId="185" fontId="16" fillId="0" borderId="28" xfId="157" applyNumberFormat="1" applyFont="1" applyBorder="1" applyAlignment="1" applyProtection="1">
      <alignment horizontal="center" vertical="center"/>
    </xf>
    <xf numFmtId="185" fontId="16" fillId="2" borderId="11" xfId="157" applyNumberFormat="1" applyFont="1" applyFill="1" applyBorder="1" applyAlignment="1" applyProtection="1">
      <alignment horizontal="center" vertical="center"/>
    </xf>
    <xf numFmtId="185" fontId="16" fillId="2" borderId="28" xfId="157" applyNumberFormat="1" applyFont="1" applyFill="1" applyBorder="1" applyAlignment="1" applyProtection="1">
      <alignment horizontal="center" vertical="center"/>
    </xf>
    <xf numFmtId="3" fontId="16" fillId="0" borderId="28" xfId="157" applyNumberFormat="1" applyFont="1" applyBorder="1" applyAlignment="1" applyProtection="1">
      <alignment horizontal="center" vertical="center"/>
    </xf>
    <xf numFmtId="3" fontId="16" fillId="0" borderId="0" xfId="157" applyNumberFormat="1" applyFont="1" applyBorder="1" applyAlignment="1" applyProtection="1">
      <alignment horizontal="center" vertical="center"/>
    </xf>
    <xf numFmtId="3" fontId="16" fillId="0" borderId="17" xfId="157" applyNumberFormat="1" applyFont="1" applyBorder="1" applyAlignment="1" applyProtection="1">
      <alignment horizontal="center" vertical="center"/>
    </xf>
    <xf numFmtId="3" fontId="16" fillId="2" borderId="28" xfId="157" applyNumberFormat="1" applyFont="1" applyFill="1" applyBorder="1" applyAlignment="1" applyProtection="1">
      <alignment horizontal="center" vertical="center"/>
    </xf>
    <xf numFmtId="3" fontId="16" fillId="2" borderId="0" xfId="157" applyNumberFormat="1" applyFont="1" applyFill="1" applyBorder="1" applyAlignment="1" applyProtection="1">
      <alignment horizontal="center" vertical="center"/>
    </xf>
    <xf numFmtId="3" fontId="16" fillId="2" borderId="17" xfId="157" applyNumberFormat="1" applyFont="1" applyFill="1" applyBorder="1" applyAlignment="1" applyProtection="1">
      <alignment horizontal="center" vertical="center"/>
    </xf>
    <xf numFmtId="3" fontId="0" fillId="0" borderId="28" xfId="131" applyNumberFormat="1" applyFont="1" applyFill="1" applyBorder="1" applyAlignment="1">
      <alignment horizontal="center" vertical="center"/>
    </xf>
    <xf numFmtId="3" fontId="0" fillId="2" borderId="28" xfId="131" applyNumberFormat="1" applyFont="1" applyFill="1" applyBorder="1" applyAlignment="1">
      <alignment horizontal="center" vertical="center"/>
    </xf>
    <xf numFmtId="3" fontId="0" fillId="2" borderId="13" xfId="0" applyNumberFormat="1" applyFont="1" applyFill="1" applyBorder="1" applyAlignment="1">
      <alignment horizontal="center" vertical="center"/>
    </xf>
    <xf numFmtId="3" fontId="0" fillId="2" borderId="92" xfId="131" applyNumberFormat="1" applyFont="1" applyFill="1" applyBorder="1" applyAlignment="1">
      <alignment horizontal="center" vertical="center"/>
    </xf>
    <xf numFmtId="3" fontId="16" fillId="0" borderId="28" xfId="15994" applyNumberFormat="1" applyFont="1" applyBorder="1" applyAlignment="1" applyProtection="1">
      <alignment horizontal="center"/>
    </xf>
    <xf numFmtId="3" fontId="16" fillId="0" borderId="10" xfId="15994" applyNumberFormat="1" applyFont="1" applyBorder="1" applyAlignment="1" applyProtection="1">
      <alignment horizontal="center"/>
    </xf>
    <xf numFmtId="3" fontId="16" fillId="0" borderId="44" xfId="15994" applyNumberFormat="1" applyFont="1" applyBorder="1" applyAlignment="1" applyProtection="1">
      <alignment horizontal="center"/>
    </xf>
    <xf numFmtId="3" fontId="16" fillId="2" borderId="28" xfId="15994" applyNumberFormat="1" applyFont="1" applyFill="1" applyBorder="1" applyAlignment="1" applyProtection="1">
      <alignment horizontal="center"/>
    </xf>
    <xf numFmtId="3" fontId="16" fillId="2" borderId="10" xfId="15994" applyNumberFormat="1" applyFont="1" applyFill="1" applyBorder="1" applyAlignment="1" applyProtection="1">
      <alignment horizontal="center"/>
    </xf>
    <xf numFmtId="3" fontId="16" fillId="2" borderId="44" xfId="15994" applyNumberFormat="1" applyFont="1" applyFill="1" applyBorder="1" applyAlignment="1" applyProtection="1">
      <alignment horizontal="center"/>
    </xf>
    <xf numFmtId="3" fontId="16" fillId="0" borderId="45" xfId="15994" applyNumberFormat="1" applyFont="1" applyBorder="1" applyAlignment="1" applyProtection="1">
      <alignment horizontal="center"/>
    </xf>
    <xf numFmtId="3" fontId="0" fillId="0" borderId="0" xfId="0" applyNumberFormat="1" applyBorder="1" applyAlignment="1">
      <alignment horizontal="center" vertical="center"/>
    </xf>
    <xf numFmtId="3" fontId="0" fillId="2" borderId="28" xfId="0" applyNumberFormat="1" applyFill="1" applyBorder="1" applyAlignment="1">
      <alignment horizontal="center" vertical="center"/>
    </xf>
    <xf numFmtId="3" fontId="0" fillId="2" borderId="0" xfId="0" applyNumberFormat="1" applyFill="1" applyBorder="1" applyAlignment="1">
      <alignment horizontal="center" vertical="center"/>
    </xf>
    <xf numFmtId="3" fontId="0" fillId="0" borderId="28" xfId="0" applyNumberFormat="1" applyFill="1" applyBorder="1" applyAlignment="1">
      <alignment horizontal="center" vertical="center"/>
    </xf>
    <xf numFmtId="3" fontId="0" fillId="0" borderId="0" xfId="0" applyNumberFormat="1" applyFill="1" applyBorder="1" applyAlignment="1">
      <alignment horizontal="center" vertical="center"/>
    </xf>
    <xf numFmtId="0" fontId="115" fillId="0" borderId="12" xfId="0" applyFont="1" applyFill="1" applyBorder="1"/>
    <xf numFmtId="4" fontId="16" fillId="0" borderId="74" xfId="0" applyNumberFormat="1" applyFont="1" applyBorder="1" applyAlignment="1" applyProtection="1">
      <alignment horizontal="center" vertical="center"/>
    </xf>
    <xf numFmtId="4" fontId="16" fillId="0" borderId="81" xfId="0" applyNumberFormat="1" applyFont="1" applyBorder="1" applyAlignment="1" applyProtection="1">
      <alignment horizontal="center" vertical="center"/>
    </xf>
    <xf numFmtId="4" fontId="16" fillId="0" borderId="94" xfId="0" applyNumberFormat="1" applyFont="1" applyBorder="1" applyAlignment="1" applyProtection="1">
      <alignment horizontal="center" vertical="center"/>
    </xf>
    <xf numFmtId="4" fontId="16" fillId="0" borderId="68" xfId="0" applyNumberFormat="1" applyFont="1" applyBorder="1" applyAlignment="1" applyProtection="1">
      <alignment horizontal="center" vertical="center"/>
    </xf>
    <xf numFmtId="4" fontId="16" fillId="0" borderId="68" xfId="0" applyNumberFormat="1" applyFont="1" applyBorder="1" applyAlignment="1">
      <alignment horizontal="center" vertical="center"/>
    </xf>
    <xf numFmtId="4" fontId="16" fillId="0" borderId="81" xfId="0" applyNumberFormat="1" applyFont="1" applyBorder="1" applyAlignment="1">
      <alignment horizontal="center" vertical="center"/>
    </xf>
    <xf numFmtId="170" fontId="11" fillId="5" borderId="31" xfId="0" applyNumberFormat="1" applyFont="1" applyFill="1" applyBorder="1" applyAlignment="1">
      <alignment horizontal="right"/>
    </xf>
    <xf numFmtId="0" fontId="0" fillId="0" borderId="0" xfId="0"/>
    <xf numFmtId="0" fontId="11" fillId="5" borderId="94" xfId="0" applyNumberFormat="1" applyFont="1" applyFill="1" applyBorder="1" applyAlignment="1" applyProtection="1">
      <alignment horizontal="center"/>
    </xf>
    <xf numFmtId="0" fontId="11" fillId="5" borderId="81" xfId="0" applyNumberFormat="1" applyFont="1" applyFill="1" applyBorder="1" applyAlignment="1" applyProtection="1">
      <alignment horizontal="center"/>
    </xf>
    <xf numFmtId="4" fontId="16" fillId="0" borderId="11" xfId="0" applyNumberFormat="1" applyFont="1" applyBorder="1" applyAlignment="1">
      <alignment horizontal="center" vertical="center"/>
    </xf>
    <xf numFmtId="4" fontId="16" fillId="2" borderId="11" xfId="0" applyNumberFormat="1" applyFont="1" applyFill="1" applyBorder="1" applyAlignment="1">
      <alignment horizontal="center" vertical="center"/>
    </xf>
    <xf numFmtId="4" fontId="12" fillId="0" borderId="11" xfId="0" applyNumberFormat="1" applyFont="1" applyBorder="1" applyAlignment="1">
      <alignment horizontal="center" vertical="center"/>
    </xf>
    <xf numFmtId="4" fontId="12" fillId="0" borderId="28" xfId="0" applyNumberFormat="1" applyFont="1" applyBorder="1" applyAlignment="1">
      <alignment horizontal="center" vertical="center"/>
    </xf>
    <xf numFmtId="4" fontId="12" fillId="2" borderId="11" xfId="0" applyNumberFormat="1" applyFont="1" applyFill="1" applyBorder="1" applyAlignment="1">
      <alignment horizontal="center" vertical="center"/>
    </xf>
    <xf numFmtId="4" fontId="12" fillId="2" borderId="28" xfId="0" applyNumberFormat="1" applyFont="1" applyFill="1" applyBorder="1" applyAlignment="1">
      <alignment horizontal="center" vertical="center"/>
    </xf>
    <xf numFmtId="0" fontId="16" fillId="0" borderId="86" xfId="0" applyFont="1" applyBorder="1" applyAlignment="1"/>
    <xf numFmtId="0" fontId="16" fillId="0" borderId="4" xfId="0" applyFont="1" applyBorder="1" applyAlignment="1"/>
    <xf numFmtId="0" fontId="16" fillId="0" borderId="131" xfId="0" applyFont="1" applyBorder="1" applyAlignment="1"/>
    <xf numFmtId="1" fontId="110" fillId="0" borderId="10" xfId="0" applyNumberFormat="1" applyFont="1" applyFill="1" applyBorder="1" applyAlignment="1">
      <alignment horizontal="center" vertical="center"/>
    </xf>
    <xf numFmtId="0" fontId="16" fillId="0" borderId="0" xfId="0" applyFont="1" applyFill="1" applyBorder="1" applyAlignment="1">
      <alignment wrapText="1"/>
    </xf>
    <xf numFmtId="0" fontId="16" fillId="0" borderId="32" xfId="0" applyFont="1" applyFill="1" applyBorder="1" applyAlignment="1">
      <alignment horizontal="left" vertical="center"/>
    </xf>
    <xf numFmtId="0" fontId="16" fillId="0" borderId="0" xfId="0" applyFont="1" applyFill="1" applyAlignment="1">
      <alignment horizontal="center" wrapText="1"/>
    </xf>
    <xf numFmtId="0" fontId="0" fillId="0" borderId="0" xfId="0" applyFill="1" applyAlignment="1">
      <alignment horizontal="center"/>
    </xf>
    <xf numFmtId="0" fontId="16" fillId="0" borderId="0" xfId="0" applyFont="1" applyFill="1" applyAlignment="1">
      <alignment wrapText="1"/>
    </xf>
    <xf numFmtId="0" fontId="0" fillId="0" borderId="0" xfId="0" applyFont="1" applyFill="1" applyBorder="1"/>
    <xf numFmtId="1" fontId="11" fillId="0" borderId="0" xfId="0" applyNumberFormat="1" applyFont="1" applyFill="1" applyBorder="1" applyAlignment="1">
      <alignment horizontal="center"/>
    </xf>
    <xf numFmtId="1" fontId="11" fillId="0" borderId="0" xfId="0" applyNumberFormat="1" applyFont="1" applyFill="1" applyBorder="1"/>
    <xf numFmtId="1" fontId="11" fillId="0" borderId="0" xfId="0" applyNumberFormat="1" applyFont="1" applyFill="1" applyBorder="1" applyAlignment="1" applyProtection="1">
      <alignment horizontal="left"/>
    </xf>
    <xf numFmtId="4" fontId="19" fillId="0" borderId="0" xfId="0" applyNumberFormat="1" applyFont="1" applyFill="1" applyBorder="1" applyAlignment="1" applyProtection="1">
      <alignment horizontal="center"/>
    </xf>
    <xf numFmtId="3" fontId="19" fillId="0" borderId="3" xfId="0" applyNumberFormat="1" applyFont="1" applyFill="1" applyBorder="1" applyAlignment="1" applyProtection="1"/>
    <xf numFmtId="3" fontId="19" fillId="0" borderId="7" xfId="0" applyNumberFormat="1" applyFont="1" applyFill="1" applyBorder="1" applyAlignment="1" applyProtection="1"/>
    <xf numFmtId="0" fontId="73" fillId="0" borderId="0" xfId="0" applyFont="1" applyFill="1" applyBorder="1"/>
    <xf numFmtId="9" fontId="16" fillId="0" borderId="17" xfId="131" applyNumberFormat="1" applyFont="1" applyBorder="1" applyAlignment="1" applyProtection="1">
      <alignment horizontal="center" vertical="center"/>
    </xf>
    <xf numFmtId="9" fontId="16" fillId="2" borderId="17" xfId="131" applyNumberFormat="1" applyFont="1" applyFill="1" applyBorder="1" applyAlignment="1" applyProtection="1">
      <alignment horizontal="center" vertical="center"/>
    </xf>
    <xf numFmtId="0" fontId="16" fillId="0" borderId="4" xfId="0" applyNumberFormat="1" applyFont="1" applyFill="1" applyBorder="1" applyAlignment="1">
      <alignment horizontal="right"/>
    </xf>
    <xf numFmtId="1" fontId="16" fillId="0" borderId="28" xfId="0" applyNumberFormat="1" applyFont="1" applyFill="1" applyBorder="1" applyAlignment="1">
      <alignment horizontal="center"/>
    </xf>
    <xf numFmtId="1" fontId="16" fillId="0" borderId="0" xfId="0" applyNumberFormat="1" applyFont="1" applyFill="1" applyBorder="1" applyAlignment="1">
      <alignment horizontal="center"/>
    </xf>
    <xf numFmtId="9" fontId="16" fillId="0" borderId="5" xfId="131" applyNumberFormat="1" applyFont="1" applyFill="1" applyBorder="1" applyAlignment="1">
      <alignment horizontal="center"/>
    </xf>
    <xf numFmtId="0" fontId="16" fillId="3" borderId="4" xfId="0" applyNumberFormat="1" applyFont="1" applyFill="1" applyBorder="1" applyAlignment="1">
      <alignment horizontal="right"/>
    </xf>
    <xf numFmtId="1" fontId="16" fillId="3" borderId="0" xfId="0" applyNumberFormat="1" applyFont="1" applyFill="1" applyBorder="1" applyAlignment="1">
      <alignment horizontal="center"/>
    </xf>
    <xf numFmtId="9" fontId="16" fillId="3" borderId="5" xfId="131" applyNumberFormat="1" applyFont="1" applyFill="1" applyBorder="1" applyAlignment="1">
      <alignment horizontal="center"/>
    </xf>
    <xf numFmtId="1" fontId="16" fillId="2" borderId="28" xfId="0" applyNumberFormat="1" applyFont="1" applyFill="1" applyBorder="1" applyAlignment="1">
      <alignment horizontal="center"/>
    </xf>
    <xf numFmtId="1" fontId="0" fillId="2" borderId="28" xfId="0" applyNumberFormat="1" applyFont="1" applyFill="1" applyBorder="1" applyAlignment="1">
      <alignment horizontal="center" vertical="center"/>
    </xf>
    <xf numFmtId="3" fontId="110" fillId="0" borderId="0" xfId="0" applyNumberFormat="1" applyFont="1" applyFill="1"/>
    <xf numFmtId="0" fontId="11" fillId="10" borderId="4" xfId="0" applyFont="1" applyFill="1" applyBorder="1" applyAlignment="1">
      <alignment horizontal="left" vertical="top" wrapText="1"/>
    </xf>
    <xf numFmtId="0" fontId="110" fillId="0" borderId="0" xfId="0" applyFont="1"/>
    <xf numFmtId="0" fontId="139" fillId="0" borderId="0" xfId="0" applyNumberFormat="1" applyFont="1" applyBorder="1" applyAlignment="1">
      <alignment horizontal="right"/>
    </xf>
    <xf numFmtId="0" fontId="110" fillId="0" borderId="0" xfId="0" applyFont="1" applyBorder="1"/>
    <xf numFmtId="0" fontId="38" fillId="0" borderId="0" xfId="0" applyFont="1" applyBorder="1"/>
    <xf numFmtId="6" fontId="59" fillId="0" borderId="0" xfId="0" applyNumberFormat="1" applyFont="1"/>
    <xf numFmtId="10" fontId="16" fillId="0" borderId="0" xfId="131" applyNumberFormat="1" applyFont="1" applyFill="1" applyBorder="1" applyAlignment="1">
      <alignment horizontal="center"/>
    </xf>
    <xf numFmtId="10" fontId="16" fillId="12" borderId="0" xfId="131" applyNumberFormat="1" applyFont="1" applyFill="1" applyBorder="1" applyAlignment="1">
      <alignment horizontal="center"/>
    </xf>
    <xf numFmtId="10" fontId="16" fillId="12" borderId="28" xfId="131" applyNumberFormat="1" applyFont="1" applyFill="1" applyBorder="1" applyAlignment="1">
      <alignment horizontal="center"/>
    </xf>
    <xf numFmtId="10" fontId="16" fillId="0" borderId="28" xfId="131" applyNumberFormat="1" applyFont="1" applyFill="1" applyBorder="1" applyAlignment="1">
      <alignment horizontal="center"/>
    </xf>
    <xf numFmtId="10" fontId="16" fillId="0" borderId="84" xfId="131" applyNumberFormat="1" applyFont="1" applyFill="1" applyBorder="1" applyAlignment="1">
      <alignment horizontal="center"/>
    </xf>
    <xf numFmtId="10" fontId="16" fillId="0" borderId="92" xfId="131" applyNumberFormat="1" applyFont="1" applyFill="1" applyBorder="1" applyAlignment="1">
      <alignment horizontal="center"/>
    </xf>
    <xf numFmtId="3" fontId="11" fillId="10" borderId="25" xfId="0" applyNumberFormat="1" applyFont="1" applyFill="1" applyBorder="1" applyAlignment="1">
      <alignment horizontal="center" vertical="center" wrapText="1"/>
    </xf>
    <xf numFmtId="0" fontId="11" fillId="10" borderId="25" xfId="0" applyFont="1" applyFill="1" applyBorder="1" applyAlignment="1">
      <alignment horizontal="center" vertical="center" wrapText="1"/>
    </xf>
    <xf numFmtId="0" fontId="11" fillId="10" borderId="21" xfId="0" applyFont="1" applyFill="1" applyBorder="1" applyAlignment="1">
      <alignment horizontal="center" vertical="center" wrapText="1"/>
    </xf>
    <xf numFmtId="166" fontId="0" fillId="2" borderId="28" xfId="0" applyNumberFormat="1" applyFill="1" applyBorder="1" applyAlignment="1">
      <alignment horizontal="center" vertical="center"/>
    </xf>
    <xf numFmtId="166" fontId="16" fillId="0" borderId="28" xfId="0" applyNumberFormat="1" applyFont="1" applyFill="1" applyBorder="1" applyAlignment="1">
      <alignment horizontal="center" vertical="center"/>
    </xf>
    <xf numFmtId="166" fontId="16" fillId="2" borderId="28" xfId="0" applyNumberFormat="1" applyFont="1" applyFill="1" applyBorder="1" applyAlignment="1">
      <alignment horizontal="center" vertical="center"/>
    </xf>
    <xf numFmtId="2" fontId="16" fillId="0" borderId="5" xfId="0" applyNumberFormat="1" applyFont="1" applyFill="1" applyBorder="1" applyAlignment="1">
      <alignment horizontal="center" vertical="center"/>
    </xf>
    <xf numFmtId="2" fontId="16" fillId="2" borderId="5" xfId="0" applyNumberFormat="1" applyFont="1" applyFill="1" applyBorder="1" applyAlignment="1">
      <alignment horizontal="center" vertical="center"/>
    </xf>
    <xf numFmtId="4" fontId="19" fillId="13" borderId="133" xfId="0" applyNumberFormat="1" applyFont="1" applyFill="1" applyBorder="1" applyAlignment="1" applyProtection="1">
      <alignment horizontal="center"/>
    </xf>
    <xf numFmtId="4" fontId="16" fillId="0" borderId="10" xfId="0" applyNumberFormat="1" applyFont="1" applyBorder="1" applyAlignment="1">
      <alignment horizontal="center"/>
    </xf>
    <xf numFmtId="4" fontId="16" fillId="12" borderId="10" xfId="0" applyNumberFormat="1" applyFont="1" applyFill="1" applyBorder="1" applyAlignment="1">
      <alignment horizontal="center"/>
    </xf>
    <xf numFmtId="4" fontId="16" fillId="0" borderId="10" xfId="0" applyNumberFormat="1" applyFont="1" applyFill="1" applyBorder="1" applyAlignment="1">
      <alignment horizontal="center"/>
    </xf>
    <xf numFmtId="4" fontId="16" fillId="2" borderId="84" xfId="0" applyNumberFormat="1" applyFont="1" applyFill="1" applyBorder="1" applyAlignment="1">
      <alignment horizontal="center" vertical="center"/>
    </xf>
    <xf numFmtId="4" fontId="16" fillId="2" borderId="92" xfId="0" applyNumberFormat="1" applyFont="1" applyFill="1" applyBorder="1" applyAlignment="1">
      <alignment horizontal="center" vertical="center"/>
    </xf>
    <xf numFmtId="4" fontId="16" fillId="2" borderId="117" xfId="0" applyNumberFormat="1" applyFont="1" applyFill="1" applyBorder="1" applyAlignment="1">
      <alignment horizontal="center" vertical="center"/>
    </xf>
    <xf numFmtId="0" fontId="140" fillId="0" borderId="0" xfId="0" applyFont="1" applyFill="1"/>
    <xf numFmtId="0" fontId="19" fillId="0" borderId="0" xfId="0" applyFont="1" applyFill="1" applyAlignment="1">
      <alignment horizontal="left" indent="1"/>
    </xf>
    <xf numFmtId="0" fontId="153" fillId="0" borderId="0" xfId="0" applyFont="1"/>
    <xf numFmtId="17" fontId="11" fillId="7" borderId="9" xfId="0" applyNumberFormat="1" applyFont="1" applyFill="1" applyBorder="1"/>
    <xf numFmtId="3" fontId="11" fillId="7" borderId="20" xfId="0" applyNumberFormat="1" applyFont="1" applyFill="1" applyBorder="1" applyAlignment="1">
      <alignment horizontal="center"/>
    </xf>
    <xf numFmtId="3" fontId="11" fillId="14" borderId="40" xfId="0" applyNumberFormat="1" applyFont="1" applyFill="1" applyBorder="1" applyAlignment="1">
      <alignment horizontal="center"/>
    </xf>
    <xf numFmtId="0" fontId="154" fillId="7" borderId="100" xfId="0" applyFont="1" applyFill="1" applyBorder="1"/>
    <xf numFmtId="0" fontId="154" fillId="7" borderId="88" xfId="0" applyFont="1" applyFill="1" applyBorder="1"/>
    <xf numFmtId="3" fontId="19" fillId="0" borderId="7" xfId="0" applyNumberFormat="1" applyFont="1" applyFill="1" applyBorder="1" applyProtection="1"/>
    <xf numFmtId="170" fontId="11" fillId="5" borderId="32" xfId="0" applyNumberFormat="1" applyFont="1" applyFill="1" applyBorder="1" applyAlignment="1">
      <alignment horizontal="right"/>
    </xf>
    <xf numFmtId="0" fontId="0" fillId="0" borderId="32" xfId="0" applyNumberFormat="1" applyFont="1" applyFill="1" applyBorder="1" applyAlignment="1">
      <alignment horizontal="right"/>
    </xf>
    <xf numFmtId="170" fontId="11" fillId="5" borderId="90" xfId="0" applyNumberFormat="1" applyFont="1" applyFill="1" applyBorder="1" applyAlignment="1">
      <alignment horizontal="right"/>
    </xf>
    <xf numFmtId="185" fontId="16" fillId="6" borderId="0" xfId="157" applyNumberFormat="1" applyFont="1" applyFill="1" applyBorder="1" applyAlignment="1" applyProtection="1">
      <alignment horizontal="center" vertical="center"/>
    </xf>
    <xf numFmtId="9" fontId="16" fillId="6" borderId="0" xfId="131" applyFont="1" applyFill="1" applyBorder="1" applyAlignment="1" applyProtection="1">
      <alignment horizontal="center" vertical="center"/>
    </xf>
    <xf numFmtId="9" fontId="16" fillId="6" borderId="17" xfId="131" applyFont="1" applyFill="1" applyBorder="1" applyAlignment="1" applyProtection="1">
      <alignment horizontal="center" vertical="center"/>
    </xf>
    <xf numFmtId="170" fontId="102" fillId="0" borderId="0" xfId="0" applyNumberFormat="1" applyFont="1" applyFill="1" applyBorder="1" applyAlignment="1">
      <alignment horizontal="right"/>
    </xf>
    <xf numFmtId="2" fontId="3" fillId="0" borderId="0" xfId="0" applyNumberFormat="1" applyFont="1" applyProtection="1"/>
    <xf numFmtId="0" fontId="155" fillId="0" borderId="0" xfId="1275" applyFont="1" applyAlignment="1"/>
    <xf numFmtId="9" fontId="16" fillId="2" borderId="17" xfId="0" applyNumberFormat="1" applyFont="1" applyFill="1" applyBorder="1" applyAlignment="1">
      <alignment horizontal="center" vertical="center"/>
    </xf>
    <xf numFmtId="0" fontId="11" fillId="7" borderId="9" xfId="0" applyNumberFormat="1" applyFont="1" applyFill="1" applyBorder="1" applyAlignment="1">
      <alignment horizontal="right"/>
    </xf>
    <xf numFmtId="0" fontId="156" fillId="83" borderId="8" xfId="0" applyFont="1" applyFill="1" applyBorder="1" applyAlignment="1">
      <alignment horizontal="center" wrapText="1"/>
    </xf>
    <xf numFmtId="0" fontId="156" fillId="83" borderId="40" xfId="0" applyFont="1" applyFill="1" applyBorder="1" applyAlignment="1">
      <alignment horizontal="center" wrapText="1"/>
    </xf>
    <xf numFmtId="0" fontId="156" fillId="83" borderId="26" xfId="0" applyFont="1" applyFill="1" applyBorder="1" applyAlignment="1">
      <alignment horizontal="center" wrapText="1"/>
    </xf>
    <xf numFmtId="0" fontId="156" fillId="83" borderId="9" xfId="0" applyFont="1" applyFill="1" applyBorder="1" applyAlignment="1">
      <alignment horizontal="center" wrapText="1"/>
    </xf>
    <xf numFmtId="0" fontId="11" fillId="93" borderId="4" xfId="0" applyFont="1" applyFill="1" applyBorder="1" applyAlignment="1" applyProtection="1">
      <alignment horizontal="center"/>
    </xf>
    <xf numFmtId="0" fontId="157" fillId="0" borderId="0" xfId="0" applyFont="1"/>
    <xf numFmtId="0" fontId="158" fillId="0" borderId="0" xfId="0" applyFont="1"/>
    <xf numFmtId="0" fontId="158" fillId="0" borderId="0" xfId="0" applyFont="1" applyFill="1"/>
    <xf numFmtId="187" fontId="64" fillId="0" borderId="0" xfId="0" applyNumberFormat="1" applyFont="1" applyFill="1" applyAlignment="1"/>
    <xf numFmtId="187" fontId="64" fillId="0" borderId="0" xfId="0" applyNumberFormat="1" applyFont="1" applyFill="1" applyAlignment="1">
      <alignment horizontal="right"/>
    </xf>
    <xf numFmtId="185" fontId="16" fillId="0" borderId="0" xfId="6307" applyNumberFormat="1" applyFont="1" applyFill="1" applyBorder="1" applyAlignment="1">
      <alignment horizontal="center"/>
    </xf>
    <xf numFmtId="168" fontId="16" fillId="6" borderId="17" xfId="131" applyNumberFormat="1" applyFont="1" applyFill="1" applyBorder="1" applyAlignment="1">
      <alignment horizontal="center"/>
    </xf>
    <xf numFmtId="185" fontId="16" fillId="50" borderId="0" xfId="6307" applyNumberFormat="1" applyFont="1" applyFill="1" applyBorder="1" applyAlignment="1">
      <alignment horizontal="center"/>
    </xf>
    <xf numFmtId="168" fontId="16" fillId="50" borderId="17" xfId="131" applyNumberFormat="1" applyFont="1" applyFill="1" applyBorder="1" applyAlignment="1">
      <alignment horizontal="center"/>
    </xf>
    <xf numFmtId="185" fontId="16" fillId="6" borderId="0" xfId="6307" applyNumberFormat="1" applyFont="1" applyFill="1" applyBorder="1" applyAlignment="1">
      <alignment horizontal="center"/>
    </xf>
    <xf numFmtId="185" fontId="16" fillId="48" borderId="0" xfId="6307" applyNumberFormat="1" applyFont="1" applyFill="1" applyBorder="1" applyAlignment="1">
      <alignment horizontal="center"/>
    </xf>
    <xf numFmtId="185" fontId="19" fillId="49" borderId="13" xfId="6307" applyNumberFormat="1" applyFont="1" applyFill="1" applyBorder="1" applyAlignment="1">
      <alignment horizontal="center"/>
    </xf>
    <xf numFmtId="9" fontId="16" fillId="49" borderId="91" xfId="131" applyFont="1" applyFill="1" applyBorder="1" applyAlignment="1">
      <alignment horizontal="center"/>
    </xf>
    <xf numFmtId="185" fontId="16" fillId="12" borderId="0" xfId="6307" applyNumberFormat="1" applyFont="1" applyFill="1" applyBorder="1" applyAlignment="1">
      <alignment horizontal="center"/>
    </xf>
    <xf numFmtId="168" fontId="16" fillId="12" borderId="17" xfId="131" applyNumberFormat="1" applyFont="1" applyFill="1" applyBorder="1" applyAlignment="1">
      <alignment horizontal="center"/>
    </xf>
    <xf numFmtId="9" fontId="16" fillId="13" borderId="91" xfId="131" applyFont="1" applyFill="1" applyBorder="1" applyAlignment="1">
      <alignment horizontal="center"/>
    </xf>
    <xf numFmtId="3" fontId="16" fillId="6" borderId="5" xfId="6307" applyNumberFormat="1" applyFont="1" applyFill="1" applyBorder="1" applyAlignment="1">
      <alignment horizontal="center"/>
    </xf>
    <xf numFmtId="3" fontId="16" fillId="8" borderId="5" xfId="6307" applyNumberFormat="1" applyFont="1" applyFill="1" applyBorder="1" applyAlignment="1">
      <alignment horizontal="center"/>
    </xf>
    <xf numFmtId="185" fontId="19" fillId="6" borderId="6" xfId="164" applyNumberFormat="1" applyFont="1" applyFill="1" applyBorder="1" applyAlignment="1">
      <alignment horizontal="center"/>
    </xf>
    <xf numFmtId="185" fontId="19" fillId="0" borderId="84" xfId="0" applyNumberFormat="1" applyFont="1" applyFill="1" applyBorder="1" applyAlignment="1">
      <alignment horizontal="center"/>
    </xf>
    <xf numFmtId="172" fontId="159" fillId="0" borderId="0" xfId="0" applyNumberFormat="1" applyFont="1" applyProtection="1"/>
    <xf numFmtId="1" fontId="110" fillId="0" borderId="0" xfId="0" applyNumberFormat="1" applyFont="1" applyFill="1"/>
    <xf numFmtId="0" fontId="16" fillId="3" borderId="32" xfId="0" applyNumberFormat="1" applyFont="1" applyFill="1" applyBorder="1" applyAlignment="1">
      <alignment horizontal="right"/>
    </xf>
    <xf numFmtId="1" fontId="16" fillId="2" borderId="92" xfId="0" applyNumberFormat="1" applyFont="1" applyFill="1" applyBorder="1" applyAlignment="1">
      <alignment horizontal="center" vertical="center"/>
    </xf>
    <xf numFmtId="1" fontId="16" fillId="3" borderId="84" xfId="0" applyNumberFormat="1" applyFont="1" applyFill="1" applyBorder="1" applyAlignment="1">
      <alignment horizontal="center" vertical="center"/>
    </xf>
    <xf numFmtId="9" fontId="16" fillId="3" borderId="85" xfId="131" applyNumberFormat="1" applyFont="1" applyFill="1" applyBorder="1" applyAlignment="1">
      <alignment horizontal="center" vertical="center"/>
    </xf>
    <xf numFmtId="3" fontId="16" fillId="0" borderId="92" xfId="0" applyNumberFormat="1" applyFont="1" applyBorder="1" applyAlignment="1" applyProtection="1">
      <alignment horizontal="center" vertical="center"/>
    </xf>
    <xf numFmtId="3" fontId="16" fillId="0" borderId="92" xfId="0" applyNumberFormat="1" applyFont="1" applyFill="1" applyBorder="1" applyAlignment="1" applyProtection="1">
      <alignment horizontal="center" vertical="center"/>
    </xf>
    <xf numFmtId="3" fontId="16" fillId="0" borderId="84" xfId="0" applyNumberFormat="1" applyFont="1" applyBorder="1" applyAlignment="1" applyProtection="1">
      <alignment horizontal="center" vertical="center"/>
    </xf>
    <xf numFmtId="9" fontId="16" fillId="0" borderId="91" xfId="131" applyNumberFormat="1" applyFont="1" applyBorder="1" applyAlignment="1" applyProtection="1">
      <alignment horizontal="center" vertical="center"/>
    </xf>
    <xf numFmtId="3" fontId="16" fillId="2" borderId="92" xfId="0" applyNumberFormat="1" applyFont="1" applyFill="1" applyBorder="1" applyAlignment="1" applyProtection="1">
      <alignment horizontal="center" vertical="center"/>
    </xf>
    <xf numFmtId="3" fontId="16" fillId="2" borderId="84" xfId="0" applyNumberFormat="1" applyFont="1" applyFill="1" applyBorder="1" applyAlignment="1" applyProtection="1">
      <alignment horizontal="center" vertical="center"/>
    </xf>
    <xf numFmtId="9" fontId="16" fillId="2" borderId="92" xfId="131" applyNumberFormat="1" applyFont="1" applyFill="1" applyBorder="1" applyAlignment="1" applyProtection="1">
      <alignment horizontal="center" vertical="center"/>
    </xf>
    <xf numFmtId="9" fontId="16" fillId="2" borderId="85" xfId="131" applyNumberFormat="1" applyFont="1" applyFill="1" applyBorder="1" applyAlignment="1" applyProtection="1">
      <alignment horizontal="center" vertical="center"/>
    </xf>
    <xf numFmtId="3" fontId="16" fillId="0" borderId="92"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16" fillId="0" borderId="92" xfId="131" applyNumberFormat="1" applyFont="1" applyFill="1" applyBorder="1" applyAlignment="1">
      <alignment horizontal="center" vertical="center"/>
    </xf>
    <xf numFmtId="9" fontId="16" fillId="0" borderId="92" xfId="131" applyNumberFormat="1" applyFont="1" applyFill="1" applyBorder="1" applyAlignment="1">
      <alignment horizontal="center" vertical="center"/>
    </xf>
    <xf numFmtId="9" fontId="16" fillId="0" borderId="13" xfId="0" applyNumberFormat="1" applyFont="1" applyFill="1" applyBorder="1" applyAlignment="1">
      <alignment horizontal="center" vertical="center"/>
    </xf>
    <xf numFmtId="9" fontId="16" fillId="0" borderId="91" xfId="0" applyNumberFormat="1" applyFont="1" applyFill="1" applyBorder="1" applyAlignment="1">
      <alignment horizontal="center" vertical="center"/>
    </xf>
    <xf numFmtId="3" fontId="16" fillId="0" borderId="28" xfId="0" applyNumberFormat="1" applyFont="1" applyBorder="1" applyAlignment="1">
      <alignment horizontal="center" vertical="center"/>
    </xf>
    <xf numFmtId="185" fontId="16" fillId="3" borderId="10" xfId="157" applyNumberFormat="1" applyFont="1" applyFill="1" applyBorder="1" applyAlignment="1">
      <alignment horizontal="center" vertical="center"/>
    </xf>
    <xf numFmtId="0" fontId="16" fillId="6" borderId="4" xfId="0" applyNumberFormat="1" applyFont="1" applyFill="1" applyBorder="1" applyAlignment="1">
      <alignment horizontal="right"/>
    </xf>
    <xf numFmtId="185" fontId="16" fillId="6" borderId="10" xfId="157" applyNumberFormat="1" applyFont="1" applyFill="1" applyBorder="1" applyAlignment="1">
      <alignment horizontal="center" vertical="center"/>
    </xf>
    <xf numFmtId="0" fontId="16" fillId="2" borderId="32" xfId="0" applyNumberFormat="1" applyFont="1" applyFill="1" applyBorder="1" applyAlignment="1">
      <alignment horizontal="right"/>
    </xf>
    <xf numFmtId="9" fontId="16" fillId="2" borderId="91" xfId="0" applyNumberFormat="1" applyFont="1" applyFill="1" applyBorder="1" applyAlignment="1">
      <alignment horizontal="center" vertical="center"/>
    </xf>
    <xf numFmtId="185" fontId="16" fillId="6" borderId="11" xfId="157" applyNumberFormat="1" applyFont="1" applyFill="1" applyBorder="1" applyAlignment="1" applyProtection="1">
      <alignment horizontal="center" vertical="center"/>
    </xf>
    <xf numFmtId="185" fontId="16" fillId="6" borderId="28" xfId="157" applyNumberFormat="1" applyFont="1" applyFill="1" applyBorder="1" applyAlignment="1" applyProtection="1">
      <alignment horizontal="center" vertical="center"/>
    </xf>
    <xf numFmtId="185" fontId="16" fillId="6" borderId="117" xfId="157" applyNumberFormat="1" applyFont="1" applyFill="1" applyBorder="1" applyAlignment="1" applyProtection="1">
      <alignment horizontal="center" vertical="center"/>
    </xf>
    <xf numFmtId="185" fontId="16" fillId="6" borderId="92" xfId="157" applyNumberFormat="1" applyFont="1" applyFill="1" applyBorder="1" applyAlignment="1" applyProtection="1">
      <alignment horizontal="center" vertical="center"/>
    </xf>
    <xf numFmtId="3" fontId="16" fillId="0" borderId="28" xfId="157" applyNumberFormat="1" applyFont="1" applyFill="1" applyBorder="1" applyAlignment="1" applyProtection="1">
      <alignment horizontal="center" vertical="center"/>
    </xf>
    <xf numFmtId="3" fontId="16" fillId="0" borderId="0" xfId="157" applyNumberFormat="1" applyFont="1" applyFill="1" applyBorder="1" applyAlignment="1" applyProtection="1">
      <alignment horizontal="center" vertical="center"/>
    </xf>
    <xf numFmtId="3" fontId="16" fillId="0" borderId="17" xfId="157" applyNumberFormat="1" applyFont="1" applyFill="1" applyBorder="1" applyAlignment="1" applyProtection="1">
      <alignment horizontal="center" vertical="center"/>
    </xf>
    <xf numFmtId="3" fontId="16" fillId="2" borderId="92" xfId="157" applyNumberFormat="1" applyFont="1" applyFill="1" applyBorder="1" applyAlignment="1" applyProtection="1">
      <alignment horizontal="center" vertical="center"/>
    </xf>
    <xf numFmtId="3" fontId="16" fillId="2" borderId="84" xfId="157" applyNumberFormat="1" applyFont="1" applyFill="1" applyBorder="1" applyAlignment="1" applyProtection="1">
      <alignment horizontal="center" vertical="center"/>
    </xf>
    <xf numFmtId="3" fontId="16" fillId="2" borderId="91" xfId="157" applyNumberFormat="1" applyFont="1" applyFill="1" applyBorder="1" applyAlignment="1" applyProtection="1">
      <alignment horizontal="center" vertical="center"/>
    </xf>
    <xf numFmtId="9" fontId="16" fillId="2" borderId="92" xfId="131" applyFont="1" applyFill="1" applyBorder="1" applyAlignment="1" applyProtection="1">
      <alignment horizontal="center" vertical="center"/>
    </xf>
    <xf numFmtId="9" fontId="16" fillId="2" borderId="84" xfId="131" applyFont="1" applyFill="1" applyBorder="1" applyAlignment="1" applyProtection="1">
      <alignment horizontal="center" vertical="center"/>
    </xf>
    <xf numFmtId="9" fontId="16" fillId="2" borderId="91" xfId="131" applyFont="1" applyFill="1" applyBorder="1" applyAlignment="1" applyProtection="1">
      <alignment horizontal="center" vertical="center"/>
    </xf>
    <xf numFmtId="0" fontId="160" fillId="0" borderId="0" xfId="0" applyFont="1" applyFill="1"/>
    <xf numFmtId="0" fontId="160" fillId="0" borderId="0" xfId="0" applyFont="1" applyFill="1" applyAlignment="1">
      <alignment horizontal="center" vertical="center"/>
    </xf>
    <xf numFmtId="0" fontId="160" fillId="0" borderId="0" xfId="0" applyFont="1" applyFill="1" applyAlignment="1">
      <alignment horizontal="center"/>
    </xf>
    <xf numFmtId="0" fontId="158" fillId="0" borderId="0" xfId="0" applyFont="1" applyAlignment="1">
      <alignment horizontal="center" vertical="center"/>
    </xf>
    <xf numFmtId="0" fontId="158" fillId="0" borderId="0" xfId="0" applyFont="1" applyFill="1" applyAlignment="1">
      <alignment horizontal="center"/>
    </xf>
    <xf numFmtId="188" fontId="158" fillId="0" borderId="0" xfId="0" applyNumberFormat="1" applyFont="1" applyFill="1"/>
    <xf numFmtId="0" fontId="64" fillId="0" borderId="0" xfId="0" applyFont="1" applyAlignment="1"/>
    <xf numFmtId="0" fontId="158" fillId="0" borderId="0" xfId="0" applyFont="1" applyFill="1" applyAlignment="1">
      <alignment horizontal="center" vertical="center"/>
    </xf>
    <xf numFmtId="187" fontId="158" fillId="0" borderId="0" xfId="0" applyNumberFormat="1" applyFont="1" applyFill="1" applyAlignment="1">
      <alignment horizontal="right"/>
    </xf>
    <xf numFmtId="0" fontId="158" fillId="0" borderId="0" xfId="0" applyFont="1" applyFill="1" applyAlignment="1">
      <alignment horizontal="right"/>
    </xf>
    <xf numFmtId="0" fontId="158" fillId="0" borderId="0" xfId="0" applyFont="1" applyAlignment="1"/>
    <xf numFmtId="187" fontId="158" fillId="0" borderId="0" xfId="0" applyNumberFormat="1" applyFont="1" applyFill="1" applyAlignment="1">
      <alignment horizontal="center"/>
    </xf>
    <xf numFmtId="187" fontId="158" fillId="0" borderId="0" xfId="0" applyNumberFormat="1" applyFont="1" applyFill="1" applyAlignment="1"/>
    <xf numFmtId="0" fontId="158" fillId="0" borderId="0" xfId="0" applyFont="1" applyFill="1" applyAlignment="1"/>
    <xf numFmtId="3" fontId="19" fillId="0" borderId="3" xfId="0" applyNumberFormat="1" applyFont="1" applyFill="1" applyBorder="1" applyProtection="1"/>
    <xf numFmtId="0" fontId="64" fillId="0" borderId="0" xfId="0" applyFont="1" applyFill="1"/>
    <xf numFmtId="0" fontId="161" fillId="0" borderId="0" xfId="0" applyFont="1" applyFill="1"/>
    <xf numFmtId="0" fontId="162" fillId="0" borderId="0" xfId="0" applyFont="1"/>
    <xf numFmtId="3" fontId="16" fillId="0" borderId="5" xfId="0" applyNumberFormat="1" applyFont="1" applyFill="1" applyBorder="1"/>
    <xf numFmtId="3" fontId="16" fillId="8" borderId="5" xfId="0" applyNumberFormat="1" applyFont="1" applyFill="1" applyBorder="1"/>
    <xf numFmtId="3" fontId="16" fillId="0" borderId="0" xfId="0" applyNumberFormat="1" applyFont="1" applyFill="1"/>
    <xf numFmtId="3" fontId="19" fillId="0" borderId="130" xfId="0" applyNumberFormat="1" applyFont="1" applyFill="1" applyBorder="1" applyProtection="1"/>
    <xf numFmtId="3" fontId="19" fillId="0" borderId="129" xfId="0" applyNumberFormat="1" applyFont="1" applyFill="1" applyBorder="1" applyProtection="1"/>
    <xf numFmtId="3" fontId="16" fillId="8" borderId="133" xfId="0" applyNumberFormat="1" applyFont="1" applyFill="1" applyBorder="1"/>
    <xf numFmtId="0" fontId="16" fillId="0" borderId="84" xfId="0" applyFont="1" applyBorder="1"/>
    <xf numFmtId="0" fontId="16" fillId="0" borderId="5" xfId="0" applyFont="1" applyBorder="1"/>
    <xf numFmtId="10" fontId="19" fillId="0" borderId="9" xfId="131" applyNumberFormat="1" applyFont="1" applyBorder="1"/>
    <xf numFmtId="3" fontId="19" fillId="0" borderId="130" xfId="0" applyNumberFormat="1" applyFont="1" applyFill="1" applyBorder="1"/>
    <xf numFmtId="3" fontId="19" fillId="0" borderId="129" xfId="0" applyNumberFormat="1" applyFont="1" applyFill="1" applyBorder="1"/>
    <xf numFmtId="1" fontId="16" fillId="0" borderId="0" xfId="0" applyNumberFormat="1" applyFont="1" applyBorder="1" applyAlignment="1">
      <alignment horizontal="right" indent="1"/>
    </xf>
    <xf numFmtId="1" fontId="16" fillId="0" borderId="12" xfId="0" applyNumberFormat="1" applyFont="1" applyBorder="1" applyAlignment="1">
      <alignment horizontal="right" indent="1"/>
    </xf>
    <xf numFmtId="1" fontId="16" fillId="0" borderId="3" xfId="0" applyNumberFormat="1" applyFont="1" applyBorder="1" applyAlignment="1">
      <alignment horizontal="right" indent="1"/>
    </xf>
    <xf numFmtId="1" fontId="16" fillId="8" borderId="0" xfId="0" applyNumberFormat="1" applyFont="1" applyFill="1" applyBorder="1" applyAlignment="1">
      <alignment horizontal="right" indent="1"/>
    </xf>
    <xf numFmtId="1" fontId="16" fillId="8" borderId="5" xfId="0" applyNumberFormat="1" applyFont="1" applyFill="1" applyBorder="1" applyAlignment="1">
      <alignment horizontal="right" indent="1"/>
    </xf>
    <xf numFmtId="1" fontId="16" fillId="0" borderId="5" xfId="0" applyNumberFormat="1" applyFont="1" applyBorder="1" applyAlignment="1">
      <alignment horizontal="right" indent="1"/>
    </xf>
    <xf numFmtId="0" fontId="16" fillId="0" borderId="130" xfId="0" applyFont="1" applyBorder="1" applyAlignment="1">
      <alignment horizontal="right" indent="1"/>
    </xf>
    <xf numFmtId="0" fontId="16" fillId="0" borderId="113" xfId="0" applyFont="1" applyBorder="1" applyAlignment="1">
      <alignment horizontal="right" indent="1"/>
    </xf>
    <xf numFmtId="1" fontId="16" fillId="0" borderId="113" xfId="0" applyNumberFormat="1" applyFont="1" applyBorder="1" applyAlignment="1">
      <alignment horizontal="right" indent="1"/>
    </xf>
    <xf numFmtId="1" fontId="16" fillId="0" borderId="114" xfId="0" applyNumberFormat="1" applyFont="1" applyBorder="1" applyAlignment="1">
      <alignment horizontal="right" indent="1"/>
    </xf>
    <xf numFmtId="1" fontId="16" fillId="0" borderId="130" xfId="0" applyNumberFormat="1" applyFont="1" applyBorder="1" applyAlignment="1">
      <alignment horizontal="right" indent="1"/>
    </xf>
    <xf numFmtId="3" fontId="158" fillId="0" borderId="0" xfId="0" applyNumberFormat="1" applyFont="1" applyFill="1"/>
    <xf numFmtId="3" fontId="16" fillId="0" borderId="11" xfId="0" applyNumberFormat="1" applyFont="1" applyBorder="1" applyAlignment="1">
      <alignment horizontal="center"/>
    </xf>
    <xf numFmtId="3" fontId="16" fillId="0" borderId="28" xfId="0" applyNumberFormat="1" applyFont="1" applyBorder="1" applyAlignment="1">
      <alignment horizontal="center"/>
    </xf>
    <xf numFmtId="3" fontId="16" fillId="0" borderId="10" xfId="0" applyNumberFormat="1" applyFont="1" applyBorder="1" applyAlignment="1">
      <alignment horizontal="center"/>
    </xf>
    <xf numFmtId="3" fontId="16" fillId="0" borderId="11" xfId="0" applyNumberFormat="1" applyFont="1" applyBorder="1" applyAlignment="1">
      <alignment horizontal="center" vertical="top"/>
    </xf>
    <xf numFmtId="3" fontId="19" fillId="78" borderId="37" xfId="0" quotePrefix="1" applyNumberFormat="1" applyFont="1" applyFill="1" applyBorder="1" applyAlignment="1">
      <alignment horizontal="center"/>
    </xf>
    <xf numFmtId="3" fontId="19" fillId="78" borderId="19" xfId="0" quotePrefix="1" applyNumberFormat="1" applyFont="1" applyFill="1" applyBorder="1" applyAlignment="1">
      <alignment horizontal="center"/>
    </xf>
    <xf numFmtId="3" fontId="19" fillId="78" borderId="82" xfId="0" quotePrefix="1" applyNumberFormat="1" applyFont="1" applyFill="1" applyBorder="1" applyAlignment="1">
      <alignment horizontal="center"/>
    </xf>
    <xf numFmtId="3" fontId="16" fillId="0" borderId="31" xfId="0" applyNumberFormat="1" applyFont="1" applyBorder="1" applyAlignment="1">
      <alignment horizontal="center"/>
    </xf>
    <xf numFmtId="3" fontId="19" fillId="78" borderId="37" xfId="0" applyNumberFormat="1" applyFont="1" applyFill="1" applyBorder="1" applyAlignment="1">
      <alignment horizontal="center"/>
    </xf>
    <xf numFmtId="3" fontId="19" fillId="78" borderId="19" xfId="0" applyNumberFormat="1" applyFont="1" applyFill="1" applyBorder="1" applyAlignment="1">
      <alignment horizontal="center"/>
    </xf>
    <xf numFmtId="3" fontId="19" fillId="78" borderId="38" xfId="0" applyNumberFormat="1" applyFont="1" applyFill="1" applyBorder="1" applyAlignment="1">
      <alignment horizontal="center"/>
    </xf>
    <xf numFmtId="3" fontId="16" fillId="0" borderId="79" xfId="0" applyNumberFormat="1" applyFont="1" applyBorder="1" applyAlignment="1">
      <alignment horizontal="center"/>
    </xf>
    <xf numFmtId="3" fontId="16" fillId="0" borderId="4" xfId="0" applyNumberFormat="1" applyFont="1" applyBorder="1" applyAlignment="1">
      <alignment horizontal="center"/>
    </xf>
    <xf numFmtId="3" fontId="16" fillId="0" borderId="0" xfId="0" applyNumberFormat="1" applyFont="1" applyBorder="1" applyAlignment="1">
      <alignment horizontal="center"/>
    </xf>
    <xf numFmtId="3" fontId="19" fillId="78" borderId="75" xfId="0" applyNumberFormat="1" applyFont="1" applyFill="1" applyBorder="1" applyAlignment="1">
      <alignment horizontal="center"/>
    </xf>
    <xf numFmtId="3" fontId="19" fillId="78" borderId="82" xfId="0" applyNumberFormat="1" applyFont="1" applyFill="1" applyBorder="1" applyAlignment="1">
      <alignment horizontal="center"/>
    </xf>
    <xf numFmtId="3" fontId="19" fillId="78" borderId="80" xfId="0" applyNumberFormat="1" applyFont="1" applyFill="1" applyBorder="1" applyAlignment="1">
      <alignment horizontal="center"/>
    </xf>
    <xf numFmtId="3" fontId="19" fillId="78" borderId="124" xfId="0" applyNumberFormat="1" applyFont="1" applyFill="1" applyBorder="1" applyAlignment="1">
      <alignment horizontal="center"/>
    </xf>
    <xf numFmtId="3" fontId="163" fillId="0" borderId="101" xfId="0" applyNumberFormat="1" applyFont="1" applyBorder="1" applyAlignment="1">
      <alignment horizontal="center"/>
    </xf>
    <xf numFmtId="3" fontId="163" fillId="0" borderId="42" xfId="0" applyNumberFormat="1" applyFont="1" applyBorder="1" applyAlignment="1">
      <alignment horizontal="center"/>
    </xf>
    <xf numFmtId="3" fontId="163" fillId="0" borderId="123" xfId="0" applyNumberFormat="1" applyFont="1" applyBorder="1" applyAlignment="1">
      <alignment horizontal="center"/>
    </xf>
    <xf numFmtId="3" fontId="164" fillId="84" borderId="80" xfId="0" applyNumberFormat="1" applyFont="1" applyFill="1" applyBorder="1" applyAlignment="1">
      <alignment horizontal="center"/>
    </xf>
    <xf numFmtId="3" fontId="164" fillId="84" borderId="19" xfId="0" applyNumberFormat="1" applyFont="1" applyFill="1" applyBorder="1" applyAlignment="1">
      <alignment horizontal="center"/>
    </xf>
    <xf numFmtId="3" fontId="164" fillId="84" borderId="124" xfId="0" applyNumberFormat="1" applyFont="1" applyFill="1" applyBorder="1" applyAlignment="1">
      <alignment horizontal="center"/>
    </xf>
    <xf numFmtId="0" fontId="163" fillId="0" borderId="4" xfId="0" applyFont="1" applyBorder="1" applyAlignment="1">
      <alignment horizontal="left"/>
    </xf>
    <xf numFmtId="0" fontId="163" fillId="0" borderId="5" xfId="0" applyFont="1" applyBorder="1" applyAlignment="1">
      <alignment horizontal="left"/>
    </xf>
    <xf numFmtId="3" fontId="19" fillId="79" borderId="80" xfId="0" applyNumberFormat="1" applyFont="1" applyFill="1" applyBorder="1" applyAlignment="1">
      <alignment horizontal="center"/>
    </xf>
    <xf numFmtId="3" fontId="19" fillId="79" borderId="19" xfId="0" applyNumberFormat="1" applyFont="1" applyFill="1" applyBorder="1" applyAlignment="1">
      <alignment horizontal="center"/>
    </xf>
    <xf numFmtId="3" fontId="19" fillId="79" borderId="38" xfId="0" applyNumberFormat="1" applyFont="1" applyFill="1" applyBorder="1" applyAlignment="1">
      <alignment horizontal="center"/>
    </xf>
    <xf numFmtId="3" fontId="19" fillId="79" borderId="75" xfId="0" applyNumberFormat="1" applyFont="1" applyFill="1" applyBorder="1" applyAlignment="1">
      <alignment horizontal="center"/>
    </xf>
    <xf numFmtId="3" fontId="19" fillId="0" borderId="31" xfId="0" applyNumberFormat="1" applyFont="1" applyFill="1" applyBorder="1" applyAlignment="1">
      <alignment horizontal="center"/>
    </xf>
    <xf numFmtId="3" fontId="19" fillId="0" borderId="28" xfId="0" applyNumberFormat="1" applyFont="1" applyFill="1" applyBorder="1" applyAlignment="1">
      <alignment horizontal="center"/>
    </xf>
    <xf numFmtId="3" fontId="19" fillId="0" borderId="10" xfId="0" applyNumberFormat="1" applyFont="1" applyFill="1" applyBorder="1" applyAlignment="1">
      <alignment horizontal="center"/>
    </xf>
    <xf numFmtId="3" fontId="19" fillId="79" borderId="37" xfId="0" applyNumberFormat="1" applyFont="1" applyFill="1" applyBorder="1" applyAlignment="1">
      <alignment horizontal="center"/>
    </xf>
    <xf numFmtId="3" fontId="16" fillId="0" borderId="19" xfId="0" applyNumberFormat="1" applyFont="1" applyBorder="1" applyAlignment="1">
      <alignment horizontal="center"/>
    </xf>
    <xf numFmtId="3" fontId="19" fillId="79" borderId="86" xfId="0" applyNumberFormat="1" applyFont="1" applyFill="1" applyBorder="1" applyAlignment="1">
      <alignment horizontal="center"/>
    </xf>
    <xf numFmtId="3" fontId="19" fillId="79" borderId="81" xfId="0" applyNumberFormat="1" applyFont="1" applyFill="1" applyBorder="1" applyAlignment="1">
      <alignment horizontal="center"/>
    </xf>
    <xf numFmtId="3" fontId="19" fillId="79" borderId="132" xfId="0" applyNumberFormat="1" applyFont="1" applyFill="1" applyBorder="1" applyAlignment="1">
      <alignment horizontal="center"/>
    </xf>
    <xf numFmtId="3" fontId="16" fillId="6" borderId="100" xfId="0" applyNumberFormat="1" applyFont="1" applyFill="1" applyBorder="1" applyAlignment="1">
      <alignment horizontal="center"/>
    </xf>
    <xf numFmtId="3" fontId="16" fillId="6" borderId="14" xfId="0" applyNumberFormat="1" applyFont="1" applyFill="1" applyBorder="1" applyAlignment="1">
      <alignment horizontal="center"/>
    </xf>
    <xf numFmtId="3" fontId="16" fillId="6" borderId="27" xfId="0" applyNumberFormat="1" applyFont="1" applyFill="1" applyBorder="1" applyAlignment="1">
      <alignment horizontal="center"/>
    </xf>
    <xf numFmtId="3" fontId="16" fillId="6" borderId="16" xfId="0" applyNumberFormat="1" applyFont="1" applyFill="1" applyBorder="1" applyAlignment="1">
      <alignment horizontal="center"/>
    </xf>
    <xf numFmtId="3" fontId="16" fillId="8" borderId="31" xfId="0" applyNumberFormat="1" applyFont="1" applyFill="1" applyBorder="1" applyAlignment="1">
      <alignment horizontal="center"/>
    </xf>
    <xf numFmtId="3" fontId="16" fillId="8" borderId="10" xfId="0" applyNumberFormat="1" applyFont="1" applyFill="1" applyBorder="1" applyAlignment="1">
      <alignment horizontal="center"/>
    </xf>
    <xf numFmtId="3" fontId="16" fillId="8" borderId="28" xfId="0" applyNumberFormat="1" applyFont="1" applyFill="1" applyBorder="1" applyAlignment="1">
      <alignment horizontal="center"/>
    </xf>
    <xf numFmtId="3" fontId="16" fillId="8" borderId="17" xfId="0" applyNumberFormat="1" applyFont="1" applyFill="1" applyBorder="1" applyAlignment="1">
      <alignment horizontal="center"/>
    </xf>
    <xf numFmtId="3" fontId="16" fillId="6" borderId="31" xfId="0" applyNumberFormat="1" applyFont="1" applyFill="1" applyBorder="1" applyAlignment="1">
      <alignment horizontal="center"/>
    </xf>
    <xf numFmtId="3" fontId="16" fillId="6" borderId="28" xfId="0" applyNumberFormat="1" applyFont="1" applyFill="1" applyBorder="1" applyAlignment="1">
      <alignment horizontal="center"/>
    </xf>
    <xf numFmtId="3" fontId="16" fillId="6" borderId="17" xfId="0" applyNumberFormat="1" applyFont="1" applyFill="1" applyBorder="1" applyAlignment="1">
      <alignment horizontal="center"/>
    </xf>
    <xf numFmtId="3" fontId="16" fillId="6" borderId="31" xfId="0" applyNumberFormat="1" applyFont="1" applyFill="1" applyBorder="1" applyAlignment="1">
      <alignment horizontal="center" vertical="center"/>
    </xf>
    <xf numFmtId="3" fontId="16" fillId="6" borderId="10" xfId="0" applyNumberFormat="1" applyFont="1" applyFill="1" applyBorder="1" applyAlignment="1">
      <alignment horizontal="center" vertical="center"/>
    </xf>
    <xf numFmtId="3" fontId="16" fillId="6" borderId="28" xfId="0" applyNumberFormat="1" applyFont="1" applyFill="1" applyBorder="1" applyAlignment="1">
      <alignment horizontal="center" vertical="center"/>
    </xf>
    <xf numFmtId="3" fontId="16" fillId="6" borderId="17" xfId="0" applyNumberFormat="1" applyFont="1" applyFill="1" applyBorder="1" applyAlignment="1">
      <alignment horizontal="center" vertical="center"/>
    </xf>
    <xf numFmtId="3" fontId="16" fillId="8" borderId="31" xfId="0" applyNumberFormat="1" applyFont="1" applyFill="1" applyBorder="1" applyAlignment="1">
      <alignment horizontal="center" vertical="center"/>
    </xf>
    <xf numFmtId="3" fontId="16" fillId="8" borderId="10" xfId="0" applyNumberFormat="1" applyFont="1" applyFill="1" applyBorder="1" applyAlignment="1">
      <alignment horizontal="center" vertical="center"/>
    </xf>
    <xf numFmtId="3" fontId="16" fillId="8" borderId="28" xfId="0" applyNumberFormat="1" applyFont="1" applyFill="1" applyBorder="1" applyAlignment="1">
      <alignment horizontal="center" vertical="center"/>
    </xf>
    <xf numFmtId="3" fontId="16" fillId="8" borderId="17" xfId="0" applyNumberFormat="1" applyFont="1" applyFill="1" applyBorder="1" applyAlignment="1">
      <alignment horizontal="center" vertical="center"/>
    </xf>
    <xf numFmtId="0" fontId="16" fillId="6" borderId="0" xfId="0" applyFont="1" applyFill="1" applyBorder="1" applyAlignment="1">
      <alignment horizontal="left" vertical="top" wrapText="1"/>
    </xf>
    <xf numFmtId="3" fontId="16" fillId="0" borderId="31" xfId="0" applyNumberFormat="1" applyFont="1" applyFill="1" applyBorder="1" applyAlignment="1">
      <alignment horizontal="center"/>
    </xf>
    <xf numFmtId="3" fontId="16" fillId="0" borderId="10" xfId="0" applyNumberFormat="1" applyFont="1" applyFill="1" applyBorder="1" applyAlignment="1">
      <alignment horizontal="center"/>
    </xf>
    <xf numFmtId="3" fontId="16" fillId="0" borderId="28" xfId="0" applyNumberFormat="1" applyFont="1" applyFill="1" applyBorder="1" applyAlignment="1">
      <alignment horizontal="center"/>
    </xf>
    <xf numFmtId="3" fontId="16" fillId="0" borderId="17" xfId="0" applyNumberFormat="1" applyFont="1" applyFill="1" applyBorder="1" applyAlignment="1">
      <alignment horizontal="center"/>
    </xf>
    <xf numFmtId="0" fontId="11" fillId="14" borderId="8" xfId="0" applyFont="1" applyFill="1" applyBorder="1" applyAlignment="1">
      <alignment horizontal="center" wrapText="1"/>
    </xf>
    <xf numFmtId="0" fontId="11" fillId="14" borderId="26" xfId="0" applyFont="1" applyFill="1" applyBorder="1" applyAlignment="1">
      <alignment horizontal="center" wrapText="1"/>
    </xf>
    <xf numFmtId="0" fontId="11" fillId="14" borderId="95" xfId="0" applyFont="1" applyFill="1" applyBorder="1" applyAlignment="1">
      <alignment horizontal="center" wrapText="1"/>
    </xf>
    <xf numFmtId="169" fontId="17" fillId="0" borderId="0" xfId="0" applyNumberFormat="1" applyFont="1"/>
    <xf numFmtId="3" fontId="16" fillId="0" borderId="0" xfId="0" applyNumberFormat="1" applyFont="1"/>
    <xf numFmtId="0" fontId="156" fillId="14" borderId="44" xfId="0" applyFont="1" applyFill="1" applyBorder="1" applyAlignment="1">
      <alignment vertical="center"/>
    </xf>
    <xf numFmtId="3" fontId="17" fillId="0" borderId="0" xfId="0" applyNumberFormat="1" applyFont="1"/>
    <xf numFmtId="3" fontId="16" fillId="8" borderId="84" xfId="0" applyNumberFormat="1" applyFont="1" applyFill="1" applyBorder="1" applyAlignment="1" applyProtection="1">
      <alignment horizontal="right"/>
    </xf>
    <xf numFmtId="0" fontId="167" fillId="0" borderId="0" xfId="0" applyFont="1" applyFill="1" applyBorder="1"/>
    <xf numFmtId="0" fontId="168" fillId="0" borderId="0" xfId="0" applyFont="1" applyFill="1"/>
    <xf numFmtId="0" fontId="169" fillId="0" borderId="0" xfId="0" applyFont="1" applyFill="1" applyBorder="1"/>
    <xf numFmtId="1" fontId="110" fillId="0" borderId="0" xfId="0" applyNumberFormat="1" applyFont="1" applyBorder="1" applyAlignment="1">
      <alignment horizontal="right" indent="1"/>
    </xf>
    <xf numFmtId="14" fontId="158" fillId="0" borderId="0" xfId="0" applyNumberFormat="1" applyFont="1"/>
    <xf numFmtId="0" fontId="165" fillId="0" borderId="0" xfId="0" applyFont="1" applyFill="1" applyBorder="1"/>
    <xf numFmtId="0" fontId="165" fillId="0" borderId="0" xfId="0" applyFont="1"/>
    <xf numFmtId="0" fontId="166" fillId="0" borderId="0" xfId="0" applyFont="1" applyFill="1" applyBorder="1"/>
    <xf numFmtId="1" fontId="165" fillId="0" borderId="0" xfId="0" applyNumberFormat="1" applyFont="1" applyBorder="1" applyAlignment="1">
      <alignment horizontal="right" indent="1"/>
    </xf>
    <xf numFmtId="0" fontId="171" fillId="0" borderId="0" xfId="0" applyFont="1" applyFill="1" applyBorder="1" applyAlignment="1">
      <alignment vertical="center"/>
    </xf>
    <xf numFmtId="0" fontId="17" fillId="0" borderId="0" xfId="0" applyFont="1" applyAlignment="1">
      <alignment horizontal="right"/>
    </xf>
    <xf numFmtId="0" fontId="172" fillId="0" borderId="0" xfId="0" applyFont="1"/>
    <xf numFmtId="3" fontId="16" fillId="94" borderId="0" xfId="0" applyNumberFormat="1" applyFont="1" applyFill="1" applyBorder="1"/>
    <xf numFmtId="3" fontId="19" fillId="94" borderId="7" xfId="0" applyNumberFormat="1" applyFont="1" applyFill="1" applyBorder="1" applyProtection="1"/>
    <xf numFmtId="3" fontId="169" fillId="8" borderId="13" xfId="0" applyNumberFormat="1" applyFont="1" applyFill="1" applyBorder="1" applyProtection="1"/>
    <xf numFmtId="3" fontId="169" fillId="0" borderId="113" xfId="0" applyNumberFormat="1" applyFont="1" applyFill="1" applyBorder="1" applyProtection="1"/>
    <xf numFmtId="0" fontId="173" fillId="0" borderId="0" xfId="0" applyFont="1" applyFill="1" applyBorder="1"/>
    <xf numFmtId="9" fontId="16" fillId="0" borderId="0" xfId="131" applyFont="1"/>
    <xf numFmtId="0" fontId="19" fillId="82" borderId="0" xfId="0" applyFont="1" applyFill="1"/>
    <xf numFmtId="0" fontId="156" fillId="14" borderId="45" xfId="0" applyFont="1" applyFill="1" applyBorder="1" applyAlignment="1">
      <alignment vertical="center"/>
    </xf>
    <xf numFmtId="3" fontId="172" fillId="0" borderId="0" xfId="0" applyNumberFormat="1" applyFont="1"/>
    <xf numFmtId="0" fontId="19" fillId="0" borderId="0" xfId="0" applyFont="1" applyAlignment="1">
      <alignment horizontal="right"/>
    </xf>
    <xf numFmtId="0" fontId="174" fillId="0" borderId="0" xfId="0" applyFont="1" applyFill="1" applyBorder="1"/>
    <xf numFmtId="1" fontId="170" fillId="0" borderId="0" xfId="0" applyNumberFormat="1" applyFont="1" applyBorder="1" applyAlignment="1">
      <alignment horizontal="right" indent="1"/>
    </xf>
    <xf numFmtId="0" fontId="170" fillId="0" borderId="0" xfId="0" applyFont="1"/>
    <xf numFmtId="0" fontId="175" fillId="0" borderId="0" xfId="0" applyFont="1" applyFill="1" applyBorder="1"/>
    <xf numFmtId="1" fontId="173" fillId="0" borderId="0" xfId="0" applyNumberFormat="1" applyFont="1" applyBorder="1" applyAlignment="1">
      <alignment horizontal="right" indent="1"/>
    </xf>
    <xf numFmtId="0" fontId="173" fillId="0" borderId="0" xfId="0" applyFont="1"/>
    <xf numFmtId="0" fontId="175" fillId="0" borderId="0" xfId="0" applyFont="1" applyFill="1"/>
    <xf numFmtId="0" fontId="175" fillId="7" borderId="100" xfId="0" applyFont="1" applyFill="1" applyBorder="1"/>
    <xf numFmtId="0" fontId="175" fillId="7" borderId="88" xfId="0" applyFont="1" applyFill="1" applyBorder="1"/>
    <xf numFmtId="0" fontId="154" fillId="0" borderId="0" xfId="0" applyFont="1" applyFill="1"/>
    <xf numFmtId="1" fontId="39" fillId="0" borderId="0" xfId="0" applyNumberFormat="1" applyFont="1" applyBorder="1" applyAlignment="1">
      <alignment horizontal="right" indent="1"/>
    </xf>
    <xf numFmtId="0" fontId="39" fillId="0" borderId="0" xfId="0" applyFont="1"/>
    <xf numFmtId="166" fontId="16" fillId="2" borderId="92" xfId="0" applyNumberFormat="1" applyFont="1" applyFill="1" applyBorder="1" applyAlignment="1">
      <alignment horizontal="center" vertical="center"/>
    </xf>
    <xf numFmtId="2" fontId="16" fillId="2" borderId="7" xfId="0" applyNumberFormat="1" applyFont="1" applyFill="1" applyBorder="1" applyAlignment="1">
      <alignment horizontal="center" vertical="center"/>
    </xf>
    <xf numFmtId="185" fontId="19" fillId="13" borderId="13" xfId="6307" applyNumberFormat="1" applyFont="1" applyFill="1" applyBorder="1" applyAlignment="1">
      <alignment horizontal="center"/>
    </xf>
    <xf numFmtId="3" fontId="16" fillId="2" borderId="28" xfId="0" applyNumberFormat="1" applyFont="1" applyFill="1" applyBorder="1" applyAlignment="1">
      <alignment horizontal="center" vertical="center"/>
    </xf>
    <xf numFmtId="3" fontId="16" fillId="2" borderId="0" xfId="0" applyNumberFormat="1" applyFont="1" applyFill="1" applyBorder="1" applyAlignment="1">
      <alignment horizontal="center" vertical="center"/>
    </xf>
    <xf numFmtId="3" fontId="16" fillId="0" borderId="0" xfId="0" applyNumberFormat="1" applyFont="1" applyFill="1" applyBorder="1" applyAlignment="1">
      <alignment horizontal="center" vertical="center"/>
    </xf>
    <xf numFmtId="3" fontId="16" fillId="0" borderId="28" xfId="0" applyNumberFormat="1" applyFont="1" applyFill="1" applyBorder="1" applyAlignment="1">
      <alignment horizontal="center" vertical="center"/>
    </xf>
    <xf numFmtId="3" fontId="16" fillId="2" borderId="92" xfId="0" applyNumberFormat="1" applyFont="1" applyFill="1" applyBorder="1" applyAlignment="1">
      <alignment horizontal="center" vertical="center"/>
    </xf>
    <xf numFmtId="3" fontId="16" fillId="2" borderId="15" xfId="0" applyNumberFormat="1" applyFont="1" applyFill="1" applyBorder="1" applyAlignment="1">
      <alignment horizontal="center" vertical="center"/>
    </xf>
    <xf numFmtId="9" fontId="16" fillId="2" borderId="91" xfId="131" applyNumberFormat="1" applyFont="1" applyFill="1" applyBorder="1" applyAlignment="1" applyProtection="1">
      <alignment horizontal="center" vertical="center"/>
    </xf>
    <xf numFmtId="169" fontId="16" fillId="0" borderId="3" xfId="157" applyNumberFormat="1" applyFont="1" applyFill="1" applyBorder="1"/>
    <xf numFmtId="169" fontId="16" fillId="8" borderId="85" xfId="157" applyNumberFormat="1" applyFont="1" applyFill="1" applyBorder="1"/>
    <xf numFmtId="169" fontId="16" fillId="6" borderId="0" xfId="0" applyNumberFormat="1" applyFont="1" applyFill="1" applyBorder="1" applyProtection="1"/>
    <xf numFmtId="3" fontId="19" fillId="8" borderId="0" xfId="0" applyNumberFormat="1" applyFont="1" applyFill="1" applyBorder="1" applyProtection="1"/>
    <xf numFmtId="3" fontId="16" fillId="3" borderId="13" xfId="0" applyNumberFormat="1" applyFont="1" applyFill="1" applyBorder="1" applyAlignment="1">
      <alignment horizontal="center" vertical="center"/>
    </xf>
    <xf numFmtId="3" fontId="16" fillId="3" borderId="92" xfId="0" applyNumberFormat="1" applyFont="1" applyFill="1" applyBorder="1" applyAlignment="1">
      <alignment horizontal="center" vertical="center"/>
    </xf>
    <xf numFmtId="3" fontId="16" fillId="2" borderId="92" xfId="131" applyNumberFormat="1" applyFont="1" applyFill="1" applyBorder="1" applyAlignment="1">
      <alignment horizontal="center" vertical="center"/>
    </xf>
    <xf numFmtId="3" fontId="16" fillId="2" borderId="13" xfId="0" applyNumberFormat="1" applyFont="1" applyFill="1" applyBorder="1" applyAlignment="1">
      <alignment horizontal="center" vertical="center"/>
    </xf>
    <xf numFmtId="189" fontId="0" fillId="0" borderId="5" xfId="0" applyNumberFormat="1" applyFont="1" applyFill="1" applyBorder="1" applyAlignment="1">
      <alignment horizontal="right" wrapText="1"/>
    </xf>
    <xf numFmtId="189" fontId="0" fillId="2" borderId="5" xfId="0" applyNumberFormat="1" applyFont="1" applyFill="1" applyBorder="1" applyAlignment="1">
      <alignment horizontal="right" wrapText="1"/>
    </xf>
    <xf numFmtId="3" fontId="0" fillId="0" borderId="5" xfId="0" applyNumberFormat="1" applyFont="1" applyBorder="1" applyAlignment="1">
      <alignment horizontal="right"/>
    </xf>
    <xf numFmtId="1" fontId="0" fillId="0" borderId="5" xfId="0" applyNumberFormat="1" applyFont="1" applyFill="1" applyBorder="1" applyAlignment="1">
      <alignment horizontal="right"/>
    </xf>
    <xf numFmtId="1" fontId="0" fillId="2" borderId="5" xfId="0" applyNumberFormat="1" applyFont="1" applyFill="1" applyBorder="1" applyAlignment="1">
      <alignment horizontal="right"/>
    </xf>
    <xf numFmtId="3" fontId="0" fillId="0" borderId="5" xfId="0" applyNumberFormat="1" applyFont="1" applyFill="1" applyBorder="1" applyAlignment="1">
      <alignment horizontal="right" wrapText="1"/>
    </xf>
    <xf numFmtId="3" fontId="16" fillId="0" borderId="5" xfId="6307" applyNumberFormat="1" applyFont="1" applyFill="1" applyBorder="1" applyAlignment="1">
      <alignment horizontal="center"/>
    </xf>
    <xf numFmtId="10" fontId="2" fillId="0" borderId="7" xfId="6307" applyNumberFormat="1" applyFont="1" applyFill="1" applyBorder="1" applyAlignment="1">
      <alignment horizontal="center"/>
    </xf>
    <xf numFmtId="185" fontId="13" fillId="6" borderId="7" xfId="6307" applyNumberFormat="1" applyFont="1" applyFill="1" applyBorder="1" applyAlignment="1">
      <alignment horizontal="center"/>
    </xf>
    <xf numFmtId="0" fontId="35" fillId="0" borderId="0" xfId="0" applyFont="1" applyFill="1"/>
    <xf numFmtId="0" fontId="14" fillId="7" borderId="8" xfId="0" applyFont="1" applyFill="1" applyBorder="1" applyAlignment="1">
      <alignment horizontal="center"/>
    </xf>
    <xf numFmtId="0" fontId="14" fillId="7" borderId="33" xfId="0" applyFont="1" applyFill="1" applyBorder="1" applyAlignment="1">
      <alignment horizontal="center"/>
    </xf>
    <xf numFmtId="0" fontId="14" fillId="7" borderId="9" xfId="0" applyFont="1" applyFill="1" applyBorder="1" applyAlignment="1">
      <alignment horizontal="center"/>
    </xf>
    <xf numFmtId="0" fontId="3" fillId="0" borderId="8" xfId="0" applyFont="1" applyFill="1" applyBorder="1" applyAlignment="1">
      <alignment horizontal="center"/>
    </xf>
    <xf numFmtId="0" fontId="3" fillId="0" borderId="33" xfId="0" applyFont="1" applyFill="1" applyBorder="1" applyAlignment="1">
      <alignment horizontal="center"/>
    </xf>
    <xf numFmtId="0" fontId="3" fillId="0" borderId="9" xfId="0" applyFont="1" applyFill="1" applyBorder="1" applyAlignment="1">
      <alignment horizontal="center"/>
    </xf>
    <xf numFmtId="0" fontId="73" fillId="0" borderId="0" xfId="0" applyFont="1" applyBorder="1" applyAlignment="1">
      <alignment horizontal="center" vertical="top"/>
    </xf>
    <xf numFmtId="0" fontId="39" fillId="73" borderId="4" xfId="0" applyFont="1" applyFill="1" applyBorder="1" applyAlignment="1">
      <alignment horizontal="left"/>
    </xf>
    <xf numFmtId="0" fontId="39" fillId="73" borderId="0" xfId="0" applyFont="1" applyFill="1" applyBorder="1" applyAlignment="1">
      <alignment horizontal="left"/>
    </xf>
    <xf numFmtId="0" fontId="0" fillId="12" borderId="33" xfId="0" applyFill="1" applyBorder="1" applyAlignment="1">
      <alignment horizontal="center"/>
    </xf>
    <xf numFmtId="0" fontId="0" fillId="12" borderId="9" xfId="0" applyFill="1" applyBorder="1" applyAlignment="1">
      <alignment horizontal="center"/>
    </xf>
    <xf numFmtId="0" fontId="13" fillId="0" borderId="13" xfId="0" applyFont="1" applyBorder="1" applyAlignment="1">
      <alignment horizontal="center"/>
    </xf>
    <xf numFmtId="0" fontId="16" fillId="0" borderId="0" xfId="0" applyFont="1" applyAlignment="1">
      <alignment horizontal="left" wrapText="1"/>
    </xf>
    <xf numFmtId="0" fontId="0" fillId="0" borderId="0" xfId="0" applyFill="1" applyAlignment="1">
      <alignment horizontal="left"/>
    </xf>
    <xf numFmtId="0" fontId="13" fillId="0" borderId="84" xfId="0" applyFont="1" applyBorder="1" applyAlignment="1">
      <alignment horizontal="center"/>
    </xf>
    <xf numFmtId="0" fontId="4" fillId="0" borderId="84" xfId="0" applyFont="1" applyBorder="1" applyAlignment="1">
      <alignment horizontal="center"/>
    </xf>
    <xf numFmtId="0" fontId="14" fillId="0" borderId="0" xfId="0" applyFont="1" applyFill="1" applyBorder="1" applyAlignment="1">
      <alignment horizontal="center"/>
    </xf>
    <xf numFmtId="0" fontId="4" fillId="0" borderId="0" xfId="0" applyFont="1" applyAlignment="1">
      <alignment horizontal="center"/>
    </xf>
    <xf numFmtId="0" fontId="0" fillId="0" borderId="0" xfId="0" applyAlignment="1">
      <alignment horizontal="center"/>
    </xf>
    <xf numFmtId="0" fontId="14" fillId="5" borderId="14" xfId="0" applyFont="1" applyFill="1" applyBorder="1" applyAlignment="1">
      <alignment horizontal="center"/>
    </xf>
    <xf numFmtId="0" fontId="14" fillId="5" borderId="22" xfId="0" applyFont="1" applyFill="1" applyBorder="1" applyAlignment="1">
      <alignment horizontal="center"/>
    </xf>
    <xf numFmtId="9" fontId="14" fillId="5" borderId="14" xfId="6570" applyFont="1" applyFill="1" applyBorder="1" applyAlignment="1">
      <alignment horizontal="center"/>
    </xf>
    <xf numFmtId="9" fontId="14" fillId="5" borderId="3" xfId="6570" applyFont="1" applyFill="1" applyBorder="1" applyAlignment="1">
      <alignment horizontal="center"/>
    </xf>
    <xf numFmtId="0" fontId="14" fillId="0" borderId="0" xfId="0" applyFont="1" applyFill="1" applyBorder="1" applyAlignment="1">
      <alignment horizontal="center" vertical="center"/>
    </xf>
    <xf numFmtId="0" fontId="11" fillId="5" borderId="108" xfId="0" applyNumberFormat="1" applyFont="1" applyFill="1" applyBorder="1" applyAlignment="1" applyProtection="1">
      <alignment horizontal="center"/>
    </xf>
    <xf numFmtId="0" fontId="11" fillId="5" borderId="105" xfId="0" applyNumberFormat="1" applyFont="1" applyFill="1" applyBorder="1" applyAlignment="1" applyProtection="1">
      <alignment horizontal="center"/>
    </xf>
    <xf numFmtId="0" fontId="11" fillId="5" borderId="109" xfId="0" applyNumberFormat="1" applyFont="1" applyFill="1" applyBorder="1" applyAlignment="1" applyProtection="1">
      <alignment horizontal="center"/>
    </xf>
    <xf numFmtId="0" fontId="13" fillId="0" borderId="0" xfId="0" applyFont="1" applyAlignment="1">
      <alignment horizontal="center"/>
    </xf>
    <xf numFmtId="0" fontId="11" fillId="5" borderId="14" xfId="0" applyFont="1" applyFill="1" applyBorder="1" applyAlignment="1">
      <alignment horizontal="center"/>
    </xf>
    <xf numFmtId="0" fontId="11" fillId="5" borderId="12" xfId="0" applyFont="1" applyFill="1" applyBorder="1" applyAlignment="1">
      <alignment horizontal="center"/>
    </xf>
    <xf numFmtId="0" fontId="11" fillId="5" borderId="3" xfId="0" applyFont="1" applyFill="1" applyBorder="1" applyAlignment="1">
      <alignment horizontal="center"/>
    </xf>
    <xf numFmtId="0" fontId="11" fillId="5" borderId="108" xfId="0" applyNumberFormat="1" applyFont="1" applyFill="1" applyBorder="1" applyAlignment="1" applyProtection="1">
      <alignment horizontal="center" vertical="center"/>
    </xf>
    <xf numFmtId="0" fontId="11" fillId="5" borderId="105" xfId="0" applyNumberFormat="1" applyFont="1" applyFill="1" applyBorder="1" applyAlignment="1" applyProtection="1">
      <alignment horizontal="center" vertical="center"/>
    </xf>
    <xf numFmtId="0" fontId="11" fillId="5" borderId="109" xfId="0" applyNumberFormat="1" applyFont="1" applyFill="1" applyBorder="1" applyAlignment="1" applyProtection="1">
      <alignment horizontal="center" vertical="center"/>
    </xf>
    <xf numFmtId="168" fontId="16" fillId="48" borderId="17" xfId="131" applyNumberFormat="1" applyFont="1" applyFill="1" applyBorder="1" applyAlignment="1">
      <alignment horizontal="center" vertical="center"/>
    </xf>
    <xf numFmtId="0" fontId="71" fillId="0" borderId="12" xfId="0" applyFont="1" applyBorder="1" applyAlignment="1">
      <alignment horizontal="left"/>
    </xf>
    <xf numFmtId="0" fontId="13" fillId="0" borderId="84" xfId="0" applyFont="1" applyBorder="1" applyAlignment="1">
      <alignment horizontal="center" vertical="center"/>
    </xf>
    <xf numFmtId="0" fontId="13" fillId="0" borderId="0" xfId="0" applyFont="1" applyBorder="1" applyAlignment="1">
      <alignment horizontal="center" vertical="center"/>
    </xf>
    <xf numFmtId="0" fontId="11" fillId="5" borderId="2" xfId="1275" applyFont="1" applyFill="1" applyBorder="1" applyAlignment="1">
      <alignment horizontal="center"/>
    </xf>
    <xf numFmtId="0" fontId="11" fillId="5" borderId="12" xfId="1275" applyFont="1" applyFill="1" applyBorder="1" applyAlignment="1">
      <alignment horizontal="center"/>
    </xf>
    <xf numFmtId="0" fontId="11" fillId="5" borderId="3" xfId="1275" applyFont="1" applyFill="1" applyBorder="1" applyAlignment="1">
      <alignment horizontal="center"/>
    </xf>
    <xf numFmtId="0" fontId="16" fillId="0" borderId="6" xfId="1275" applyFont="1" applyBorder="1" applyAlignment="1">
      <alignment horizontal="center"/>
    </xf>
    <xf numFmtId="0" fontId="16" fillId="0" borderId="13" xfId="1275" applyFont="1" applyBorder="1" applyAlignment="1">
      <alignment horizontal="center"/>
    </xf>
    <xf numFmtId="0" fontId="16" fillId="0" borderId="7" xfId="1275" applyFont="1" applyBorder="1" applyAlignment="1">
      <alignment horizontal="center"/>
    </xf>
    <xf numFmtId="0" fontId="19" fillId="0" borderId="84" xfId="1275" applyFont="1" applyBorder="1" applyAlignment="1">
      <alignment horizontal="center"/>
    </xf>
    <xf numFmtId="0" fontId="13" fillId="0" borderId="0" xfId="0" applyFont="1" applyBorder="1" applyAlignment="1">
      <alignment horizontal="center"/>
    </xf>
    <xf numFmtId="1" fontId="19" fillId="0" borderId="0" xfId="0" applyNumberFormat="1" applyFont="1" applyFill="1" applyBorder="1" applyAlignment="1" applyProtection="1">
      <alignment horizontal="center" vertical="center"/>
    </xf>
    <xf numFmtId="1" fontId="11" fillId="10" borderId="14" xfId="0" applyNumberFormat="1" applyFont="1" applyFill="1" applyBorder="1" applyAlignment="1">
      <alignment horizontal="center"/>
    </xf>
    <xf numFmtId="1" fontId="11" fillId="10" borderId="3" xfId="0" applyNumberFormat="1" applyFont="1" applyFill="1" applyBorder="1" applyAlignment="1">
      <alignment horizontal="center"/>
    </xf>
    <xf numFmtId="0" fontId="37" fillId="0" borderId="0" xfId="0" applyFont="1" applyFill="1" applyBorder="1" applyAlignment="1">
      <alignment horizontal="left" vertical="top" wrapText="1"/>
    </xf>
    <xf numFmtId="1" fontId="11" fillId="0" borderId="0" xfId="0" applyNumberFormat="1" applyFont="1" applyFill="1" applyBorder="1" applyAlignment="1" applyProtection="1">
      <alignment horizontal="center" vertical="center"/>
    </xf>
    <xf numFmtId="0" fontId="16" fillId="0" borderId="0" xfId="0" applyFont="1" applyAlignment="1">
      <alignment horizontal="left" vertical="center" wrapText="1"/>
    </xf>
    <xf numFmtId="1" fontId="11" fillId="10" borderId="46" xfId="0" applyNumberFormat="1" applyFont="1" applyFill="1" applyBorder="1" applyAlignment="1" applyProtection="1">
      <alignment horizontal="center" vertical="center"/>
    </xf>
    <xf numFmtId="1" fontId="11" fillId="10" borderId="44" xfId="0" applyNumberFormat="1" applyFont="1" applyFill="1" applyBorder="1" applyAlignment="1" applyProtection="1">
      <alignment horizontal="center" vertical="center"/>
    </xf>
    <xf numFmtId="171" fontId="11" fillId="10" borderId="14" xfId="0" applyNumberFormat="1" applyFont="1" applyFill="1" applyBorder="1" applyAlignment="1">
      <alignment horizontal="center"/>
    </xf>
    <xf numFmtId="171" fontId="11" fillId="10" borderId="3" xfId="0" applyNumberFormat="1" applyFont="1" applyFill="1" applyBorder="1" applyAlignment="1">
      <alignment horizontal="center"/>
    </xf>
    <xf numFmtId="0" fontId="11" fillId="10" borderId="14" xfId="0" applyNumberFormat="1" applyFont="1" applyFill="1" applyBorder="1" applyAlignment="1">
      <alignment horizontal="center"/>
    </xf>
    <xf numFmtId="0" fontId="11" fillId="10" borderId="3" xfId="0" applyNumberFormat="1" applyFont="1" applyFill="1" applyBorder="1" applyAlignment="1">
      <alignment horizontal="center"/>
    </xf>
    <xf numFmtId="0" fontId="73" fillId="0" borderId="0" xfId="0" applyFont="1" applyBorder="1" applyAlignment="1">
      <alignment horizontal="center" vertical="center"/>
    </xf>
    <xf numFmtId="0" fontId="16" fillId="0" borderId="0" xfId="0" applyFont="1" applyAlignment="1">
      <alignment horizontal="center" wrapText="1"/>
    </xf>
    <xf numFmtId="0" fontId="19" fillId="0" borderId="84" xfId="0" applyFont="1" applyBorder="1" applyAlignment="1">
      <alignment horizontal="center" vertical="center"/>
    </xf>
    <xf numFmtId="0" fontId="20" fillId="78" borderId="37" xfId="0" applyFont="1" applyFill="1" applyBorder="1" applyAlignment="1">
      <alignment horizontal="right"/>
    </xf>
    <xf numFmtId="0" fontId="20" fillId="78" borderId="38" xfId="0" applyFont="1" applyFill="1" applyBorder="1" applyAlignment="1">
      <alignment horizontal="right"/>
    </xf>
    <xf numFmtId="0" fontId="20" fillId="78" borderId="39" xfId="0" applyFont="1" applyFill="1" applyBorder="1" applyAlignment="1">
      <alignment horizontal="right"/>
    </xf>
    <xf numFmtId="0" fontId="36" fillId="14" borderId="8" xfId="0" applyFont="1" applyFill="1" applyBorder="1" applyAlignment="1">
      <alignment horizontal="right" vertical="center" indent="1"/>
    </xf>
    <xf numFmtId="0" fontId="36" fillId="14" borderId="33" xfId="0" applyFont="1" applyFill="1" applyBorder="1" applyAlignment="1">
      <alignment horizontal="right" vertical="center" indent="1"/>
    </xf>
    <xf numFmtId="0" fontId="36" fillId="14" borderId="9" xfId="0" applyFont="1" applyFill="1" applyBorder="1" applyAlignment="1">
      <alignment horizontal="right" vertical="center" indent="1"/>
    </xf>
    <xf numFmtId="0" fontId="20" fillId="78" borderId="120" xfId="0" applyFont="1" applyFill="1" applyBorder="1" applyAlignment="1">
      <alignment horizontal="right"/>
    </xf>
    <xf numFmtId="0" fontId="20" fillId="78" borderId="121" xfId="0" applyFont="1" applyFill="1" applyBorder="1" applyAlignment="1">
      <alignment horizontal="right"/>
    </xf>
    <xf numFmtId="0" fontId="20" fillId="78" borderId="122" xfId="0" applyFont="1" applyFill="1" applyBorder="1" applyAlignment="1">
      <alignment horizontal="right"/>
    </xf>
    <xf numFmtId="0" fontId="11" fillId="7" borderId="8" xfId="0" applyFont="1" applyFill="1" applyBorder="1" applyAlignment="1">
      <alignment horizontal="right"/>
    </xf>
    <xf numFmtId="0" fontId="11" fillId="7" borderId="33" xfId="0" applyFont="1" applyFill="1" applyBorder="1" applyAlignment="1">
      <alignment horizontal="right"/>
    </xf>
  </cellXfs>
  <cellStyles count="44646">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5"/>
    <cellStyle name="20% - Accent1 10 3" xfId="28380"/>
    <cellStyle name="20% - Accent1 11" xfId="6309"/>
    <cellStyle name="20% - Accent1 11 2" xfId="15968"/>
    <cellStyle name="20% - Accent1 11 3" xfId="28393"/>
    <cellStyle name="20% - Accent1 12" xfId="6518"/>
    <cellStyle name="20% - Accent1 12 2" xfId="8772"/>
    <cellStyle name="20% - Accent1 13" xfId="8807"/>
    <cellStyle name="20% - Accent1 13 2" xfId="28409"/>
    <cellStyle name="20% - Accent1 14" xfId="10059"/>
    <cellStyle name="20% - Accent1 15" xfId="7665"/>
    <cellStyle name="20% - Accent1 16" xfId="22507"/>
    <cellStyle name="20% - Accent1 17" xfId="28441"/>
    <cellStyle name="20% - Accent1 18" xfId="28483"/>
    <cellStyle name="20% - Accent1 19" xfId="44622"/>
    <cellStyle name="20% - Accent1 2" xfId="6249"/>
    <cellStyle name="20% - Accent1 2 2" xfId="6310"/>
    <cellStyle name="20% - Accent1 2 2 2" xfId="10130"/>
    <cellStyle name="20% - Accent1 2 2 3" xfId="22620"/>
    <cellStyle name="20% - Accent1 2 3" xfId="10076"/>
    <cellStyle name="20% - Accent1 2 4" xfId="22520"/>
    <cellStyle name="20% - Accent1 2_Data - Monthly Commodity Prices" xfId="6450"/>
    <cellStyle name="20% - Accent1 3" xfId="6250"/>
    <cellStyle name="20% - Accent1 3 2" xfId="6311"/>
    <cellStyle name="20% - Accent1 3 2 2" xfId="10144"/>
    <cellStyle name="20% - Accent1 3 2 3" xfId="22633"/>
    <cellStyle name="20% - Accent1 3 3" xfId="10090"/>
    <cellStyle name="20% - Accent1 3 4" xfId="22534"/>
    <cellStyle name="20% - Accent1 3_Data - Monthly Commodity Prices" xfId="6451"/>
    <cellStyle name="20% - Accent1 4" xfId="6251"/>
    <cellStyle name="20% - Accent1 4 2" xfId="6312"/>
    <cellStyle name="20% - Accent1 4 2 2" xfId="10159"/>
    <cellStyle name="20% - Accent1 4 2 3" xfId="7692"/>
    <cellStyle name="20% - Accent1 4 2 4" xfId="6572"/>
    <cellStyle name="20% - Accent1 4 3" xfId="10102"/>
    <cellStyle name="20% - Accent1 4 4" xfId="22549"/>
    <cellStyle name="20% - Accent1 4_LNG &amp; LPG rework" xfId="8788"/>
    <cellStyle name="20% - Accent1 5" xfId="6313"/>
    <cellStyle name="20% - Accent1 5 2" xfId="10173"/>
    <cellStyle name="20% - Accent1 5 3" xfId="22563"/>
    <cellStyle name="20% - Accent1 6" xfId="6314"/>
    <cellStyle name="20% - Accent1 6 2" xfId="10117"/>
    <cellStyle name="20% - Accent1 6 3" xfId="22576"/>
    <cellStyle name="20% - Accent1 7" xfId="6315"/>
    <cellStyle name="20% - Accent1 7 2" xfId="15908"/>
    <cellStyle name="20% - Accent1 7 3" xfId="22590"/>
    <cellStyle name="20% - Accent1 8" xfId="6316"/>
    <cellStyle name="20% - Accent1 8 2" xfId="15921"/>
    <cellStyle name="20% - Accent1 8 3" xfId="22607"/>
    <cellStyle name="20% - Accent1 9" xfId="6317"/>
    <cellStyle name="20% - Accent1 9 2" xfId="15935"/>
    <cellStyle name="20% - Accent1 9 3" xfId="22648"/>
    <cellStyle name="20% - Accent2" xfId="180" builtinId="34" customBuiltin="1"/>
    <cellStyle name="20% - Accent2 10" xfId="6318"/>
    <cellStyle name="20% - Accent2 10 2" xfId="15957"/>
    <cellStyle name="20% - Accent2 10 3" xfId="28382"/>
    <cellStyle name="20% - Accent2 11" xfId="6319"/>
    <cellStyle name="20% - Accent2 11 2" xfId="15970"/>
    <cellStyle name="20% - Accent2 11 3" xfId="28395"/>
    <cellStyle name="20% - Accent2 12" xfId="6517"/>
    <cellStyle name="20% - Accent2 12 2" xfId="8774"/>
    <cellStyle name="20% - Accent2 13" xfId="8809"/>
    <cellStyle name="20% - Accent2 13 2" xfId="28411"/>
    <cellStyle name="20% - Accent2 14" xfId="10061"/>
    <cellStyle name="20% - Accent2 15" xfId="7663"/>
    <cellStyle name="20% - Accent2 16" xfId="22509"/>
    <cellStyle name="20% - Accent2 17" xfId="28443"/>
    <cellStyle name="20% - Accent2 18" xfId="28485"/>
    <cellStyle name="20% - Accent2 19" xfId="44626"/>
    <cellStyle name="20% - Accent2 2" xfId="6252"/>
    <cellStyle name="20% - Accent2 2 2" xfId="6320"/>
    <cellStyle name="20% - Accent2 2 2 2" xfId="10132"/>
    <cellStyle name="20% - Accent2 2 2 3" xfId="22622"/>
    <cellStyle name="20% - Accent2 2 3" xfId="10078"/>
    <cellStyle name="20% - Accent2 2 4" xfId="22522"/>
    <cellStyle name="20% - Accent2 2_Data - Monthly Commodity Prices" xfId="6452"/>
    <cellStyle name="20% - Accent2 3" xfId="6253"/>
    <cellStyle name="20% - Accent2 3 2" xfId="6321"/>
    <cellStyle name="20% - Accent2 3 2 2" xfId="10146"/>
    <cellStyle name="20% - Accent2 3 2 3" xfId="22635"/>
    <cellStyle name="20% - Accent2 3 3" xfId="10092"/>
    <cellStyle name="20% - Accent2 3 4" xfId="22536"/>
    <cellStyle name="20% - Accent2 3_Data - Monthly Commodity Prices" xfId="6453"/>
    <cellStyle name="20% - Accent2 4" xfId="6254"/>
    <cellStyle name="20% - Accent2 4 2" xfId="6322"/>
    <cellStyle name="20% - Accent2 4 2 2" xfId="10161"/>
    <cellStyle name="20% - Accent2 4 2 3" xfId="7693"/>
    <cellStyle name="20% - Accent2 4 2 4" xfId="6574"/>
    <cellStyle name="20% - Accent2 4 3" xfId="10103"/>
    <cellStyle name="20% - Accent2 4 4" xfId="22551"/>
    <cellStyle name="20% - Accent2 4_LNG &amp; LPG rework" xfId="8790"/>
    <cellStyle name="20% - Accent2 5" xfId="6323"/>
    <cellStyle name="20% - Accent2 5 2" xfId="10175"/>
    <cellStyle name="20% - Accent2 5 3" xfId="22565"/>
    <cellStyle name="20% - Accent2 6" xfId="6324"/>
    <cellStyle name="20% - Accent2 6 2" xfId="10119"/>
    <cellStyle name="20% - Accent2 6 3" xfId="22578"/>
    <cellStyle name="20% - Accent2 7" xfId="6325"/>
    <cellStyle name="20% - Accent2 7 2" xfId="15910"/>
    <cellStyle name="20% - Accent2 7 3" xfId="22592"/>
    <cellStyle name="20% - Accent2 8" xfId="6326"/>
    <cellStyle name="20% - Accent2 8 2" xfId="15923"/>
    <cellStyle name="20% - Accent2 8 3" xfId="22609"/>
    <cellStyle name="20% - Accent2 9" xfId="6327"/>
    <cellStyle name="20% - Accent2 9 2" xfId="15937"/>
    <cellStyle name="20% - Accent2 9 3" xfId="22650"/>
    <cellStyle name="20% - Accent3" xfId="184" builtinId="38" customBuiltin="1"/>
    <cellStyle name="20% - Accent3 10" xfId="6328"/>
    <cellStyle name="20% - Accent3 10 2" xfId="15959"/>
    <cellStyle name="20% - Accent3 10 3" xfId="28384"/>
    <cellStyle name="20% - Accent3 11" xfId="6329"/>
    <cellStyle name="20% - Accent3 11 2" xfId="15972"/>
    <cellStyle name="20% - Accent3 11 3" xfId="28397"/>
    <cellStyle name="20% - Accent3 12" xfId="6516"/>
    <cellStyle name="20% - Accent3 12 2" xfId="8776"/>
    <cellStyle name="20% - Accent3 13" xfId="8811"/>
    <cellStyle name="20% - Accent3 13 2" xfId="28413"/>
    <cellStyle name="20% - Accent3 14" xfId="10063"/>
    <cellStyle name="20% - Accent3 15" xfId="7660"/>
    <cellStyle name="20% - Accent3 16" xfId="22511"/>
    <cellStyle name="20% - Accent3 17" xfId="28445"/>
    <cellStyle name="20% - Accent3 18" xfId="28487"/>
    <cellStyle name="20% - Accent3 19" xfId="44630"/>
    <cellStyle name="20% - Accent3 2" xfId="6255"/>
    <cellStyle name="20% - Accent3 2 2" xfId="6330"/>
    <cellStyle name="20% - Accent3 2 2 2" xfId="10134"/>
    <cellStyle name="20% - Accent3 2 2 3" xfId="22624"/>
    <cellStyle name="20% - Accent3 2 3" xfId="10080"/>
    <cellStyle name="20% - Accent3 2 4" xfId="22524"/>
    <cellStyle name="20% - Accent3 2_Data - Monthly Commodity Prices" xfId="6454"/>
    <cellStyle name="20% - Accent3 3" xfId="6256"/>
    <cellStyle name="20% - Accent3 3 2" xfId="6331"/>
    <cellStyle name="20% - Accent3 3 2 2" xfId="10148"/>
    <cellStyle name="20% - Accent3 3 2 3" xfId="22637"/>
    <cellStyle name="20% - Accent3 3 3" xfId="10094"/>
    <cellStyle name="20% - Accent3 3 4" xfId="22538"/>
    <cellStyle name="20% - Accent3 3_Data - Monthly Commodity Prices" xfId="6455"/>
    <cellStyle name="20% - Accent3 4" xfId="6257"/>
    <cellStyle name="20% - Accent3 4 2" xfId="6332"/>
    <cellStyle name="20% - Accent3 4 2 2" xfId="10163"/>
    <cellStyle name="20% - Accent3 4 2 3" xfId="7694"/>
    <cellStyle name="20% - Accent3 4 2 4" xfId="6576"/>
    <cellStyle name="20% - Accent3 4 3" xfId="10104"/>
    <cellStyle name="20% - Accent3 4 4" xfId="22553"/>
    <cellStyle name="20% - Accent3 4_LNG &amp; LPG rework" xfId="8789"/>
    <cellStyle name="20% - Accent3 5" xfId="6333"/>
    <cellStyle name="20% - Accent3 5 2" xfId="10177"/>
    <cellStyle name="20% - Accent3 5 3" xfId="22567"/>
    <cellStyle name="20% - Accent3 6" xfId="6334"/>
    <cellStyle name="20% - Accent3 6 2" xfId="10121"/>
    <cellStyle name="20% - Accent3 6 3" xfId="22580"/>
    <cellStyle name="20% - Accent3 7" xfId="6335"/>
    <cellStyle name="20% - Accent3 7 2" xfId="15912"/>
    <cellStyle name="20% - Accent3 7 3" xfId="22594"/>
    <cellStyle name="20% - Accent3 8" xfId="6336"/>
    <cellStyle name="20% - Accent3 8 2" xfId="15925"/>
    <cellStyle name="20% - Accent3 8 3" xfId="22611"/>
    <cellStyle name="20% - Accent3 9" xfId="6337"/>
    <cellStyle name="20% - Accent3 9 2" xfId="15939"/>
    <cellStyle name="20% - Accent3 9 3" xfId="22652"/>
    <cellStyle name="20% - Accent4" xfId="188" builtinId="42" customBuiltin="1"/>
    <cellStyle name="20% - Accent4 10" xfId="6338"/>
    <cellStyle name="20% - Accent4 10 2" xfId="15961"/>
    <cellStyle name="20% - Accent4 10 3" xfId="28386"/>
    <cellStyle name="20% - Accent4 11" xfId="6339"/>
    <cellStyle name="20% - Accent4 11 2" xfId="15974"/>
    <cellStyle name="20% - Accent4 11 3" xfId="28399"/>
    <cellStyle name="20% - Accent4 12" xfId="6508"/>
    <cellStyle name="20% - Accent4 12 2" xfId="8778"/>
    <cellStyle name="20% - Accent4 13" xfId="8813"/>
    <cellStyle name="20% - Accent4 13 2" xfId="28415"/>
    <cellStyle name="20% - Accent4 14" xfId="10065"/>
    <cellStyle name="20% - Accent4 15" xfId="7658"/>
    <cellStyle name="20% - Accent4 16" xfId="22513"/>
    <cellStyle name="20% - Accent4 17" xfId="28447"/>
    <cellStyle name="20% - Accent4 18" xfId="28489"/>
    <cellStyle name="20% - Accent4 19" xfId="44634"/>
    <cellStyle name="20% - Accent4 2" xfId="6258"/>
    <cellStyle name="20% - Accent4 2 2" xfId="6340"/>
    <cellStyle name="20% - Accent4 2 2 2" xfId="10136"/>
    <cellStyle name="20% - Accent4 2 2 3" xfId="22626"/>
    <cellStyle name="20% - Accent4 2 3" xfId="10082"/>
    <cellStyle name="20% - Accent4 2 4" xfId="22526"/>
    <cellStyle name="20% - Accent4 2_Data - Monthly Commodity Prices" xfId="6456"/>
    <cellStyle name="20% - Accent4 3" xfId="6259"/>
    <cellStyle name="20% - Accent4 3 2" xfId="6341"/>
    <cellStyle name="20% - Accent4 3 2 2" xfId="10150"/>
    <cellStyle name="20% - Accent4 3 2 3" xfId="22639"/>
    <cellStyle name="20% - Accent4 3 3" xfId="10096"/>
    <cellStyle name="20% - Accent4 3 4" xfId="22540"/>
    <cellStyle name="20% - Accent4 3_Data - Monthly Commodity Prices" xfId="6457"/>
    <cellStyle name="20% - Accent4 4" xfId="6260"/>
    <cellStyle name="20% - Accent4 4 2" xfId="6342"/>
    <cellStyle name="20% - Accent4 4 2 2" xfId="10165"/>
    <cellStyle name="20% - Accent4 4 2 3" xfId="7695"/>
    <cellStyle name="20% - Accent4 4 2 4" xfId="6578"/>
    <cellStyle name="20% - Accent4 4 3" xfId="10105"/>
    <cellStyle name="20% - Accent4 4 4" xfId="22555"/>
    <cellStyle name="20% - Accent4 4_LNG &amp; LPG rework" xfId="8787"/>
    <cellStyle name="20% - Accent4 5" xfId="6343"/>
    <cellStyle name="20% - Accent4 5 2" xfId="10179"/>
    <cellStyle name="20% - Accent4 5 3" xfId="22569"/>
    <cellStyle name="20% - Accent4 6" xfId="6344"/>
    <cellStyle name="20% - Accent4 6 2" xfId="10123"/>
    <cellStyle name="20% - Accent4 6 3" xfId="22582"/>
    <cellStyle name="20% - Accent4 7" xfId="6345"/>
    <cellStyle name="20% - Accent4 7 2" xfId="15914"/>
    <cellStyle name="20% - Accent4 7 3" xfId="22596"/>
    <cellStyle name="20% - Accent4 8" xfId="6346"/>
    <cellStyle name="20% - Accent4 8 2" xfId="15927"/>
    <cellStyle name="20% - Accent4 8 3" xfId="22613"/>
    <cellStyle name="20% - Accent4 9" xfId="6347"/>
    <cellStyle name="20% - Accent4 9 2" xfId="15941"/>
    <cellStyle name="20% - Accent4 9 3" xfId="22654"/>
    <cellStyle name="20% - Accent5" xfId="192" builtinId="46" customBuiltin="1"/>
    <cellStyle name="20% - Accent5 10" xfId="6348"/>
    <cellStyle name="20% - Accent5 10 2" xfId="15963"/>
    <cellStyle name="20% - Accent5 10 3" xfId="28388"/>
    <cellStyle name="20% - Accent5 11" xfId="6349"/>
    <cellStyle name="20% - Accent5 11 2" xfId="15976"/>
    <cellStyle name="20% - Accent5 11 3" xfId="28401"/>
    <cellStyle name="20% - Accent5 12" xfId="6515"/>
    <cellStyle name="20% - Accent5 12 2" xfId="8780"/>
    <cellStyle name="20% - Accent5 13" xfId="8815"/>
    <cellStyle name="20% - Accent5 13 2" xfId="28417"/>
    <cellStyle name="20% - Accent5 14" xfId="10067"/>
    <cellStyle name="20% - Accent5 15" xfId="7657"/>
    <cellStyle name="20% - Accent5 16" xfId="22515"/>
    <cellStyle name="20% - Accent5 17" xfId="28449"/>
    <cellStyle name="20% - Accent5 18" xfId="28491"/>
    <cellStyle name="20% - Accent5 19" xfId="44638"/>
    <cellStyle name="20% - Accent5 2" xfId="6261"/>
    <cellStyle name="20% - Accent5 2 2" xfId="6350"/>
    <cellStyle name="20% - Accent5 2 2 2" xfId="10138"/>
    <cellStyle name="20% - Accent5 2 2 3" xfId="22628"/>
    <cellStyle name="20% - Accent5 2 3" xfId="10084"/>
    <cellStyle name="20% - Accent5 2 4" xfId="22528"/>
    <cellStyle name="20% - Accent5 2_Data - Monthly Commodity Prices" xfId="6458"/>
    <cellStyle name="20% - Accent5 3" xfId="6262"/>
    <cellStyle name="20% - Accent5 3 2" xfId="6351"/>
    <cellStyle name="20% - Accent5 3 2 2" xfId="10152"/>
    <cellStyle name="20% - Accent5 3 2 3" xfId="22641"/>
    <cellStyle name="20% - Accent5 3 3" xfId="10098"/>
    <cellStyle name="20% - Accent5 3 4" xfId="22542"/>
    <cellStyle name="20% - Accent5 3_LNG &amp; LPG rework" xfId="8793"/>
    <cellStyle name="20% - Accent5 4" xfId="6263"/>
    <cellStyle name="20% - Accent5 4 2" xfId="6352"/>
    <cellStyle name="20% - Accent5 4 2 2" xfId="10167"/>
    <cellStyle name="20% - Accent5 4 2 3" xfId="7702"/>
    <cellStyle name="20% - Accent5 4 2 4" xfId="6580"/>
    <cellStyle name="20% - Accent5 4 3" xfId="22557"/>
    <cellStyle name="20% - Accent5 4_Data - Monthly Commodity Prices" xfId="6459"/>
    <cellStyle name="20% - Accent5 5" xfId="6353"/>
    <cellStyle name="20% - Accent5 5 2" xfId="10181"/>
    <cellStyle name="20% - Accent5 5 3" xfId="22571"/>
    <cellStyle name="20% - Accent5 6" xfId="6354"/>
    <cellStyle name="20% - Accent5 6 2" xfId="10125"/>
    <cellStyle name="20% - Accent5 6 3" xfId="22584"/>
    <cellStyle name="20% - Accent5 7" xfId="6355"/>
    <cellStyle name="20% - Accent5 7 2" xfId="15916"/>
    <cellStyle name="20% - Accent5 7 3" xfId="22598"/>
    <cellStyle name="20% - Accent5 8" xfId="6356"/>
    <cellStyle name="20% - Accent5 8 2" xfId="15929"/>
    <cellStyle name="20% - Accent5 8 3" xfId="22615"/>
    <cellStyle name="20% - Accent5 9" xfId="6357"/>
    <cellStyle name="20% - Accent5 9 2" xfId="15943"/>
    <cellStyle name="20% - Accent5 9 3" xfId="22656"/>
    <cellStyle name="20% - Accent6" xfId="196" builtinId="50" customBuiltin="1"/>
    <cellStyle name="20% - Accent6 10" xfId="6358"/>
    <cellStyle name="20% - Accent6 10 2" xfId="15965"/>
    <cellStyle name="20% - Accent6 10 3" xfId="28390"/>
    <cellStyle name="20% - Accent6 11" xfId="6359"/>
    <cellStyle name="20% - Accent6 11 2" xfId="15978"/>
    <cellStyle name="20% - Accent6 11 3" xfId="28403"/>
    <cellStyle name="20% - Accent6 12" xfId="6551"/>
    <cellStyle name="20% - Accent6 12 2" xfId="8782"/>
    <cellStyle name="20% - Accent6 13" xfId="8817"/>
    <cellStyle name="20% - Accent6 13 2" xfId="28419"/>
    <cellStyle name="20% - Accent6 14" xfId="10069"/>
    <cellStyle name="20% - Accent6 15" xfId="7655"/>
    <cellStyle name="20% - Accent6 16" xfId="22517"/>
    <cellStyle name="20% - Accent6 17" xfId="28451"/>
    <cellStyle name="20% - Accent6 18" xfId="28493"/>
    <cellStyle name="20% - Accent6 19" xfId="44642"/>
    <cellStyle name="20% - Accent6 2" xfId="6264"/>
    <cellStyle name="20% - Accent6 2 2" xfId="6360"/>
    <cellStyle name="20% - Accent6 2 2 2" xfId="10140"/>
    <cellStyle name="20% - Accent6 2 2 3" xfId="22630"/>
    <cellStyle name="20% - Accent6 2 3" xfId="10086"/>
    <cellStyle name="20% - Accent6 2 4" xfId="22530"/>
    <cellStyle name="20% - Accent6 2_Data - Monthly Commodity Prices" xfId="6460"/>
    <cellStyle name="20% - Accent6 3" xfId="6265"/>
    <cellStyle name="20% - Accent6 3 2" xfId="6361"/>
    <cellStyle name="20% - Accent6 3 2 2" xfId="10154"/>
    <cellStyle name="20% - Accent6 3 2 3" xfId="22643"/>
    <cellStyle name="20% - Accent6 3 3" xfId="10100"/>
    <cellStyle name="20% - Accent6 3 4" xfId="22544"/>
    <cellStyle name="20% - Accent6 3_Data - Monthly Commodity Prices" xfId="6461"/>
    <cellStyle name="20% - Accent6 4" xfId="6266"/>
    <cellStyle name="20% - Accent6 4 2" xfId="6362"/>
    <cellStyle name="20% - Accent6 4 2 2" xfId="10169"/>
    <cellStyle name="20% - Accent6 4 2 3" xfId="7696"/>
    <cellStyle name="20% - Accent6 4 2 4" xfId="6582"/>
    <cellStyle name="20% - Accent6 4 3" xfId="10106"/>
    <cellStyle name="20% - Accent6 4 4" xfId="22559"/>
    <cellStyle name="20% - Accent6 4_LNG &amp; LPG rework" xfId="8792"/>
    <cellStyle name="20% - Accent6 5" xfId="6363"/>
    <cellStyle name="20% - Accent6 5 2" xfId="10183"/>
    <cellStyle name="20% - Accent6 5 3" xfId="22573"/>
    <cellStyle name="20% - Accent6 6" xfId="6364"/>
    <cellStyle name="20% - Accent6 6 2" xfId="10127"/>
    <cellStyle name="20% - Accent6 6 3" xfId="22586"/>
    <cellStyle name="20% - Accent6 7" xfId="6365"/>
    <cellStyle name="20% - Accent6 7 2" xfId="15918"/>
    <cellStyle name="20% - Accent6 7 3" xfId="22600"/>
    <cellStyle name="20% - Accent6 8" xfId="6366"/>
    <cellStyle name="20% - Accent6 8 2" xfId="15931"/>
    <cellStyle name="20% - Accent6 8 3" xfId="22617"/>
    <cellStyle name="20% - Accent6 9" xfId="6367"/>
    <cellStyle name="20% - Accent6 9 2" xfId="15945"/>
    <cellStyle name="20% - Accent6 9 3" xfId="22658"/>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6"/>
    <cellStyle name="40% - Accent1 10 3" xfId="28381"/>
    <cellStyle name="40% - Accent1 11" xfId="6369"/>
    <cellStyle name="40% - Accent1 11 2" xfId="15969"/>
    <cellStyle name="40% - Accent1 11 3" xfId="28394"/>
    <cellStyle name="40% - Accent1 12" xfId="6549"/>
    <cellStyle name="40% - Accent1 12 2" xfId="8773"/>
    <cellStyle name="40% - Accent1 13" xfId="8808"/>
    <cellStyle name="40% - Accent1 13 2" xfId="28410"/>
    <cellStyle name="40% - Accent1 14" xfId="10060"/>
    <cellStyle name="40% - Accent1 15" xfId="7664"/>
    <cellStyle name="40% - Accent1 16" xfId="22508"/>
    <cellStyle name="40% - Accent1 17" xfId="28442"/>
    <cellStyle name="40% - Accent1 18" xfId="28484"/>
    <cellStyle name="40% - Accent1 19" xfId="44623"/>
    <cellStyle name="40% - Accent1 2" xfId="6267"/>
    <cellStyle name="40% - Accent1 2 2" xfId="6370"/>
    <cellStyle name="40% - Accent1 2 2 2" xfId="10131"/>
    <cellStyle name="40% - Accent1 2 2 3" xfId="22621"/>
    <cellStyle name="40% - Accent1 2 3" xfId="10077"/>
    <cellStyle name="40% - Accent1 2 4" xfId="22521"/>
    <cellStyle name="40% - Accent1 2_Data - Monthly Commodity Prices" xfId="6462"/>
    <cellStyle name="40% - Accent1 3" xfId="6268"/>
    <cellStyle name="40% - Accent1 3 2" xfId="6371"/>
    <cellStyle name="40% - Accent1 3 2 2" xfId="10145"/>
    <cellStyle name="40% - Accent1 3 2 3" xfId="22634"/>
    <cellStyle name="40% - Accent1 3 3" xfId="10091"/>
    <cellStyle name="40% - Accent1 3 4" xfId="22535"/>
    <cellStyle name="40% - Accent1 3_Data - Monthly Commodity Prices" xfId="6463"/>
    <cellStyle name="40% - Accent1 4" xfId="6269"/>
    <cellStyle name="40% - Accent1 4 2" xfId="6372"/>
    <cellStyle name="40% - Accent1 4 2 2" xfId="10160"/>
    <cellStyle name="40% - Accent1 4 2 3" xfId="7697"/>
    <cellStyle name="40% - Accent1 4 2 4" xfId="6573"/>
    <cellStyle name="40% - Accent1 4 3" xfId="10107"/>
    <cellStyle name="40% - Accent1 4 4" xfId="22550"/>
    <cellStyle name="40% - Accent1 4_LNG &amp; LPG rework" xfId="8794"/>
    <cellStyle name="40% - Accent1 5" xfId="6373"/>
    <cellStyle name="40% - Accent1 5 2" xfId="10174"/>
    <cellStyle name="40% - Accent1 5 3" xfId="22564"/>
    <cellStyle name="40% - Accent1 6" xfId="6374"/>
    <cellStyle name="40% - Accent1 6 2" xfId="10118"/>
    <cellStyle name="40% - Accent1 6 3" xfId="22577"/>
    <cellStyle name="40% - Accent1 7" xfId="6375"/>
    <cellStyle name="40% - Accent1 7 2" xfId="15909"/>
    <cellStyle name="40% - Accent1 7 3" xfId="22591"/>
    <cellStyle name="40% - Accent1 8" xfId="6376"/>
    <cellStyle name="40% - Accent1 8 2" xfId="15922"/>
    <cellStyle name="40% - Accent1 8 3" xfId="22608"/>
    <cellStyle name="40% - Accent1 9" xfId="6377"/>
    <cellStyle name="40% - Accent1 9 2" xfId="15936"/>
    <cellStyle name="40% - Accent1 9 3" xfId="22649"/>
    <cellStyle name="40% - Accent2" xfId="181" builtinId="35" customBuiltin="1"/>
    <cellStyle name="40% - Accent2 10" xfId="6378"/>
    <cellStyle name="40% - Accent2 10 2" xfId="15958"/>
    <cellStyle name="40% - Accent2 10 3" xfId="28383"/>
    <cellStyle name="40% - Accent2 11" xfId="6379"/>
    <cellStyle name="40% - Accent2 11 2" xfId="15971"/>
    <cellStyle name="40% - Accent2 11 3" xfId="28396"/>
    <cellStyle name="40% - Accent2 12" xfId="6548"/>
    <cellStyle name="40% - Accent2 12 2" xfId="8775"/>
    <cellStyle name="40% - Accent2 13" xfId="8810"/>
    <cellStyle name="40% - Accent2 13 2" xfId="28412"/>
    <cellStyle name="40% - Accent2 14" xfId="10062"/>
    <cellStyle name="40% - Accent2 15" xfId="7662"/>
    <cellStyle name="40% - Accent2 16" xfId="22510"/>
    <cellStyle name="40% - Accent2 17" xfId="28444"/>
    <cellStyle name="40% - Accent2 18" xfId="28486"/>
    <cellStyle name="40% - Accent2 19" xfId="44627"/>
    <cellStyle name="40% - Accent2 2" xfId="6270"/>
    <cellStyle name="40% - Accent2 2 2" xfId="6380"/>
    <cellStyle name="40% - Accent2 2 2 2" xfId="10133"/>
    <cellStyle name="40% - Accent2 2 2 3" xfId="22623"/>
    <cellStyle name="40% - Accent2 2 3" xfId="10079"/>
    <cellStyle name="40% - Accent2 2 4" xfId="22523"/>
    <cellStyle name="40% - Accent2 2_Data - Monthly Commodity Prices" xfId="6464"/>
    <cellStyle name="40% - Accent2 3" xfId="6271"/>
    <cellStyle name="40% - Accent2 3 2" xfId="6381"/>
    <cellStyle name="40% - Accent2 3 2 2" xfId="10147"/>
    <cellStyle name="40% - Accent2 3 2 3" xfId="22636"/>
    <cellStyle name="40% - Accent2 3 3" xfId="10093"/>
    <cellStyle name="40% - Accent2 3 4" xfId="22537"/>
    <cellStyle name="40% - Accent2 3_LNG &amp; LPG rework" xfId="8795"/>
    <cellStyle name="40% - Accent2 4" xfId="6272"/>
    <cellStyle name="40% - Accent2 4 2" xfId="6382"/>
    <cellStyle name="40% - Accent2 4 2 2" xfId="10162"/>
    <cellStyle name="40% - Accent2 4 2 3" xfId="7703"/>
    <cellStyle name="40% - Accent2 4 2 4" xfId="6575"/>
    <cellStyle name="40% - Accent2 4 3" xfId="22552"/>
    <cellStyle name="40% - Accent2 4_Data - Monthly Commodity Prices" xfId="6465"/>
    <cellStyle name="40% - Accent2 5" xfId="6383"/>
    <cellStyle name="40% - Accent2 5 2" xfId="10176"/>
    <cellStyle name="40% - Accent2 5 3" xfId="22566"/>
    <cellStyle name="40% - Accent2 6" xfId="6384"/>
    <cellStyle name="40% - Accent2 6 2" xfId="10120"/>
    <cellStyle name="40% - Accent2 6 3" xfId="22579"/>
    <cellStyle name="40% - Accent2 7" xfId="6385"/>
    <cellStyle name="40% - Accent2 7 2" xfId="15911"/>
    <cellStyle name="40% - Accent2 7 3" xfId="22593"/>
    <cellStyle name="40% - Accent2 8" xfId="6386"/>
    <cellStyle name="40% - Accent2 8 2" xfId="15924"/>
    <cellStyle name="40% - Accent2 8 3" xfId="22610"/>
    <cellStyle name="40% - Accent2 9" xfId="6387"/>
    <cellStyle name="40% - Accent2 9 2" xfId="15938"/>
    <cellStyle name="40% - Accent2 9 3" xfId="22651"/>
    <cellStyle name="40% - Accent3" xfId="185" builtinId="39" customBuiltin="1"/>
    <cellStyle name="40% - Accent3 10" xfId="6388"/>
    <cellStyle name="40% - Accent3 10 2" xfId="15960"/>
    <cellStyle name="40% - Accent3 10 3" xfId="28385"/>
    <cellStyle name="40% - Accent3 11" xfId="6389"/>
    <cellStyle name="40% - Accent3 11 2" xfId="15973"/>
    <cellStyle name="40% - Accent3 11 3" xfId="28398"/>
    <cellStyle name="40% - Accent3 12" xfId="6547"/>
    <cellStyle name="40% - Accent3 12 2" xfId="8777"/>
    <cellStyle name="40% - Accent3 13" xfId="8812"/>
    <cellStyle name="40% - Accent3 13 2" xfId="28414"/>
    <cellStyle name="40% - Accent3 14" xfId="10064"/>
    <cellStyle name="40% - Accent3 15" xfId="7659"/>
    <cellStyle name="40% - Accent3 16" xfId="22512"/>
    <cellStyle name="40% - Accent3 17" xfId="28446"/>
    <cellStyle name="40% - Accent3 18" xfId="28488"/>
    <cellStyle name="40% - Accent3 19" xfId="44631"/>
    <cellStyle name="40% - Accent3 2" xfId="6273"/>
    <cellStyle name="40% - Accent3 2 2" xfId="6390"/>
    <cellStyle name="40% - Accent3 2 2 2" xfId="10135"/>
    <cellStyle name="40% - Accent3 2 2 3" xfId="22625"/>
    <cellStyle name="40% - Accent3 2 3" xfId="10081"/>
    <cellStyle name="40% - Accent3 2 4" xfId="22525"/>
    <cellStyle name="40% - Accent3 2_Data - Monthly Commodity Prices" xfId="6466"/>
    <cellStyle name="40% - Accent3 3" xfId="6274"/>
    <cellStyle name="40% - Accent3 3 2" xfId="6391"/>
    <cellStyle name="40% - Accent3 3 2 2" xfId="10149"/>
    <cellStyle name="40% - Accent3 3 2 3" xfId="22638"/>
    <cellStyle name="40% - Accent3 3 3" xfId="10095"/>
    <cellStyle name="40% - Accent3 3 4" xfId="22539"/>
    <cellStyle name="40% - Accent3 3_Data - Monthly Commodity Prices" xfId="6467"/>
    <cellStyle name="40% - Accent3 4" xfId="6275"/>
    <cellStyle name="40% - Accent3 4 2" xfId="6392"/>
    <cellStyle name="40% - Accent3 4 2 2" xfId="10164"/>
    <cellStyle name="40% - Accent3 4 2 3" xfId="7698"/>
    <cellStyle name="40% - Accent3 4 2 4" xfId="6577"/>
    <cellStyle name="40% - Accent3 4 3" xfId="10108"/>
    <cellStyle name="40% - Accent3 4 4" xfId="22554"/>
    <cellStyle name="40% - Accent3 4_LNG &amp; LPG rework" xfId="8791"/>
    <cellStyle name="40% - Accent3 5" xfId="6393"/>
    <cellStyle name="40% - Accent3 5 2" xfId="10178"/>
    <cellStyle name="40% - Accent3 5 3" xfId="22568"/>
    <cellStyle name="40% - Accent3 6" xfId="6394"/>
    <cellStyle name="40% - Accent3 6 2" xfId="10122"/>
    <cellStyle name="40% - Accent3 6 3" xfId="22581"/>
    <cellStyle name="40% - Accent3 7" xfId="6395"/>
    <cellStyle name="40% - Accent3 7 2" xfId="15913"/>
    <cellStyle name="40% - Accent3 7 3" xfId="22595"/>
    <cellStyle name="40% - Accent3 8" xfId="6396"/>
    <cellStyle name="40% - Accent3 8 2" xfId="15926"/>
    <cellStyle name="40% - Accent3 8 3" xfId="22612"/>
    <cellStyle name="40% - Accent3 9" xfId="6397"/>
    <cellStyle name="40% - Accent3 9 2" xfId="15940"/>
    <cellStyle name="40% - Accent3 9 3" xfId="22653"/>
    <cellStyle name="40% - Accent4" xfId="189" builtinId="43" customBuiltin="1"/>
    <cellStyle name="40% - Accent4 10" xfId="6398"/>
    <cellStyle name="40% - Accent4 10 2" xfId="15962"/>
    <cellStyle name="40% - Accent4 10 3" xfId="28387"/>
    <cellStyle name="40% - Accent4 11" xfId="6399"/>
    <cellStyle name="40% - Accent4 11 2" xfId="15975"/>
    <cellStyle name="40% - Accent4 11 3" xfId="28400"/>
    <cellStyle name="40% - Accent4 12" xfId="6546"/>
    <cellStyle name="40% - Accent4 12 2" xfId="8779"/>
    <cellStyle name="40% - Accent4 13" xfId="8814"/>
    <cellStyle name="40% - Accent4 13 2" xfId="28416"/>
    <cellStyle name="40% - Accent4 14" xfId="10066"/>
    <cellStyle name="40% - Accent4 15" xfId="6695"/>
    <cellStyle name="40% - Accent4 16" xfId="22514"/>
    <cellStyle name="40% - Accent4 17" xfId="28448"/>
    <cellStyle name="40% - Accent4 18" xfId="28490"/>
    <cellStyle name="40% - Accent4 19" xfId="44635"/>
    <cellStyle name="40% - Accent4 2" xfId="6276"/>
    <cellStyle name="40% - Accent4 2 2" xfId="6400"/>
    <cellStyle name="40% - Accent4 2 2 2" xfId="10137"/>
    <cellStyle name="40% - Accent4 2 2 3" xfId="22627"/>
    <cellStyle name="40% - Accent4 2 3" xfId="10083"/>
    <cellStyle name="40% - Accent4 2 4" xfId="22527"/>
    <cellStyle name="40% - Accent4 2_Data - Monthly Commodity Prices" xfId="6468"/>
    <cellStyle name="40% - Accent4 3" xfId="6277"/>
    <cellStyle name="40% - Accent4 3 2" xfId="6401"/>
    <cellStyle name="40% - Accent4 3 2 2" xfId="10151"/>
    <cellStyle name="40% - Accent4 3 2 3" xfId="22640"/>
    <cellStyle name="40% - Accent4 3 3" xfId="10097"/>
    <cellStyle name="40% - Accent4 3 4" xfId="22541"/>
    <cellStyle name="40% - Accent4 3_Data - Monthly Commodity Prices" xfId="6469"/>
    <cellStyle name="40% - Accent4 4" xfId="6278"/>
    <cellStyle name="40% - Accent4 4 2" xfId="6402"/>
    <cellStyle name="40% - Accent4 4 2 2" xfId="10166"/>
    <cellStyle name="40% - Accent4 4 2 3" xfId="7699"/>
    <cellStyle name="40% - Accent4 4 2 4" xfId="6579"/>
    <cellStyle name="40% - Accent4 4 3" xfId="10109"/>
    <cellStyle name="40% - Accent4 4 4" xfId="22556"/>
    <cellStyle name="40% - Accent4 4_LNG &amp; LPG rework" xfId="8796"/>
    <cellStyle name="40% - Accent4 5" xfId="6403"/>
    <cellStyle name="40% - Accent4 5 2" xfId="10180"/>
    <cellStyle name="40% - Accent4 5 3" xfId="22570"/>
    <cellStyle name="40% - Accent4 6" xfId="6404"/>
    <cellStyle name="40% - Accent4 6 2" xfId="10124"/>
    <cellStyle name="40% - Accent4 6 3" xfId="22583"/>
    <cellStyle name="40% - Accent4 7" xfId="6405"/>
    <cellStyle name="40% - Accent4 7 2" xfId="15915"/>
    <cellStyle name="40% - Accent4 7 3" xfId="22597"/>
    <cellStyle name="40% - Accent4 8" xfId="6406"/>
    <cellStyle name="40% - Accent4 8 2" xfId="15928"/>
    <cellStyle name="40% - Accent4 8 3" xfId="22614"/>
    <cellStyle name="40% - Accent4 9" xfId="6407"/>
    <cellStyle name="40% - Accent4 9 2" xfId="15942"/>
    <cellStyle name="40% - Accent4 9 3" xfId="22655"/>
    <cellStyle name="40% - Accent5" xfId="193" builtinId="47" customBuiltin="1"/>
    <cellStyle name="40% - Accent5 10" xfId="6408"/>
    <cellStyle name="40% - Accent5 10 2" xfId="15964"/>
    <cellStyle name="40% - Accent5 10 3" xfId="28389"/>
    <cellStyle name="40% - Accent5 11" xfId="6409"/>
    <cellStyle name="40% - Accent5 11 2" xfId="15977"/>
    <cellStyle name="40% - Accent5 11 3" xfId="28402"/>
    <cellStyle name="40% - Accent5 12" xfId="6545"/>
    <cellStyle name="40% - Accent5 12 2" xfId="8781"/>
    <cellStyle name="40% - Accent5 13" xfId="8816"/>
    <cellStyle name="40% - Accent5 13 2" xfId="28418"/>
    <cellStyle name="40% - Accent5 14" xfId="10068"/>
    <cellStyle name="40% - Accent5 15" xfId="7656"/>
    <cellStyle name="40% - Accent5 16" xfId="22516"/>
    <cellStyle name="40% - Accent5 17" xfId="28450"/>
    <cellStyle name="40% - Accent5 18" xfId="28492"/>
    <cellStyle name="40% - Accent5 19" xfId="44639"/>
    <cellStyle name="40% - Accent5 2" xfId="6279"/>
    <cellStyle name="40% - Accent5 2 2" xfId="6410"/>
    <cellStyle name="40% - Accent5 2 2 2" xfId="10139"/>
    <cellStyle name="40% - Accent5 2 2 3" xfId="22629"/>
    <cellStyle name="40% - Accent5 2 3" xfId="10085"/>
    <cellStyle name="40% - Accent5 2 4" xfId="22529"/>
    <cellStyle name="40% - Accent5 2_Data - Monthly Commodity Prices" xfId="6470"/>
    <cellStyle name="40% - Accent5 3" xfId="6280"/>
    <cellStyle name="40% - Accent5 3 2" xfId="6411"/>
    <cellStyle name="40% - Accent5 3 2 2" xfId="10153"/>
    <cellStyle name="40% - Accent5 3 2 3" xfId="22642"/>
    <cellStyle name="40% - Accent5 3 3" xfId="10099"/>
    <cellStyle name="40% - Accent5 3 4" xfId="22543"/>
    <cellStyle name="40% - Accent5 3_Data - Monthly Commodity Prices" xfId="6471"/>
    <cellStyle name="40% - Accent5 4" xfId="6281"/>
    <cellStyle name="40% - Accent5 4 2" xfId="6412"/>
    <cellStyle name="40% - Accent5 4 2 2" xfId="10168"/>
    <cellStyle name="40% - Accent5 4 2 3" xfId="7700"/>
    <cellStyle name="40% - Accent5 4 2 4" xfId="6581"/>
    <cellStyle name="40% - Accent5 4 3" xfId="10110"/>
    <cellStyle name="40% - Accent5 4 4" xfId="22558"/>
    <cellStyle name="40% - Accent5 4_LNG &amp; LPG rework" xfId="8797"/>
    <cellStyle name="40% - Accent5 5" xfId="6413"/>
    <cellStyle name="40% - Accent5 5 2" xfId="10182"/>
    <cellStyle name="40% - Accent5 5 3" xfId="22572"/>
    <cellStyle name="40% - Accent5 6" xfId="6414"/>
    <cellStyle name="40% - Accent5 6 2" xfId="10126"/>
    <cellStyle name="40% - Accent5 6 3" xfId="22585"/>
    <cellStyle name="40% - Accent5 7" xfId="6415"/>
    <cellStyle name="40% - Accent5 7 2" xfId="15917"/>
    <cellStyle name="40% - Accent5 7 3" xfId="22599"/>
    <cellStyle name="40% - Accent5 8" xfId="6416"/>
    <cellStyle name="40% - Accent5 8 2" xfId="15930"/>
    <cellStyle name="40% - Accent5 8 3" xfId="22616"/>
    <cellStyle name="40% - Accent5 9" xfId="6417"/>
    <cellStyle name="40% - Accent5 9 2" xfId="15944"/>
    <cellStyle name="40% - Accent5 9 3" xfId="22657"/>
    <cellStyle name="40% - Accent6" xfId="197" builtinId="51" customBuiltin="1"/>
    <cellStyle name="40% - Accent6 10" xfId="6418"/>
    <cellStyle name="40% - Accent6 10 2" xfId="15966"/>
    <cellStyle name="40% - Accent6 10 3" xfId="28391"/>
    <cellStyle name="40% - Accent6 11" xfId="6419"/>
    <cellStyle name="40% - Accent6 11 2" xfId="15979"/>
    <cellStyle name="40% - Accent6 11 3" xfId="28404"/>
    <cellStyle name="40% - Accent6 12" xfId="6544"/>
    <cellStyle name="40% - Accent6 12 2" xfId="8783"/>
    <cellStyle name="40% - Accent6 13" xfId="8818"/>
    <cellStyle name="40% - Accent6 13 2" xfId="28420"/>
    <cellStyle name="40% - Accent6 14" xfId="10070"/>
    <cellStyle name="40% - Accent6 15" xfId="7654"/>
    <cellStyle name="40% - Accent6 16" xfId="22518"/>
    <cellStyle name="40% - Accent6 17" xfId="28452"/>
    <cellStyle name="40% - Accent6 18" xfId="28494"/>
    <cellStyle name="40% - Accent6 19" xfId="44643"/>
    <cellStyle name="40% - Accent6 2" xfId="6282"/>
    <cellStyle name="40% - Accent6 2 2" xfId="6420"/>
    <cellStyle name="40% - Accent6 2 2 2" xfId="10141"/>
    <cellStyle name="40% - Accent6 2 2 3" xfId="22631"/>
    <cellStyle name="40% - Accent6 2 3" xfId="10087"/>
    <cellStyle name="40% - Accent6 2 4" xfId="22531"/>
    <cellStyle name="40% - Accent6 2_Data - Monthly Commodity Prices" xfId="6472"/>
    <cellStyle name="40% - Accent6 3" xfId="6283"/>
    <cellStyle name="40% - Accent6 3 2" xfId="6421"/>
    <cellStyle name="40% - Accent6 3 2 2" xfId="10155"/>
    <cellStyle name="40% - Accent6 3 2 3" xfId="22644"/>
    <cellStyle name="40% - Accent6 3 3" xfId="10101"/>
    <cellStyle name="40% - Accent6 3 4" xfId="22545"/>
    <cellStyle name="40% - Accent6 3_Data - Monthly Commodity Prices" xfId="6473"/>
    <cellStyle name="40% - Accent6 4" xfId="6284"/>
    <cellStyle name="40% - Accent6 4 2" xfId="6422"/>
    <cellStyle name="40% - Accent6 4 2 2" xfId="10170"/>
    <cellStyle name="40% - Accent6 4 2 3" xfId="7701"/>
    <cellStyle name="40% - Accent6 4 2 4" xfId="6583"/>
    <cellStyle name="40% - Accent6 4 3" xfId="10111"/>
    <cellStyle name="40% - Accent6 4 4" xfId="22560"/>
    <cellStyle name="40% - Accent6 4_LNG &amp; LPG rework" xfId="8798"/>
    <cellStyle name="40% - Accent6 5" xfId="6423"/>
    <cellStyle name="40% - Accent6 5 2" xfId="10184"/>
    <cellStyle name="40% - Accent6 5 3" xfId="22574"/>
    <cellStyle name="40% - Accent6 6" xfId="6424"/>
    <cellStyle name="40% - Accent6 6 2" xfId="10128"/>
    <cellStyle name="40% - Accent6 6 3" xfId="22587"/>
    <cellStyle name="40% - Accent6 7" xfId="6425"/>
    <cellStyle name="40% - Accent6 7 2" xfId="15919"/>
    <cellStyle name="40% - Accent6 7 3" xfId="22601"/>
    <cellStyle name="40% - Accent6 8" xfId="6426"/>
    <cellStyle name="40% - Accent6 8 2" xfId="15932"/>
    <cellStyle name="40% - Accent6 8 3" xfId="22618"/>
    <cellStyle name="40% - Accent6 9" xfId="6427"/>
    <cellStyle name="40% - Accent6 9 2" xfId="15946"/>
    <cellStyle name="40% - Accent6 9 3" xfId="22659"/>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3"/>
    <cellStyle name="60% - Accent1 3" xfId="44624"/>
    <cellStyle name="60% - Accent2" xfId="182" builtinId="36" customBuiltin="1"/>
    <cellStyle name="60% - Accent2 2" xfId="6521"/>
    <cellStyle name="60% - Accent2 3" xfId="44628"/>
    <cellStyle name="60% - Accent3" xfId="186" builtinId="40" customBuiltin="1"/>
    <cellStyle name="60% - Accent3 2" xfId="6542"/>
    <cellStyle name="60% - Accent3 3" xfId="44632"/>
    <cellStyle name="60% - Accent4" xfId="190" builtinId="44" customBuiltin="1"/>
    <cellStyle name="60% - Accent4 2" xfId="6541"/>
    <cellStyle name="60% - Accent4 3" xfId="44636"/>
    <cellStyle name="60% - Accent5" xfId="194" builtinId="48" customBuiltin="1"/>
    <cellStyle name="60% - Accent5 2" xfId="6540"/>
    <cellStyle name="60% - Accent5 3" xfId="44640"/>
    <cellStyle name="60% - Accent6" xfId="198" builtinId="52" customBuiltin="1"/>
    <cellStyle name="60% - Accent6 2" xfId="6539"/>
    <cellStyle name="60% - Accent6 3" xfId="44644"/>
    <cellStyle name="Accent1" xfId="175" builtinId="29" customBuiltin="1"/>
    <cellStyle name="Accent1 2" xfId="1238"/>
    <cellStyle name="Accent1 3" xfId="6538"/>
    <cellStyle name="Accent1 4" xfId="44621"/>
    <cellStyle name="Accent2" xfId="179" builtinId="33" customBuiltin="1"/>
    <cellStyle name="Accent2 2" xfId="1239"/>
    <cellStyle name="Accent2 3" xfId="6537"/>
    <cellStyle name="Accent2 4" xfId="44625"/>
    <cellStyle name="Accent3" xfId="183" builtinId="37" customBuiltin="1"/>
    <cellStyle name="Accent3 2" xfId="1240"/>
    <cellStyle name="Accent3 3" xfId="6536"/>
    <cellStyle name="Accent3 4" xfId="44629"/>
    <cellStyle name="Accent4" xfId="187" builtinId="41" customBuiltin="1"/>
    <cellStyle name="Accent4 2" xfId="1241"/>
    <cellStyle name="Accent4 3" xfId="6535"/>
    <cellStyle name="Accent4 4" xfId="44633"/>
    <cellStyle name="Accent5" xfId="191" builtinId="45" customBuiltin="1"/>
    <cellStyle name="Accent5 2" xfId="1242"/>
    <cellStyle name="Accent5 3" xfId="6534"/>
    <cellStyle name="Accent5 4" xfId="44637"/>
    <cellStyle name="Accent6" xfId="195" builtinId="49" customBuiltin="1"/>
    <cellStyle name="Accent6 2" xfId="1243"/>
    <cellStyle name="Accent6 3" xfId="6512"/>
    <cellStyle name="Accent6 4" xfId="44641"/>
    <cellStyle name="Avertissement" xfId="1244"/>
    <cellStyle name="Bad" xfId="164" builtinId="27" customBuiltin="1"/>
    <cellStyle name="Bad 2" xfId="6550"/>
    <cellStyle name="Bad 3" xfId="44610"/>
    <cellStyle name="Calcul" xfId="1245"/>
    <cellStyle name="Calculation" xfId="168" builtinId="22" customBuiltin="1"/>
    <cellStyle name="Calculation 2" xfId="6533"/>
    <cellStyle name="Calculation 3" xfId="44614"/>
    <cellStyle name="Cellule liée" xfId="1246"/>
    <cellStyle name="Cellule liée 2" xfId="20334"/>
    <cellStyle name="Check Cell" xfId="170" builtinId="23" customBuiltin="1"/>
    <cellStyle name="Check Cell 2" xfId="6532"/>
    <cellStyle name="Check Cell 3" xfId="44616"/>
    <cellStyle name="ColumnHeading" xfId="44556"/>
    <cellStyle name="Comma" xfId="157" builtinId="3"/>
    <cellStyle name="Comma 10" xfId="1658"/>
    <cellStyle name="Comma 10 10" xfId="6696"/>
    <cellStyle name="Comma 10 10 2" xfId="17199"/>
    <cellStyle name="Comma 10 10 2 2" xfId="38252"/>
    <cellStyle name="Comma 10 10 3" xfId="31829"/>
    <cellStyle name="Comma 10 11" xfId="16077"/>
    <cellStyle name="Comma 10 11 2" xfId="35045"/>
    <cellStyle name="Comma 10 12" xfId="20335"/>
    <cellStyle name="Comma 10 13" xfId="28622"/>
    <cellStyle name="Comma 10 14" xfId="41357"/>
    <cellStyle name="Comma 10 2" xfId="1963"/>
    <cellStyle name="Comma 10 2 10" xfId="20336"/>
    <cellStyle name="Comma 10 2 11" xfId="28623"/>
    <cellStyle name="Comma 10 2 12" xfId="41358"/>
    <cellStyle name="Comma 10 2 2" xfId="2853"/>
    <cellStyle name="Comma 10 2 2 2" xfId="10550"/>
    <cellStyle name="Comma 10 2 2 2 2" xfId="19349"/>
    <cellStyle name="Comma 10 2 2 2 2 2" xfId="40392"/>
    <cellStyle name="Comma 10 2 2 2 2 3" xfId="33969"/>
    <cellStyle name="Comma 10 2 2 2 3" xfId="21548"/>
    <cellStyle name="Comma 10 2 2 2 3 2" xfId="37185"/>
    <cellStyle name="Comma 10 2 2 2 4" xfId="30762"/>
    <cellStyle name="Comma 10 2 2 2 5" xfId="42527"/>
    <cellStyle name="Comma 10 2 2 3" xfId="7709"/>
    <cellStyle name="Comma 10 2 2 3 2" xfId="18169"/>
    <cellStyle name="Comma 10 2 2 3 2 2" xfId="39212"/>
    <cellStyle name="Comma 10 2 2 3 2 3" xfId="32789"/>
    <cellStyle name="Comma 10 2 2 3 3" xfId="22662"/>
    <cellStyle name="Comma 10 2 2 3 3 2" xfId="36005"/>
    <cellStyle name="Comma 10 2 2 3 4" xfId="29582"/>
    <cellStyle name="Comma 10 2 2 3 5" xfId="43491"/>
    <cellStyle name="Comma 10 2 2 4" xfId="6698"/>
    <cellStyle name="Comma 10 2 2 4 2" xfId="17201"/>
    <cellStyle name="Comma 10 2 2 4 2 2" xfId="38254"/>
    <cellStyle name="Comma 10 2 2 4 3" xfId="31831"/>
    <cellStyle name="Comma 10 2 2 5" xfId="16323"/>
    <cellStyle name="Comma 10 2 2 5 2" xfId="35047"/>
    <cellStyle name="Comma 10 2 2 6" xfId="20337"/>
    <cellStyle name="Comma 10 2 2 7" xfId="28624"/>
    <cellStyle name="Comma 10 2 2 8" xfId="41359"/>
    <cellStyle name="Comma 10 2 3" xfId="3717"/>
    <cellStyle name="Comma 10 2 3 2" xfId="10551"/>
    <cellStyle name="Comma 10 2 3 2 2" xfId="19350"/>
    <cellStyle name="Comma 10 2 3 2 2 2" xfId="40393"/>
    <cellStyle name="Comma 10 2 3 2 2 3" xfId="33970"/>
    <cellStyle name="Comma 10 2 3 2 3" xfId="21549"/>
    <cellStyle name="Comma 10 2 3 2 3 2" xfId="37186"/>
    <cellStyle name="Comma 10 2 3 2 4" xfId="30763"/>
    <cellStyle name="Comma 10 2 3 2 5" xfId="42528"/>
    <cellStyle name="Comma 10 2 3 3" xfId="7710"/>
    <cellStyle name="Comma 10 2 3 3 2" xfId="18170"/>
    <cellStyle name="Comma 10 2 3 3 2 2" xfId="39213"/>
    <cellStyle name="Comma 10 2 3 3 2 3" xfId="32790"/>
    <cellStyle name="Comma 10 2 3 3 3" xfId="22663"/>
    <cellStyle name="Comma 10 2 3 3 3 2" xfId="36006"/>
    <cellStyle name="Comma 10 2 3 3 4" xfId="29583"/>
    <cellStyle name="Comma 10 2 3 3 5" xfId="43492"/>
    <cellStyle name="Comma 10 2 3 4" xfId="6699"/>
    <cellStyle name="Comma 10 2 3 4 2" xfId="17202"/>
    <cellStyle name="Comma 10 2 3 4 2 2" xfId="38255"/>
    <cellStyle name="Comma 10 2 3 4 3" xfId="31832"/>
    <cellStyle name="Comma 10 2 3 5" xfId="16511"/>
    <cellStyle name="Comma 10 2 3 5 2" xfId="35048"/>
    <cellStyle name="Comma 10 2 3 6" xfId="20338"/>
    <cellStyle name="Comma 10 2 3 7" xfId="28625"/>
    <cellStyle name="Comma 10 2 3 8" xfId="41360"/>
    <cellStyle name="Comma 10 2 4" xfId="4592"/>
    <cellStyle name="Comma 10 2 4 2" xfId="10552"/>
    <cellStyle name="Comma 10 2 4 2 2" xfId="19351"/>
    <cellStyle name="Comma 10 2 4 2 2 2" xfId="40394"/>
    <cellStyle name="Comma 10 2 4 2 2 3" xfId="33971"/>
    <cellStyle name="Comma 10 2 4 2 3" xfId="21550"/>
    <cellStyle name="Comma 10 2 4 2 3 2" xfId="37187"/>
    <cellStyle name="Comma 10 2 4 2 4" xfId="30764"/>
    <cellStyle name="Comma 10 2 4 2 5" xfId="42529"/>
    <cellStyle name="Comma 10 2 4 3" xfId="7711"/>
    <cellStyle name="Comma 10 2 4 3 2" xfId="18171"/>
    <cellStyle name="Comma 10 2 4 3 2 2" xfId="39214"/>
    <cellStyle name="Comma 10 2 4 3 2 3" xfId="32791"/>
    <cellStyle name="Comma 10 2 4 3 3" xfId="22664"/>
    <cellStyle name="Comma 10 2 4 3 3 2" xfId="36007"/>
    <cellStyle name="Comma 10 2 4 3 4" xfId="29584"/>
    <cellStyle name="Comma 10 2 4 3 5" xfId="43493"/>
    <cellStyle name="Comma 10 2 4 4" xfId="6700"/>
    <cellStyle name="Comma 10 2 4 4 2" xfId="17203"/>
    <cellStyle name="Comma 10 2 4 4 2 2" xfId="38256"/>
    <cellStyle name="Comma 10 2 4 4 3" xfId="31833"/>
    <cellStyle name="Comma 10 2 4 5" xfId="16699"/>
    <cellStyle name="Comma 10 2 4 5 2" xfId="35049"/>
    <cellStyle name="Comma 10 2 4 6" xfId="20339"/>
    <cellStyle name="Comma 10 2 4 7" xfId="28626"/>
    <cellStyle name="Comma 10 2 4 8" xfId="41361"/>
    <cellStyle name="Comma 10 2 5" xfId="5857"/>
    <cellStyle name="Comma 10 2 5 2" xfId="10553"/>
    <cellStyle name="Comma 10 2 5 2 2" xfId="19352"/>
    <cellStyle name="Comma 10 2 5 2 2 2" xfId="40395"/>
    <cellStyle name="Comma 10 2 5 2 2 3" xfId="33972"/>
    <cellStyle name="Comma 10 2 5 2 3" xfId="21551"/>
    <cellStyle name="Comma 10 2 5 2 3 2" xfId="37188"/>
    <cellStyle name="Comma 10 2 5 2 4" xfId="30765"/>
    <cellStyle name="Comma 10 2 5 2 5" xfId="42530"/>
    <cellStyle name="Comma 10 2 5 3" xfId="7712"/>
    <cellStyle name="Comma 10 2 5 3 2" xfId="18172"/>
    <cellStyle name="Comma 10 2 5 3 2 2" xfId="39215"/>
    <cellStyle name="Comma 10 2 5 3 2 3" xfId="32792"/>
    <cellStyle name="Comma 10 2 5 3 3" xfId="22665"/>
    <cellStyle name="Comma 10 2 5 3 3 2" xfId="36008"/>
    <cellStyle name="Comma 10 2 5 3 4" xfId="29585"/>
    <cellStyle name="Comma 10 2 5 3 5" xfId="43494"/>
    <cellStyle name="Comma 10 2 5 4" xfId="6701"/>
    <cellStyle name="Comma 10 2 5 4 2" xfId="17204"/>
    <cellStyle name="Comma 10 2 5 4 2 2" xfId="38257"/>
    <cellStyle name="Comma 10 2 5 4 3" xfId="31834"/>
    <cellStyle name="Comma 10 2 5 5" xfId="16987"/>
    <cellStyle name="Comma 10 2 5 5 2" xfId="35050"/>
    <cellStyle name="Comma 10 2 5 6" xfId="20340"/>
    <cellStyle name="Comma 10 2 5 7" xfId="28627"/>
    <cellStyle name="Comma 10 2 5 8" xfId="41362"/>
    <cellStyle name="Comma 10 2 6" xfId="10549"/>
    <cellStyle name="Comma 10 2 6 2" xfId="19348"/>
    <cellStyle name="Comma 10 2 6 2 2" xfId="40391"/>
    <cellStyle name="Comma 10 2 6 2 3" xfId="33968"/>
    <cellStyle name="Comma 10 2 6 3" xfId="21547"/>
    <cellStyle name="Comma 10 2 6 3 2" xfId="37184"/>
    <cellStyle name="Comma 10 2 6 4" xfId="30761"/>
    <cellStyle name="Comma 10 2 6 5" xfId="42526"/>
    <cellStyle name="Comma 10 2 7" xfId="7708"/>
    <cellStyle name="Comma 10 2 7 2" xfId="18168"/>
    <cellStyle name="Comma 10 2 7 2 2" xfId="39211"/>
    <cellStyle name="Comma 10 2 7 2 3" xfId="32788"/>
    <cellStyle name="Comma 10 2 7 3" xfId="22661"/>
    <cellStyle name="Comma 10 2 7 3 2" xfId="36004"/>
    <cellStyle name="Comma 10 2 7 4" xfId="29581"/>
    <cellStyle name="Comma 10 2 7 5" xfId="43490"/>
    <cellStyle name="Comma 10 2 8" xfId="6697"/>
    <cellStyle name="Comma 10 2 8 2" xfId="17200"/>
    <cellStyle name="Comma 10 2 8 2 2" xfId="38253"/>
    <cellStyle name="Comma 10 2 8 3" xfId="31830"/>
    <cellStyle name="Comma 10 2 9" xfId="16133"/>
    <cellStyle name="Comma 10 2 9 2" xfId="35046"/>
    <cellStyle name="Comma 10 3" xfId="2238"/>
    <cellStyle name="Comma 10 3 10" xfId="20341"/>
    <cellStyle name="Comma 10 3 11" xfId="28628"/>
    <cellStyle name="Comma 10 3 12" xfId="41363"/>
    <cellStyle name="Comma 10 3 2" xfId="3108"/>
    <cellStyle name="Comma 10 3 2 2" xfId="10555"/>
    <cellStyle name="Comma 10 3 2 2 2" xfId="19354"/>
    <cellStyle name="Comma 10 3 2 2 2 2" xfId="40397"/>
    <cellStyle name="Comma 10 3 2 2 2 3" xfId="33974"/>
    <cellStyle name="Comma 10 3 2 2 3" xfId="21553"/>
    <cellStyle name="Comma 10 3 2 2 3 2" xfId="37190"/>
    <cellStyle name="Comma 10 3 2 2 4" xfId="30767"/>
    <cellStyle name="Comma 10 3 2 2 5" xfId="42532"/>
    <cellStyle name="Comma 10 3 2 3" xfId="7714"/>
    <cellStyle name="Comma 10 3 2 3 2" xfId="18174"/>
    <cellStyle name="Comma 10 3 2 3 2 2" xfId="39217"/>
    <cellStyle name="Comma 10 3 2 3 2 3" xfId="32794"/>
    <cellStyle name="Comma 10 3 2 3 3" xfId="22667"/>
    <cellStyle name="Comma 10 3 2 3 3 2" xfId="36010"/>
    <cellStyle name="Comma 10 3 2 3 4" xfId="29587"/>
    <cellStyle name="Comma 10 3 2 3 5" xfId="43496"/>
    <cellStyle name="Comma 10 3 2 4" xfId="6703"/>
    <cellStyle name="Comma 10 3 2 4 2" xfId="17206"/>
    <cellStyle name="Comma 10 3 2 4 2 2" xfId="38259"/>
    <cellStyle name="Comma 10 3 2 4 3" xfId="31836"/>
    <cellStyle name="Comma 10 3 2 5" xfId="16378"/>
    <cellStyle name="Comma 10 3 2 5 2" xfId="35052"/>
    <cellStyle name="Comma 10 3 2 6" xfId="20342"/>
    <cellStyle name="Comma 10 3 2 7" xfId="28629"/>
    <cellStyle name="Comma 10 3 2 8" xfId="41364"/>
    <cellStyle name="Comma 10 3 3" xfId="3978"/>
    <cellStyle name="Comma 10 3 3 2" xfId="10556"/>
    <cellStyle name="Comma 10 3 3 2 2" xfId="19355"/>
    <cellStyle name="Comma 10 3 3 2 2 2" xfId="40398"/>
    <cellStyle name="Comma 10 3 3 2 2 3" xfId="33975"/>
    <cellStyle name="Comma 10 3 3 2 3" xfId="21554"/>
    <cellStyle name="Comma 10 3 3 2 3 2" xfId="37191"/>
    <cellStyle name="Comma 10 3 3 2 4" xfId="30768"/>
    <cellStyle name="Comma 10 3 3 2 5" xfId="42533"/>
    <cellStyle name="Comma 10 3 3 3" xfId="7715"/>
    <cellStyle name="Comma 10 3 3 3 2" xfId="18175"/>
    <cellStyle name="Comma 10 3 3 3 2 2" xfId="39218"/>
    <cellStyle name="Comma 10 3 3 3 2 3" xfId="32795"/>
    <cellStyle name="Comma 10 3 3 3 3" xfId="22668"/>
    <cellStyle name="Comma 10 3 3 3 3 2" xfId="36011"/>
    <cellStyle name="Comma 10 3 3 3 4" xfId="29588"/>
    <cellStyle name="Comma 10 3 3 3 5" xfId="43497"/>
    <cellStyle name="Comma 10 3 3 4" xfId="6704"/>
    <cellStyle name="Comma 10 3 3 4 2" xfId="17207"/>
    <cellStyle name="Comma 10 3 3 4 2 2" xfId="38260"/>
    <cellStyle name="Comma 10 3 3 4 3" xfId="31837"/>
    <cellStyle name="Comma 10 3 3 5" xfId="16566"/>
    <cellStyle name="Comma 10 3 3 5 2" xfId="35053"/>
    <cellStyle name="Comma 10 3 3 6" xfId="20343"/>
    <cellStyle name="Comma 10 3 3 7" xfId="28630"/>
    <cellStyle name="Comma 10 3 3 8" xfId="41365"/>
    <cellStyle name="Comma 10 3 4" xfId="4856"/>
    <cellStyle name="Comma 10 3 4 2" xfId="10557"/>
    <cellStyle name="Comma 10 3 4 2 2" xfId="19356"/>
    <cellStyle name="Comma 10 3 4 2 2 2" xfId="40399"/>
    <cellStyle name="Comma 10 3 4 2 2 3" xfId="33976"/>
    <cellStyle name="Comma 10 3 4 2 3" xfId="21555"/>
    <cellStyle name="Comma 10 3 4 2 3 2" xfId="37192"/>
    <cellStyle name="Comma 10 3 4 2 4" xfId="30769"/>
    <cellStyle name="Comma 10 3 4 2 5" xfId="42534"/>
    <cellStyle name="Comma 10 3 4 3" xfId="7716"/>
    <cellStyle name="Comma 10 3 4 3 2" xfId="18176"/>
    <cellStyle name="Comma 10 3 4 3 2 2" xfId="39219"/>
    <cellStyle name="Comma 10 3 4 3 2 3" xfId="32796"/>
    <cellStyle name="Comma 10 3 4 3 3" xfId="22669"/>
    <cellStyle name="Comma 10 3 4 3 3 2" xfId="36012"/>
    <cellStyle name="Comma 10 3 4 3 4" xfId="29589"/>
    <cellStyle name="Comma 10 3 4 3 5" xfId="43498"/>
    <cellStyle name="Comma 10 3 4 4" xfId="6705"/>
    <cellStyle name="Comma 10 3 4 4 2" xfId="17208"/>
    <cellStyle name="Comma 10 3 4 4 2 2" xfId="38261"/>
    <cellStyle name="Comma 10 3 4 4 3" xfId="31838"/>
    <cellStyle name="Comma 10 3 4 5" xfId="16754"/>
    <cellStyle name="Comma 10 3 4 5 2" xfId="35054"/>
    <cellStyle name="Comma 10 3 4 6" xfId="20344"/>
    <cellStyle name="Comma 10 3 4 7" xfId="28631"/>
    <cellStyle name="Comma 10 3 4 8" xfId="41366"/>
    <cellStyle name="Comma 10 3 5" xfId="6121"/>
    <cellStyle name="Comma 10 3 5 2" xfId="10558"/>
    <cellStyle name="Comma 10 3 5 2 2" xfId="19357"/>
    <cellStyle name="Comma 10 3 5 2 2 2" xfId="40400"/>
    <cellStyle name="Comma 10 3 5 2 2 3" xfId="33977"/>
    <cellStyle name="Comma 10 3 5 2 3" xfId="21556"/>
    <cellStyle name="Comma 10 3 5 2 3 2" xfId="37193"/>
    <cellStyle name="Comma 10 3 5 2 4" xfId="30770"/>
    <cellStyle name="Comma 10 3 5 2 5" xfId="42535"/>
    <cellStyle name="Comma 10 3 5 3" xfId="7717"/>
    <cellStyle name="Comma 10 3 5 3 2" xfId="18177"/>
    <cellStyle name="Comma 10 3 5 3 2 2" xfId="39220"/>
    <cellStyle name="Comma 10 3 5 3 2 3" xfId="32797"/>
    <cellStyle name="Comma 10 3 5 3 3" xfId="22670"/>
    <cellStyle name="Comma 10 3 5 3 3 2" xfId="36013"/>
    <cellStyle name="Comma 10 3 5 3 4" xfId="29590"/>
    <cellStyle name="Comma 10 3 5 3 5" xfId="43499"/>
    <cellStyle name="Comma 10 3 5 4" xfId="6706"/>
    <cellStyle name="Comma 10 3 5 4 2" xfId="17209"/>
    <cellStyle name="Comma 10 3 5 4 2 2" xfId="38262"/>
    <cellStyle name="Comma 10 3 5 4 3" xfId="31839"/>
    <cellStyle name="Comma 10 3 5 5" xfId="17042"/>
    <cellStyle name="Comma 10 3 5 5 2" xfId="35055"/>
    <cellStyle name="Comma 10 3 5 6" xfId="20345"/>
    <cellStyle name="Comma 10 3 5 7" xfId="28632"/>
    <cellStyle name="Comma 10 3 5 8" xfId="41367"/>
    <cellStyle name="Comma 10 3 6" xfId="10554"/>
    <cellStyle name="Comma 10 3 6 2" xfId="19353"/>
    <cellStyle name="Comma 10 3 6 2 2" xfId="40396"/>
    <cellStyle name="Comma 10 3 6 2 3" xfId="33973"/>
    <cellStyle name="Comma 10 3 6 3" xfId="21552"/>
    <cellStyle name="Comma 10 3 6 3 2" xfId="37189"/>
    <cellStyle name="Comma 10 3 6 4" xfId="30766"/>
    <cellStyle name="Comma 10 3 6 5" xfId="42531"/>
    <cellStyle name="Comma 10 3 7" xfId="7713"/>
    <cellStyle name="Comma 10 3 7 2" xfId="18173"/>
    <cellStyle name="Comma 10 3 7 2 2" xfId="39216"/>
    <cellStyle name="Comma 10 3 7 2 3" xfId="32793"/>
    <cellStyle name="Comma 10 3 7 3" xfId="22666"/>
    <cellStyle name="Comma 10 3 7 3 2" xfId="36009"/>
    <cellStyle name="Comma 10 3 7 4" xfId="29586"/>
    <cellStyle name="Comma 10 3 7 5" xfId="43495"/>
    <cellStyle name="Comma 10 3 8" xfId="6702"/>
    <cellStyle name="Comma 10 3 8 2" xfId="17205"/>
    <cellStyle name="Comma 10 3 8 2 2" xfId="38258"/>
    <cellStyle name="Comma 10 3 8 3" xfId="31835"/>
    <cellStyle name="Comma 10 3 9" xfId="16189"/>
    <cellStyle name="Comma 10 3 9 2" xfId="35051"/>
    <cellStyle name="Comma 10 4" xfId="2603"/>
    <cellStyle name="Comma 10 4 2" xfId="10559"/>
    <cellStyle name="Comma 10 4 2 2" xfId="19358"/>
    <cellStyle name="Comma 10 4 2 2 2" xfId="40401"/>
    <cellStyle name="Comma 10 4 2 2 3" xfId="33978"/>
    <cellStyle name="Comma 10 4 2 3" xfId="21557"/>
    <cellStyle name="Comma 10 4 2 3 2" xfId="37194"/>
    <cellStyle name="Comma 10 4 2 4" xfId="30771"/>
    <cellStyle name="Comma 10 4 2 5" xfId="42536"/>
    <cellStyle name="Comma 10 4 3" xfId="7718"/>
    <cellStyle name="Comma 10 4 3 2" xfId="18178"/>
    <cellStyle name="Comma 10 4 3 2 2" xfId="39221"/>
    <cellStyle name="Comma 10 4 3 2 3" xfId="32798"/>
    <cellStyle name="Comma 10 4 3 3" xfId="22671"/>
    <cellStyle name="Comma 10 4 3 3 2" xfId="36014"/>
    <cellStyle name="Comma 10 4 3 4" xfId="29591"/>
    <cellStyle name="Comma 10 4 3 5" xfId="43500"/>
    <cellStyle name="Comma 10 4 4" xfId="6707"/>
    <cellStyle name="Comma 10 4 4 2" xfId="17210"/>
    <cellStyle name="Comma 10 4 4 2 2" xfId="38263"/>
    <cellStyle name="Comma 10 4 4 3" xfId="31840"/>
    <cellStyle name="Comma 10 4 5" xfId="16270"/>
    <cellStyle name="Comma 10 4 5 2" xfId="35056"/>
    <cellStyle name="Comma 10 4 6" xfId="20346"/>
    <cellStyle name="Comma 10 4 7" xfId="28633"/>
    <cellStyle name="Comma 10 4 8" xfId="41368"/>
    <cellStyle name="Comma 10 5" xfId="3466"/>
    <cellStyle name="Comma 10 5 2" xfId="10560"/>
    <cellStyle name="Comma 10 5 2 2" xfId="19359"/>
    <cellStyle name="Comma 10 5 2 2 2" xfId="40402"/>
    <cellStyle name="Comma 10 5 2 2 3" xfId="33979"/>
    <cellStyle name="Comma 10 5 2 3" xfId="21558"/>
    <cellStyle name="Comma 10 5 2 3 2" xfId="37195"/>
    <cellStyle name="Comma 10 5 2 4" xfId="30772"/>
    <cellStyle name="Comma 10 5 2 5" xfId="42537"/>
    <cellStyle name="Comma 10 5 3" xfId="7719"/>
    <cellStyle name="Comma 10 5 3 2" xfId="18179"/>
    <cellStyle name="Comma 10 5 3 2 2" xfId="39222"/>
    <cellStyle name="Comma 10 5 3 2 3" xfId="32799"/>
    <cellStyle name="Comma 10 5 3 3" xfId="22672"/>
    <cellStyle name="Comma 10 5 3 3 2" xfId="36015"/>
    <cellStyle name="Comma 10 5 3 4" xfId="29592"/>
    <cellStyle name="Comma 10 5 3 5" xfId="43501"/>
    <cellStyle name="Comma 10 5 4" xfId="6708"/>
    <cellStyle name="Comma 10 5 4 2" xfId="17211"/>
    <cellStyle name="Comma 10 5 4 2 2" xfId="38264"/>
    <cellStyle name="Comma 10 5 4 3" xfId="31841"/>
    <cellStyle name="Comma 10 5 5" xfId="16458"/>
    <cellStyle name="Comma 10 5 5 2" xfId="35057"/>
    <cellStyle name="Comma 10 5 6" xfId="20347"/>
    <cellStyle name="Comma 10 5 7" xfId="28634"/>
    <cellStyle name="Comma 10 5 8" xfId="41369"/>
    <cellStyle name="Comma 10 6" xfId="4334"/>
    <cellStyle name="Comma 10 6 2" xfId="10561"/>
    <cellStyle name="Comma 10 6 2 2" xfId="19360"/>
    <cellStyle name="Comma 10 6 2 2 2" xfId="40403"/>
    <cellStyle name="Comma 10 6 2 2 3" xfId="33980"/>
    <cellStyle name="Comma 10 6 2 3" xfId="21559"/>
    <cellStyle name="Comma 10 6 2 3 2" xfId="37196"/>
    <cellStyle name="Comma 10 6 2 4" xfId="30773"/>
    <cellStyle name="Comma 10 6 2 5" xfId="42538"/>
    <cellStyle name="Comma 10 6 3" xfId="7720"/>
    <cellStyle name="Comma 10 6 3 2" xfId="18180"/>
    <cellStyle name="Comma 10 6 3 2 2" xfId="39223"/>
    <cellStyle name="Comma 10 6 3 2 3" xfId="32800"/>
    <cellStyle name="Comma 10 6 3 3" xfId="22673"/>
    <cellStyle name="Comma 10 6 3 3 2" xfId="36016"/>
    <cellStyle name="Comma 10 6 3 4" xfId="29593"/>
    <cellStyle name="Comma 10 6 3 5" xfId="43502"/>
    <cellStyle name="Comma 10 6 4" xfId="6709"/>
    <cellStyle name="Comma 10 6 4 2" xfId="17212"/>
    <cellStyle name="Comma 10 6 4 2 2" xfId="38265"/>
    <cellStyle name="Comma 10 6 4 3" xfId="31842"/>
    <cellStyle name="Comma 10 6 5" xfId="16646"/>
    <cellStyle name="Comma 10 6 5 2" xfId="35058"/>
    <cellStyle name="Comma 10 6 6" xfId="20348"/>
    <cellStyle name="Comma 10 6 7" xfId="28635"/>
    <cellStyle name="Comma 10 6 8" xfId="41370"/>
    <cellStyle name="Comma 10 7" xfId="5596"/>
    <cellStyle name="Comma 10 7 2" xfId="10562"/>
    <cellStyle name="Comma 10 7 2 2" xfId="19361"/>
    <cellStyle name="Comma 10 7 2 2 2" xfId="40404"/>
    <cellStyle name="Comma 10 7 2 2 3" xfId="33981"/>
    <cellStyle name="Comma 10 7 2 3" xfId="21560"/>
    <cellStyle name="Comma 10 7 2 3 2" xfId="37197"/>
    <cellStyle name="Comma 10 7 2 4" xfId="30774"/>
    <cellStyle name="Comma 10 7 2 5" xfId="42539"/>
    <cellStyle name="Comma 10 7 3" xfId="7721"/>
    <cellStyle name="Comma 10 7 3 2" xfId="18181"/>
    <cellStyle name="Comma 10 7 3 2 2" xfId="39224"/>
    <cellStyle name="Comma 10 7 3 2 3" xfId="32801"/>
    <cellStyle name="Comma 10 7 3 3" xfId="22674"/>
    <cellStyle name="Comma 10 7 3 3 2" xfId="36017"/>
    <cellStyle name="Comma 10 7 3 4" xfId="29594"/>
    <cellStyle name="Comma 10 7 3 5" xfId="43503"/>
    <cellStyle name="Comma 10 7 4" xfId="6710"/>
    <cellStyle name="Comma 10 7 4 2" xfId="17213"/>
    <cellStyle name="Comma 10 7 4 2 2" xfId="38266"/>
    <cellStyle name="Comma 10 7 4 3" xfId="31843"/>
    <cellStyle name="Comma 10 7 5" xfId="16934"/>
    <cellStyle name="Comma 10 7 5 2" xfId="35059"/>
    <cellStyle name="Comma 10 7 6" xfId="20349"/>
    <cellStyle name="Comma 10 7 7" xfId="28636"/>
    <cellStyle name="Comma 10 7 8" xfId="41371"/>
    <cellStyle name="Comma 10 8" xfId="10548"/>
    <cellStyle name="Comma 10 8 2" xfId="19347"/>
    <cellStyle name="Comma 10 8 2 2" xfId="40390"/>
    <cellStyle name="Comma 10 8 2 3" xfId="33967"/>
    <cellStyle name="Comma 10 8 3" xfId="21546"/>
    <cellStyle name="Comma 10 8 3 2" xfId="37183"/>
    <cellStyle name="Comma 10 8 4" xfId="30760"/>
    <cellStyle name="Comma 10 8 5" xfId="42525"/>
    <cellStyle name="Comma 10 9" xfId="7707"/>
    <cellStyle name="Comma 10 9 2" xfId="18167"/>
    <cellStyle name="Comma 10 9 2 2" xfId="39210"/>
    <cellStyle name="Comma 10 9 2 3" xfId="32787"/>
    <cellStyle name="Comma 10 9 3" xfId="22660"/>
    <cellStyle name="Comma 10 9 3 2" xfId="36003"/>
    <cellStyle name="Comma 10 9 4" xfId="29580"/>
    <cellStyle name="Comma 10 9 5" xfId="43489"/>
    <cellStyle name="Comma 11" xfId="1668"/>
    <cellStyle name="Comma 12" xfId="2250"/>
    <cellStyle name="Comma 12 10" xfId="20350"/>
    <cellStyle name="Comma 12 11" xfId="28637"/>
    <cellStyle name="Comma 12 12" xfId="41372"/>
    <cellStyle name="Comma 12 2" xfId="3119"/>
    <cellStyle name="Comma 12 2 2" xfId="10564"/>
    <cellStyle name="Comma 12 2 2 2" xfId="19363"/>
    <cellStyle name="Comma 12 2 2 2 2" xfId="40406"/>
    <cellStyle name="Comma 12 2 2 2 3" xfId="33983"/>
    <cellStyle name="Comma 12 2 2 3" xfId="21562"/>
    <cellStyle name="Comma 12 2 2 3 2" xfId="37199"/>
    <cellStyle name="Comma 12 2 2 4" xfId="30776"/>
    <cellStyle name="Comma 12 2 2 5" xfId="42541"/>
    <cellStyle name="Comma 12 2 3" xfId="7723"/>
    <cellStyle name="Comma 12 2 3 2" xfId="18183"/>
    <cellStyle name="Comma 12 2 3 2 2" xfId="39226"/>
    <cellStyle name="Comma 12 2 3 2 3" xfId="32803"/>
    <cellStyle name="Comma 12 2 3 3" xfId="22676"/>
    <cellStyle name="Comma 12 2 3 3 2" xfId="36019"/>
    <cellStyle name="Comma 12 2 3 4" xfId="29596"/>
    <cellStyle name="Comma 12 2 3 5" xfId="43505"/>
    <cellStyle name="Comma 12 2 4" xfId="6712"/>
    <cellStyle name="Comma 12 2 4 2" xfId="17215"/>
    <cellStyle name="Comma 12 2 4 2 2" xfId="38268"/>
    <cellStyle name="Comma 12 2 4 3" xfId="31845"/>
    <cellStyle name="Comma 12 2 5" xfId="16381"/>
    <cellStyle name="Comma 12 2 5 2" xfId="35061"/>
    <cellStyle name="Comma 12 2 6" xfId="20351"/>
    <cellStyle name="Comma 12 2 7" xfId="28638"/>
    <cellStyle name="Comma 12 2 8" xfId="41373"/>
    <cellStyle name="Comma 12 3" xfId="3989"/>
    <cellStyle name="Comma 12 3 2" xfId="10565"/>
    <cellStyle name="Comma 12 3 2 2" xfId="19364"/>
    <cellStyle name="Comma 12 3 2 2 2" xfId="40407"/>
    <cellStyle name="Comma 12 3 2 2 3" xfId="33984"/>
    <cellStyle name="Comma 12 3 2 3" xfId="21563"/>
    <cellStyle name="Comma 12 3 2 3 2" xfId="37200"/>
    <cellStyle name="Comma 12 3 2 4" xfId="30777"/>
    <cellStyle name="Comma 12 3 2 5" xfId="42542"/>
    <cellStyle name="Comma 12 3 3" xfId="7724"/>
    <cellStyle name="Comma 12 3 3 2" xfId="18184"/>
    <cellStyle name="Comma 12 3 3 2 2" xfId="39227"/>
    <cellStyle name="Comma 12 3 3 2 3" xfId="32804"/>
    <cellStyle name="Comma 12 3 3 3" xfId="22677"/>
    <cellStyle name="Comma 12 3 3 3 2" xfId="36020"/>
    <cellStyle name="Comma 12 3 3 4" xfId="29597"/>
    <cellStyle name="Comma 12 3 3 5" xfId="43506"/>
    <cellStyle name="Comma 12 3 4" xfId="6713"/>
    <cellStyle name="Comma 12 3 4 2" xfId="17216"/>
    <cellStyle name="Comma 12 3 4 2 2" xfId="38269"/>
    <cellStyle name="Comma 12 3 4 3" xfId="31846"/>
    <cellStyle name="Comma 12 3 5" xfId="16569"/>
    <cellStyle name="Comma 12 3 5 2" xfId="35062"/>
    <cellStyle name="Comma 12 3 6" xfId="20352"/>
    <cellStyle name="Comma 12 3 7" xfId="28639"/>
    <cellStyle name="Comma 12 3 8" xfId="41374"/>
    <cellStyle name="Comma 12 4" xfId="4868"/>
    <cellStyle name="Comma 12 4 2" xfId="10566"/>
    <cellStyle name="Comma 12 4 2 2" xfId="19365"/>
    <cellStyle name="Comma 12 4 2 2 2" xfId="40408"/>
    <cellStyle name="Comma 12 4 2 2 3" xfId="33985"/>
    <cellStyle name="Comma 12 4 2 3" xfId="21564"/>
    <cellStyle name="Comma 12 4 2 3 2" xfId="37201"/>
    <cellStyle name="Comma 12 4 2 4" xfId="30778"/>
    <cellStyle name="Comma 12 4 2 5" xfId="42543"/>
    <cellStyle name="Comma 12 4 3" xfId="7725"/>
    <cellStyle name="Comma 12 4 3 2" xfId="18185"/>
    <cellStyle name="Comma 12 4 3 2 2" xfId="39228"/>
    <cellStyle name="Comma 12 4 3 2 3" xfId="32805"/>
    <cellStyle name="Comma 12 4 3 3" xfId="22678"/>
    <cellStyle name="Comma 12 4 3 3 2" xfId="36021"/>
    <cellStyle name="Comma 12 4 3 4" xfId="29598"/>
    <cellStyle name="Comma 12 4 3 5" xfId="43507"/>
    <cellStyle name="Comma 12 4 4" xfId="6714"/>
    <cellStyle name="Comma 12 4 4 2" xfId="17217"/>
    <cellStyle name="Comma 12 4 4 2 2" xfId="38270"/>
    <cellStyle name="Comma 12 4 4 3" xfId="31847"/>
    <cellStyle name="Comma 12 4 5" xfId="16757"/>
    <cellStyle name="Comma 12 4 5 2" xfId="35063"/>
    <cellStyle name="Comma 12 4 6" xfId="20353"/>
    <cellStyle name="Comma 12 4 7" xfId="28640"/>
    <cellStyle name="Comma 12 4 8" xfId="41375"/>
    <cellStyle name="Comma 12 5" xfId="6133"/>
    <cellStyle name="Comma 12 5 2" xfId="10567"/>
    <cellStyle name="Comma 12 5 2 2" xfId="19366"/>
    <cellStyle name="Comma 12 5 2 2 2" xfId="40409"/>
    <cellStyle name="Comma 12 5 2 2 3" xfId="33986"/>
    <cellStyle name="Comma 12 5 2 3" xfId="21565"/>
    <cellStyle name="Comma 12 5 2 3 2" xfId="37202"/>
    <cellStyle name="Comma 12 5 2 4" xfId="30779"/>
    <cellStyle name="Comma 12 5 2 5" xfId="42544"/>
    <cellStyle name="Comma 12 5 3" xfId="7726"/>
    <cellStyle name="Comma 12 5 3 2" xfId="18186"/>
    <cellStyle name="Comma 12 5 3 2 2" xfId="39229"/>
    <cellStyle name="Comma 12 5 3 2 3" xfId="32806"/>
    <cellStyle name="Comma 12 5 3 3" xfId="22679"/>
    <cellStyle name="Comma 12 5 3 3 2" xfId="36022"/>
    <cellStyle name="Comma 12 5 3 4" xfId="29599"/>
    <cellStyle name="Comma 12 5 3 5" xfId="43508"/>
    <cellStyle name="Comma 12 5 4" xfId="6715"/>
    <cellStyle name="Comma 12 5 4 2" xfId="17218"/>
    <cellStyle name="Comma 12 5 4 2 2" xfId="38271"/>
    <cellStyle name="Comma 12 5 4 3" xfId="31848"/>
    <cellStyle name="Comma 12 5 5" xfId="17045"/>
    <cellStyle name="Comma 12 5 5 2" xfId="35064"/>
    <cellStyle name="Comma 12 5 6" xfId="20354"/>
    <cellStyle name="Comma 12 5 7" xfId="28641"/>
    <cellStyle name="Comma 12 5 8" xfId="41376"/>
    <cellStyle name="Comma 12 6" xfId="10563"/>
    <cellStyle name="Comma 12 6 2" xfId="19362"/>
    <cellStyle name="Comma 12 6 2 2" xfId="40405"/>
    <cellStyle name="Comma 12 6 2 3" xfId="33982"/>
    <cellStyle name="Comma 12 6 3" xfId="21561"/>
    <cellStyle name="Comma 12 6 3 2" xfId="37198"/>
    <cellStyle name="Comma 12 6 4" xfId="30775"/>
    <cellStyle name="Comma 12 6 5" xfId="42540"/>
    <cellStyle name="Comma 12 7" xfId="7722"/>
    <cellStyle name="Comma 12 7 2" xfId="18182"/>
    <cellStyle name="Comma 12 7 2 2" xfId="39225"/>
    <cellStyle name="Comma 12 7 2 3" xfId="32802"/>
    <cellStyle name="Comma 12 7 3" xfId="22675"/>
    <cellStyle name="Comma 12 7 3 2" xfId="36018"/>
    <cellStyle name="Comma 12 7 4" xfId="29595"/>
    <cellStyle name="Comma 12 7 5" xfId="43504"/>
    <cellStyle name="Comma 12 8" xfId="6711"/>
    <cellStyle name="Comma 12 8 2" xfId="17214"/>
    <cellStyle name="Comma 12 8 2 2" xfId="38267"/>
    <cellStyle name="Comma 12 8 3" xfId="31844"/>
    <cellStyle name="Comma 12 9" xfId="16192"/>
    <cellStyle name="Comma 12 9 2" xfId="35060"/>
    <cellStyle name="Comma 13" xfId="6244"/>
    <cellStyle name="Comma 13 2" xfId="10568"/>
    <cellStyle name="Comma 13 2 2" xfId="19367"/>
    <cellStyle name="Comma 13 2 2 2" xfId="40410"/>
    <cellStyle name="Comma 13 2 2 3" xfId="33987"/>
    <cellStyle name="Comma 13 2 3" xfId="21566"/>
    <cellStyle name="Comma 13 2 3 2" xfId="37203"/>
    <cellStyle name="Comma 13 2 4" xfId="30780"/>
    <cellStyle name="Comma 13 2 5" xfId="42545"/>
    <cellStyle name="Comma 13 3" xfId="7727"/>
    <cellStyle name="Comma 13 3 2" xfId="18187"/>
    <cellStyle name="Comma 13 3 2 2" xfId="39230"/>
    <cellStyle name="Comma 13 3 2 3" xfId="32807"/>
    <cellStyle name="Comma 13 3 3" xfId="22680"/>
    <cellStyle name="Comma 13 3 3 2" xfId="36023"/>
    <cellStyle name="Comma 13 3 4" xfId="29600"/>
    <cellStyle name="Comma 13 3 5" xfId="43509"/>
    <cellStyle name="Comma 13 4" xfId="6716"/>
    <cellStyle name="Comma 13 4 2" xfId="17219"/>
    <cellStyle name="Comma 13 4 2 2" xfId="38272"/>
    <cellStyle name="Comma 13 4 3" xfId="31849"/>
    <cellStyle name="Comma 13 5" xfId="17071"/>
    <cellStyle name="Comma 13 5 2" xfId="35065"/>
    <cellStyle name="Comma 13 6" xfId="20355"/>
    <cellStyle name="Comma 13 7" xfId="28642"/>
    <cellStyle name="Comma 13 8" xfId="41377"/>
    <cellStyle name="Comma 14" xfId="1202"/>
    <cellStyle name="Comma 15" xfId="6294"/>
    <cellStyle name="Comma 15 2" xfId="10569"/>
    <cellStyle name="Comma 15 2 2" xfId="19368"/>
    <cellStyle name="Comma 15 2 2 2" xfId="40411"/>
    <cellStyle name="Comma 15 2 2 3" xfId="33988"/>
    <cellStyle name="Comma 15 2 3" xfId="21567"/>
    <cellStyle name="Comma 15 2 3 2" xfId="37204"/>
    <cellStyle name="Comma 15 2 4" xfId="30781"/>
    <cellStyle name="Comma 15 2 5" xfId="42546"/>
    <cellStyle name="Comma 15 3" xfId="7728"/>
    <cellStyle name="Comma 15 3 2" xfId="18188"/>
    <cellStyle name="Comma 15 3 2 2" xfId="39231"/>
    <cellStyle name="Comma 15 3 2 3" xfId="32808"/>
    <cellStyle name="Comma 15 3 3" xfId="22681"/>
    <cellStyle name="Comma 15 3 3 2" xfId="36024"/>
    <cellStyle name="Comma 15 3 4" xfId="29601"/>
    <cellStyle name="Comma 15 3 5" xfId="43510"/>
    <cellStyle name="Comma 15 4" xfId="6717"/>
    <cellStyle name="Comma 15 4 2" xfId="17220"/>
    <cellStyle name="Comma 15 5" xfId="17073"/>
    <cellStyle name="Comma 16" xfId="6502"/>
    <cellStyle name="Comma 16 2" xfId="15949"/>
    <cellStyle name="Comma 16 2 2" xfId="20301"/>
    <cellStyle name="Comma 16 2 2 2" xfId="41344"/>
    <cellStyle name="Comma 16 2 2 3" xfId="34921"/>
    <cellStyle name="Comma 16 2 3" xfId="22502"/>
    <cellStyle name="Comma 16 2 3 2" xfId="38137"/>
    <cellStyle name="Comma 16 2 4" xfId="31714"/>
    <cellStyle name="Comma 16 2 5" xfId="43479"/>
    <cellStyle name="Comma 16 3" xfId="8768"/>
    <cellStyle name="Comma 16 3 2" xfId="19227"/>
    <cellStyle name="Comma 16 3 2 2" xfId="40270"/>
    <cellStyle name="Comma 16 3 2 3" xfId="33847"/>
    <cellStyle name="Comma 16 3 3" xfId="28374"/>
    <cellStyle name="Comma 16 3 3 2" xfId="37063"/>
    <cellStyle name="Comma 16 3 4" xfId="30640"/>
    <cellStyle name="Comma 16 3 5" xfId="44545"/>
    <cellStyle name="Comma 16 4" xfId="7673"/>
    <cellStyle name="Comma 16 4 2" xfId="18156"/>
    <cellStyle name="Comma 16 5" xfId="17079"/>
    <cellStyle name="Comma 17" xfId="6505"/>
    <cellStyle name="Comma 17 2" xfId="15952"/>
    <cellStyle name="Comma 17 2 2" xfId="20302"/>
    <cellStyle name="Comma 17 2 2 2" xfId="41345"/>
    <cellStyle name="Comma 17 2 2 3" xfId="34922"/>
    <cellStyle name="Comma 17 2 3" xfId="22503"/>
    <cellStyle name="Comma 17 2 3 2" xfId="38138"/>
    <cellStyle name="Comma 17 2 4" xfId="31715"/>
    <cellStyle name="Comma 17 2 5" xfId="43480"/>
    <cellStyle name="Comma 17 3" xfId="8769"/>
    <cellStyle name="Comma 17 3 2" xfId="19228"/>
    <cellStyle name="Comma 17 3 2 2" xfId="40271"/>
    <cellStyle name="Comma 17 3 2 3" xfId="33848"/>
    <cellStyle name="Comma 17 3 3" xfId="28377"/>
    <cellStyle name="Comma 17 3 3 2" xfId="37064"/>
    <cellStyle name="Comma 17 3 4" xfId="30641"/>
    <cellStyle name="Comma 17 3 5" xfId="44546"/>
    <cellStyle name="Comma 17 4" xfId="7674"/>
    <cellStyle name="Comma 17 4 2" xfId="18157"/>
    <cellStyle name="Comma 17 5" xfId="17080"/>
    <cellStyle name="Comma 18" xfId="6531"/>
    <cellStyle name="Comma 18 2" xfId="8784"/>
    <cellStyle name="Comma 18 2 2" xfId="19229"/>
    <cellStyle name="Comma 18 2 2 2" xfId="40272"/>
    <cellStyle name="Comma 18 2 3" xfId="28405"/>
    <cellStyle name="Comma 18 2 4" xfId="33849"/>
    <cellStyle name="Comma 18 2 5" xfId="44547"/>
    <cellStyle name="Comma 18 3" xfId="20332"/>
    <cellStyle name="Comma 18 3 2" xfId="37065"/>
    <cellStyle name="Comma 18 4" xfId="30642"/>
    <cellStyle name="Comma 18 5" xfId="41355"/>
    <cellStyle name="Comma 19" xfId="10056"/>
    <cellStyle name="Comma 19 2" xfId="19232"/>
    <cellStyle name="Comma 19 2 2" xfId="40275"/>
    <cellStyle name="Comma 19 2 3" xfId="33852"/>
    <cellStyle name="Comma 19 3" xfId="21432"/>
    <cellStyle name="Comma 19 3 2" xfId="37068"/>
    <cellStyle name="Comma 19 4" xfId="30645"/>
    <cellStyle name="Comma 19 5" xfId="42411"/>
    <cellStyle name="Comma 2" xfId="1149"/>
    <cellStyle name="Comma 2 10" xfId="2265"/>
    <cellStyle name="Comma 2 11" xfId="4967"/>
    <cellStyle name="Comma 2 11 2" xfId="10570"/>
    <cellStyle name="Comma 2 11 2 2" xfId="19369"/>
    <cellStyle name="Comma 2 11 2 2 2" xfId="40412"/>
    <cellStyle name="Comma 2 11 2 2 3" xfId="33989"/>
    <cellStyle name="Comma 2 11 2 3" xfId="21568"/>
    <cellStyle name="Comma 2 11 2 3 2" xfId="37205"/>
    <cellStyle name="Comma 2 11 2 4" xfId="30782"/>
    <cellStyle name="Comma 2 11 2 5" xfId="42547"/>
    <cellStyle name="Comma 2 11 3" xfId="7729"/>
    <cellStyle name="Comma 2 11 3 2" xfId="18189"/>
    <cellStyle name="Comma 2 11 3 2 2" xfId="39232"/>
    <cellStyle name="Comma 2 11 3 2 3" xfId="32809"/>
    <cellStyle name="Comma 2 11 3 3" xfId="22682"/>
    <cellStyle name="Comma 2 11 3 3 2" xfId="36025"/>
    <cellStyle name="Comma 2 11 3 4" xfId="29602"/>
    <cellStyle name="Comma 2 11 3 5" xfId="43511"/>
    <cellStyle name="Comma 2 11 4" xfId="6718"/>
    <cellStyle name="Comma 2 11 4 2" xfId="17221"/>
    <cellStyle name="Comma 2 11 4 2 2" xfId="38273"/>
    <cellStyle name="Comma 2 11 4 3" xfId="31850"/>
    <cellStyle name="Comma 2 11 5" xfId="16783"/>
    <cellStyle name="Comma 2 11 5 2" xfId="35066"/>
    <cellStyle name="Comma 2 11 6" xfId="20356"/>
    <cellStyle name="Comma 2 11 7" xfId="28643"/>
    <cellStyle name="Comma 2 11 8" xfId="41378"/>
    <cellStyle name="Comma 2 12" xfId="1218"/>
    <cellStyle name="Comma 2 12 2" xfId="10571"/>
    <cellStyle name="Comma 2 12 2 2" xfId="19370"/>
    <cellStyle name="Comma 2 12 2 2 2" xfId="40413"/>
    <cellStyle name="Comma 2 12 2 2 3" xfId="33990"/>
    <cellStyle name="Comma 2 12 2 3" xfId="21569"/>
    <cellStyle name="Comma 2 12 2 3 2" xfId="37206"/>
    <cellStyle name="Comma 2 12 2 4" xfId="30783"/>
    <cellStyle name="Comma 2 12 2 5" xfId="42548"/>
    <cellStyle name="Comma 2 12 3" xfId="7730"/>
    <cellStyle name="Comma 2 12 3 2" xfId="18190"/>
    <cellStyle name="Comma 2 12 3 2 2" xfId="39233"/>
    <cellStyle name="Comma 2 12 3 2 3" xfId="32810"/>
    <cellStyle name="Comma 2 12 3 3" xfId="36026"/>
    <cellStyle name="Comma 2 12 3 4" xfId="29603"/>
    <cellStyle name="Comma 2 12 4" xfId="6719"/>
    <cellStyle name="Comma 2 12 4 2" xfId="17222"/>
    <cellStyle name="Comma 2 12 5" xfId="16015"/>
    <cellStyle name="Comma 2 12 6" xfId="20357"/>
    <cellStyle name="Comma 2 13" xfId="6291"/>
    <cellStyle name="Comma 2 13 2" xfId="10572"/>
    <cellStyle name="Comma 2 13 2 2" xfId="19371"/>
    <cellStyle name="Comma 2 13 2 2 2" xfId="40414"/>
    <cellStyle name="Comma 2 13 2 2 3" xfId="33991"/>
    <cellStyle name="Comma 2 13 2 3" xfId="21570"/>
    <cellStyle name="Comma 2 13 2 3 2" xfId="37207"/>
    <cellStyle name="Comma 2 13 2 4" xfId="30784"/>
    <cellStyle name="Comma 2 13 2 5" xfId="42549"/>
    <cellStyle name="Comma 2 13 3" xfId="7731"/>
    <cellStyle name="Comma 2 13 3 2" xfId="18191"/>
    <cellStyle name="Comma 2 13 3 2 2" xfId="39234"/>
    <cellStyle name="Comma 2 13 3 2 3" xfId="32811"/>
    <cellStyle name="Comma 2 13 3 3" xfId="22683"/>
    <cellStyle name="Comma 2 13 3 3 2" xfId="36027"/>
    <cellStyle name="Comma 2 13 3 4" xfId="29604"/>
    <cellStyle name="Comma 2 13 3 5" xfId="43512"/>
    <cellStyle name="Comma 2 13 4" xfId="6720"/>
    <cellStyle name="Comma 2 13 4 2" xfId="17223"/>
    <cellStyle name="Comma 2 13 4 2 2" xfId="38274"/>
    <cellStyle name="Comma 2 13 4 3" xfId="31851"/>
    <cellStyle name="Comma 2 13 5" xfId="17072"/>
    <cellStyle name="Comma 2 13 5 2" xfId="35067"/>
    <cellStyle name="Comma 2 13 6" xfId="20358"/>
    <cellStyle name="Comma 2 13 7" xfId="28644"/>
    <cellStyle name="Comma 2 13 8" xfId="41379"/>
    <cellStyle name="Comma 2 14" xfId="6296"/>
    <cellStyle name="Comma 2 14 2" xfId="10573"/>
    <cellStyle name="Comma 2 14 2 2" xfId="19372"/>
    <cellStyle name="Comma 2 14 2 2 2" xfId="40415"/>
    <cellStyle name="Comma 2 14 2 2 3" xfId="33992"/>
    <cellStyle name="Comma 2 14 2 3" xfId="21571"/>
    <cellStyle name="Comma 2 14 2 3 2" xfId="37208"/>
    <cellStyle name="Comma 2 14 2 4" xfId="30785"/>
    <cellStyle name="Comma 2 14 2 5" xfId="42550"/>
    <cellStyle name="Comma 2 14 3" xfId="7732"/>
    <cellStyle name="Comma 2 14 3 2" xfId="18192"/>
    <cellStyle name="Comma 2 14 3 2 2" xfId="39235"/>
    <cellStyle name="Comma 2 14 3 2 3" xfId="32812"/>
    <cellStyle name="Comma 2 14 3 3" xfId="22684"/>
    <cellStyle name="Comma 2 14 3 3 2" xfId="36028"/>
    <cellStyle name="Comma 2 14 3 4" xfId="29605"/>
    <cellStyle name="Comma 2 14 3 5" xfId="43513"/>
    <cellStyle name="Comma 2 14 4" xfId="6721"/>
    <cellStyle name="Comma 2 14 4 2" xfId="17224"/>
    <cellStyle name="Comma 2 14 5" xfId="17075"/>
    <cellStyle name="Comma 2 15" xfId="10050"/>
    <cellStyle name="Comma 2 15 2" xfId="19231"/>
    <cellStyle name="Comma 2 15 2 2" xfId="28426"/>
    <cellStyle name="Comma 2 15 2 2 2" xfId="40274"/>
    <cellStyle name="Comma 2 15 2 3" xfId="33851"/>
    <cellStyle name="Comma 2 15 2 4" xfId="44549"/>
    <cellStyle name="Comma 2 15 3" xfId="21434"/>
    <cellStyle name="Comma 2 15 3 2" xfId="37067"/>
    <cellStyle name="Comma 2 15 4" xfId="30644"/>
    <cellStyle name="Comma 2 15 5" xfId="42413"/>
    <cellStyle name="Comma 2 16" xfId="10072"/>
    <cellStyle name="Comma 2 16 2" xfId="19234"/>
    <cellStyle name="Comma 2 16 2 2" xfId="40277"/>
    <cellStyle name="Comma 2 16 2 3" xfId="33854"/>
    <cellStyle name="Comma 2 16 3" xfId="22546"/>
    <cellStyle name="Comma 2 16 3 2" xfId="37070"/>
    <cellStyle name="Comma 2 16 4" xfId="30647"/>
    <cellStyle name="Comma 2 16 5" xfId="43484"/>
    <cellStyle name="Comma 2 17" xfId="7685"/>
    <cellStyle name="Comma 2 17 2" xfId="18161"/>
    <cellStyle name="Comma 2 17 2 2" xfId="39204"/>
    <cellStyle name="Comma 2 17 2 3" xfId="32781"/>
    <cellStyle name="Comma 2 17 3" xfId="35997"/>
    <cellStyle name="Comma 2 17 4" xfId="29574"/>
    <cellStyle name="Comma 2 17 5" xfId="44557"/>
    <cellStyle name="Comma 2 18" xfId="6557"/>
    <cellStyle name="Comma 2 18 2" xfId="17087"/>
    <cellStyle name="Comma 2 18 2 2" xfId="38143"/>
    <cellStyle name="Comma 2 18 3" xfId="31720"/>
    <cellStyle name="Comma 2 19" xfId="16008"/>
    <cellStyle name="Comma 2 19 2" xfId="34936"/>
    <cellStyle name="Comma 2 2" xfId="1311"/>
    <cellStyle name="Comma 2 2 10" xfId="6568"/>
    <cellStyle name="Comma 2 2 10 2" xfId="17092"/>
    <cellStyle name="Comma 2 2 10 2 2" xfId="38146"/>
    <cellStyle name="Comma 2 2 10 3" xfId="31723"/>
    <cellStyle name="Comma 2 2 10 4" xfId="44558"/>
    <cellStyle name="Comma 2 2 11" xfId="16018"/>
    <cellStyle name="Comma 2 2 11 2" xfId="34939"/>
    <cellStyle name="Comma 2 2 12" xfId="20359"/>
    <cellStyle name="Comma 2 2 13" xfId="28514"/>
    <cellStyle name="Comma 2 2 14" xfId="41380"/>
    <cellStyle name="Comma 2 2 2" xfId="1454"/>
    <cellStyle name="Comma 2 2 2 10" xfId="4179"/>
    <cellStyle name="Comma 2 2 2 10 2" xfId="10574"/>
    <cellStyle name="Comma 2 2 2 10 2 2" xfId="19373"/>
    <cellStyle name="Comma 2 2 2 10 2 2 2" xfId="40416"/>
    <cellStyle name="Comma 2 2 2 10 2 2 3" xfId="33993"/>
    <cellStyle name="Comma 2 2 2 10 2 3" xfId="21572"/>
    <cellStyle name="Comma 2 2 2 10 2 3 2" xfId="37209"/>
    <cellStyle name="Comma 2 2 2 10 2 4" xfId="30786"/>
    <cellStyle name="Comma 2 2 2 10 2 5" xfId="42551"/>
    <cellStyle name="Comma 2 2 2 10 3" xfId="7735"/>
    <cellStyle name="Comma 2 2 2 10 3 2" xfId="18195"/>
    <cellStyle name="Comma 2 2 2 10 3 2 2" xfId="39238"/>
    <cellStyle name="Comma 2 2 2 10 3 2 3" xfId="32815"/>
    <cellStyle name="Comma 2 2 2 10 3 3" xfId="22687"/>
    <cellStyle name="Comma 2 2 2 10 3 3 2" xfId="36031"/>
    <cellStyle name="Comma 2 2 2 10 3 4" xfId="29608"/>
    <cellStyle name="Comma 2 2 2 10 3 5" xfId="43516"/>
    <cellStyle name="Comma 2 2 2 10 4" xfId="6722"/>
    <cellStyle name="Comma 2 2 2 10 4 2" xfId="17225"/>
    <cellStyle name="Comma 2 2 2 10 4 2 2" xfId="38275"/>
    <cellStyle name="Comma 2 2 2 10 4 3" xfId="31852"/>
    <cellStyle name="Comma 2 2 2 10 5" xfId="16599"/>
    <cellStyle name="Comma 2 2 2 10 5 2" xfId="35068"/>
    <cellStyle name="Comma 2 2 2 10 6" xfId="20361"/>
    <cellStyle name="Comma 2 2 2 10 7" xfId="28645"/>
    <cellStyle name="Comma 2 2 2 10 8" xfId="41382"/>
    <cellStyle name="Comma 2 2 2 11" xfId="4970"/>
    <cellStyle name="Comma 2 2 2 11 2" xfId="10575"/>
    <cellStyle name="Comma 2 2 2 11 2 2" xfId="19374"/>
    <cellStyle name="Comma 2 2 2 11 2 2 2" xfId="40417"/>
    <cellStyle name="Comma 2 2 2 11 2 2 3" xfId="33994"/>
    <cellStyle name="Comma 2 2 2 11 2 3" xfId="21573"/>
    <cellStyle name="Comma 2 2 2 11 2 3 2" xfId="37210"/>
    <cellStyle name="Comma 2 2 2 11 2 4" xfId="30787"/>
    <cellStyle name="Comma 2 2 2 11 2 5" xfId="42552"/>
    <cellStyle name="Comma 2 2 2 11 3" xfId="7736"/>
    <cellStyle name="Comma 2 2 2 11 3 2" xfId="18196"/>
    <cellStyle name="Comma 2 2 2 11 3 2 2" xfId="39239"/>
    <cellStyle name="Comma 2 2 2 11 3 2 3" xfId="32816"/>
    <cellStyle name="Comma 2 2 2 11 3 3" xfId="22688"/>
    <cellStyle name="Comma 2 2 2 11 3 3 2" xfId="36032"/>
    <cellStyle name="Comma 2 2 2 11 3 4" xfId="29609"/>
    <cellStyle name="Comma 2 2 2 11 3 5" xfId="43517"/>
    <cellStyle name="Comma 2 2 2 11 4" xfId="6723"/>
    <cellStyle name="Comma 2 2 2 11 4 2" xfId="17226"/>
    <cellStyle name="Comma 2 2 2 11 4 2 2" xfId="38276"/>
    <cellStyle name="Comma 2 2 2 11 4 3" xfId="31853"/>
    <cellStyle name="Comma 2 2 2 11 5" xfId="16785"/>
    <cellStyle name="Comma 2 2 2 11 5 2" xfId="35069"/>
    <cellStyle name="Comma 2 2 2 11 6" xfId="20362"/>
    <cellStyle name="Comma 2 2 2 11 7" xfId="28646"/>
    <cellStyle name="Comma 2 2 2 11 8" xfId="41383"/>
    <cellStyle name="Comma 2 2 2 12" xfId="5441"/>
    <cellStyle name="Comma 2 2 2 12 2" xfId="10576"/>
    <cellStyle name="Comma 2 2 2 12 2 2" xfId="19375"/>
    <cellStyle name="Comma 2 2 2 12 2 2 2" xfId="40418"/>
    <cellStyle name="Comma 2 2 2 12 2 2 3" xfId="33995"/>
    <cellStyle name="Comma 2 2 2 12 2 3" xfId="21574"/>
    <cellStyle name="Comma 2 2 2 12 2 3 2" xfId="37211"/>
    <cellStyle name="Comma 2 2 2 12 2 4" xfId="30788"/>
    <cellStyle name="Comma 2 2 2 12 2 5" xfId="42553"/>
    <cellStyle name="Comma 2 2 2 12 3" xfId="7737"/>
    <cellStyle name="Comma 2 2 2 12 3 2" xfId="18197"/>
    <cellStyle name="Comma 2 2 2 12 3 2 2" xfId="39240"/>
    <cellStyle name="Comma 2 2 2 12 3 2 3" xfId="32817"/>
    <cellStyle name="Comma 2 2 2 12 3 3" xfId="22689"/>
    <cellStyle name="Comma 2 2 2 12 3 3 2" xfId="36033"/>
    <cellStyle name="Comma 2 2 2 12 3 4" xfId="29610"/>
    <cellStyle name="Comma 2 2 2 12 3 5" xfId="43518"/>
    <cellStyle name="Comma 2 2 2 12 4" xfId="6724"/>
    <cellStyle name="Comma 2 2 2 12 4 2" xfId="17227"/>
    <cellStyle name="Comma 2 2 2 12 4 2 2" xfId="38277"/>
    <cellStyle name="Comma 2 2 2 12 4 3" xfId="31854"/>
    <cellStyle name="Comma 2 2 2 12 5" xfId="16887"/>
    <cellStyle name="Comma 2 2 2 12 5 2" xfId="35070"/>
    <cellStyle name="Comma 2 2 2 12 6" xfId="20363"/>
    <cellStyle name="Comma 2 2 2 12 7" xfId="28647"/>
    <cellStyle name="Comma 2 2 2 12 8" xfId="41384"/>
    <cellStyle name="Comma 2 2 2 13" xfId="10186"/>
    <cellStyle name="Comma 2 2 2 13 2" xfId="19241"/>
    <cellStyle name="Comma 2 2 2 13 2 2" xfId="40284"/>
    <cellStyle name="Comma 2 2 2 13 2 3" xfId="33861"/>
    <cellStyle name="Comma 2 2 2 13 3" xfId="21441"/>
    <cellStyle name="Comma 2 2 2 13 3 2" xfId="37077"/>
    <cellStyle name="Comma 2 2 2 13 4" xfId="30654"/>
    <cellStyle name="Comma 2 2 2 13 5" xfId="42420"/>
    <cellStyle name="Comma 2 2 2 14" xfId="7734"/>
    <cellStyle name="Comma 2 2 2 14 2" xfId="18194"/>
    <cellStyle name="Comma 2 2 2 14 2 2" xfId="39237"/>
    <cellStyle name="Comma 2 2 2 14 2 3" xfId="32814"/>
    <cellStyle name="Comma 2 2 2 14 3" xfId="22686"/>
    <cellStyle name="Comma 2 2 2 14 3 2" xfId="36030"/>
    <cellStyle name="Comma 2 2 2 14 4" xfId="29607"/>
    <cellStyle name="Comma 2 2 2 14 5" xfId="43515"/>
    <cellStyle name="Comma 2 2 2 15" xfId="6586"/>
    <cellStyle name="Comma 2 2 2 15 2" xfId="17094"/>
    <cellStyle name="Comma 2 2 2 15 2 2" xfId="38148"/>
    <cellStyle name="Comma 2 2 2 15 3" xfId="31725"/>
    <cellStyle name="Comma 2 2 2 16" xfId="16024"/>
    <cellStyle name="Comma 2 2 2 16 2" xfId="34941"/>
    <cellStyle name="Comma 2 2 2 17" xfId="20360"/>
    <cellStyle name="Comma 2 2 2 18" xfId="28516"/>
    <cellStyle name="Comma 2 2 2 19" xfId="41381"/>
    <cellStyle name="Comma 2 2 2 2" xfId="1455"/>
    <cellStyle name="Comma 2 2 2 2 10" xfId="4971"/>
    <cellStyle name="Comma 2 2 2 2 10 2" xfId="10577"/>
    <cellStyle name="Comma 2 2 2 2 10 2 2" xfId="19376"/>
    <cellStyle name="Comma 2 2 2 2 10 2 2 2" xfId="40419"/>
    <cellStyle name="Comma 2 2 2 2 10 2 2 3" xfId="33996"/>
    <cellStyle name="Comma 2 2 2 2 10 2 3" xfId="21575"/>
    <cellStyle name="Comma 2 2 2 2 10 2 3 2" xfId="37212"/>
    <cellStyle name="Comma 2 2 2 2 10 2 4" xfId="30789"/>
    <cellStyle name="Comma 2 2 2 2 10 2 5" xfId="42554"/>
    <cellStyle name="Comma 2 2 2 2 10 3" xfId="7739"/>
    <cellStyle name="Comma 2 2 2 2 10 3 2" xfId="18199"/>
    <cellStyle name="Comma 2 2 2 2 10 3 2 2" xfId="39242"/>
    <cellStyle name="Comma 2 2 2 2 10 3 2 3" xfId="32819"/>
    <cellStyle name="Comma 2 2 2 2 10 3 3" xfId="22691"/>
    <cellStyle name="Comma 2 2 2 2 10 3 3 2" xfId="36035"/>
    <cellStyle name="Comma 2 2 2 2 10 3 4" xfId="29612"/>
    <cellStyle name="Comma 2 2 2 2 10 3 5" xfId="43520"/>
    <cellStyle name="Comma 2 2 2 2 10 4" xfId="6725"/>
    <cellStyle name="Comma 2 2 2 2 10 4 2" xfId="17228"/>
    <cellStyle name="Comma 2 2 2 2 10 4 2 2" xfId="38278"/>
    <cellStyle name="Comma 2 2 2 2 10 4 3" xfId="31855"/>
    <cellStyle name="Comma 2 2 2 2 10 5" xfId="16786"/>
    <cellStyle name="Comma 2 2 2 2 10 5 2" xfId="35071"/>
    <cellStyle name="Comma 2 2 2 2 10 6" xfId="20365"/>
    <cellStyle name="Comma 2 2 2 2 10 7" xfId="28648"/>
    <cellStyle name="Comma 2 2 2 2 10 8" xfId="41386"/>
    <cellStyle name="Comma 2 2 2 2 11" xfId="5442"/>
    <cellStyle name="Comma 2 2 2 2 11 2" xfId="10578"/>
    <cellStyle name="Comma 2 2 2 2 11 2 2" xfId="19377"/>
    <cellStyle name="Comma 2 2 2 2 11 2 2 2" xfId="40420"/>
    <cellStyle name="Comma 2 2 2 2 11 2 2 3" xfId="33997"/>
    <cellStyle name="Comma 2 2 2 2 11 2 3" xfId="21576"/>
    <cellStyle name="Comma 2 2 2 2 11 2 3 2" xfId="37213"/>
    <cellStyle name="Comma 2 2 2 2 11 2 4" xfId="30790"/>
    <cellStyle name="Comma 2 2 2 2 11 2 5" xfId="42555"/>
    <cellStyle name="Comma 2 2 2 2 11 3" xfId="7740"/>
    <cellStyle name="Comma 2 2 2 2 11 3 2" xfId="18200"/>
    <cellStyle name="Comma 2 2 2 2 11 3 2 2" xfId="39243"/>
    <cellStyle name="Comma 2 2 2 2 11 3 2 3" xfId="32820"/>
    <cellStyle name="Comma 2 2 2 2 11 3 3" xfId="22692"/>
    <cellStyle name="Comma 2 2 2 2 11 3 3 2" xfId="36036"/>
    <cellStyle name="Comma 2 2 2 2 11 3 4" xfId="29613"/>
    <cellStyle name="Comma 2 2 2 2 11 3 5" xfId="43521"/>
    <cellStyle name="Comma 2 2 2 2 11 4" xfId="6726"/>
    <cellStyle name="Comma 2 2 2 2 11 4 2" xfId="17229"/>
    <cellStyle name="Comma 2 2 2 2 11 4 2 2" xfId="38279"/>
    <cellStyle name="Comma 2 2 2 2 11 4 3" xfId="31856"/>
    <cellStyle name="Comma 2 2 2 2 11 5" xfId="16888"/>
    <cellStyle name="Comma 2 2 2 2 11 5 2" xfId="35072"/>
    <cellStyle name="Comma 2 2 2 2 11 6" xfId="20366"/>
    <cellStyle name="Comma 2 2 2 2 11 7" xfId="28649"/>
    <cellStyle name="Comma 2 2 2 2 11 8" xfId="41387"/>
    <cellStyle name="Comma 2 2 2 2 12" xfId="10206"/>
    <cellStyle name="Comma 2 2 2 2 12 2" xfId="19260"/>
    <cellStyle name="Comma 2 2 2 2 12 2 2" xfId="40303"/>
    <cellStyle name="Comma 2 2 2 2 12 2 3" xfId="33880"/>
    <cellStyle name="Comma 2 2 2 2 12 3" xfId="21460"/>
    <cellStyle name="Comma 2 2 2 2 12 3 2" xfId="37096"/>
    <cellStyle name="Comma 2 2 2 2 12 4" xfId="30673"/>
    <cellStyle name="Comma 2 2 2 2 12 5" xfId="42439"/>
    <cellStyle name="Comma 2 2 2 2 13" xfId="7738"/>
    <cellStyle name="Comma 2 2 2 2 13 2" xfId="18198"/>
    <cellStyle name="Comma 2 2 2 2 13 2 2" xfId="39241"/>
    <cellStyle name="Comma 2 2 2 2 13 2 3" xfId="32818"/>
    <cellStyle name="Comma 2 2 2 2 13 3" xfId="22690"/>
    <cellStyle name="Comma 2 2 2 2 13 3 2" xfId="36034"/>
    <cellStyle name="Comma 2 2 2 2 13 4" xfId="29611"/>
    <cellStyle name="Comma 2 2 2 2 13 5" xfId="43519"/>
    <cellStyle name="Comma 2 2 2 2 14" xfId="6606"/>
    <cellStyle name="Comma 2 2 2 2 14 2" xfId="17113"/>
    <cellStyle name="Comma 2 2 2 2 14 2 2" xfId="38166"/>
    <cellStyle name="Comma 2 2 2 2 14 3" xfId="31743"/>
    <cellStyle name="Comma 2 2 2 2 15" xfId="16025"/>
    <cellStyle name="Comma 2 2 2 2 15 2" xfId="34959"/>
    <cellStyle name="Comma 2 2 2 2 16" xfId="20364"/>
    <cellStyle name="Comma 2 2 2 2 17" xfId="28534"/>
    <cellStyle name="Comma 2 2 2 2 18" xfId="41385"/>
    <cellStyle name="Comma 2 2 2 2 2" xfId="1456"/>
    <cellStyle name="Comma 2 2 2 2 2 10" xfId="5443"/>
    <cellStyle name="Comma 2 2 2 2 2 10 2" xfId="10579"/>
    <cellStyle name="Comma 2 2 2 2 2 10 2 2" xfId="19378"/>
    <cellStyle name="Comma 2 2 2 2 2 10 2 2 2" xfId="40421"/>
    <cellStyle name="Comma 2 2 2 2 2 10 2 2 3" xfId="33998"/>
    <cellStyle name="Comma 2 2 2 2 2 10 2 3" xfId="21577"/>
    <cellStyle name="Comma 2 2 2 2 2 10 2 3 2" xfId="37214"/>
    <cellStyle name="Comma 2 2 2 2 2 10 2 4" xfId="30791"/>
    <cellStyle name="Comma 2 2 2 2 2 10 2 5" xfId="42556"/>
    <cellStyle name="Comma 2 2 2 2 2 10 3" xfId="7742"/>
    <cellStyle name="Comma 2 2 2 2 2 10 3 2" xfId="18202"/>
    <cellStyle name="Comma 2 2 2 2 2 10 3 2 2" xfId="39245"/>
    <cellStyle name="Comma 2 2 2 2 2 10 3 2 3" xfId="32822"/>
    <cellStyle name="Comma 2 2 2 2 2 10 3 3" xfId="22694"/>
    <cellStyle name="Comma 2 2 2 2 2 10 3 3 2" xfId="36038"/>
    <cellStyle name="Comma 2 2 2 2 2 10 3 4" xfId="29615"/>
    <cellStyle name="Comma 2 2 2 2 2 10 3 5" xfId="43523"/>
    <cellStyle name="Comma 2 2 2 2 2 10 4" xfId="6727"/>
    <cellStyle name="Comma 2 2 2 2 2 10 4 2" xfId="17230"/>
    <cellStyle name="Comma 2 2 2 2 2 10 4 2 2" xfId="38280"/>
    <cellStyle name="Comma 2 2 2 2 2 10 4 3" xfId="31857"/>
    <cellStyle name="Comma 2 2 2 2 2 10 5" xfId="16889"/>
    <cellStyle name="Comma 2 2 2 2 2 10 5 2" xfId="35073"/>
    <cellStyle name="Comma 2 2 2 2 2 10 6" xfId="20368"/>
    <cellStyle name="Comma 2 2 2 2 2 10 7" xfId="28650"/>
    <cellStyle name="Comma 2 2 2 2 2 10 8" xfId="41389"/>
    <cellStyle name="Comma 2 2 2 2 2 11" xfId="10197"/>
    <cellStyle name="Comma 2 2 2 2 2 11 2" xfId="19251"/>
    <cellStyle name="Comma 2 2 2 2 2 11 2 2" xfId="40294"/>
    <cellStyle name="Comma 2 2 2 2 2 11 2 3" xfId="33871"/>
    <cellStyle name="Comma 2 2 2 2 2 11 3" xfId="21451"/>
    <cellStyle name="Comma 2 2 2 2 2 11 3 2" xfId="37087"/>
    <cellStyle name="Comma 2 2 2 2 2 11 4" xfId="30664"/>
    <cellStyle name="Comma 2 2 2 2 2 11 5" xfId="42430"/>
    <cellStyle name="Comma 2 2 2 2 2 12" xfId="7741"/>
    <cellStyle name="Comma 2 2 2 2 2 12 2" xfId="18201"/>
    <cellStyle name="Comma 2 2 2 2 2 12 2 2" xfId="39244"/>
    <cellStyle name="Comma 2 2 2 2 2 12 2 3" xfId="32821"/>
    <cellStyle name="Comma 2 2 2 2 2 12 3" xfId="22693"/>
    <cellStyle name="Comma 2 2 2 2 2 12 3 2" xfId="36037"/>
    <cellStyle name="Comma 2 2 2 2 2 12 4" xfId="29614"/>
    <cellStyle name="Comma 2 2 2 2 2 12 5" xfId="43522"/>
    <cellStyle name="Comma 2 2 2 2 2 13" xfId="6597"/>
    <cellStyle name="Comma 2 2 2 2 2 13 2" xfId="17104"/>
    <cellStyle name="Comma 2 2 2 2 2 13 2 2" xfId="38157"/>
    <cellStyle name="Comma 2 2 2 2 2 13 3" xfId="31734"/>
    <cellStyle name="Comma 2 2 2 2 2 14" xfId="16026"/>
    <cellStyle name="Comma 2 2 2 2 2 14 2" xfId="34950"/>
    <cellStyle name="Comma 2 2 2 2 2 15" xfId="20367"/>
    <cellStyle name="Comma 2 2 2 2 2 16" xfId="28525"/>
    <cellStyle name="Comma 2 2 2 2 2 17" xfId="41388"/>
    <cellStyle name="Comma 2 2 2 2 2 2" xfId="1457"/>
    <cellStyle name="Comma 2 2 2 2 2 2 10" xfId="7743"/>
    <cellStyle name="Comma 2 2 2 2 2 2 10 2" xfId="18203"/>
    <cellStyle name="Comma 2 2 2 2 2 2 10 2 2" xfId="39246"/>
    <cellStyle name="Comma 2 2 2 2 2 2 10 2 3" xfId="32823"/>
    <cellStyle name="Comma 2 2 2 2 2 2 10 3" xfId="22695"/>
    <cellStyle name="Comma 2 2 2 2 2 2 10 3 2" xfId="36039"/>
    <cellStyle name="Comma 2 2 2 2 2 2 10 4" xfId="29616"/>
    <cellStyle name="Comma 2 2 2 2 2 2 10 5" xfId="43524"/>
    <cellStyle name="Comma 2 2 2 2 2 2 11" xfId="6610"/>
    <cellStyle name="Comma 2 2 2 2 2 2 11 2" xfId="17117"/>
    <cellStyle name="Comma 2 2 2 2 2 2 11 2 2" xfId="38170"/>
    <cellStyle name="Comma 2 2 2 2 2 2 11 3" xfId="31747"/>
    <cellStyle name="Comma 2 2 2 2 2 2 12" xfId="16027"/>
    <cellStyle name="Comma 2 2 2 2 2 2 12 2" xfId="34963"/>
    <cellStyle name="Comma 2 2 2 2 2 2 13" xfId="20369"/>
    <cellStyle name="Comma 2 2 2 2 2 2 14" xfId="28538"/>
    <cellStyle name="Comma 2 2 2 2 2 2 15" xfId="41390"/>
    <cellStyle name="Comma 2 2 2 2 2 2 2" xfId="1811"/>
    <cellStyle name="Comma 2 2 2 2 2 2 2 10" xfId="16089"/>
    <cellStyle name="Comma 2 2 2 2 2 2 2 10 2" xfId="34940"/>
    <cellStyle name="Comma 2 2 2 2 2 2 2 11" xfId="20370"/>
    <cellStyle name="Comma 2 2 2 2 2 2 2 12" xfId="28515"/>
    <cellStyle name="Comma 2 2 2 2 2 2 2 13" xfId="41391"/>
    <cellStyle name="Comma 2 2 2 2 2 2 2 2" xfId="2701"/>
    <cellStyle name="Comma 2 2 2 2 2 2 2 2 2" xfId="10580"/>
    <cellStyle name="Comma 2 2 2 2 2 2 2 2 2 2" xfId="19379"/>
    <cellStyle name="Comma 2 2 2 2 2 2 2 2 2 2 2" xfId="40422"/>
    <cellStyle name="Comma 2 2 2 2 2 2 2 2 2 2 3" xfId="33999"/>
    <cellStyle name="Comma 2 2 2 2 2 2 2 2 2 3" xfId="21578"/>
    <cellStyle name="Comma 2 2 2 2 2 2 2 2 2 3 2" xfId="37215"/>
    <cellStyle name="Comma 2 2 2 2 2 2 2 2 2 4" xfId="30792"/>
    <cellStyle name="Comma 2 2 2 2 2 2 2 2 2 5" xfId="42557"/>
    <cellStyle name="Comma 2 2 2 2 2 2 2 2 3" xfId="7745"/>
    <cellStyle name="Comma 2 2 2 2 2 2 2 2 3 2" xfId="18205"/>
    <cellStyle name="Comma 2 2 2 2 2 2 2 2 3 2 2" xfId="39248"/>
    <cellStyle name="Comma 2 2 2 2 2 2 2 2 3 2 3" xfId="32825"/>
    <cellStyle name="Comma 2 2 2 2 2 2 2 2 3 3" xfId="22697"/>
    <cellStyle name="Comma 2 2 2 2 2 2 2 2 3 3 2" xfId="36041"/>
    <cellStyle name="Comma 2 2 2 2 2 2 2 2 3 4" xfId="29618"/>
    <cellStyle name="Comma 2 2 2 2 2 2 2 2 3 5" xfId="43526"/>
    <cellStyle name="Comma 2 2 2 2 2 2 2 2 4" xfId="6728"/>
    <cellStyle name="Comma 2 2 2 2 2 2 2 2 4 2" xfId="17231"/>
    <cellStyle name="Comma 2 2 2 2 2 2 2 2 4 2 2" xfId="38281"/>
    <cellStyle name="Comma 2 2 2 2 2 2 2 2 4 3" xfId="31858"/>
    <cellStyle name="Comma 2 2 2 2 2 2 2 2 5" xfId="16279"/>
    <cellStyle name="Comma 2 2 2 2 2 2 2 2 5 2" xfId="35074"/>
    <cellStyle name="Comma 2 2 2 2 2 2 2 2 6" xfId="20371"/>
    <cellStyle name="Comma 2 2 2 2 2 2 2 2 7" xfId="28651"/>
    <cellStyle name="Comma 2 2 2 2 2 2 2 2 8" xfId="41392"/>
    <cellStyle name="Comma 2 2 2 2 2 2 2 3" xfId="3565"/>
    <cellStyle name="Comma 2 2 2 2 2 2 2 3 2" xfId="10581"/>
    <cellStyle name="Comma 2 2 2 2 2 2 2 3 2 2" xfId="19380"/>
    <cellStyle name="Comma 2 2 2 2 2 2 2 3 2 2 2" xfId="40423"/>
    <cellStyle name="Comma 2 2 2 2 2 2 2 3 2 2 3" xfId="34000"/>
    <cellStyle name="Comma 2 2 2 2 2 2 2 3 2 3" xfId="21579"/>
    <cellStyle name="Comma 2 2 2 2 2 2 2 3 2 3 2" xfId="37216"/>
    <cellStyle name="Comma 2 2 2 2 2 2 2 3 2 4" xfId="30793"/>
    <cellStyle name="Comma 2 2 2 2 2 2 2 3 2 5" xfId="42558"/>
    <cellStyle name="Comma 2 2 2 2 2 2 2 3 3" xfId="7746"/>
    <cellStyle name="Comma 2 2 2 2 2 2 2 3 3 2" xfId="18206"/>
    <cellStyle name="Comma 2 2 2 2 2 2 2 3 3 2 2" xfId="39249"/>
    <cellStyle name="Comma 2 2 2 2 2 2 2 3 3 2 3" xfId="32826"/>
    <cellStyle name="Comma 2 2 2 2 2 2 2 3 3 3" xfId="22698"/>
    <cellStyle name="Comma 2 2 2 2 2 2 2 3 3 3 2" xfId="36042"/>
    <cellStyle name="Comma 2 2 2 2 2 2 2 3 3 4" xfId="29619"/>
    <cellStyle name="Comma 2 2 2 2 2 2 2 3 3 5" xfId="43527"/>
    <cellStyle name="Comma 2 2 2 2 2 2 2 3 4" xfId="6729"/>
    <cellStyle name="Comma 2 2 2 2 2 2 2 3 4 2" xfId="17232"/>
    <cellStyle name="Comma 2 2 2 2 2 2 2 3 4 2 2" xfId="38282"/>
    <cellStyle name="Comma 2 2 2 2 2 2 2 3 4 3" xfId="31859"/>
    <cellStyle name="Comma 2 2 2 2 2 2 2 3 5" xfId="16467"/>
    <cellStyle name="Comma 2 2 2 2 2 2 2 3 5 2" xfId="35075"/>
    <cellStyle name="Comma 2 2 2 2 2 2 2 3 6" xfId="20372"/>
    <cellStyle name="Comma 2 2 2 2 2 2 2 3 7" xfId="28652"/>
    <cellStyle name="Comma 2 2 2 2 2 2 2 3 8" xfId="41393"/>
    <cellStyle name="Comma 2 2 2 2 2 2 2 4" xfId="4440"/>
    <cellStyle name="Comma 2 2 2 2 2 2 2 4 2" xfId="10582"/>
    <cellStyle name="Comma 2 2 2 2 2 2 2 4 2 2" xfId="19381"/>
    <cellStyle name="Comma 2 2 2 2 2 2 2 4 2 2 2" xfId="40424"/>
    <cellStyle name="Comma 2 2 2 2 2 2 2 4 2 2 3" xfId="34001"/>
    <cellStyle name="Comma 2 2 2 2 2 2 2 4 2 3" xfId="21580"/>
    <cellStyle name="Comma 2 2 2 2 2 2 2 4 2 3 2" xfId="37217"/>
    <cellStyle name="Comma 2 2 2 2 2 2 2 4 2 4" xfId="30794"/>
    <cellStyle name="Comma 2 2 2 2 2 2 2 4 2 5" xfId="42559"/>
    <cellStyle name="Comma 2 2 2 2 2 2 2 4 3" xfId="7747"/>
    <cellStyle name="Comma 2 2 2 2 2 2 2 4 3 2" xfId="18207"/>
    <cellStyle name="Comma 2 2 2 2 2 2 2 4 3 2 2" xfId="39250"/>
    <cellStyle name="Comma 2 2 2 2 2 2 2 4 3 2 3" xfId="32827"/>
    <cellStyle name="Comma 2 2 2 2 2 2 2 4 3 3" xfId="22699"/>
    <cellStyle name="Comma 2 2 2 2 2 2 2 4 3 3 2" xfId="36043"/>
    <cellStyle name="Comma 2 2 2 2 2 2 2 4 3 4" xfId="29620"/>
    <cellStyle name="Comma 2 2 2 2 2 2 2 4 3 5" xfId="43528"/>
    <cellStyle name="Comma 2 2 2 2 2 2 2 4 4" xfId="6730"/>
    <cellStyle name="Comma 2 2 2 2 2 2 2 4 4 2" xfId="17233"/>
    <cellStyle name="Comma 2 2 2 2 2 2 2 4 4 2 2" xfId="38283"/>
    <cellStyle name="Comma 2 2 2 2 2 2 2 4 4 3" xfId="31860"/>
    <cellStyle name="Comma 2 2 2 2 2 2 2 4 5" xfId="16655"/>
    <cellStyle name="Comma 2 2 2 2 2 2 2 4 5 2" xfId="35076"/>
    <cellStyle name="Comma 2 2 2 2 2 2 2 4 6" xfId="20373"/>
    <cellStyle name="Comma 2 2 2 2 2 2 2 4 7" xfId="28653"/>
    <cellStyle name="Comma 2 2 2 2 2 2 2 4 8" xfId="41394"/>
    <cellStyle name="Comma 2 2 2 2 2 2 2 5" xfId="4974"/>
    <cellStyle name="Comma 2 2 2 2 2 2 2 5 2" xfId="10583"/>
    <cellStyle name="Comma 2 2 2 2 2 2 2 5 2 2" xfId="19382"/>
    <cellStyle name="Comma 2 2 2 2 2 2 2 5 2 2 2" xfId="40425"/>
    <cellStyle name="Comma 2 2 2 2 2 2 2 5 2 2 3" xfId="34002"/>
    <cellStyle name="Comma 2 2 2 2 2 2 2 5 2 3" xfId="21581"/>
    <cellStyle name="Comma 2 2 2 2 2 2 2 5 2 3 2" xfId="37218"/>
    <cellStyle name="Comma 2 2 2 2 2 2 2 5 2 4" xfId="30795"/>
    <cellStyle name="Comma 2 2 2 2 2 2 2 5 2 5" xfId="42560"/>
    <cellStyle name="Comma 2 2 2 2 2 2 2 5 3" xfId="7748"/>
    <cellStyle name="Comma 2 2 2 2 2 2 2 5 3 2" xfId="18208"/>
    <cellStyle name="Comma 2 2 2 2 2 2 2 5 3 2 2" xfId="39251"/>
    <cellStyle name="Comma 2 2 2 2 2 2 2 5 3 2 3" xfId="32828"/>
    <cellStyle name="Comma 2 2 2 2 2 2 2 5 3 3" xfId="22700"/>
    <cellStyle name="Comma 2 2 2 2 2 2 2 5 3 3 2" xfId="36044"/>
    <cellStyle name="Comma 2 2 2 2 2 2 2 5 3 4" xfId="29621"/>
    <cellStyle name="Comma 2 2 2 2 2 2 2 5 3 5" xfId="43529"/>
    <cellStyle name="Comma 2 2 2 2 2 2 2 5 4" xfId="6731"/>
    <cellStyle name="Comma 2 2 2 2 2 2 2 5 4 2" xfId="17234"/>
    <cellStyle name="Comma 2 2 2 2 2 2 2 5 4 2 2" xfId="38284"/>
    <cellStyle name="Comma 2 2 2 2 2 2 2 5 4 3" xfId="31861"/>
    <cellStyle name="Comma 2 2 2 2 2 2 2 5 5" xfId="16789"/>
    <cellStyle name="Comma 2 2 2 2 2 2 2 5 5 2" xfId="35077"/>
    <cellStyle name="Comma 2 2 2 2 2 2 2 5 6" xfId="20374"/>
    <cellStyle name="Comma 2 2 2 2 2 2 2 5 7" xfId="28654"/>
    <cellStyle name="Comma 2 2 2 2 2 2 2 5 8" xfId="41395"/>
    <cellStyle name="Comma 2 2 2 2 2 2 2 6" xfId="5705"/>
    <cellStyle name="Comma 2 2 2 2 2 2 2 6 2" xfId="10584"/>
    <cellStyle name="Comma 2 2 2 2 2 2 2 6 2 2" xfId="19383"/>
    <cellStyle name="Comma 2 2 2 2 2 2 2 6 2 2 2" xfId="40426"/>
    <cellStyle name="Comma 2 2 2 2 2 2 2 6 2 2 3" xfId="34003"/>
    <cellStyle name="Comma 2 2 2 2 2 2 2 6 2 3" xfId="21582"/>
    <cellStyle name="Comma 2 2 2 2 2 2 2 6 2 3 2" xfId="37219"/>
    <cellStyle name="Comma 2 2 2 2 2 2 2 6 2 4" xfId="30796"/>
    <cellStyle name="Comma 2 2 2 2 2 2 2 6 2 5" xfId="42561"/>
    <cellStyle name="Comma 2 2 2 2 2 2 2 6 3" xfId="7749"/>
    <cellStyle name="Comma 2 2 2 2 2 2 2 6 3 2" xfId="18209"/>
    <cellStyle name="Comma 2 2 2 2 2 2 2 6 3 2 2" xfId="39252"/>
    <cellStyle name="Comma 2 2 2 2 2 2 2 6 3 2 3" xfId="32829"/>
    <cellStyle name="Comma 2 2 2 2 2 2 2 6 3 3" xfId="22701"/>
    <cellStyle name="Comma 2 2 2 2 2 2 2 6 3 3 2" xfId="36045"/>
    <cellStyle name="Comma 2 2 2 2 2 2 2 6 3 4" xfId="29622"/>
    <cellStyle name="Comma 2 2 2 2 2 2 2 6 3 5" xfId="43530"/>
    <cellStyle name="Comma 2 2 2 2 2 2 2 6 4" xfId="6732"/>
    <cellStyle name="Comma 2 2 2 2 2 2 2 6 4 2" xfId="17235"/>
    <cellStyle name="Comma 2 2 2 2 2 2 2 6 4 2 2" xfId="38285"/>
    <cellStyle name="Comma 2 2 2 2 2 2 2 6 4 3" xfId="31862"/>
    <cellStyle name="Comma 2 2 2 2 2 2 2 6 5" xfId="16943"/>
    <cellStyle name="Comma 2 2 2 2 2 2 2 6 5 2" xfId="35078"/>
    <cellStyle name="Comma 2 2 2 2 2 2 2 6 6" xfId="20375"/>
    <cellStyle name="Comma 2 2 2 2 2 2 2 6 7" xfId="28655"/>
    <cellStyle name="Comma 2 2 2 2 2 2 2 6 8" xfId="41396"/>
    <cellStyle name="Comma 2 2 2 2 2 2 2 7" xfId="10185"/>
    <cellStyle name="Comma 2 2 2 2 2 2 2 7 2" xfId="19240"/>
    <cellStyle name="Comma 2 2 2 2 2 2 2 7 2 2" xfId="40283"/>
    <cellStyle name="Comma 2 2 2 2 2 2 2 7 2 3" xfId="33860"/>
    <cellStyle name="Comma 2 2 2 2 2 2 2 7 3" xfId="21440"/>
    <cellStyle name="Comma 2 2 2 2 2 2 2 7 3 2" xfId="37076"/>
    <cellStyle name="Comma 2 2 2 2 2 2 2 7 4" xfId="30653"/>
    <cellStyle name="Comma 2 2 2 2 2 2 2 7 5" xfId="42419"/>
    <cellStyle name="Comma 2 2 2 2 2 2 2 8" xfId="7744"/>
    <cellStyle name="Comma 2 2 2 2 2 2 2 8 2" xfId="18204"/>
    <cellStyle name="Comma 2 2 2 2 2 2 2 8 2 2" xfId="39247"/>
    <cellStyle name="Comma 2 2 2 2 2 2 2 8 2 3" xfId="32824"/>
    <cellStyle name="Comma 2 2 2 2 2 2 2 8 3" xfId="22696"/>
    <cellStyle name="Comma 2 2 2 2 2 2 2 8 3 2" xfId="36040"/>
    <cellStyle name="Comma 2 2 2 2 2 2 2 8 4" xfId="29617"/>
    <cellStyle name="Comma 2 2 2 2 2 2 2 8 5" xfId="43525"/>
    <cellStyle name="Comma 2 2 2 2 2 2 2 9" xfId="6585"/>
    <cellStyle name="Comma 2 2 2 2 2 2 2 9 2" xfId="17093"/>
    <cellStyle name="Comma 2 2 2 2 2 2 2 9 2 2" xfId="38147"/>
    <cellStyle name="Comma 2 2 2 2 2 2 2 9 3" xfId="31724"/>
    <cellStyle name="Comma 2 2 2 2 2 2 3" xfId="2086"/>
    <cellStyle name="Comma 2 2 2 2 2 2 3 10" xfId="20376"/>
    <cellStyle name="Comma 2 2 2 2 2 2 3 11" xfId="28656"/>
    <cellStyle name="Comma 2 2 2 2 2 2 3 12" xfId="41397"/>
    <cellStyle name="Comma 2 2 2 2 2 2 3 2" xfId="2956"/>
    <cellStyle name="Comma 2 2 2 2 2 2 3 2 2" xfId="10586"/>
    <cellStyle name="Comma 2 2 2 2 2 2 3 2 2 2" xfId="19385"/>
    <cellStyle name="Comma 2 2 2 2 2 2 3 2 2 2 2" xfId="40428"/>
    <cellStyle name="Comma 2 2 2 2 2 2 3 2 2 2 3" xfId="34005"/>
    <cellStyle name="Comma 2 2 2 2 2 2 3 2 2 3" xfId="21584"/>
    <cellStyle name="Comma 2 2 2 2 2 2 3 2 2 3 2" xfId="37221"/>
    <cellStyle name="Comma 2 2 2 2 2 2 3 2 2 4" xfId="30798"/>
    <cellStyle name="Comma 2 2 2 2 2 2 3 2 2 5" xfId="42563"/>
    <cellStyle name="Comma 2 2 2 2 2 2 3 2 3" xfId="7751"/>
    <cellStyle name="Comma 2 2 2 2 2 2 3 2 3 2" xfId="18211"/>
    <cellStyle name="Comma 2 2 2 2 2 2 3 2 3 2 2" xfId="39254"/>
    <cellStyle name="Comma 2 2 2 2 2 2 3 2 3 2 3" xfId="32831"/>
    <cellStyle name="Comma 2 2 2 2 2 2 3 2 3 3" xfId="22703"/>
    <cellStyle name="Comma 2 2 2 2 2 2 3 2 3 3 2" xfId="36047"/>
    <cellStyle name="Comma 2 2 2 2 2 2 3 2 3 4" xfId="29624"/>
    <cellStyle name="Comma 2 2 2 2 2 2 3 2 3 5" xfId="43532"/>
    <cellStyle name="Comma 2 2 2 2 2 2 3 2 4" xfId="6734"/>
    <cellStyle name="Comma 2 2 2 2 2 2 3 2 4 2" xfId="17237"/>
    <cellStyle name="Comma 2 2 2 2 2 2 3 2 4 2 2" xfId="38287"/>
    <cellStyle name="Comma 2 2 2 2 2 2 3 2 4 3" xfId="31864"/>
    <cellStyle name="Comma 2 2 2 2 2 2 3 2 5" xfId="16334"/>
    <cellStyle name="Comma 2 2 2 2 2 2 3 2 5 2" xfId="35080"/>
    <cellStyle name="Comma 2 2 2 2 2 2 3 2 6" xfId="20377"/>
    <cellStyle name="Comma 2 2 2 2 2 2 3 2 7" xfId="28657"/>
    <cellStyle name="Comma 2 2 2 2 2 2 3 2 8" xfId="41398"/>
    <cellStyle name="Comma 2 2 2 2 2 2 3 3" xfId="3826"/>
    <cellStyle name="Comma 2 2 2 2 2 2 3 3 2" xfId="10587"/>
    <cellStyle name="Comma 2 2 2 2 2 2 3 3 2 2" xfId="19386"/>
    <cellStyle name="Comma 2 2 2 2 2 2 3 3 2 2 2" xfId="40429"/>
    <cellStyle name="Comma 2 2 2 2 2 2 3 3 2 2 3" xfId="34006"/>
    <cellStyle name="Comma 2 2 2 2 2 2 3 3 2 3" xfId="21585"/>
    <cellStyle name="Comma 2 2 2 2 2 2 3 3 2 3 2" xfId="37222"/>
    <cellStyle name="Comma 2 2 2 2 2 2 3 3 2 4" xfId="30799"/>
    <cellStyle name="Comma 2 2 2 2 2 2 3 3 2 5" xfId="42564"/>
    <cellStyle name="Comma 2 2 2 2 2 2 3 3 3" xfId="7752"/>
    <cellStyle name="Comma 2 2 2 2 2 2 3 3 3 2" xfId="18212"/>
    <cellStyle name="Comma 2 2 2 2 2 2 3 3 3 2 2" xfId="39255"/>
    <cellStyle name="Comma 2 2 2 2 2 2 3 3 3 2 3" xfId="32832"/>
    <cellStyle name="Comma 2 2 2 2 2 2 3 3 3 3" xfId="22704"/>
    <cellStyle name="Comma 2 2 2 2 2 2 3 3 3 3 2" xfId="36048"/>
    <cellStyle name="Comma 2 2 2 2 2 2 3 3 3 4" xfId="29625"/>
    <cellStyle name="Comma 2 2 2 2 2 2 3 3 3 5" xfId="43533"/>
    <cellStyle name="Comma 2 2 2 2 2 2 3 3 4" xfId="6735"/>
    <cellStyle name="Comma 2 2 2 2 2 2 3 3 4 2" xfId="17238"/>
    <cellStyle name="Comma 2 2 2 2 2 2 3 3 4 2 2" xfId="38288"/>
    <cellStyle name="Comma 2 2 2 2 2 2 3 3 4 3" xfId="31865"/>
    <cellStyle name="Comma 2 2 2 2 2 2 3 3 5" xfId="16522"/>
    <cellStyle name="Comma 2 2 2 2 2 2 3 3 5 2" xfId="35081"/>
    <cellStyle name="Comma 2 2 2 2 2 2 3 3 6" xfId="20378"/>
    <cellStyle name="Comma 2 2 2 2 2 2 3 3 7" xfId="28658"/>
    <cellStyle name="Comma 2 2 2 2 2 2 3 3 8" xfId="41399"/>
    <cellStyle name="Comma 2 2 2 2 2 2 3 4" xfId="4704"/>
    <cellStyle name="Comma 2 2 2 2 2 2 3 4 2" xfId="10588"/>
    <cellStyle name="Comma 2 2 2 2 2 2 3 4 2 2" xfId="19387"/>
    <cellStyle name="Comma 2 2 2 2 2 2 3 4 2 2 2" xfId="40430"/>
    <cellStyle name="Comma 2 2 2 2 2 2 3 4 2 2 3" xfId="34007"/>
    <cellStyle name="Comma 2 2 2 2 2 2 3 4 2 3" xfId="21586"/>
    <cellStyle name="Comma 2 2 2 2 2 2 3 4 2 3 2" xfId="37223"/>
    <cellStyle name="Comma 2 2 2 2 2 2 3 4 2 4" xfId="30800"/>
    <cellStyle name="Comma 2 2 2 2 2 2 3 4 2 5" xfId="42565"/>
    <cellStyle name="Comma 2 2 2 2 2 2 3 4 3" xfId="7753"/>
    <cellStyle name="Comma 2 2 2 2 2 2 3 4 3 2" xfId="18213"/>
    <cellStyle name="Comma 2 2 2 2 2 2 3 4 3 2 2" xfId="39256"/>
    <cellStyle name="Comma 2 2 2 2 2 2 3 4 3 2 3" xfId="32833"/>
    <cellStyle name="Comma 2 2 2 2 2 2 3 4 3 3" xfId="22705"/>
    <cellStyle name="Comma 2 2 2 2 2 2 3 4 3 3 2" xfId="36049"/>
    <cellStyle name="Comma 2 2 2 2 2 2 3 4 3 4" xfId="29626"/>
    <cellStyle name="Comma 2 2 2 2 2 2 3 4 3 5" xfId="43534"/>
    <cellStyle name="Comma 2 2 2 2 2 2 3 4 4" xfId="6736"/>
    <cellStyle name="Comma 2 2 2 2 2 2 3 4 4 2" xfId="17239"/>
    <cellStyle name="Comma 2 2 2 2 2 2 3 4 4 2 2" xfId="38289"/>
    <cellStyle name="Comma 2 2 2 2 2 2 3 4 4 3" xfId="31866"/>
    <cellStyle name="Comma 2 2 2 2 2 2 3 4 5" xfId="16710"/>
    <cellStyle name="Comma 2 2 2 2 2 2 3 4 5 2" xfId="35082"/>
    <cellStyle name="Comma 2 2 2 2 2 2 3 4 6" xfId="20379"/>
    <cellStyle name="Comma 2 2 2 2 2 2 3 4 7" xfId="28659"/>
    <cellStyle name="Comma 2 2 2 2 2 2 3 4 8" xfId="41400"/>
    <cellStyle name="Comma 2 2 2 2 2 2 3 5" xfId="5969"/>
    <cellStyle name="Comma 2 2 2 2 2 2 3 5 2" xfId="10589"/>
    <cellStyle name="Comma 2 2 2 2 2 2 3 5 2 2" xfId="19388"/>
    <cellStyle name="Comma 2 2 2 2 2 2 3 5 2 2 2" xfId="40431"/>
    <cellStyle name="Comma 2 2 2 2 2 2 3 5 2 2 3" xfId="34008"/>
    <cellStyle name="Comma 2 2 2 2 2 2 3 5 2 3" xfId="21587"/>
    <cellStyle name="Comma 2 2 2 2 2 2 3 5 2 3 2" xfId="37224"/>
    <cellStyle name="Comma 2 2 2 2 2 2 3 5 2 4" xfId="30801"/>
    <cellStyle name="Comma 2 2 2 2 2 2 3 5 2 5" xfId="42566"/>
    <cellStyle name="Comma 2 2 2 2 2 2 3 5 3" xfId="7754"/>
    <cellStyle name="Comma 2 2 2 2 2 2 3 5 3 2" xfId="18214"/>
    <cellStyle name="Comma 2 2 2 2 2 2 3 5 3 2 2" xfId="39257"/>
    <cellStyle name="Comma 2 2 2 2 2 2 3 5 3 2 3" xfId="32834"/>
    <cellStyle name="Comma 2 2 2 2 2 2 3 5 3 3" xfId="22706"/>
    <cellStyle name="Comma 2 2 2 2 2 2 3 5 3 3 2" xfId="36050"/>
    <cellStyle name="Comma 2 2 2 2 2 2 3 5 3 4" xfId="29627"/>
    <cellStyle name="Comma 2 2 2 2 2 2 3 5 3 5" xfId="43535"/>
    <cellStyle name="Comma 2 2 2 2 2 2 3 5 4" xfId="6737"/>
    <cellStyle name="Comma 2 2 2 2 2 2 3 5 4 2" xfId="17240"/>
    <cellStyle name="Comma 2 2 2 2 2 2 3 5 4 2 2" xfId="38290"/>
    <cellStyle name="Comma 2 2 2 2 2 2 3 5 4 3" xfId="31867"/>
    <cellStyle name="Comma 2 2 2 2 2 2 3 5 5" xfId="16998"/>
    <cellStyle name="Comma 2 2 2 2 2 2 3 5 5 2" xfId="35083"/>
    <cellStyle name="Comma 2 2 2 2 2 2 3 5 6" xfId="20380"/>
    <cellStyle name="Comma 2 2 2 2 2 2 3 5 7" xfId="28660"/>
    <cellStyle name="Comma 2 2 2 2 2 2 3 5 8" xfId="41401"/>
    <cellStyle name="Comma 2 2 2 2 2 2 3 6" xfId="10585"/>
    <cellStyle name="Comma 2 2 2 2 2 2 3 6 2" xfId="19384"/>
    <cellStyle name="Comma 2 2 2 2 2 2 3 6 2 2" xfId="40427"/>
    <cellStyle name="Comma 2 2 2 2 2 2 3 6 2 3" xfId="34004"/>
    <cellStyle name="Comma 2 2 2 2 2 2 3 6 3" xfId="21583"/>
    <cellStyle name="Comma 2 2 2 2 2 2 3 6 3 2" xfId="37220"/>
    <cellStyle name="Comma 2 2 2 2 2 2 3 6 4" xfId="30797"/>
    <cellStyle name="Comma 2 2 2 2 2 2 3 6 5" xfId="42562"/>
    <cellStyle name="Comma 2 2 2 2 2 2 3 7" xfId="7750"/>
    <cellStyle name="Comma 2 2 2 2 2 2 3 7 2" xfId="18210"/>
    <cellStyle name="Comma 2 2 2 2 2 2 3 7 2 2" xfId="39253"/>
    <cellStyle name="Comma 2 2 2 2 2 2 3 7 2 3" xfId="32830"/>
    <cellStyle name="Comma 2 2 2 2 2 2 3 7 3" xfId="22702"/>
    <cellStyle name="Comma 2 2 2 2 2 2 3 7 3 2" xfId="36046"/>
    <cellStyle name="Comma 2 2 2 2 2 2 3 7 4" xfId="29623"/>
    <cellStyle name="Comma 2 2 2 2 2 2 3 7 5" xfId="43531"/>
    <cellStyle name="Comma 2 2 2 2 2 2 3 8" xfId="6733"/>
    <cellStyle name="Comma 2 2 2 2 2 2 3 8 2" xfId="17236"/>
    <cellStyle name="Comma 2 2 2 2 2 2 3 8 2 2" xfId="38286"/>
    <cellStyle name="Comma 2 2 2 2 2 2 3 8 3" xfId="31863"/>
    <cellStyle name="Comma 2 2 2 2 2 2 3 9" xfId="16145"/>
    <cellStyle name="Comma 2 2 2 2 2 2 3 9 2" xfId="35079"/>
    <cellStyle name="Comma 2 2 2 2 2 2 4" xfId="2451"/>
    <cellStyle name="Comma 2 2 2 2 2 2 4 2" xfId="10590"/>
    <cellStyle name="Comma 2 2 2 2 2 2 4 2 2" xfId="19389"/>
    <cellStyle name="Comma 2 2 2 2 2 2 4 2 2 2" xfId="40432"/>
    <cellStyle name="Comma 2 2 2 2 2 2 4 2 2 3" xfId="34009"/>
    <cellStyle name="Comma 2 2 2 2 2 2 4 2 3" xfId="21588"/>
    <cellStyle name="Comma 2 2 2 2 2 2 4 2 3 2" xfId="37225"/>
    <cellStyle name="Comma 2 2 2 2 2 2 4 2 4" xfId="30802"/>
    <cellStyle name="Comma 2 2 2 2 2 2 4 2 5" xfId="42567"/>
    <cellStyle name="Comma 2 2 2 2 2 2 4 3" xfId="7755"/>
    <cellStyle name="Comma 2 2 2 2 2 2 4 3 2" xfId="18215"/>
    <cellStyle name="Comma 2 2 2 2 2 2 4 3 2 2" xfId="39258"/>
    <cellStyle name="Comma 2 2 2 2 2 2 4 3 2 3" xfId="32835"/>
    <cellStyle name="Comma 2 2 2 2 2 2 4 3 3" xfId="22707"/>
    <cellStyle name="Comma 2 2 2 2 2 2 4 3 3 2" xfId="36051"/>
    <cellStyle name="Comma 2 2 2 2 2 2 4 3 4" xfId="29628"/>
    <cellStyle name="Comma 2 2 2 2 2 2 4 3 5" xfId="43536"/>
    <cellStyle name="Comma 2 2 2 2 2 2 4 4" xfId="6738"/>
    <cellStyle name="Comma 2 2 2 2 2 2 4 4 2" xfId="17241"/>
    <cellStyle name="Comma 2 2 2 2 2 2 4 4 2 2" xfId="38291"/>
    <cellStyle name="Comma 2 2 2 2 2 2 4 4 3" xfId="31868"/>
    <cellStyle name="Comma 2 2 2 2 2 2 4 5" xfId="16226"/>
    <cellStyle name="Comma 2 2 2 2 2 2 4 5 2" xfId="35084"/>
    <cellStyle name="Comma 2 2 2 2 2 2 4 6" xfId="20381"/>
    <cellStyle name="Comma 2 2 2 2 2 2 4 7" xfId="28661"/>
    <cellStyle name="Comma 2 2 2 2 2 2 4 8" xfId="41402"/>
    <cellStyle name="Comma 2 2 2 2 2 2 5" xfId="3314"/>
    <cellStyle name="Comma 2 2 2 2 2 2 5 2" xfId="10591"/>
    <cellStyle name="Comma 2 2 2 2 2 2 5 2 2" xfId="19390"/>
    <cellStyle name="Comma 2 2 2 2 2 2 5 2 2 2" xfId="40433"/>
    <cellStyle name="Comma 2 2 2 2 2 2 5 2 2 3" xfId="34010"/>
    <cellStyle name="Comma 2 2 2 2 2 2 5 2 3" xfId="21589"/>
    <cellStyle name="Comma 2 2 2 2 2 2 5 2 3 2" xfId="37226"/>
    <cellStyle name="Comma 2 2 2 2 2 2 5 2 4" xfId="30803"/>
    <cellStyle name="Comma 2 2 2 2 2 2 5 2 5" xfId="42568"/>
    <cellStyle name="Comma 2 2 2 2 2 2 5 3" xfId="7756"/>
    <cellStyle name="Comma 2 2 2 2 2 2 5 3 2" xfId="18216"/>
    <cellStyle name="Comma 2 2 2 2 2 2 5 3 2 2" xfId="39259"/>
    <cellStyle name="Comma 2 2 2 2 2 2 5 3 2 3" xfId="32836"/>
    <cellStyle name="Comma 2 2 2 2 2 2 5 3 3" xfId="22708"/>
    <cellStyle name="Comma 2 2 2 2 2 2 5 3 3 2" xfId="36052"/>
    <cellStyle name="Comma 2 2 2 2 2 2 5 3 4" xfId="29629"/>
    <cellStyle name="Comma 2 2 2 2 2 2 5 3 5" xfId="43537"/>
    <cellStyle name="Comma 2 2 2 2 2 2 5 4" xfId="6739"/>
    <cellStyle name="Comma 2 2 2 2 2 2 5 4 2" xfId="17242"/>
    <cellStyle name="Comma 2 2 2 2 2 2 5 4 2 2" xfId="38292"/>
    <cellStyle name="Comma 2 2 2 2 2 2 5 4 3" xfId="31869"/>
    <cellStyle name="Comma 2 2 2 2 2 2 5 5" xfId="16414"/>
    <cellStyle name="Comma 2 2 2 2 2 2 5 5 2" xfId="35085"/>
    <cellStyle name="Comma 2 2 2 2 2 2 5 6" xfId="20382"/>
    <cellStyle name="Comma 2 2 2 2 2 2 5 7" xfId="28662"/>
    <cellStyle name="Comma 2 2 2 2 2 2 5 8" xfId="41403"/>
    <cellStyle name="Comma 2 2 2 2 2 2 6" xfId="4182"/>
    <cellStyle name="Comma 2 2 2 2 2 2 6 2" xfId="10592"/>
    <cellStyle name="Comma 2 2 2 2 2 2 6 2 2" xfId="19391"/>
    <cellStyle name="Comma 2 2 2 2 2 2 6 2 2 2" xfId="40434"/>
    <cellStyle name="Comma 2 2 2 2 2 2 6 2 2 3" xfId="34011"/>
    <cellStyle name="Comma 2 2 2 2 2 2 6 2 3" xfId="21590"/>
    <cellStyle name="Comma 2 2 2 2 2 2 6 2 3 2" xfId="37227"/>
    <cellStyle name="Comma 2 2 2 2 2 2 6 2 4" xfId="30804"/>
    <cellStyle name="Comma 2 2 2 2 2 2 6 2 5" xfId="42569"/>
    <cellStyle name="Comma 2 2 2 2 2 2 6 3" xfId="7757"/>
    <cellStyle name="Comma 2 2 2 2 2 2 6 3 2" xfId="18217"/>
    <cellStyle name="Comma 2 2 2 2 2 2 6 3 2 2" xfId="39260"/>
    <cellStyle name="Comma 2 2 2 2 2 2 6 3 2 3" xfId="32837"/>
    <cellStyle name="Comma 2 2 2 2 2 2 6 3 3" xfId="22709"/>
    <cellStyle name="Comma 2 2 2 2 2 2 6 3 3 2" xfId="36053"/>
    <cellStyle name="Comma 2 2 2 2 2 2 6 3 4" xfId="29630"/>
    <cellStyle name="Comma 2 2 2 2 2 2 6 3 5" xfId="43538"/>
    <cellStyle name="Comma 2 2 2 2 2 2 6 4" xfId="6740"/>
    <cellStyle name="Comma 2 2 2 2 2 2 6 4 2" xfId="17243"/>
    <cellStyle name="Comma 2 2 2 2 2 2 6 4 2 2" xfId="38293"/>
    <cellStyle name="Comma 2 2 2 2 2 2 6 4 3" xfId="31870"/>
    <cellStyle name="Comma 2 2 2 2 2 2 6 5" xfId="16602"/>
    <cellStyle name="Comma 2 2 2 2 2 2 6 5 2" xfId="35086"/>
    <cellStyle name="Comma 2 2 2 2 2 2 6 6" xfId="20383"/>
    <cellStyle name="Comma 2 2 2 2 2 2 6 7" xfId="28663"/>
    <cellStyle name="Comma 2 2 2 2 2 2 6 8" xfId="41404"/>
    <cellStyle name="Comma 2 2 2 2 2 2 7" xfId="4973"/>
    <cellStyle name="Comma 2 2 2 2 2 2 7 2" xfId="10593"/>
    <cellStyle name="Comma 2 2 2 2 2 2 7 2 2" xfId="19392"/>
    <cellStyle name="Comma 2 2 2 2 2 2 7 2 2 2" xfId="40435"/>
    <cellStyle name="Comma 2 2 2 2 2 2 7 2 2 3" xfId="34012"/>
    <cellStyle name="Comma 2 2 2 2 2 2 7 2 3" xfId="21591"/>
    <cellStyle name="Comma 2 2 2 2 2 2 7 2 3 2" xfId="37228"/>
    <cellStyle name="Comma 2 2 2 2 2 2 7 2 4" xfId="30805"/>
    <cellStyle name="Comma 2 2 2 2 2 2 7 2 5" xfId="42570"/>
    <cellStyle name="Comma 2 2 2 2 2 2 7 3" xfId="7758"/>
    <cellStyle name="Comma 2 2 2 2 2 2 7 3 2" xfId="18218"/>
    <cellStyle name="Comma 2 2 2 2 2 2 7 3 2 2" xfId="39261"/>
    <cellStyle name="Comma 2 2 2 2 2 2 7 3 2 3" xfId="32838"/>
    <cellStyle name="Comma 2 2 2 2 2 2 7 3 3" xfId="22710"/>
    <cellStyle name="Comma 2 2 2 2 2 2 7 3 3 2" xfId="36054"/>
    <cellStyle name="Comma 2 2 2 2 2 2 7 3 4" xfId="29631"/>
    <cellStyle name="Comma 2 2 2 2 2 2 7 3 5" xfId="43539"/>
    <cellStyle name="Comma 2 2 2 2 2 2 7 4" xfId="6741"/>
    <cellStyle name="Comma 2 2 2 2 2 2 7 4 2" xfId="17244"/>
    <cellStyle name="Comma 2 2 2 2 2 2 7 4 2 2" xfId="38294"/>
    <cellStyle name="Comma 2 2 2 2 2 2 7 4 3" xfId="31871"/>
    <cellStyle name="Comma 2 2 2 2 2 2 7 5" xfId="16788"/>
    <cellStyle name="Comma 2 2 2 2 2 2 7 5 2" xfId="35087"/>
    <cellStyle name="Comma 2 2 2 2 2 2 7 6" xfId="20384"/>
    <cellStyle name="Comma 2 2 2 2 2 2 7 7" xfId="28664"/>
    <cellStyle name="Comma 2 2 2 2 2 2 7 8" xfId="41405"/>
    <cellStyle name="Comma 2 2 2 2 2 2 8" xfId="5444"/>
    <cellStyle name="Comma 2 2 2 2 2 2 8 2" xfId="10594"/>
    <cellStyle name="Comma 2 2 2 2 2 2 8 2 2" xfId="19393"/>
    <cellStyle name="Comma 2 2 2 2 2 2 8 2 2 2" xfId="40436"/>
    <cellStyle name="Comma 2 2 2 2 2 2 8 2 2 3" xfId="34013"/>
    <cellStyle name="Comma 2 2 2 2 2 2 8 2 3" xfId="21592"/>
    <cellStyle name="Comma 2 2 2 2 2 2 8 2 3 2" xfId="37229"/>
    <cellStyle name="Comma 2 2 2 2 2 2 8 2 4" xfId="30806"/>
    <cellStyle name="Comma 2 2 2 2 2 2 8 2 5" xfId="42571"/>
    <cellStyle name="Comma 2 2 2 2 2 2 8 3" xfId="7759"/>
    <cellStyle name="Comma 2 2 2 2 2 2 8 3 2" xfId="18219"/>
    <cellStyle name="Comma 2 2 2 2 2 2 8 3 2 2" xfId="39262"/>
    <cellStyle name="Comma 2 2 2 2 2 2 8 3 2 3" xfId="32839"/>
    <cellStyle name="Comma 2 2 2 2 2 2 8 3 3" xfId="22711"/>
    <cellStyle name="Comma 2 2 2 2 2 2 8 3 3 2" xfId="36055"/>
    <cellStyle name="Comma 2 2 2 2 2 2 8 3 4" xfId="29632"/>
    <cellStyle name="Comma 2 2 2 2 2 2 8 3 5" xfId="43540"/>
    <cellStyle name="Comma 2 2 2 2 2 2 8 4" xfId="6742"/>
    <cellStyle name="Comma 2 2 2 2 2 2 8 4 2" xfId="17245"/>
    <cellStyle name="Comma 2 2 2 2 2 2 8 4 2 2" xfId="38295"/>
    <cellStyle name="Comma 2 2 2 2 2 2 8 4 3" xfId="31872"/>
    <cellStyle name="Comma 2 2 2 2 2 2 8 5" xfId="16890"/>
    <cellStyle name="Comma 2 2 2 2 2 2 8 5 2" xfId="35088"/>
    <cellStyle name="Comma 2 2 2 2 2 2 8 6" xfId="20385"/>
    <cellStyle name="Comma 2 2 2 2 2 2 8 7" xfId="28665"/>
    <cellStyle name="Comma 2 2 2 2 2 2 8 8" xfId="41406"/>
    <cellStyle name="Comma 2 2 2 2 2 2 9" xfId="10210"/>
    <cellStyle name="Comma 2 2 2 2 2 2 9 2" xfId="19264"/>
    <cellStyle name="Comma 2 2 2 2 2 2 9 2 2" xfId="40307"/>
    <cellStyle name="Comma 2 2 2 2 2 2 9 2 3" xfId="33884"/>
    <cellStyle name="Comma 2 2 2 2 2 2 9 3" xfId="21464"/>
    <cellStyle name="Comma 2 2 2 2 2 2 9 3 2" xfId="37100"/>
    <cellStyle name="Comma 2 2 2 2 2 2 9 4" xfId="30677"/>
    <cellStyle name="Comma 2 2 2 2 2 2 9 5" xfId="42443"/>
    <cellStyle name="Comma 2 2 2 2 2 3" xfId="1810"/>
    <cellStyle name="Comma 2 2 2 2 2 3 10" xfId="16088"/>
    <cellStyle name="Comma 2 2 2 2 2 3 10 2" xfId="34986"/>
    <cellStyle name="Comma 2 2 2 2 2 3 11" xfId="20386"/>
    <cellStyle name="Comma 2 2 2 2 2 3 12" xfId="28561"/>
    <cellStyle name="Comma 2 2 2 2 2 3 13" xfId="41407"/>
    <cellStyle name="Comma 2 2 2 2 2 3 2" xfId="2700"/>
    <cellStyle name="Comma 2 2 2 2 2 3 2 2" xfId="10595"/>
    <cellStyle name="Comma 2 2 2 2 2 3 2 2 2" xfId="19394"/>
    <cellStyle name="Comma 2 2 2 2 2 3 2 2 2 2" xfId="40437"/>
    <cellStyle name="Comma 2 2 2 2 2 3 2 2 2 3" xfId="34014"/>
    <cellStyle name="Comma 2 2 2 2 2 3 2 2 3" xfId="21593"/>
    <cellStyle name="Comma 2 2 2 2 2 3 2 2 3 2" xfId="37230"/>
    <cellStyle name="Comma 2 2 2 2 2 3 2 2 4" xfId="30807"/>
    <cellStyle name="Comma 2 2 2 2 2 3 2 2 5" xfId="42572"/>
    <cellStyle name="Comma 2 2 2 2 2 3 2 3" xfId="7761"/>
    <cellStyle name="Comma 2 2 2 2 2 3 2 3 2" xfId="18221"/>
    <cellStyle name="Comma 2 2 2 2 2 3 2 3 2 2" xfId="39264"/>
    <cellStyle name="Comma 2 2 2 2 2 3 2 3 2 3" xfId="32841"/>
    <cellStyle name="Comma 2 2 2 2 2 3 2 3 3" xfId="22713"/>
    <cellStyle name="Comma 2 2 2 2 2 3 2 3 3 2" xfId="36057"/>
    <cellStyle name="Comma 2 2 2 2 2 3 2 3 4" xfId="29634"/>
    <cellStyle name="Comma 2 2 2 2 2 3 2 3 5" xfId="43542"/>
    <cellStyle name="Comma 2 2 2 2 2 3 2 4" xfId="6743"/>
    <cellStyle name="Comma 2 2 2 2 2 3 2 4 2" xfId="17246"/>
    <cellStyle name="Comma 2 2 2 2 2 3 2 4 2 2" xfId="38296"/>
    <cellStyle name="Comma 2 2 2 2 2 3 2 4 3" xfId="31873"/>
    <cellStyle name="Comma 2 2 2 2 2 3 2 5" xfId="16278"/>
    <cellStyle name="Comma 2 2 2 2 2 3 2 5 2" xfId="35089"/>
    <cellStyle name="Comma 2 2 2 2 2 3 2 6" xfId="20387"/>
    <cellStyle name="Comma 2 2 2 2 2 3 2 7" xfId="28666"/>
    <cellStyle name="Comma 2 2 2 2 2 3 2 8" xfId="41408"/>
    <cellStyle name="Comma 2 2 2 2 2 3 3" xfId="3564"/>
    <cellStyle name="Comma 2 2 2 2 2 3 3 2" xfId="10596"/>
    <cellStyle name="Comma 2 2 2 2 2 3 3 2 2" xfId="19395"/>
    <cellStyle name="Comma 2 2 2 2 2 3 3 2 2 2" xfId="40438"/>
    <cellStyle name="Comma 2 2 2 2 2 3 3 2 2 3" xfId="34015"/>
    <cellStyle name="Comma 2 2 2 2 2 3 3 2 3" xfId="21594"/>
    <cellStyle name="Comma 2 2 2 2 2 3 3 2 3 2" xfId="37231"/>
    <cellStyle name="Comma 2 2 2 2 2 3 3 2 4" xfId="30808"/>
    <cellStyle name="Comma 2 2 2 2 2 3 3 2 5" xfId="42573"/>
    <cellStyle name="Comma 2 2 2 2 2 3 3 3" xfId="7762"/>
    <cellStyle name="Comma 2 2 2 2 2 3 3 3 2" xfId="18222"/>
    <cellStyle name="Comma 2 2 2 2 2 3 3 3 2 2" xfId="39265"/>
    <cellStyle name="Comma 2 2 2 2 2 3 3 3 2 3" xfId="32842"/>
    <cellStyle name="Comma 2 2 2 2 2 3 3 3 3" xfId="22714"/>
    <cellStyle name="Comma 2 2 2 2 2 3 3 3 3 2" xfId="36058"/>
    <cellStyle name="Comma 2 2 2 2 2 3 3 3 4" xfId="29635"/>
    <cellStyle name="Comma 2 2 2 2 2 3 3 3 5" xfId="43543"/>
    <cellStyle name="Comma 2 2 2 2 2 3 3 4" xfId="6744"/>
    <cellStyle name="Comma 2 2 2 2 2 3 3 4 2" xfId="17247"/>
    <cellStyle name="Comma 2 2 2 2 2 3 3 4 2 2" xfId="38297"/>
    <cellStyle name="Comma 2 2 2 2 2 3 3 4 3" xfId="31874"/>
    <cellStyle name="Comma 2 2 2 2 2 3 3 5" xfId="16466"/>
    <cellStyle name="Comma 2 2 2 2 2 3 3 5 2" xfId="35090"/>
    <cellStyle name="Comma 2 2 2 2 2 3 3 6" xfId="20388"/>
    <cellStyle name="Comma 2 2 2 2 2 3 3 7" xfId="28667"/>
    <cellStyle name="Comma 2 2 2 2 2 3 3 8" xfId="41409"/>
    <cellStyle name="Comma 2 2 2 2 2 3 4" xfId="4439"/>
    <cellStyle name="Comma 2 2 2 2 2 3 4 2" xfId="10597"/>
    <cellStyle name="Comma 2 2 2 2 2 3 4 2 2" xfId="19396"/>
    <cellStyle name="Comma 2 2 2 2 2 3 4 2 2 2" xfId="40439"/>
    <cellStyle name="Comma 2 2 2 2 2 3 4 2 2 3" xfId="34016"/>
    <cellStyle name="Comma 2 2 2 2 2 3 4 2 3" xfId="21595"/>
    <cellStyle name="Comma 2 2 2 2 2 3 4 2 3 2" xfId="37232"/>
    <cellStyle name="Comma 2 2 2 2 2 3 4 2 4" xfId="30809"/>
    <cellStyle name="Comma 2 2 2 2 2 3 4 2 5" xfId="42574"/>
    <cellStyle name="Comma 2 2 2 2 2 3 4 3" xfId="7763"/>
    <cellStyle name="Comma 2 2 2 2 2 3 4 3 2" xfId="18223"/>
    <cellStyle name="Comma 2 2 2 2 2 3 4 3 2 2" xfId="39266"/>
    <cellStyle name="Comma 2 2 2 2 2 3 4 3 2 3" xfId="32843"/>
    <cellStyle name="Comma 2 2 2 2 2 3 4 3 3" xfId="22715"/>
    <cellStyle name="Comma 2 2 2 2 2 3 4 3 3 2" xfId="36059"/>
    <cellStyle name="Comma 2 2 2 2 2 3 4 3 4" xfId="29636"/>
    <cellStyle name="Comma 2 2 2 2 2 3 4 3 5" xfId="43544"/>
    <cellStyle name="Comma 2 2 2 2 2 3 4 4" xfId="6745"/>
    <cellStyle name="Comma 2 2 2 2 2 3 4 4 2" xfId="17248"/>
    <cellStyle name="Comma 2 2 2 2 2 3 4 4 2 2" xfId="38298"/>
    <cellStyle name="Comma 2 2 2 2 2 3 4 4 3" xfId="31875"/>
    <cellStyle name="Comma 2 2 2 2 2 3 4 5" xfId="16654"/>
    <cellStyle name="Comma 2 2 2 2 2 3 4 5 2" xfId="35091"/>
    <cellStyle name="Comma 2 2 2 2 2 3 4 6" xfId="20389"/>
    <cellStyle name="Comma 2 2 2 2 2 3 4 7" xfId="28668"/>
    <cellStyle name="Comma 2 2 2 2 2 3 4 8" xfId="41410"/>
    <cellStyle name="Comma 2 2 2 2 2 3 5" xfId="4975"/>
    <cellStyle name="Comma 2 2 2 2 2 3 5 2" xfId="10598"/>
    <cellStyle name="Comma 2 2 2 2 2 3 5 2 2" xfId="19397"/>
    <cellStyle name="Comma 2 2 2 2 2 3 5 2 2 2" xfId="40440"/>
    <cellStyle name="Comma 2 2 2 2 2 3 5 2 2 3" xfId="34017"/>
    <cellStyle name="Comma 2 2 2 2 2 3 5 2 3" xfId="21596"/>
    <cellStyle name="Comma 2 2 2 2 2 3 5 2 3 2" xfId="37233"/>
    <cellStyle name="Comma 2 2 2 2 2 3 5 2 4" xfId="30810"/>
    <cellStyle name="Comma 2 2 2 2 2 3 5 2 5" xfId="42575"/>
    <cellStyle name="Comma 2 2 2 2 2 3 5 3" xfId="7764"/>
    <cellStyle name="Comma 2 2 2 2 2 3 5 3 2" xfId="18224"/>
    <cellStyle name="Comma 2 2 2 2 2 3 5 3 2 2" xfId="39267"/>
    <cellStyle name="Comma 2 2 2 2 2 3 5 3 2 3" xfId="32844"/>
    <cellStyle name="Comma 2 2 2 2 2 3 5 3 3" xfId="22716"/>
    <cellStyle name="Comma 2 2 2 2 2 3 5 3 3 2" xfId="36060"/>
    <cellStyle name="Comma 2 2 2 2 2 3 5 3 4" xfId="29637"/>
    <cellStyle name="Comma 2 2 2 2 2 3 5 3 5" xfId="43545"/>
    <cellStyle name="Comma 2 2 2 2 2 3 5 4" xfId="6746"/>
    <cellStyle name="Comma 2 2 2 2 2 3 5 4 2" xfId="17249"/>
    <cellStyle name="Comma 2 2 2 2 2 3 5 4 2 2" xfId="38299"/>
    <cellStyle name="Comma 2 2 2 2 2 3 5 4 3" xfId="31876"/>
    <cellStyle name="Comma 2 2 2 2 2 3 5 5" xfId="16790"/>
    <cellStyle name="Comma 2 2 2 2 2 3 5 5 2" xfId="35092"/>
    <cellStyle name="Comma 2 2 2 2 2 3 5 6" xfId="20390"/>
    <cellStyle name="Comma 2 2 2 2 2 3 5 7" xfId="28669"/>
    <cellStyle name="Comma 2 2 2 2 2 3 5 8" xfId="41411"/>
    <cellStyle name="Comma 2 2 2 2 2 3 6" xfId="5704"/>
    <cellStyle name="Comma 2 2 2 2 2 3 6 2" xfId="10599"/>
    <cellStyle name="Comma 2 2 2 2 2 3 6 2 2" xfId="19398"/>
    <cellStyle name="Comma 2 2 2 2 2 3 6 2 2 2" xfId="40441"/>
    <cellStyle name="Comma 2 2 2 2 2 3 6 2 2 3" xfId="34018"/>
    <cellStyle name="Comma 2 2 2 2 2 3 6 2 3" xfId="21597"/>
    <cellStyle name="Comma 2 2 2 2 2 3 6 2 3 2" xfId="37234"/>
    <cellStyle name="Comma 2 2 2 2 2 3 6 2 4" xfId="30811"/>
    <cellStyle name="Comma 2 2 2 2 2 3 6 2 5" xfId="42576"/>
    <cellStyle name="Comma 2 2 2 2 2 3 6 3" xfId="7765"/>
    <cellStyle name="Comma 2 2 2 2 2 3 6 3 2" xfId="18225"/>
    <cellStyle name="Comma 2 2 2 2 2 3 6 3 2 2" xfId="39268"/>
    <cellStyle name="Comma 2 2 2 2 2 3 6 3 2 3" xfId="32845"/>
    <cellStyle name="Comma 2 2 2 2 2 3 6 3 3" xfId="22717"/>
    <cellStyle name="Comma 2 2 2 2 2 3 6 3 3 2" xfId="36061"/>
    <cellStyle name="Comma 2 2 2 2 2 3 6 3 4" xfId="29638"/>
    <cellStyle name="Comma 2 2 2 2 2 3 6 3 5" xfId="43546"/>
    <cellStyle name="Comma 2 2 2 2 2 3 6 4" xfId="6747"/>
    <cellStyle name="Comma 2 2 2 2 2 3 6 4 2" xfId="17250"/>
    <cellStyle name="Comma 2 2 2 2 2 3 6 4 2 2" xfId="38300"/>
    <cellStyle name="Comma 2 2 2 2 2 3 6 4 3" xfId="31877"/>
    <cellStyle name="Comma 2 2 2 2 2 3 6 5" xfId="16942"/>
    <cellStyle name="Comma 2 2 2 2 2 3 6 5 2" xfId="35093"/>
    <cellStyle name="Comma 2 2 2 2 2 3 6 6" xfId="20391"/>
    <cellStyle name="Comma 2 2 2 2 2 3 6 7" xfId="28670"/>
    <cellStyle name="Comma 2 2 2 2 2 3 6 8" xfId="41412"/>
    <cellStyle name="Comma 2 2 2 2 2 3 7" xfId="10234"/>
    <cellStyle name="Comma 2 2 2 2 2 3 7 2" xfId="19287"/>
    <cellStyle name="Comma 2 2 2 2 2 3 7 2 2" xfId="40330"/>
    <cellStyle name="Comma 2 2 2 2 2 3 7 2 3" xfId="33907"/>
    <cellStyle name="Comma 2 2 2 2 2 3 7 3" xfId="21487"/>
    <cellStyle name="Comma 2 2 2 2 2 3 7 3 2" xfId="37123"/>
    <cellStyle name="Comma 2 2 2 2 2 3 7 4" xfId="30700"/>
    <cellStyle name="Comma 2 2 2 2 2 3 7 5" xfId="42466"/>
    <cellStyle name="Comma 2 2 2 2 2 3 8" xfId="7760"/>
    <cellStyle name="Comma 2 2 2 2 2 3 8 2" xfId="18220"/>
    <cellStyle name="Comma 2 2 2 2 2 3 8 2 2" xfId="39263"/>
    <cellStyle name="Comma 2 2 2 2 2 3 8 2 3" xfId="32840"/>
    <cellStyle name="Comma 2 2 2 2 2 3 8 3" xfId="22712"/>
    <cellStyle name="Comma 2 2 2 2 2 3 8 3 2" xfId="36056"/>
    <cellStyle name="Comma 2 2 2 2 2 3 8 4" xfId="29633"/>
    <cellStyle name="Comma 2 2 2 2 2 3 8 5" xfId="43541"/>
    <cellStyle name="Comma 2 2 2 2 2 3 9" xfId="6633"/>
    <cellStyle name="Comma 2 2 2 2 2 3 9 2" xfId="17140"/>
    <cellStyle name="Comma 2 2 2 2 2 3 9 2 2" xfId="38193"/>
    <cellStyle name="Comma 2 2 2 2 2 3 9 3" xfId="31770"/>
    <cellStyle name="Comma 2 2 2 2 2 4" xfId="2085"/>
    <cellStyle name="Comma 2 2 2 2 2 4 10" xfId="20392"/>
    <cellStyle name="Comma 2 2 2 2 2 4 11" xfId="28671"/>
    <cellStyle name="Comma 2 2 2 2 2 4 12" xfId="41413"/>
    <cellStyle name="Comma 2 2 2 2 2 4 2" xfId="2955"/>
    <cellStyle name="Comma 2 2 2 2 2 4 2 2" xfId="10601"/>
    <cellStyle name="Comma 2 2 2 2 2 4 2 2 2" xfId="19400"/>
    <cellStyle name="Comma 2 2 2 2 2 4 2 2 2 2" xfId="40443"/>
    <cellStyle name="Comma 2 2 2 2 2 4 2 2 2 3" xfId="34020"/>
    <cellStyle name="Comma 2 2 2 2 2 4 2 2 3" xfId="21599"/>
    <cellStyle name="Comma 2 2 2 2 2 4 2 2 3 2" xfId="37236"/>
    <cellStyle name="Comma 2 2 2 2 2 4 2 2 4" xfId="30813"/>
    <cellStyle name="Comma 2 2 2 2 2 4 2 2 5" xfId="42578"/>
    <cellStyle name="Comma 2 2 2 2 2 4 2 3" xfId="7767"/>
    <cellStyle name="Comma 2 2 2 2 2 4 2 3 2" xfId="18227"/>
    <cellStyle name="Comma 2 2 2 2 2 4 2 3 2 2" xfId="39270"/>
    <cellStyle name="Comma 2 2 2 2 2 4 2 3 2 3" xfId="32847"/>
    <cellStyle name="Comma 2 2 2 2 2 4 2 3 3" xfId="22719"/>
    <cellStyle name="Comma 2 2 2 2 2 4 2 3 3 2" xfId="36063"/>
    <cellStyle name="Comma 2 2 2 2 2 4 2 3 4" xfId="29640"/>
    <cellStyle name="Comma 2 2 2 2 2 4 2 3 5" xfId="43548"/>
    <cellStyle name="Comma 2 2 2 2 2 4 2 4" xfId="6749"/>
    <cellStyle name="Comma 2 2 2 2 2 4 2 4 2" xfId="17252"/>
    <cellStyle name="Comma 2 2 2 2 2 4 2 4 2 2" xfId="38302"/>
    <cellStyle name="Comma 2 2 2 2 2 4 2 4 3" xfId="31879"/>
    <cellStyle name="Comma 2 2 2 2 2 4 2 5" xfId="16333"/>
    <cellStyle name="Comma 2 2 2 2 2 4 2 5 2" xfId="35095"/>
    <cellStyle name="Comma 2 2 2 2 2 4 2 6" xfId="20393"/>
    <cellStyle name="Comma 2 2 2 2 2 4 2 7" xfId="28672"/>
    <cellStyle name="Comma 2 2 2 2 2 4 2 8" xfId="41414"/>
    <cellStyle name="Comma 2 2 2 2 2 4 3" xfId="3825"/>
    <cellStyle name="Comma 2 2 2 2 2 4 3 2" xfId="10602"/>
    <cellStyle name="Comma 2 2 2 2 2 4 3 2 2" xfId="19401"/>
    <cellStyle name="Comma 2 2 2 2 2 4 3 2 2 2" xfId="40444"/>
    <cellStyle name="Comma 2 2 2 2 2 4 3 2 2 3" xfId="34021"/>
    <cellStyle name="Comma 2 2 2 2 2 4 3 2 3" xfId="21600"/>
    <cellStyle name="Comma 2 2 2 2 2 4 3 2 3 2" xfId="37237"/>
    <cellStyle name="Comma 2 2 2 2 2 4 3 2 4" xfId="30814"/>
    <cellStyle name="Comma 2 2 2 2 2 4 3 2 5" xfId="42579"/>
    <cellStyle name="Comma 2 2 2 2 2 4 3 3" xfId="7768"/>
    <cellStyle name="Comma 2 2 2 2 2 4 3 3 2" xfId="18228"/>
    <cellStyle name="Comma 2 2 2 2 2 4 3 3 2 2" xfId="39271"/>
    <cellStyle name="Comma 2 2 2 2 2 4 3 3 2 3" xfId="32848"/>
    <cellStyle name="Comma 2 2 2 2 2 4 3 3 3" xfId="22720"/>
    <cellStyle name="Comma 2 2 2 2 2 4 3 3 3 2" xfId="36064"/>
    <cellStyle name="Comma 2 2 2 2 2 4 3 3 4" xfId="29641"/>
    <cellStyle name="Comma 2 2 2 2 2 4 3 3 5" xfId="43549"/>
    <cellStyle name="Comma 2 2 2 2 2 4 3 4" xfId="6750"/>
    <cellStyle name="Comma 2 2 2 2 2 4 3 4 2" xfId="17253"/>
    <cellStyle name="Comma 2 2 2 2 2 4 3 4 2 2" xfId="38303"/>
    <cellStyle name="Comma 2 2 2 2 2 4 3 4 3" xfId="31880"/>
    <cellStyle name="Comma 2 2 2 2 2 4 3 5" xfId="16521"/>
    <cellStyle name="Comma 2 2 2 2 2 4 3 5 2" xfId="35096"/>
    <cellStyle name="Comma 2 2 2 2 2 4 3 6" xfId="20394"/>
    <cellStyle name="Comma 2 2 2 2 2 4 3 7" xfId="28673"/>
    <cellStyle name="Comma 2 2 2 2 2 4 3 8" xfId="41415"/>
    <cellStyle name="Comma 2 2 2 2 2 4 4" xfId="4703"/>
    <cellStyle name="Comma 2 2 2 2 2 4 4 2" xfId="10603"/>
    <cellStyle name="Comma 2 2 2 2 2 4 4 2 2" xfId="19402"/>
    <cellStyle name="Comma 2 2 2 2 2 4 4 2 2 2" xfId="40445"/>
    <cellStyle name="Comma 2 2 2 2 2 4 4 2 2 3" xfId="34022"/>
    <cellStyle name="Comma 2 2 2 2 2 4 4 2 3" xfId="21601"/>
    <cellStyle name="Comma 2 2 2 2 2 4 4 2 3 2" xfId="37238"/>
    <cellStyle name="Comma 2 2 2 2 2 4 4 2 4" xfId="30815"/>
    <cellStyle name="Comma 2 2 2 2 2 4 4 2 5" xfId="42580"/>
    <cellStyle name="Comma 2 2 2 2 2 4 4 3" xfId="7769"/>
    <cellStyle name="Comma 2 2 2 2 2 4 4 3 2" xfId="18229"/>
    <cellStyle name="Comma 2 2 2 2 2 4 4 3 2 2" xfId="39272"/>
    <cellStyle name="Comma 2 2 2 2 2 4 4 3 2 3" xfId="32849"/>
    <cellStyle name="Comma 2 2 2 2 2 4 4 3 3" xfId="22721"/>
    <cellStyle name="Comma 2 2 2 2 2 4 4 3 3 2" xfId="36065"/>
    <cellStyle name="Comma 2 2 2 2 2 4 4 3 4" xfId="29642"/>
    <cellStyle name="Comma 2 2 2 2 2 4 4 3 5" xfId="43550"/>
    <cellStyle name="Comma 2 2 2 2 2 4 4 4" xfId="6751"/>
    <cellStyle name="Comma 2 2 2 2 2 4 4 4 2" xfId="17254"/>
    <cellStyle name="Comma 2 2 2 2 2 4 4 4 2 2" xfId="38304"/>
    <cellStyle name="Comma 2 2 2 2 2 4 4 4 3" xfId="31881"/>
    <cellStyle name="Comma 2 2 2 2 2 4 4 5" xfId="16709"/>
    <cellStyle name="Comma 2 2 2 2 2 4 4 5 2" xfId="35097"/>
    <cellStyle name="Comma 2 2 2 2 2 4 4 6" xfId="20395"/>
    <cellStyle name="Comma 2 2 2 2 2 4 4 7" xfId="28674"/>
    <cellStyle name="Comma 2 2 2 2 2 4 4 8" xfId="41416"/>
    <cellStyle name="Comma 2 2 2 2 2 4 5" xfId="5968"/>
    <cellStyle name="Comma 2 2 2 2 2 4 5 2" xfId="10604"/>
    <cellStyle name="Comma 2 2 2 2 2 4 5 2 2" xfId="19403"/>
    <cellStyle name="Comma 2 2 2 2 2 4 5 2 2 2" xfId="40446"/>
    <cellStyle name="Comma 2 2 2 2 2 4 5 2 2 3" xfId="34023"/>
    <cellStyle name="Comma 2 2 2 2 2 4 5 2 3" xfId="21602"/>
    <cellStyle name="Comma 2 2 2 2 2 4 5 2 3 2" xfId="37239"/>
    <cellStyle name="Comma 2 2 2 2 2 4 5 2 4" xfId="30816"/>
    <cellStyle name="Comma 2 2 2 2 2 4 5 2 5" xfId="42581"/>
    <cellStyle name="Comma 2 2 2 2 2 4 5 3" xfId="7770"/>
    <cellStyle name="Comma 2 2 2 2 2 4 5 3 2" xfId="18230"/>
    <cellStyle name="Comma 2 2 2 2 2 4 5 3 2 2" xfId="39273"/>
    <cellStyle name="Comma 2 2 2 2 2 4 5 3 2 3" xfId="32850"/>
    <cellStyle name="Comma 2 2 2 2 2 4 5 3 3" xfId="22722"/>
    <cellStyle name="Comma 2 2 2 2 2 4 5 3 3 2" xfId="36066"/>
    <cellStyle name="Comma 2 2 2 2 2 4 5 3 4" xfId="29643"/>
    <cellStyle name="Comma 2 2 2 2 2 4 5 3 5" xfId="43551"/>
    <cellStyle name="Comma 2 2 2 2 2 4 5 4" xfId="6752"/>
    <cellStyle name="Comma 2 2 2 2 2 4 5 4 2" xfId="17255"/>
    <cellStyle name="Comma 2 2 2 2 2 4 5 4 2 2" xfId="38305"/>
    <cellStyle name="Comma 2 2 2 2 2 4 5 4 3" xfId="31882"/>
    <cellStyle name="Comma 2 2 2 2 2 4 5 5" xfId="16997"/>
    <cellStyle name="Comma 2 2 2 2 2 4 5 5 2" xfId="35098"/>
    <cellStyle name="Comma 2 2 2 2 2 4 5 6" xfId="20396"/>
    <cellStyle name="Comma 2 2 2 2 2 4 5 7" xfId="28675"/>
    <cellStyle name="Comma 2 2 2 2 2 4 5 8" xfId="41417"/>
    <cellStyle name="Comma 2 2 2 2 2 4 6" xfId="10600"/>
    <cellStyle name="Comma 2 2 2 2 2 4 6 2" xfId="19399"/>
    <cellStyle name="Comma 2 2 2 2 2 4 6 2 2" xfId="40442"/>
    <cellStyle name="Comma 2 2 2 2 2 4 6 2 3" xfId="34019"/>
    <cellStyle name="Comma 2 2 2 2 2 4 6 3" xfId="21598"/>
    <cellStyle name="Comma 2 2 2 2 2 4 6 3 2" xfId="37235"/>
    <cellStyle name="Comma 2 2 2 2 2 4 6 4" xfId="30812"/>
    <cellStyle name="Comma 2 2 2 2 2 4 6 5" xfId="42577"/>
    <cellStyle name="Comma 2 2 2 2 2 4 7" xfId="7766"/>
    <cellStyle name="Comma 2 2 2 2 2 4 7 2" xfId="18226"/>
    <cellStyle name="Comma 2 2 2 2 2 4 7 2 2" xfId="39269"/>
    <cellStyle name="Comma 2 2 2 2 2 4 7 2 3" xfId="32846"/>
    <cellStyle name="Comma 2 2 2 2 2 4 7 3" xfId="22718"/>
    <cellStyle name="Comma 2 2 2 2 2 4 7 3 2" xfId="36062"/>
    <cellStyle name="Comma 2 2 2 2 2 4 7 4" xfId="29639"/>
    <cellStyle name="Comma 2 2 2 2 2 4 7 5" xfId="43547"/>
    <cellStyle name="Comma 2 2 2 2 2 4 8" xfId="6748"/>
    <cellStyle name="Comma 2 2 2 2 2 4 8 2" xfId="17251"/>
    <cellStyle name="Comma 2 2 2 2 2 4 8 2 2" xfId="38301"/>
    <cellStyle name="Comma 2 2 2 2 2 4 8 3" xfId="31878"/>
    <cellStyle name="Comma 2 2 2 2 2 4 9" xfId="16144"/>
    <cellStyle name="Comma 2 2 2 2 2 4 9 2" xfId="35094"/>
    <cellStyle name="Comma 2 2 2 2 2 5" xfId="2352"/>
    <cellStyle name="Comma 2 2 2 2 2 5 10" xfId="20397"/>
    <cellStyle name="Comma 2 2 2 2 2 5 11" xfId="28676"/>
    <cellStyle name="Comma 2 2 2 2 2 5 12" xfId="41418"/>
    <cellStyle name="Comma 2 2 2 2 2 5 2" xfId="3211"/>
    <cellStyle name="Comma 2 2 2 2 2 5 2 2" xfId="10606"/>
    <cellStyle name="Comma 2 2 2 2 2 5 2 2 2" xfId="19405"/>
    <cellStyle name="Comma 2 2 2 2 2 5 2 2 2 2" xfId="40448"/>
    <cellStyle name="Comma 2 2 2 2 2 5 2 2 2 3" xfId="34025"/>
    <cellStyle name="Comma 2 2 2 2 2 5 2 2 3" xfId="21604"/>
    <cellStyle name="Comma 2 2 2 2 2 5 2 2 3 2" xfId="37241"/>
    <cellStyle name="Comma 2 2 2 2 2 5 2 2 4" xfId="30818"/>
    <cellStyle name="Comma 2 2 2 2 2 5 2 2 5" xfId="42583"/>
    <cellStyle name="Comma 2 2 2 2 2 5 2 3" xfId="7772"/>
    <cellStyle name="Comma 2 2 2 2 2 5 2 3 2" xfId="18232"/>
    <cellStyle name="Comma 2 2 2 2 2 5 2 3 2 2" xfId="39275"/>
    <cellStyle name="Comma 2 2 2 2 2 5 2 3 2 3" xfId="32852"/>
    <cellStyle name="Comma 2 2 2 2 2 5 2 3 3" xfId="22724"/>
    <cellStyle name="Comma 2 2 2 2 2 5 2 3 3 2" xfId="36068"/>
    <cellStyle name="Comma 2 2 2 2 2 5 2 3 4" xfId="29645"/>
    <cellStyle name="Comma 2 2 2 2 2 5 2 3 5" xfId="43553"/>
    <cellStyle name="Comma 2 2 2 2 2 5 2 4" xfId="6754"/>
    <cellStyle name="Comma 2 2 2 2 2 5 2 4 2" xfId="17257"/>
    <cellStyle name="Comma 2 2 2 2 2 5 2 4 2 2" xfId="38307"/>
    <cellStyle name="Comma 2 2 2 2 2 5 2 4 3" xfId="31884"/>
    <cellStyle name="Comma 2 2 2 2 2 5 2 5" xfId="16404"/>
    <cellStyle name="Comma 2 2 2 2 2 5 2 5 2" xfId="35100"/>
    <cellStyle name="Comma 2 2 2 2 2 5 2 6" xfId="20398"/>
    <cellStyle name="Comma 2 2 2 2 2 5 2 7" xfId="28677"/>
    <cellStyle name="Comma 2 2 2 2 2 5 2 8" xfId="41419"/>
    <cellStyle name="Comma 2 2 2 2 2 5 3" xfId="4077"/>
    <cellStyle name="Comma 2 2 2 2 2 5 3 2" xfId="10607"/>
    <cellStyle name="Comma 2 2 2 2 2 5 3 2 2" xfId="19406"/>
    <cellStyle name="Comma 2 2 2 2 2 5 3 2 2 2" xfId="40449"/>
    <cellStyle name="Comma 2 2 2 2 2 5 3 2 2 3" xfId="34026"/>
    <cellStyle name="Comma 2 2 2 2 2 5 3 2 3" xfId="21605"/>
    <cellStyle name="Comma 2 2 2 2 2 5 3 2 3 2" xfId="37242"/>
    <cellStyle name="Comma 2 2 2 2 2 5 3 2 4" xfId="30819"/>
    <cellStyle name="Comma 2 2 2 2 2 5 3 2 5" xfId="42584"/>
    <cellStyle name="Comma 2 2 2 2 2 5 3 3" xfId="7773"/>
    <cellStyle name="Comma 2 2 2 2 2 5 3 3 2" xfId="18233"/>
    <cellStyle name="Comma 2 2 2 2 2 5 3 3 2 2" xfId="39276"/>
    <cellStyle name="Comma 2 2 2 2 2 5 3 3 2 3" xfId="32853"/>
    <cellStyle name="Comma 2 2 2 2 2 5 3 3 3" xfId="22725"/>
    <cellStyle name="Comma 2 2 2 2 2 5 3 3 3 2" xfId="36069"/>
    <cellStyle name="Comma 2 2 2 2 2 5 3 3 4" xfId="29646"/>
    <cellStyle name="Comma 2 2 2 2 2 5 3 3 5" xfId="43554"/>
    <cellStyle name="Comma 2 2 2 2 2 5 3 4" xfId="6755"/>
    <cellStyle name="Comma 2 2 2 2 2 5 3 4 2" xfId="17258"/>
    <cellStyle name="Comma 2 2 2 2 2 5 3 4 2 2" xfId="38308"/>
    <cellStyle name="Comma 2 2 2 2 2 5 3 4 3" xfId="31885"/>
    <cellStyle name="Comma 2 2 2 2 2 5 3 5" xfId="16592"/>
    <cellStyle name="Comma 2 2 2 2 2 5 3 5 2" xfId="35101"/>
    <cellStyle name="Comma 2 2 2 2 2 5 3 6" xfId="20399"/>
    <cellStyle name="Comma 2 2 2 2 2 5 3 7" xfId="28678"/>
    <cellStyle name="Comma 2 2 2 2 2 5 3 8" xfId="41420"/>
    <cellStyle name="Comma 2 2 2 2 2 5 4" xfId="4956"/>
    <cellStyle name="Comma 2 2 2 2 2 5 4 2" xfId="10608"/>
    <cellStyle name="Comma 2 2 2 2 2 5 4 2 2" xfId="19407"/>
    <cellStyle name="Comma 2 2 2 2 2 5 4 2 2 2" xfId="40450"/>
    <cellStyle name="Comma 2 2 2 2 2 5 4 2 2 3" xfId="34027"/>
    <cellStyle name="Comma 2 2 2 2 2 5 4 2 3" xfId="21606"/>
    <cellStyle name="Comma 2 2 2 2 2 5 4 2 3 2" xfId="37243"/>
    <cellStyle name="Comma 2 2 2 2 2 5 4 2 4" xfId="30820"/>
    <cellStyle name="Comma 2 2 2 2 2 5 4 2 5" xfId="42585"/>
    <cellStyle name="Comma 2 2 2 2 2 5 4 3" xfId="7774"/>
    <cellStyle name="Comma 2 2 2 2 2 5 4 3 2" xfId="18234"/>
    <cellStyle name="Comma 2 2 2 2 2 5 4 3 2 2" xfId="39277"/>
    <cellStyle name="Comma 2 2 2 2 2 5 4 3 2 3" xfId="32854"/>
    <cellStyle name="Comma 2 2 2 2 2 5 4 3 3" xfId="22726"/>
    <cellStyle name="Comma 2 2 2 2 2 5 4 3 3 2" xfId="36070"/>
    <cellStyle name="Comma 2 2 2 2 2 5 4 3 4" xfId="29647"/>
    <cellStyle name="Comma 2 2 2 2 2 5 4 3 5" xfId="43555"/>
    <cellStyle name="Comma 2 2 2 2 2 5 4 4" xfId="6756"/>
    <cellStyle name="Comma 2 2 2 2 2 5 4 4 2" xfId="17259"/>
    <cellStyle name="Comma 2 2 2 2 2 5 4 4 2 2" xfId="38309"/>
    <cellStyle name="Comma 2 2 2 2 2 5 4 4 3" xfId="31886"/>
    <cellStyle name="Comma 2 2 2 2 2 5 4 5" xfId="16780"/>
    <cellStyle name="Comma 2 2 2 2 2 5 4 5 2" xfId="35102"/>
    <cellStyle name="Comma 2 2 2 2 2 5 4 6" xfId="20400"/>
    <cellStyle name="Comma 2 2 2 2 2 5 4 7" xfId="28679"/>
    <cellStyle name="Comma 2 2 2 2 2 5 4 8" xfId="41421"/>
    <cellStyle name="Comma 2 2 2 2 2 5 5" xfId="6221"/>
    <cellStyle name="Comma 2 2 2 2 2 5 5 2" xfId="10609"/>
    <cellStyle name="Comma 2 2 2 2 2 5 5 2 2" xfId="19408"/>
    <cellStyle name="Comma 2 2 2 2 2 5 5 2 2 2" xfId="40451"/>
    <cellStyle name="Comma 2 2 2 2 2 5 5 2 2 3" xfId="34028"/>
    <cellStyle name="Comma 2 2 2 2 2 5 5 2 3" xfId="21607"/>
    <cellStyle name="Comma 2 2 2 2 2 5 5 2 3 2" xfId="37244"/>
    <cellStyle name="Comma 2 2 2 2 2 5 5 2 4" xfId="30821"/>
    <cellStyle name="Comma 2 2 2 2 2 5 5 2 5" xfId="42586"/>
    <cellStyle name="Comma 2 2 2 2 2 5 5 3" xfId="7775"/>
    <cellStyle name="Comma 2 2 2 2 2 5 5 3 2" xfId="18235"/>
    <cellStyle name="Comma 2 2 2 2 2 5 5 3 2 2" xfId="39278"/>
    <cellStyle name="Comma 2 2 2 2 2 5 5 3 2 3" xfId="32855"/>
    <cellStyle name="Comma 2 2 2 2 2 5 5 3 3" xfId="22727"/>
    <cellStyle name="Comma 2 2 2 2 2 5 5 3 3 2" xfId="36071"/>
    <cellStyle name="Comma 2 2 2 2 2 5 5 3 4" xfId="29648"/>
    <cellStyle name="Comma 2 2 2 2 2 5 5 3 5" xfId="43556"/>
    <cellStyle name="Comma 2 2 2 2 2 5 5 4" xfId="6757"/>
    <cellStyle name="Comma 2 2 2 2 2 5 5 4 2" xfId="17260"/>
    <cellStyle name="Comma 2 2 2 2 2 5 5 4 2 2" xfId="38310"/>
    <cellStyle name="Comma 2 2 2 2 2 5 5 4 3" xfId="31887"/>
    <cellStyle name="Comma 2 2 2 2 2 5 5 5" xfId="17068"/>
    <cellStyle name="Comma 2 2 2 2 2 5 5 5 2" xfId="35103"/>
    <cellStyle name="Comma 2 2 2 2 2 5 5 6" xfId="20401"/>
    <cellStyle name="Comma 2 2 2 2 2 5 5 7" xfId="28680"/>
    <cellStyle name="Comma 2 2 2 2 2 5 5 8" xfId="41422"/>
    <cellStyle name="Comma 2 2 2 2 2 5 6" xfId="10605"/>
    <cellStyle name="Comma 2 2 2 2 2 5 6 2" xfId="19404"/>
    <cellStyle name="Comma 2 2 2 2 2 5 6 2 2" xfId="40447"/>
    <cellStyle name="Comma 2 2 2 2 2 5 6 2 3" xfId="34024"/>
    <cellStyle name="Comma 2 2 2 2 2 5 6 3" xfId="21603"/>
    <cellStyle name="Comma 2 2 2 2 2 5 6 3 2" xfId="37240"/>
    <cellStyle name="Comma 2 2 2 2 2 5 6 4" xfId="30817"/>
    <cellStyle name="Comma 2 2 2 2 2 5 6 5" xfId="42582"/>
    <cellStyle name="Comma 2 2 2 2 2 5 7" xfId="7771"/>
    <cellStyle name="Comma 2 2 2 2 2 5 7 2" xfId="18231"/>
    <cellStyle name="Comma 2 2 2 2 2 5 7 2 2" xfId="39274"/>
    <cellStyle name="Comma 2 2 2 2 2 5 7 2 3" xfId="32851"/>
    <cellStyle name="Comma 2 2 2 2 2 5 7 3" xfId="22723"/>
    <cellStyle name="Comma 2 2 2 2 2 5 7 3 2" xfId="36067"/>
    <cellStyle name="Comma 2 2 2 2 2 5 7 4" xfId="29644"/>
    <cellStyle name="Comma 2 2 2 2 2 5 7 5" xfId="43552"/>
    <cellStyle name="Comma 2 2 2 2 2 5 8" xfId="6753"/>
    <cellStyle name="Comma 2 2 2 2 2 5 8 2" xfId="17256"/>
    <cellStyle name="Comma 2 2 2 2 2 5 8 2 2" xfId="38306"/>
    <cellStyle name="Comma 2 2 2 2 2 5 8 3" xfId="31883"/>
    <cellStyle name="Comma 2 2 2 2 2 5 9" xfId="16216"/>
    <cellStyle name="Comma 2 2 2 2 2 5 9 2" xfId="35099"/>
    <cellStyle name="Comma 2 2 2 2 2 6" xfId="2450"/>
    <cellStyle name="Comma 2 2 2 2 2 6 2" xfId="10610"/>
    <cellStyle name="Comma 2 2 2 2 2 6 2 2" xfId="19409"/>
    <cellStyle name="Comma 2 2 2 2 2 6 2 2 2" xfId="40452"/>
    <cellStyle name="Comma 2 2 2 2 2 6 2 2 3" xfId="34029"/>
    <cellStyle name="Comma 2 2 2 2 2 6 2 3" xfId="21608"/>
    <cellStyle name="Comma 2 2 2 2 2 6 2 3 2" xfId="37245"/>
    <cellStyle name="Comma 2 2 2 2 2 6 2 4" xfId="30822"/>
    <cellStyle name="Comma 2 2 2 2 2 6 2 5" xfId="42587"/>
    <cellStyle name="Comma 2 2 2 2 2 6 3" xfId="7776"/>
    <cellStyle name="Comma 2 2 2 2 2 6 3 2" xfId="18236"/>
    <cellStyle name="Comma 2 2 2 2 2 6 3 2 2" xfId="39279"/>
    <cellStyle name="Comma 2 2 2 2 2 6 3 2 3" xfId="32856"/>
    <cellStyle name="Comma 2 2 2 2 2 6 3 3" xfId="22728"/>
    <cellStyle name="Comma 2 2 2 2 2 6 3 3 2" xfId="36072"/>
    <cellStyle name="Comma 2 2 2 2 2 6 3 4" xfId="29649"/>
    <cellStyle name="Comma 2 2 2 2 2 6 3 5" xfId="43557"/>
    <cellStyle name="Comma 2 2 2 2 2 6 4" xfId="6758"/>
    <cellStyle name="Comma 2 2 2 2 2 6 4 2" xfId="17261"/>
    <cellStyle name="Comma 2 2 2 2 2 6 4 2 2" xfId="38311"/>
    <cellStyle name="Comma 2 2 2 2 2 6 4 3" xfId="31888"/>
    <cellStyle name="Comma 2 2 2 2 2 6 5" xfId="16225"/>
    <cellStyle name="Comma 2 2 2 2 2 6 5 2" xfId="35104"/>
    <cellStyle name="Comma 2 2 2 2 2 6 6" xfId="20402"/>
    <cellStyle name="Comma 2 2 2 2 2 6 7" xfId="28681"/>
    <cellStyle name="Comma 2 2 2 2 2 6 8" xfId="41423"/>
    <cellStyle name="Comma 2 2 2 2 2 7" xfId="3313"/>
    <cellStyle name="Comma 2 2 2 2 2 7 2" xfId="10611"/>
    <cellStyle name="Comma 2 2 2 2 2 7 2 2" xfId="19410"/>
    <cellStyle name="Comma 2 2 2 2 2 7 2 2 2" xfId="40453"/>
    <cellStyle name="Comma 2 2 2 2 2 7 2 2 3" xfId="34030"/>
    <cellStyle name="Comma 2 2 2 2 2 7 2 3" xfId="21609"/>
    <cellStyle name="Comma 2 2 2 2 2 7 2 3 2" xfId="37246"/>
    <cellStyle name="Comma 2 2 2 2 2 7 2 4" xfId="30823"/>
    <cellStyle name="Comma 2 2 2 2 2 7 2 5" xfId="42588"/>
    <cellStyle name="Comma 2 2 2 2 2 7 3" xfId="7777"/>
    <cellStyle name="Comma 2 2 2 2 2 7 3 2" xfId="18237"/>
    <cellStyle name="Comma 2 2 2 2 2 7 3 2 2" xfId="39280"/>
    <cellStyle name="Comma 2 2 2 2 2 7 3 2 3" xfId="32857"/>
    <cellStyle name="Comma 2 2 2 2 2 7 3 3" xfId="22729"/>
    <cellStyle name="Comma 2 2 2 2 2 7 3 3 2" xfId="36073"/>
    <cellStyle name="Comma 2 2 2 2 2 7 3 4" xfId="29650"/>
    <cellStyle name="Comma 2 2 2 2 2 7 3 5" xfId="43558"/>
    <cellStyle name="Comma 2 2 2 2 2 7 4" xfId="6759"/>
    <cellStyle name="Comma 2 2 2 2 2 7 4 2" xfId="17262"/>
    <cellStyle name="Comma 2 2 2 2 2 7 4 2 2" xfId="38312"/>
    <cellStyle name="Comma 2 2 2 2 2 7 4 3" xfId="31889"/>
    <cellStyle name="Comma 2 2 2 2 2 7 5" xfId="16413"/>
    <cellStyle name="Comma 2 2 2 2 2 7 5 2" xfId="35105"/>
    <cellStyle name="Comma 2 2 2 2 2 7 6" xfId="20403"/>
    <cellStyle name="Comma 2 2 2 2 2 7 7" xfId="28682"/>
    <cellStyle name="Comma 2 2 2 2 2 7 8" xfId="41424"/>
    <cellStyle name="Comma 2 2 2 2 2 8" xfId="4181"/>
    <cellStyle name="Comma 2 2 2 2 2 8 2" xfId="10612"/>
    <cellStyle name="Comma 2 2 2 2 2 8 2 2" xfId="19411"/>
    <cellStyle name="Comma 2 2 2 2 2 8 2 2 2" xfId="40454"/>
    <cellStyle name="Comma 2 2 2 2 2 8 2 2 3" xfId="34031"/>
    <cellStyle name="Comma 2 2 2 2 2 8 2 3" xfId="21610"/>
    <cellStyle name="Comma 2 2 2 2 2 8 2 3 2" xfId="37247"/>
    <cellStyle name="Comma 2 2 2 2 2 8 2 4" xfId="30824"/>
    <cellStyle name="Comma 2 2 2 2 2 8 2 5" xfId="42589"/>
    <cellStyle name="Comma 2 2 2 2 2 8 3" xfId="7778"/>
    <cellStyle name="Comma 2 2 2 2 2 8 3 2" xfId="18238"/>
    <cellStyle name="Comma 2 2 2 2 2 8 3 2 2" xfId="39281"/>
    <cellStyle name="Comma 2 2 2 2 2 8 3 2 3" xfId="32858"/>
    <cellStyle name="Comma 2 2 2 2 2 8 3 3" xfId="22730"/>
    <cellStyle name="Comma 2 2 2 2 2 8 3 3 2" xfId="36074"/>
    <cellStyle name="Comma 2 2 2 2 2 8 3 4" xfId="29651"/>
    <cellStyle name="Comma 2 2 2 2 2 8 3 5" xfId="43559"/>
    <cellStyle name="Comma 2 2 2 2 2 8 4" xfId="6760"/>
    <cellStyle name="Comma 2 2 2 2 2 8 4 2" xfId="17263"/>
    <cellStyle name="Comma 2 2 2 2 2 8 4 2 2" xfId="38313"/>
    <cellStyle name="Comma 2 2 2 2 2 8 4 3" xfId="31890"/>
    <cellStyle name="Comma 2 2 2 2 2 8 5" xfId="16601"/>
    <cellStyle name="Comma 2 2 2 2 2 8 5 2" xfId="35106"/>
    <cellStyle name="Comma 2 2 2 2 2 8 6" xfId="20404"/>
    <cellStyle name="Comma 2 2 2 2 2 8 7" xfId="28683"/>
    <cellStyle name="Comma 2 2 2 2 2 8 8" xfId="41425"/>
    <cellStyle name="Comma 2 2 2 2 2 9" xfId="4972"/>
    <cellStyle name="Comma 2 2 2 2 2 9 2" xfId="10613"/>
    <cellStyle name="Comma 2 2 2 2 2 9 2 2" xfId="19412"/>
    <cellStyle name="Comma 2 2 2 2 2 9 2 2 2" xfId="40455"/>
    <cellStyle name="Comma 2 2 2 2 2 9 2 2 3" xfId="34032"/>
    <cellStyle name="Comma 2 2 2 2 2 9 2 3" xfId="21611"/>
    <cellStyle name="Comma 2 2 2 2 2 9 2 3 2" xfId="37248"/>
    <cellStyle name="Comma 2 2 2 2 2 9 2 4" xfId="30825"/>
    <cellStyle name="Comma 2 2 2 2 2 9 2 5" xfId="42590"/>
    <cellStyle name="Comma 2 2 2 2 2 9 3" xfId="7779"/>
    <cellStyle name="Comma 2 2 2 2 2 9 3 2" xfId="18239"/>
    <cellStyle name="Comma 2 2 2 2 2 9 3 2 2" xfId="39282"/>
    <cellStyle name="Comma 2 2 2 2 2 9 3 2 3" xfId="32859"/>
    <cellStyle name="Comma 2 2 2 2 2 9 3 3" xfId="22731"/>
    <cellStyle name="Comma 2 2 2 2 2 9 3 3 2" xfId="36075"/>
    <cellStyle name="Comma 2 2 2 2 2 9 3 4" xfId="29652"/>
    <cellStyle name="Comma 2 2 2 2 2 9 3 5" xfId="43560"/>
    <cellStyle name="Comma 2 2 2 2 2 9 4" xfId="6761"/>
    <cellStyle name="Comma 2 2 2 2 2 9 4 2" xfId="17264"/>
    <cellStyle name="Comma 2 2 2 2 2 9 4 2 2" xfId="38314"/>
    <cellStyle name="Comma 2 2 2 2 2 9 4 3" xfId="31891"/>
    <cellStyle name="Comma 2 2 2 2 2 9 5" xfId="16787"/>
    <cellStyle name="Comma 2 2 2 2 2 9 5 2" xfId="35107"/>
    <cellStyle name="Comma 2 2 2 2 2 9 6" xfId="20405"/>
    <cellStyle name="Comma 2 2 2 2 2 9 7" xfId="28684"/>
    <cellStyle name="Comma 2 2 2 2 2 9 8" xfId="41426"/>
    <cellStyle name="Comma 2 2 2 2 3" xfId="1458"/>
    <cellStyle name="Comma 2 2 2 2 3 10" xfId="7780"/>
    <cellStyle name="Comma 2 2 2 2 3 10 2" xfId="18240"/>
    <cellStyle name="Comma 2 2 2 2 3 10 2 2" xfId="39283"/>
    <cellStyle name="Comma 2 2 2 2 3 10 2 3" xfId="32860"/>
    <cellStyle name="Comma 2 2 2 2 3 10 3" xfId="22732"/>
    <cellStyle name="Comma 2 2 2 2 3 10 3 2" xfId="36076"/>
    <cellStyle name="Comma 2 2 2 2 3 10 4" xfId="29653"/>
    <cellStyle name="Comma 2 2 2 2 3 10 5" xfId="43561"/>
    <cellStyle name="Comma 2 2 2 2 3 11" xfId="6588"/>
    <cellStyle name="Comma 2 2 2 2 3 11 2" xfId="17096"/>
    <cellStyle name="Comma 2 2 2 2 3 11 2 2" xfId="38150"/>
    <cellStyle name="Comma 2 2 2 2 3 11 3" xfId="31727"/>
    <cellStyle name="Comma 2 2 2 2 3 12" xfId="16028"/>
    <cellStyle name="Comma 2 2 2 2 3 12 2" xfId="34943"/>
    <cellStyle name="Comma 2 2 2 2 3 13" xfId="20406"/>
    <cellStyle name="Comma 2 2 2 2 3 14" xfId="28518"/>
    <cellStyle name="Comma 2 2 2 2 3 15" xfId="41427"/>
    <cellStyle name="Comma 2 2 2 2 3 2" xfId="1812"/>
    <cellStyle name="Comma 2 2 2 2 3 2 10" xfId="16090"/>
    <cellStyle name="Comma 2 2 2 2 3 2 10 2" xfId="34949"/>
    <cellStyle name="Comma 2 2 2 2 3 2 11" xfId="20407"/>
    <cellStyle name="Comma 2 2 2 2 3 2 12" xfId="28524"/>
    <cellStyle name="Comma 2 2 2 2 3 2 13" xfId="41428"/>
    <cellStyle name="Comma 2 2 2 2 3 2 2" xfId="2702"/>
    <cellStyle name="Comma 2 2 2 2 3 2 2 2" xfId="10614"/>
    <cellStyle name="Comma 2 2 2 2 3 2 2 2 2" xfId="19413"/>
    <cellStyle name="Comma 2 2 2 2 3 2 2 2 2 2" xfId="40456"/>
    <cellStyle name="Comma 2 2 2 2 3 2 2 2 2 3" xfId="34033"/>
    <cellStyle name="Comma 2 2 2 2 3 2 2 2 3" xfId="21612"/>
    <cellStyle name="Comma 2 2 2 2 3 2 2 2 3 2" xfId="37249"/>
    <cellStyle name="Comma 2 2 2 2 3 2 2 2 4" xfId="30826"/>
    <cellStyle name="Comma 2 2 2 2 3 2 2 2 5" xfId="42591"/>
    <cellStyle name="Comma 2 2 2 2 3 2 2 3" xfId="7782"/>
    <cellStyle name="Comma 2 2 2 2 3 2 2 3 2" xfId="18242"/>
    <cellStyle name="Comma 2 2 2 2 3 2 2 3 2 2" xfId="39285"/>
    <cellStyle name="Comma 2 2 2 2 3 2 2 3 2 3" xfId="32862"/>
    <cellStyle name="Comma 2 2 2 2 3 2 2 3 3" xfId="22734"/>
    <cellStyle name="Comma 2 2 2 2 3 2 2 3 3 2" xfId="36078"/>
    <cellStyle name="Comma 2 2 2 2 3 2 2 3 4" xfId="29655"/>
    <cellStyle name="Comma 2 2 2 2 3 2 2 3 5" xfId="43563"/>
    <cellStyle name="Comma 2 2 2 2 3 2 2 4" xfId="6762"/>
    <cellStyle name="Comma 2 2 2 2 3 2 2 4 2" xfId="17265"/>
    <cellStyle name="Comma 2 2 2 2 3 2 2 4 2 2" xfId="38315"/>
    <cellStyle name="Comma 2 2 2 2 3 2 2 4 3" xfId="31892"/>
    <cellStyle name="Comma 2 2 2 2 3 2 2 5" xfId="16280"/>
    <cellStyle name="Comma 2 2 2 2 3 2 2 5 2" xfId="35108"/>
    <cellStyle name="Comma 2 2 2 2 3 2 2 6" xfId="20408"/>
    <cellStyle name="Comma 2 2 2 2 3 2 2 7" xfId="28685"/>
    <cellStyle name="Comma 2 2 2 2 3 2 2 8" xfId="41429"/>
    <cellStyle name="Comma 2 2 2 2 3 2 3" xfId="3566"/>
    <cellStyle name="Comma 2 2 2 2 3 2 3 2" xfId="10615"/>
    <cellStyle name="Comma 2 2 2 2 3 2 3 2 2" xfId="19414"/>
    <cellStyle name="Comma 2 2 2 2 3 2 3 2 2 2" xfId="40457"/>
    <cellStyle name="Comma 2 2 2 2 3 2 3 2 2 3" xfId="34034"/>
    <cellStyle name="Comma 2 2 2 2 3 2 3 2 3" xfId="21613"/>
    <cellStyle name="Comma 2 2 2 2 3 2 3 2 3 2" xfId="37250"/>
    <cellStyle name="Comma 2 2 2 2 3 2 3 2 4" xfId="30827"/>
    <cellStyle name="Comma 2 2 2 2 3 2 3 2 5" xfId="42592"/>
    <cellStyle name="Comma 2 2 2 2 3 2 3 3" xfId="7783"/>
    <cellStyle name="Comma 2 2 2 2 3 2 3 3 2" xfId="18243"/>
    <cellStyle name="Comma 2 2 2 2 3 2 3 3 2 2" xfId="39286"/>
    <cellStyle name="Comma 2 2 2 2 3 2 3 3 2 3" xfId="32863"/>
    <cellStyle name="Comma 2 2 2 2 3 2 3 3 3" xfId="22735"/>
    <cellStyle name="Comma 2 2 2 2 3 2 3 3 3 2" xfId="36079"/>
    <cellStyle name="Comma 2 2 2 2 3 2 3 3 4" xfId="29656"/>
    <cellStyle name="Comma 2 2 2 2 3 2 3 3 5" xfId="43564"/>
    <cellStyle name="Comma 2 2 2 2 3 2 3 4" xfId="6763"/>
    <cellStyle name="Comma 2 2 2 2 3 2 3 4 2" xfId="17266"/>
    <cellStyle name="Comma 2 2 2 2 3 2 3 4 2 2" xfId="38316"/>
    <cellStyle name="Comma 2 2 2 2 3 2 3 4 3" xfId="31893"/>
    <cellStyle name="Comma 2 2 2 2 3 2 3 5" xfId="16468"/>
    <cellStyle name="Comma 2 2 2 2 3 2 3 5 2" xfId="35109"/>
    <cellStyle name="Comma 2 2 2 2 3 2 3 6" xfId="20409"/>
    <cellStyle name="Comma 2 2 2 2 3 2 3 7" xfId="28686"/>
    <cellStyle name="Comma 2 2 2 2 3 2 3 8" xfId="41430"/>
    <cellStyle name="Comma 2 2 2 2 3 2 4" xfId="4441"/>
    <cellStyle name="Comma 2 2 2 2 3 2 4 2" xfId="10616"/>
    <cellStyle name="Comma 2 2 2 2 3 2 4 2 2" xfId="19415"/>
    <cellStyle name="Comma 2 2 2 2 3 2 4 2 2 2" xfId="40458"/>
    <cellStyle name="Comma 2 2 2 2 3 2 4 2 2 3" xfId="34035"/>
    <cellStyle name="Comma 2 2 2 2 3 2 4 2 3" xfId="21614"/>
    <cellStyle name="Comma 2 2 2 2 3 2 4 2 3 2" xfId="37251"/>
    <cellStyle name="Comma 2 2 2 2 3 2 4 2 4" xfId="30828"/>
    <cellStyle name="Comma 2 2 2 2 3 2 4 2 5" xfId="42593"/>
    <cellStyle name="Comma 2 2 2 2 3 2 4 3" xfId="7784"/>
    <cellStyle name="Comma 2 2 2 2 3 2 4 3 2" xfId="18244"/>
    <cellStyle name="Comma 2 2 2 2 3 2 4 3 2 2" xfId="39287"/>
    <cellStyle name="Comma 2 2 2 2 3 2 4 3 2 3" xfId="32864"/>
    <cellStyle name="Comma 2 2 2 2 3 2 4 3 3" xfId="22736"/>
    <cellStyle name="Comma 2 2 2 2 3 2 4 3 3 2" xfId="36080"/>
    <cellStyle name="Comma 2 2 2 2 3 2 4 3 4" xfId="29657"/>
    <cellStyle name="Comma 2 2 2 2 3 2 4 3 5" xfId="43565"/>
    <cellStyle name="Comma 2 2 2 2 3 2 4 4" xfId="6764"/>
    <cellStyle name="Comma 2 2 2 2 3 2 4 4 2" xfId="17267"/>
    <cellStyle name="Comma 2 2 2 2 3 2 4 4 2 2" xfId="38317"/>
    <cellStyle name="Comma 2 2 2 2 3 2 4 4 3" xfId="31894"/>
    <cellStyle name="Comma 2 2 2 2 3 2 4 5" xfId="16656"/>
    <cellStyle name="Comma 2 2 2 2 3 2 4 5 2" xfId="35110"/>
    <cellStyle name="Comma 2 2 2 2 3 2 4 6" xfId="20410"/>
    <cellStyle name="Comma 2 2 2 2 3 2 4 7" xfId="28687"/>
    <cellStyle name="Comma 2 2 2 2 3 2 4 8" xfId="41431"/>
    <cellStyle name="Comma 2 2 2 2 3 2 5" xfId="4977"/>
    <cellStyle name="Comma 2 2 2 2 3 2 5 2" xfId="10617"/>
    <cellStyle name="Comma 2 2 2 2 3 2 5 2 2" xfId="19416"/>
    <cellStyle name="Comma 2 2 2 2 3 2 5 2 2 2" xfId="40459"/>
    <cellStyle name="Comma 2 2 2 2 3 2 5 2 2 3" xfId="34036"/>
    <cellStyle name="Comma 2 2 2 2 3 2 5 2 3" xfId="21615"/>
    <cellStyle name="Comma 2 2 2 2 3 2 5 2 3 2" xfId="37252"/>
    <cellStyle name="Comma 2 2 2 2 3 2 5 2 4" xfId="30829"/>
    <cellStyle name="Comma 2 2 2 2 3 2 5 2 5" xfId="42594"/>
    <cellStyle name="Comma 2 2 2 2 3 2 5 3" xfId="7785"/>
    <cellStyle name="Comma 2 2 2 2 3 2 5 3 2" xfId="18245"/>
    <cellStyle name="Comma 2 2 2 2 3 2 5 3 2 2" xfId="39288"/>
    <cellStyle name="Comma 2 2 2 2 3 2 5 3 2 3" xfId="32865"/>
    <cellStyle name="Comma 2 2 2 2 3 2 5 3 3" xfId="22737"/>
    <cellStyle name="Comma 2 2 2 2 3 2 5 3 3 2" xfId="36081"/>
    <cellStyle name="Comma 2 2 2 2 3 2 5 3 4" xfId="29658"/>
    <cellStyle name="Comma 2 2 2 2 3 2 5 3 5" xfId="43566"/>
    <cellStyle name="Comma 2 2 2 2 3 2 5 4" xfId="6765"/>
    <cellStyle name="Comma 2 2 2 2 3 2 5 4 2" xfId="17268"/>
    <cellStyle name="Comma 2 2 2 2 3 2 5 4 2 2" xfId="38318"/>
    <cellStyle name="Comma 2 2 2 2 3 2 5 4 3" xfId="31895"/>
    <cellStyle name="Comma 2 2 2 2 3 2 5 5" xfId="16792"/>
    <cellStyle name="Comma 2 2 2 2 3 2 5 5 2" xfId="35111"/>
    <cellStyle name="Comma 2 2 2 2 3 2 5 6" xfId="20411"/>
    <cellStyle name="Comma 2 2 2 2 3 2 5 7" xfId="28688"/>
    <cellStyle name="Comma 2 2 2 2 3 2 5 8" xfId="41432"/>
    <cellStyle name="Comma 2 2 2 2 3 2 6" xfId="5706"/>
    <cellStyle name="Comma 2 2 2 2 3 2 6 2" xfId="10618"/>
    <cellStyle name="Comma 2 2 2 2 3 2 6 2 2" xfId="19417"/>
    <cellStyle name="Comma 2 2 2 2 3 2 6 2 2 2" xfId="40460"/>
    <cellStyle name="Comma 2 2 2 2 3 2 6 2 2 3" xfId="34037"/>
    <cellStyle name="Comma 2 2 2 2 3 2 6 2 3" xfId="21616"/>
    <cellStyle name="Comma 2 2 2 2 3 2 6 2 3 2" xfId="37253"/>
    <cellStyle name="Comma 2 2 2 2 3 2 6 2 4" xfId="30830"/>
    <cellStyle name="Comma 2 2 2 2 3 2 6 2 5" xfId="42595"/>
    <cellStyle name="Comma 2 2 2 2 3 2 6 3" xfId="7786"/>
    <cellStyle name="Comma 2 2 2 2 3 2 6 3 2" xfId="18246"/>
    <cellStyle name="Comma 2 2 2 2 3 2 6 3 2 2" xfId="39289"/>
    <cellStyle name="Comma 2 2 2 2 3 2 6 3 2 3" xfId="32866"/>
    <cellStyle name="Comma 2 2 2 2 3 2 6 3 3" xfId="22738"/>
    <cellStyle name="Comma 2 2 2 2 3 2 6 3 3 2" xfId="36082"/>
    <cellStyle name="Comma 2 2 2 2 3 2 6 3 4" xfId="29659"/>
    <cellStyle name="Comma 2 2 2 2 3 2 6 3 5" xfId="43567"/>
    <cellStyle name="Comma 2 2 2 2 3 2 6 4" xfId="6766"/>
    <cellStyle name="Comma 2 2 2 2 3 2 6 4 2" xfId="17269"/>
    <cellStyle name="Comma 2 2 2 2 3 2 6 4 2 2" xfId="38319"/>
    <cellStyle name="Comma 2 2 2 2 3 2 6 4 3" xfId="31896"/>
    <cellStyle name="Comma 2 2 2 2 3 2 6 5" xfId="16944"/>
    <cellStyle name="Comma 2 2 2 2 3 2 6 5 2" xfId="35112"/>
    <cellStyle name="Comma 2 2 2 2 3 2 6 6" xfId="20412"/>
    <cellStyle name="Comma 2 2 2 2 3 2 6 7" xfId="28689"/>
    <cellStyle name="Comma 2 2 2 2 3 2 6 8" xfId="41433"/>
    <cellStyle name="Comma 2 2 2 2 3 2 7" xfId="10195"/>
    <cellStyle name="Comma 2 2 2 2 3 2 7 2" xfId="19250"/>
    <cellStyle name="Comma 2 2 2 2 3 2 7 2 2" xfId="40293"/>
    <cellStyle name="Comma 2 2 2 2 3 2 7 2 3" xfId="33870"/>
    <cellStyle name="Comma 2 2 2 2 3 2 7 3" xfId="21450"/>
    <cellStyle name="Comma 2 2 2 2 3 2 7 3 2" xfId="37086"/>
    <cellStyle name="Comma 2 2 2 2 3 2 7 4" xfId="30663"/>
    <cellStyle name="Comma 2 2 2 2 3 2 7 5" xfId="42429"/>
    <cellStyle name="Comma 2 2 2 2 3 2 8" xfId="7781"/>
    <cellStyle name="Comma 2 2 2 2 3 2 8 2" xfId="18241"/>
    <cellStyle name="Comma 2 2 2 2 3 2 8 2 2" xfId="39284"/>
    <cellStyle name="Comma 2 2 2 2 3 2 8 2 3" xfId="32861"/>
    <cellStyle name="Comma 2 2 2 2 3 2 8 3" xfId="22733"/>
    <cellStyle name="Comma 2 2 2 2 3 2 8 3 2" xfId="36077"/>
    <cellStyle name="Comma 2 2 2 2 3 2 8 4" xfId="29654"/>
    <cellStyle name="Comma 2 2 2 2 3 2 8 5" xfId="43562"/>
    <cellStyle name="Comma 2 2 2 2 3 2 9" xfId="6595"/>
    <cellStyle name="Comma 2 2 2 2 3 2 9 2" xfId="17103"/>
    <cellStyle name="Comma 2 2 2 2 3 2 9 2 2" xfId="38156"/>
    <cellStyle name="Comma 2 2 2 2 3 2 9 3" xfId="31733"/>
    <cellStyle name="Comma 2 2 2 2 3 3" xfId="2087"/>
    <cellStyle name="Comma 2 2 2 2 3 3 10" xfId="20413"/>
    <cellStyle name="Comma 2 2 2 2 3 3 11" xfId="28690"/>
    <cellStyle name="Comma 2 2 2 2 3 3 12" xfId="41434"/>
    <cellStyle name="Comma 2 2 2 2 3 3 2" xfId="2957"/>
    <cellStyle name="Comma 2 2 2 2 3 3 2 2" xfId="10620"/>
    <cellStyle name="Comma 2 2 2 2 3 3 2 2 2" xfId="19419"/>
    <cellStyle name="Comma 2 2 2 2 3 3 2 2 2 2" xfId="40462"/>
    <cellStyle name="Comma 2 2 2 2 3 3 2 2 2 3" xfId="34039"/>
    <cellStyle name="Comma 2 2 2 2 3 3 2 2 3" xfId="21618"/>
    <cellStyle name="Comma 2 2 2 2 3 3 2 2 3 2" xfId="37255"/>
    <cellStyle name="Comma 2 2 2 2 3 3 2 2 4" xfId="30832"/>
    <cellStyle name="Comma 2 2 2 2 3 3 2 2 5" xfId="42597"/>
    <cellStyle name="Comma 2 2 2 2 3 3 2 3" xfId="7788"/>
    <cellStyle name="Comma 2 2 2 2 3 3 2 3 2" xfId="18248"/>
    <cellStyle name="Comma 2 2 2 2 3 3 2 3 2 2" xfId="39291"/>
    <cellStyle name="Comma 2 2 2 2 3 3 2 3 2 3" xfId="32868"/>
    <cellStyle name="Comma 2 2 2 2 3 3 2 3 3" xfId="22740"/>
    <cellStyle name="Comma 2 2 2 2 3 3 2 3 3 2" xfId="36084"/>
    <cellStyle name="Comma 2 2 2 2 3 3 2 3 4" xfId="29661"/>
    <cellStyle name="Comma 2 2 2 2 3 3 2 3 5" xfId="43569"/>
    <cellStyle name="Comma 2 2 2 2 3 3 2 4" xfId="6768"/>
    <cellStyle name="Comma 2 2 2 2 3 3 2 4 2" xfId="17271"/>
    <cellStyle name="Comma 2 2 2 2 3 3 2 4 2 2" xfId="38321"/>
    <cellStyle name="Comma 2 2 2 2 3 3 2 4 3" xfId="31898"/>
    <cellStyle name="Comma 2 2 2 2 3 3 2 5" xfId="16335"/>
    <cellStyle name="Comma 2 2 2 2 3 3 2 5 2" xfId="35114"/>
    <cellStyle name="Comma 2 2 2 2 3 3 2 6" xfId="20414"/>
    <cellStyle name="Comma 2 2 2 2 3 3 2 7" xfId="28691"/>
    <cellStyle name="Comma 2 2 2 2 3 3 2 8" xfId="41435"/>
    <cellStyle name="Comma 2 2 2 2 3 3 3" xfId="3827"/>
    <cellStyle name="Comma 2 2 2 2 3 3 3 2" xfId="10621"/>
    <cellStyle name="Comma 2 2 2 2 3 3 3 2 2" xfId="19420"/>
    <cellStyle name="Comma 2 2 2 2 3 3 3 2 2 2" xfId="40463"/>
    <cellStyle name="Comma 2 2 2 2 3 3 3 2 2 3" xfId="34040"/>
    <cellStyle name="Comma 2 2 2 2 3 3 3 2 3" xfId="21619"/>
    <cellStyle name="Comma 2 2 2 2 3 3 3 2 3 2" xfId="37256"/>
    <cellStyle name="Comma 2 2 2 2 3 3 3 2 4" xfId="30833"/>
    <cellStyle name="Comma 2 2 2 2 3 3 3 2 5" xfId="42598"/>
    <cellStyle name="Comma 2 2 2 2 3 3 3 3" xfId="7789"/>
    <cellStyle name="Comma 2 2 2 2 3 3 3 3 2" xfId="18249"/>
    <cellStyle name="Comma 2 2 2 2 3 3 3 3 2 2" xfId="39292"/>
    <cellStyle name="Comma 2 2 2 2 3 3 3 3 2 3" xfId="32869"/>
    <cellStyle name="Comma 2 2 2 2 3 3 3 3 3" xfId="22741"/>
    <cellStyle name="Comma 2 2 2 2 3 3 3 3 3 2" xfId="36085"/>
    <cellStyle name="Comma 2 2 2 2 3 3 3 3 4" xfId="29662"/>
    <cellStyle name="Comma 2 2 2 2 3 3 3 3 5" xfId="43570"/>
    <cellStyle name="Comma 2 2 2 2 3 3 3 4" xfId="6769"/>
    <cellStyle name="Comma 2 2 2 2 3 3 3 4 2" xfId="17272"/>
    <cellStyle name="Comma 2 2 2 2 3 3 3 4 2 2" xfId="38322"/>
    <cellStyle name="Comma 2 2 2 2 3 3 3 4 3" xfId="31899"/>
    <cellStyle name="Comma 2 2 2 2 3 3 3 5" xfId="16523"/>
    <cellStyle name="Comma 2 2 2 2 3 3 3 5 2" xfId="35115"/>
    <cellStyle name="Comma 2 2 2 2 3 3 3 6" xfId="20415"/>
    <cellStyle name="Comma 2 2 2 2 3 3 3 7" xfId="28692"/>
    <cellStyle name="Comma 2 2 2 2 3 3 3 8" xfId="41436"/>
    <cellStyle name="Comma 2 2 2 2 3 3 4" xfId="4705"/>
    <cellStyle name="Comma 2 2 2 2 3 3 4 2" xfId="10622"/>
    <cellStyle name="Comma 2 2 2 2 3 3 4 2 2" xfId="19421"/>
    <cellStyle name="Comma 2 2 2 2 3 3 4 2 2 2" xfId="40464"/>
    <cellStyle name="Comma 2 2 2 2 3 3 4 2 2 3" xfId="34041"/>
    <cellStyle name="Comma 2 2 2 2 3 3 4 2 3" xfId="21620"/>
    <cellStyle name="Comma 2 2 2 2 3 3 4 2 3 2" xfId="37257"/>
    <cellStyle name="Comma 2 2 2 2 3 3 4 2 4" xfId="30834"/>
    <cellStyle name="Comma 2 2 2 2 3 3 4 2 5" xfId="42599"/>
    <cellStyle name="Comma 2 2 2 2 3 3 4 3" xfId="7790"/>
    <cellStyle name="Comma 2 2 2 2 3 3 4 3 2" xfId="18250"/>
    <cellStyle name="Comma 2 2 2 2 3 3 4 3 2 2" xfId="39293"/>
    <cellStyle name="Comma 2 2 2 2 3 3 4 3 2 3" xfId="32870"/>
    <cellStyle name="Comma 2 2 2 2 3 3 4 3 3" xfId="22742"/>
    <cellStyle name="Comma 2 2 2 2 3 3 4 3 3 2" xfId="36086"/>
    <cellStyle name="Comma 2 2 2 2 3 3 4 3 4" xfId="29663"/>
    <cellStyle name="Comma 2 2 2 2 3 3 4 3 5" xfId="43571"/>
    <cellStyle name="Comma 2 2 2 2 3 3 4 4" xfId="6770"/>
    <cellStyle name="Comma 2 2 2 2 3 3 4 4 2" xfId="17273"/>
    <cellStyle name="Comma 2 2 2 2 3 3 4 4 2 2" xfId="38323"/>
    <cellStyle name="Comma 2 2 2 2 3 3 4 4 3" xfId="31900"/>
    <cellStyle name="Comma 2 2 2 2 3 3 4 5" xfId="16711"/>
    <cellStyle name="Comma 2 2 2 2 3 3 4 5 2" xfId="35116"/>
    <cellStyle name="Comma 2 2 2 2 3 3 4 6" xfId="20416"/>
    <cellStyle name="Comma 2 2 2 2 3 3 4 7" xfId="28693"/>
    <cellStyle name="Comma 2 2 2 2 3 3 4 8" xfId="41437"/>
    <cellStyle name="Comma 2 2 2 2 3 3 5" xfId="5970"/>
    <cellStyle name="Comma 2 2 2 2 3 3 5 2" xfId="10623"/>
    <cellStyle name="Comma 2 2 2 2 3 3 5 2 2" xfId="19422"/>
    <cellStyle name="Comma 2 2 2 2 3 3 5 2 2 2" xfId="40465"/>
    <cellStyle name="Comma 2 2 2 2 3 3 5 2 2 3" xfId="34042"/>
    <cellStyle name="Comma 2 2 2 2 3 3 5 2 3" xfId="21621"/>
    <cellStyle name="Comma 2 2 2 2 3 3 5 2 3 2" xfId="37258"/>
    <cellStyle name="Comma 2 2 2 2 3 3 5 2 4" xfId="30835"/>
    <cellStyle name="Comma 2 2 2 2 3 3 5 2 5" xfId="42600"/>
    <cellStyle name="Comma 2 2 2 2 3 3 5 3" xfId="7791"/>
    <cellStyle name="Comma 2 2 2 2 3 3 5 3 2" xfId="18251"/>
    <cellStyle name="Comma 2 2 2 2 3 3 5 3 2 2" xfId="39294"/>
    <cellStyle name="Comma 2 2 2 2 3 3 5 3 2 3" xfId="32871"/>
    <cellStyle name="Comma 2 2 2 2 3 3 5 3 3" xfId="22743"/>
    <cellStyle name="Comma 2 2 2 2 3 3 5 3 3 2" xfId="36087"/>
    <cellStyle name="Comma 2 2 2 2 3 3 5 3 4" xfId="29664"/>
    <cellStyle name="Comma 2 2 2 2 3 3 5 3 5" xfId="43572"/>
    <cellStyle name="Comma 2 2 2 2 3 3 5 4" xfId="6771"/>
    <cellStyle name="Comma 2 2 2 2 3 3 5 4 2" xfId="17274"/>
    <cellStyle name="Comma 2 2 2 2 3 3 5 4 2 2" xfId="38324"/>
    <cellStyle name="Comma 2 2 2 2 3 3 5 4 3" xfId="31901"/>
    <cellStyle name="Comma 2 2 2 2 3 3 5 5" xfId="16999"/>
    <cellStyle name="Comma 2 2 2 2 3 3 5 5 2" xfId="35117"/>
    <cellStyle name="Comma 2 2 2 2 3 3 5 6" xfId="20417"/>
    <cellStyle name="Comma 2 2 2 2 3 3 5 7" xfId="28694"/>
    <cellStyle name="Comma 2 2 2 2 3 3 5 8" xfId="41438"/>
    <cellStyle name="Comma 2 2 2 2 3 3 6" xfId="10619"/>
    <cellStyle name="Comma 2 2 2 2 3 3 6 2" xfId="19418"/>
    <cellStyle name="Comma 2 2 2 2 3 3 6 2 2" xfId="40461"/>
    <cellStyle name="Comma 2 2 2 2 3 3 6 2 3" xfId="34038"/>
    <cellStyle name="Comma 2 2 2 2 3 3 6 3" xfId="21617"/>
    <cellStyle name="Comma 2 2 2 2 3 3 6 3 2" xfId="37254"/>
    <cellStyle name="Comma 2 2 2 2 3 3 6 4" xfId="30831"/>
    <cellStyle name="Comma 2 2 2 2 3 3 6 5" xfId="42596"/>
    <cellStyle name="Comma 2 2 2 2 3 3 7" xfId="7787"/>
    <cellStyle name="Comma 2 2 2 2 3 3 7 2" xfId="18247"/>
    <cellStyle name="Comma 2 2 2 2 3 3 7 2 2" xfId="39290"/>
    <cellStyle name="Comma 2 2 2 2 3 3 7 2 3" xfId="32867"/>
    <cellStyle name="Comma 2 2 2 2 3 3 7 3" xfId="22739"/>
    <cellStyle name="Comma 2 2 2 2 3 3 7 3 2" xfId="36083"/>
    <cellStyle name="Comma 2 2 2 2 3 3 7 4" xfId="29660"/>
    <cellStyle name="Comma 2 2 2 2 3 3 7 5" xfId="43568"/>
    <cellStyle name="Comma 2 2 2 2 3 3 8" xfId="6767"/>
    <cellStyle name="Comma 2 2 2 2 3 3 8 2" xfId="17270"/>
    <cellStyle name="Comma 2 2 2 2 3 3 8 2 2" xfId="38320"/>
    <cellStyle name="Comma 2 2 2 2 3 3 8 3" xfId="31897"/>
    <cellStyle name="Comma 2 2 2 2 3 3 9" xfId="16146"/>
    <cellStyle name="Comma 2 2 2 2 3 3 9 2" xfId="35113"/>
    <cellStyle name="Comma 2 2 2 2 3 4" xfId="2452"/>
    <cellStyle name="Comma 2 2 2 2 3 4 2" xfId="10624"/>
    <cellStyle name="Comma 2 2 2 2 3 4 2 2" xfId="19423"/>
    <cellStyle name="Comma 2 2 2 2 3 4 2 2 2" xfId="40466"/>
    <cellStyle name="Comma 2 2 2 2 3 4 2 2 3" xfId="34043"/>
    <cellStyle name="Comma 2 2 2 2 3 4 2 3" xfId="21622"/>
    <cellStyle name="Comma 2 2 2 2 3 4 2 3 2" xfId="37259"/>
    <cellStyle name="Comma 2 2 2 2 3 4 2 4" xfId="30836"/>
    <cellStyle name="Comma 2 2 2 2 3 4 2 5" xfId="42601"/>
    <cellStyle name="Comma 2 2 2 2 3 4 3" xfId="7792"/>
    <cellStyle name="Comma 2 2 2 2 3 4 3 2" xfId="18252"/>
    <cellStyle name="Comma 2 2 2 2 3 4 3 2 2" xfId="39295"/>
    <cellStyle name="Comma 2 2 2 2 3 4 3 2 3" xfId="32872"/>
    <cellStyle name="Comma 2 2 2 2 3 4 3 3" xfId="22744"/>
    <cellStyle name="Comma 2 2 2 2 3 4 3 3 2" xfId="36088"/>
    <cellStyle name="Comma 2 2 2 2 3 4 3 4" xfId="29665"/>
    <cellStyle name="Comma 2 2 2 2 3 4 3 5" xfId="43573"/>
    <cellStyle name="Comma 2 2 2 2 3 4 4" xfId="6772"/>
    <cellStyle name="Comma 2 2 2 2 3 4 4 2" xfId="17275"/>
    <cellStyle name="Comma 2 2 2 2 3 4 4 2 2" xfId="38325"/>
    <cellStyle name="Comma 2 2 2 2 3 4 4 3" xfId="31902"/>
    <cellStyle name="Comma 2 2 2 2 3 4 5" xfId="16227"/>
    <cellStyle name="Comma 2 2 2 2 3 4 5 2" xfId="35118"/>
    <cellStyle name="Comma 2 2 2 2 3 4 6" xfId="20418"/>
    <cellStyle name="Comma 2 2 2 2 3 4 7" xfId="28695"/>
    <cellStyle name="Comma 2 2 2 2 3 4 8" xfId="41439"/>
    <cellStyle name="Comma 2 2 2 2 3 5" xfId="3315"/>
    <cellStyle name="Comma 2 2 2 2 3 5 2" xfId="10625"/>
    <cellStyle name="Comma 2 2 2 2 3 5 2 2" xfId="19424"/>
    <cellStyle name="Comma 2 2 2 2 3 5 2 2 2" xfId="40467"/>
    <cellStyle name="Comma 2 2 2 2 3 5 2 2 3" xfId="34044"/>
    <cellStyle name="Comma 2 2 2 2 3 5 2 3" xfId="21623"/>
    <cellStyle name="Comma 2 2 2 2 3 5 2 3 2" xfId="37260"/>
    <cellStyle name="Comma 2 2 2 2 3 5 2 4" xfId="30837"/>
    <cellStyle name="Comma 2 2 2 2 3 5 2 5" xfId="42602"/>
    <cellStyle name="Comma 2 2 2 2 3 5 3" xfId="7793"/>
    <cellStyle name="Comma 2 2 2 2 3 5 3 2" xfId="18253"/>
    <cellStyle name="Comma 2 2 2 2 3 5 3 2 2" xfId="39296"/>
    <cellStyle name="Comma 2 2 2 2 3 5 3 2 3" xfId="32873"/>
    <cellStyle name="Comma 2 2 2 2 3 5 3 3" xfId="22745"/>
    <cellStyle name="Comma 2 2 2 2 3 5 3 3 2" xfId="36089"/>
    <cellStyle name="Comma 2 2 2 2 3 5 3 4" xfId="29666"/>
    <cellStyle name="Comma 2 2 2 2 3 5 3 5" xfId="43574"/>
    <cellStyle name="Comma 2 2 2 2 3 5 4" xfId="6773"/>
    <cellStyle name="Comma 2 2 2 2 3 5 4 2" xfId="17276"/>
    <cellStyle name="Comma 2 2 2 2 3 5 4 2 2" xfId="38326"/>
    <cellStyle name="Comma 2 2 2 2 3 5 4 3" xfId="31903"/>
    <cellStyle name="Comma 2 2 2 2 3 5 5" xfId="16415"/>
    <cellStyle name="Comma 2 2 2 2 3 5 5 2" xfId="35119"/>
    <cellStyle name="Comma 2 2 2 2 3 5 6" xfId="20419"/>
    <cellStyle name="Comma 2 2 2 2 3 5 7" xfId="28696"/>
    <cellStyle name="Comma 2 2 2 2 3 5 8" xfId="41440"/>
    <cellStyle name="Comma 2 2 2 2 3 6" xfId="4183"/>
    <cellStyle name="Comma 2 2 2 2 3 6 2" xfId="10626"/>
    <cellStyle name="Comma 2 2 2 2 3 6 2 2" xfId="19425"/>
    <cellStyle name="Comma 2 2 2 2 3 6 2 2 2" xfId="40468"/>
    <cellStyle name="Comma 2 2 2 2 3 6 2 2 3" xfId="34045"/>
    <cellStyle name="Comma 2 2 2 2 3 6 2 3" xfId="21624"/>
    <cellStyle name="Comma 2 2 2 2 3 6 2 3 2" xfId="37261"/>
    <cellStyle name="Comma 2 2 2 2 3 6 2 4" xfId="30838"/>
    <cellStyle name="Comma 2 2 2 2 3 6 2 5" xfId="42603"/>
    <cellStyle name="Comma 2 2 2 2 3 6 3" xfId="7794"/>
    <cellStyle name="Comma 2 2 2 2 3 6 3 2" xfId="18254"/>
    <cellStyle name="Comma 2 2 2 2 3 6 3 2 2" xfId="39297"/>
    <cellStyle name="Comma 2 2 2 2 3 6 3 2 3" xfId="32874"/>
    <cellStyle name="Comma 2 2 2 2 3 6 3 3" xfId="22746"/>
    <cellStyle name="Comma 2 2 2 2 3 6 3 3 2" xfId="36090"/>
    <cellStyle name="Comma 2 2 2 2 3 6 3 4" xfId="29667"/>
    <cellStyle name="Comma 2 2 2 2 3 6 3 5" xfId="43575"/>
    <cellStyle name="Comma 2 2 2 2 3 6 4" xfId="6774"/>
    <cellStyle name="Comma 2 2 2 2 3 6 4 2" xfId="17277"/>
    <cellStyle name="Comma 2 2 2 2 3 6 4 2 2" xfId="38327"/>
    <cellStyle name="Comma 2 2 2 2 3 6 4 3" xfId="31904"/>
    <cellStyle name="Comma 2 2 2 2 3 6 5" xfId="16603"/>
    <cellStyle name="Comma 2 2 2 2 3 6 5 2" xfId="35120"/>
    <cellStyle name="Comma 2 2 2 2 3 6 6" xfId="20420"/>
    <cellStyle name="Comma 2 2 2 2 3 6 7" xfId="28697"/>
    <cellStyle name="Comma 2 2 2 2 3 6 8" xfId="41441"/>
    <cellStyle name="Comma 2 2 2 2 3 7" xfId="4976"/>
    <cellStyle name="Comma 2 2 2 2 3 7 2" xfId="10627"/>
    <cellStyle name="Comma 2 2 2 2 3 7 2 2" xfId="19426"/>
    <cellStyle name="Comma 2 2 2 2 3 7 2 2 2" xfId="40469"/>
    <cellStyle name="Comma 2 2 2 2 3 7 2 2 3" xfId="34046"/>
    <cellStyle name="Comma 2 2 2 2 3 7 2 3" xfId="21625"/>
    <cellStyle name="Comma 2 2 2 2 3 7 2 3 2" xfId="37262"/>
    <cellStyle name="Comma 2 2 2 2 3 7 2 4" xfId="30839"/>
    <cellStyle name="Comma 2 2 2 2 3 7 2 5" xfId="42604"/>
    <cellStyle name="Comma 2 2 2 2 3 7 3" xfId="7795"/>
    <cellStyle name="Comma 2 2 2 2 3 7 3 2" xfId="18255"/>
    <cellStyle name="Comma 2 2 2 2 3 7 3 2 2" xfId="39298"/>
    <cellStyle name="Comma 2 2 2 2 3 7 3 2 3" xfId="32875"/>
    <cellStyle name="Comma 2 2 2 2 3 7 3 3" xfId="22747"/>
    <cellStyle name="Comma 2 2 2 2 3 7 3 3 2" xfId="36091"/>
    <cellStyle name="Comma 2 2 2 2 3 7 3 4" xfId="29668"/>
    <cellStyle name="Comma 2 2 2 2 3 7 3 5" xfId="43576"/>
    <cellStyle name="Comma 2 2 2 2 3 7 4" xfId="6775"/>
    <cellStyle name="Comma 2 2 2 2 3 7 4 2" xfId="17278"/>
    <cellStyle name="Comma 2 2 2 2 3 7 4 2 2" xfId="38328"/>
    <cellStyle name="Comma 2 2 2 2 3 7 4 3" xfId="31905"/>
    <cellStyle name="Comma 2 2 2 2 3 7 5" xfId="16791"/>
    <cellStyle name="Comma 2 2 2 2 3 7 5 2" xfId="35121"/>
    <cellStyle name="Comma 2 2 2 2 3 7 6" xfId="20421"/>
    <cellStyle name="Comma 2 2 2 2 3 7 7" xfId="28698"/>
    <cellStyle name="Comma 2 2 2 2 3 7 8" xfId="41442"/>
    <cellStyle name="Comma 2 2 2 2 3 8" xfId="5445"/>
    <cellStyle name="Comma 2 2 2 2 3 8 2" xfId="10628"/>
    <cellStyle name="Comma 2 2 2 2 3 8 2 2" xfId="19427"/>
    <cellStyle name="Comma 2 2 2 2 3 8 2 2 2" xfId="40470"/>
    <cellStyle name="Comma 2 2 2 2 3 8 2 2 3" xfId="34047"/>
    <cellStyle name="Comma 2 2 2 2 3 8 2 3" xfId="21626"/>
    <cellStyle name="Comma 2 2 2 2 3 8 2 3 2" xfId="37263"/>
    <cellStyle name="Comma 2 2 2 2 3 8 2 4" xfId="30840"/>
    <cellStyle name="Comma 2 2 2 2 3 8 2 5" xfId="42605"/>
    <cellStyle name="Comma 2 2 2 2 3 8 3" xfId="7796"/>
    <cellStyle name="Comma 2 2 2 2 3 8 3 2" xfId="18256"/>
    <cellStyle name="Comma 2 2 2 2 3 8 3 2 2" xfId="39299"/>
    <cellStyle name="Comma 2 2 2 2 3 8 3 2 3" xfId="32876"/>
    <cellStyle name="Comma 2 2 2 2 3 8 3 3" xfId="22748"/>
    <cellStyle name="Comma 2 2 2 2 3 8 3 3 2" xfId="36092"/>
    <cellStyle name="Comma 2 2 2 2 3 8 3 4" xfId="29669"/>
    <cellStyle name="Comma 2 2 2 2 3 8 3 5" xfId="43577"/>
    <cellStyle name="Comma 2 2 2 2 3 8 4" xfId="6776"/>
    <cellStyle name="Comma 2 2 2 2 3 8 4 2" xfId="17279"/>
    <cellStyle name="Comma 2 2 2 2 3 8 4 2 2" xfId="38329"/>
    <cellStyle name="Comma 2 2 2 2 3 8 4 3" xfId="31906"/>
    <cellStyle name="Comma 2 2 2 2 3 8 5" xfId="16891"/>
    <cellStyle name="Comma 2 2 2 2 3 8 5 2" xfId="35122"/>
    <cellStyle name="Comma 2 2 2 2 3 8 6" xfId="20422"/>
    <cellStyle name="Comma 2 2 2 2 3 8 7" xfId="28699"/>
    <cellStyle name="Comma 2 2 2 2 3 8 8" xfId="41443"/>
    <cellStyle name="Comma 2 2 2 2 3 9" xfId="10188"/>
    <cellStyle name="Comma 2 2 2 2 3 9 2" xfId="19243"/>
    <cellStyle name="Comma 2 2 2 2 3 9 2 2" xfId="40286"/>
    <cellStyle name="Comma 2 2 2 2 3 9 2 3" xfId="33863"/>
    <cellStyle name="Comma 2 2 2 2 3 9 3" xfId="21443"/>
    <cellStyle name="Comma 2 2 2 2 3 9 3 2" xfId="37079"/>
    <cellStyle name="Comma 2 2 2 2 3 9 4" xfId="30656"/>
    <cellStyle name="Comma 2 2 2 2 3 9 5" xfId="42422"/>
    <cellStyle name="Comma 2 2 2 2 4" xfId="1809"/>
    <cellStyle name="Comma 2 2 2 2 4 10" xfId="16087"/>
    <cellStyle name="Comma 2 2 2 2 4 10 2" xfId="35001"/>
    <cellStyle name="Comma 2 2 2 2 4 11" xfId="20423"/>
    <cellStyle name="Comma 2 2 2 2 4 12" xfId="28576"/>
    <cellStyle name="Comma 2 2 2 2 4 13" xfId="41444"/>
    <cellStyle name="Comma 2 2 2 2 4 2" xfId="2699"/>
    <cellStyle name="Comma 2 2 2 2 4 2 2" xfId="10629"/>
    <cellStyle name="Comma 2 2 2 2 4 2 2 2" xfId="19428"/>
    <cellStyle name="Comma 2 2 2 2 4 2 2 2 2" xfId="40471"/>
    <cellStyle name="Comma 2 2 2 2 4 2 2 2 3" xfId="34048"/>
    <cellStyle name="Comma 2 2 2 2 4 2 2 3" xfId="21627"/>
    <cellStyle name="Comma 2 2 2 2 4 2 2 3 2" xfId="37264"/>
    <cellStyle name="Comma 2 2 2 2 4 2 2 4" xfId="30841"/>
    <cellStyle name="Comma 2 2 2 2 4 2 2 5" xfId="42606"/>
    <cellStyle name="Comma 2 2 2 2 4 2 3" xfId="7798"/>
    <cellStyle name="Comma 2 2 2 2 4 2 3 2" xfId="18258"/>
    <cellStyle name="Comma 2 2 2 2 4 2 3 2 2" xfId="39301"/>
    <cellStyle name="Comma 2 2 2 2 4 2 3 2 3" xfId="32878"/>
    <cellStyle name="Comma 2 2 2 2 4 2 3 3" xfId="22750"/>
    <cellStyle name="Comma 2 2 2 2 4 2 3 3 2" xfId="36094"/>
    <cellStyle name="Comma 2 2 2 2 4 2 3 4" xfId="29671"/>
    <cellStyle name="Comma 2 2 2 2 4 2 3 5" xfId="43579"/>
    <cellStyle name="Comma 2 2 2 2 4 2 4" xfId="6777"/>
    <cellStyle name="Comma 2 2 2 2 4 2 4 2" xfId="17280"/>
    <cellStyle name="Comma 2 2 2 2 4 2 4 2 2" xfId="38330"/>
    <cellStyle name="Comma 2 2 2 2 4 2 4 3" xfId="31907"/>
    <cellStyle name="Comma 2 2 2 2 4 2 5" xfId="16277"/>
    <cellStyle name="Comma 2 2 2 2 4 2 5 2" xfId="35123"/>
    <cellStyle name="Comma 2 2 2 2 4 2 6" xfId="20424"/>
    <cellStyle name="Comma 2 2 2 2 4 2 7" xfId="28700"/>
    <cellStyle name="Comma 2 2 2 2 4 2 8" xfId="41445"/>
    <cellStyle name="Comma 2 2 2 2 4 3" xfId="3563"/>
    <cellStyle name="Comma 2 2 2 2 4 3 2" xfId="10630"/>
    <cellStyle name="Comma 2 2 2 2 4 3 2 2" xfId="19429"/>
    <cellStyle name="Comma 2 2 2 2 4 3 2 2 2" xfId="40472"/>
    <cellStyle name="Comma 2 2 2 2 4 3 2 2 3" xfId="34049"/>
    <cellStyle name="Comma 2 2 2 2 4 3 2 3" xfId="21628"/>
    <cellStyle name="Comma 2 2 2 2 4 3 2 3 2" xfId="37265"/>
    <cellStyle name="Comma 2 2 2 2 4 3 2 4" xfId="30842"/>
    <cellStyle name="Comma 2 2 2 2 4 3 2 5" xfId="42607"/>
    <cellStyle name="Comma 2 2 2 2 4 3 3" xfId="7799"/>
    <cellStyle name="Comma 2 2 2 2 4 3 3 2" xfId="18259"/>
    <cellStyle name="Comma 2 2 2 2 4 3 3 2 2" xfId="39302"/>
    <cellStyle name="Comma 2 2 2 2 4 3 3 2 3" xfId="32879"/>
    <cellStyle name="Comma 2 2 2 2 4 3 3 3" xfId="22751"/>
    <cellStyle name="Comma 2 2 2 2 4 3 3 3 2" xfId="36095"/>
    <cellStyle name="Comma 2 2 2 2 4 3 3 4" xfId="29672"/>
    <cellStyle name="Comma 2 2 2 2 4 3 3 5" xfId="43580"/>
    <cellStyle name="Comma 2 2 2 2 4 3 4" xfId="6778"/>
    <cellStyle name="Comma 2 2 2 2 4 3 4 2" xfId="17281"/>
    <cellStyle name="Comma 2 2 2 2 4 3 4 2 2" xfId="38331"/>
    <cellStyle name="Comma 2 2 2 2 4 3 4 3" xfId="31908"/>
    <cellStyle name="Comma 2 2 2 2 4 3 5" xfId="16465"/>
    <cellStyle name="Comma 2 2 2 2 4 3 5 2" xfId="35124"/>
    <cellStyle name="Comma 2 2 2 2 4 3 6" xfId="20425"/>
    <cellStyle name="Comma 2 2 2 2 4 3 7" xfId="28701"/>
    <cellStyle name="Comma 2 2 2 2 4 3 8" xfId="41446"/>
    <cellStyle name="Comma 2 2 2 2 4 4" xfId="4438"/>
    <cellStyle name="Comma 2 2 2 2 4 4 2" xfId="10631"/>
    <cellStyle name="Comma 2 2 2 2 4 4 2 2" xfId="19430"/>
    <cellStyle name="Comma 2 2 2 2 4 4 2 2 2" xfId="40473"/>
    <cellStyle name="Comma 2 2 2 2 4 4 2 2 3" xfId="34050"/>
    <cellStyle name="Comma 2 2 2 2 4 4 2 3" xfId="21629"/>
    <cellStyle name="Comma 2 2 2 2 4 4 2 3 2" xfId="37266"/>
    <cellStyle name="Comma 2 2 2 2 4 4 2 4" xfId="30843"/>
    <cellStyle name="Comma 2 2 2 2 4 4 2 5" xfId="42608"/>
    <cellStyle name="Comma 2 2 2 2 4 4 3" xfId="7800"/>
    <cellStyle name="Comma 2 2 2 2 4 4 3 2" xfId="18260"/>
    <cellStyle name="Comma 2 2 2 2 4 4 3 2 2" xfId="39303"/>
    <cellStyle name="Comma 2 2 2 2 4 4 3 2 3" xfId="32880"/>
    <cellStyle name="Comma 2 2 2 2 4 4 3 3" xfId="22752"/>
    <cellStyle name="Comma 2 2 2 2 4 4 3 3 2" xfId="36096"/>
    <cellStyle name="Comma 2 2 2 2 4 4 3 4" xfId="29673"/>
    <cellStyle name="Comma 2 2 2 2 4 4 3 5" xfId="43581"/>
    <cellStyle name="Comma 2 2 2 2 4 4 4" xfId="6779"/>
    <cellStyle name="Comma 2 2 2 2 4 4 4 2" xfId="17282"/>
    <cellStyle name="Comma 2 2 2 2 4 4 4 2 2" xfId="38332"/>
    <cellStyle name="Comma 2 2 2 2 4 4 4 3" xfId="31909"/>
    <cellStyle name="Comma 2 2 2 2 4 4 5" xfId="16653"/>
    <cellStyle name="Comma 2 2 2 2 4 4 5 2" xfId="35125"/>
    <cellStyle name="Comma 2 2 2 2 4 4 6" xfId="20426"/>
    <cellStyle name="Comma 2 2 2 2 4 4 7" xfId="28702"/>
    <cellStyle name="Comma 2 2 2 2 4 4 8" xfId="41447"/>
    <cellStyle name="Comma 2 2 2 2 4 5" xfId="4978"/>
    <cellStyle name="Comma 2 2 2 2 4 5 2" xfId="10632"/>
    <cellStyle name="Comma 2 2 2 2 4 5 2 2" xfId="19431"/>
    <cellStyle name="Comma 2 2 2 2 4 5 2 2 2" xfId="40474"/>
    <cellStyle name="Comma 2 2 2 2 4 5 2 2 3" xfId="34051"/>
    <cellStyle name="Comma 2 2 2 2 4 5 2 3" xfId="21630"/>
    <cellStyle name="Comma 2 2 2 2 4 5 2 3 2" xfId="37267"/>
    <cellStyle name="Comma 2 2 2 2 4 5 2 4" xfId="30844"/>
    <cellStyle name="Comma 2 2 2 2 4 5 2 5" xfId="42609"/>
    <cellStyle name="Comma 2 2 2 2 4 5 3" xfId="7801"/>
    <cellStyle name="Comma 2 2 2 2 4 5 3 2" xfId="18261"/>
    <cellStyle name="Comma 2 2 2 2 4 5 3 2 2" xfId="39304"/>
    <cellStyle name="Comma 2 2 2 2 4 5 3 2 3" xfId="32881"/>
    <cellStyle name="Comma 2 2 2 2 4 5 3 3" xfId="22753"/>
    <cellStyle name="Comma 2 2 2 2 4 5 3 3 2" xfId="36097"/>
    <cellStyle name="Comma 2 2 2 2 4 5 3 4" xfId="29674"/>
    <cellStyle name="Comma 2 2 2 2 4 5 3 5" xfId="43582"/>
    <cellStyle name="Comma 2 2 2 2 4 5 4" xfId="6780"/>
    <cellStyle name="Comma 2 2 2 2 4 5 4 2" xfId="17283"/>
    <cellStyle name="Comma 2 2 2 2 4 5 4 2 2" xfId="38333"/>
    <cellStyle name="Comma 2 2 2 2 4 5 4 3" xfId="31910"/>
    <cellStyle name="Comma 2 2 2 2 4 5 5" xfId="16793"/>
    <cellStyle name="Comma 2 2 2 2 4 5 5 2" xfId="35126"/>
    <cellStyle name="Comma 2 2 2 2 4 5 6" xfId="20427"/>
    <cellStyle name="Comma 2 2 2 2 4 5 7" xfId="28703"/>
    <cellStyle name="Comma 2 2 2 2 4 5 8" xfId="41448"/>
    <cellStyle name="Comma 2 2 2 2 4 6" xfId="5703"/>
    <cellStyle name="Comma 2 2 2 2 4 6 2" xfId="10633"/>
    <cellStyle name="Comma 2 2 2 2 4 6 2 2" xfId="19432"/>
    <cellStyle name="Comma 2 2 2 2 4 6 2 2 2" xfId="40475"/>
    <cellStyle name="Comma 2 2 2 2 4 6 2 2 3" xfId="34052"/>
    <cellStyle name="Comma 2 2 2 2 4 6 2 3" xfId="21631"/>
    <cellStyle name="Comma 2 2 2 2 4 6 2 3 2" xfId="37268"/>
    <cellStyle name="Comma 2 2 2 2 4 6 2 4" xfId="30845"/>
    <cellStyle name="Comma 2 2 2 2 4 6 2 5" xfId="42610"/>
    <cellStyle name="Comma 2 2 2 2 4 6 3" xfId="7802"/>
    <cellStyle name="Comma 2 2 2 2 4 6 3 2" xfId="18262"/>
    <cellStyle name="Comma 2 2 2 2 4 6 3 2 2" xfId="39305"/>
    <cellStyle name="Comma 2 2 2 2 4 6 3 2 3" xfId="32882"/>
    <cellStyle name="Comma 2 2 2 2 4 6 3 3" xfId="22754"/>
    <cellStyle name="Comma 2 2 2 2 4 6 3 3 2" xfId="36098"/>
    <cellStyle name="Comma 2 2 2 2 4 6 3 4" xfId="29675"/>
    <cellStyle name="Comma 2 2 2 2 4 6 3 5" xfId="43583"/>
    <cellStyle name="Comma 2 2 2 2 4 6 4" xfId="6781"/>
    <cellStyle name="Comma 2 2 2 2 4 6 4 2" xfId="17284"/>
    <cellStyle name="Comma 2 2 2 2 4 6 4 2 2" xfId="38334"/>
    <cellStyle name="Comma 2 2 2 2 4 6 4 3" xfId="31911"/>
    <cellStyle name="Comma 2 2 2 2 4 6 5" xfId="16941"/>
    <cellStyle name="Comma 2 2 2 2 4 6 5 2" xfId="35127"/>
    <cellStyle name="Comma 2 2 2 2 4 6 6" xfId="20428"/>
    <cellStyle name="Comma 2 2 2 2 4 6 7" xfId="28704"/>
    <cellStyle name="Comma 2 2 2 2 4 6 8" xfId="41449"/>
    <cellStyle name="Comma 2 2 2 2 4 7" xfId="10249"/>
    <cellStyle name="Comma 2 2 2 2 4 7 2" xfId="19302"/>
    <cellStyle name="Comma 2 2 2 2 4 7 2 2" xfId="40345"/>
    <cellStyle name="Comma 2 2 2 2 4 7 2 3" xfId="33922"/>
    <cellStyle name="Comma 2 2 2 2 4 7 3" xfId="21502"/>
    <cellStyle name="Comma 2 2 2 2 4 7 3 2" xfId="37138"/>
    <cellStyle name="Comma 2 2 2 2 4 7 4" xfId="30715"/>
    <cellStyle name="Comma 2 2 2 2 4 7 5" xfId="42481"/>
    <cellStyle name="Comma 2 2 2 2 4 8" xfId="7797"/>
    <cellStyle name="Comma 2 2 2 2 4 8 2" xfId="18257"/>
    <cellStyle name="Comma 2 2 2 2 4 8 2 2" xfId="39300"/>
    <cellStyle name="Comma 2 2 2 2 4 8 2 3" xfId="32877"/>
    <cellStyle name="Comma 2 2 2 2 4 8 3" xfId="22749"/>
    <cellStyle name="Comma 2 2 2 2 4 8 3 2" xfId="36093"/>
    <cellStyle name="Comma 2 2 2 2 4 8 4" xfId="29670"/>
    <cellStyle name="Comma 2 2 2 2 4 8 5" xfId="43578"/>
    <cellStyle name="Comma 2 2 2 2 4 9" xfId="6648"/>
    <cellStyle name="Comma 2 2 2 2 4 9 2" xfId="17155"/>
    <cellStyle name="Comma 2 2 2 2 4 9 2 2" xfId="38208"/>
    <cellStyle name="Comma 2 2 2 2 4 9 3" xfId="31785"/>
    <cellStyle name="Comma 2 2 2 2 5" xfId="2084"/>
    <cellStyle name="Comma 2 2 2 2 5 10" xfId="20429"/>
    <cellStyle name="Comma 2 2 2 2 5 11" xfId="28705"/>
    <cellStyle name="Comma 2 2 2 2 5 12" xfId="41450"/>
    <cellStyle name="Comma 2 2 2 2 5 2" xfId="2954"/>
    <cellStyle name="Comma 2 2 2 2 5 2 2" xfId="10635"/>
    <cellStyle name="Comma 2 2 2 2 5 2 2 2" xfId="19434"/>
    <cellStyle name="Comma 2 2 2 2 5 2 2 2 2" xfId="40477"/>
    <cellStyle name="Comma 2 2 2 2 5 2 2 2 3" xfId="34054"/>
    <cellStyle name="Comma 2 2 2 2 5 2 2 3" xfId="21633"/>
    <cellStyle name="Comma 2 2 2 2 5 2 2 3 2" xfId="37270"/>
    <cellStyle name="Comma 2 2 2 2 5 2 2 4" xfId="30847"/>
    <cellStyle name="Comma 2 2 2 2 5 2 2 5" xfId="42612"/>
    <cellStyle name="Comma 2 2 2 2 5 2 3" xfId="7804"/>
    <cellStyle name="Comma 2 2 2 2 5 2 3 2" xfId="18264"/>
    <cellStyle name="Comma 2 2 2 2 5 2 3 2 2" xfId="39307"/>
    <cellStyle name="Comma 2 2 2 2 5 2 3 2 3" xfId="32884"/>
    <cellStyle name="Comma 2 2 2 2 5 2 3 3" xfId="22756"/>
    <cellStyle name="Comma 2 2 2 2 5 2 3 3 2" xfId="36100"/>
    <cellStyle name="Comma 2 2 2 2 5 2 3 4" xfId="29677"/>
    <cellStyle name="Comma 2 2 2 2 5 2 3 5" xfId="43585"/>
    <cellStyle name="Comma 2 2 2 2 5 2 4" xfId="6783"/>
    <cellStyle name="Comma 2 2 2 2 5 2 4 2" xfId="17286"/>
    <cellStyle name="Comma 2 2 2 2 5 2 4 2 2" xfId="38336"/>
    <cellStyle name="Comma 2 2 2 2 5 2 4 3" xfId="31913"/>
    <cellStyle name="Comma 2 2 2 2 5 2 5" xfId="16332"/>
    <cellStyle name="Comma 2 2 2 2 5 2 5 2" xfId="35129"/>
    <cellStyle name="Comma 2 2 2 2 5 2 6" xfId="20430"/>
    <cellStyle name="Comma 2 2 2 2 5 2 7" xfId="28706"/>
    <cellStyle name="Comma 2 2 2 2 5 2 8" xfId="41451"/>
    <cellStyle name="Comma 2 2 2 2 5 3" xfId="3824"/>
    <cellStyle name="Comma 2 2 2 2 5 3 2" xfId="10636"/>
    <cellStyle name="Comma 2 2 2 2 5 3 2 2" xfId="19435"/>
    <cellStyle name="Comma 2 2 2 2 5 3 2 2 2" xfId="40478"/>
    <cellStyle name="Comma 2 2 2 2 5 3 2 2 3" xfId="34055"/>
    <cellStyle name="Comma 2 2 2 2 5 3 2 3" xfId="21634"/>
    <cellStyle name="Comma 2 2 2 2 5 3 2 3 2" xfId="37271"/>
    <cellStyle name="Comma 2 2 2 2 5 3 2 4" xfId="30848"/>
    <cellStyle name="Comma 2 2 2 2 5 3 2 5" xfId="42613"/>
    <cellStyle name="Comma 2 2 2 2 5 3 3" xfId="7805"/>
    <cellStyle name="Comma 2 2 2 2 5 3 3 2" xfId="18265"/>
    <cellStyle name="Comma 2 2 2 2 5 3 3 2 2" xfId="39308"/>
    <cellStyle name="Comma 2 2 2 2 5 3 3 2 3" xfId="32885"/>
    <cellStyle name="Comma 2 2 2 2 5 3 3 3" xfId="22757"/>
    <cellStyle name="Comma 2 2 2 2 5 3 3 3 2" xfId="36101"/>
    <cellStyle name="Comma 2 2 2 2 5 3 3 4" xfId="29678"/>
    <cellStyle name="Comma 2 2 2 2 5 3 3 5" xfId="43586"/>
    <cellStyle name="Comma 2 2 2 2 5 3 4" xfId="6784"/>
    <cellStyle name="Comma 2 2 2 2 5 3 4 2" xfId="17287"/>
    <cellStyle name="Comma 2 2 2 2 5 3 4 2 2" xfId="38337"/>
    <cellStyle name="Comma 2 2 2 2 5 3 4 3" xfId="31914"/>
    <cellStyle name="Comma 2 2 2 2 5 3 5" xfId="16520"/>
    <cellStyle name="Comma 2 2 2 2 5 3 5 2" xfId="35130"/>
    <cellStyle name="Comma 2 2 2 2 5 3 6" xfId="20431"/>
    <cellStyle name="Comma 2 2 2 2 5 3 7" xfId="28707"/>
    <cellStyle name="Comma 2 2 2 2 5 3 8" xfId="41452"/>
    <cellStyle name="Comma 2 2 2 2 5 4" xfId="4702"/>
    <cellStyle name="Comma 2 2 2 2 5 4 2" xfId="10637"/>
    <cellStyle name="Comma 2 2 2 2 5 4 2 2" xfId="19436"/>
    <cellStyle name="Comma 2 2 2 2 5 4 2 2 2" xfId="40479"/>
    <cellStyle name="Comma 2 2 2 2 5 4 2 2 3" xfId="34056"/>
    <cellStyle name="Comma 2 2 2 2 5 4 2 3" xfId="21635"/>
    <cellStyle name="Comma 2 2 2 2 5 4 2 3 2" xfId="37272"/>
    <cellStyle name="Comma 2 2 2 2 5 4 2 4" xfId="30849"/>
    <cellStyle name="Comma 2 2 2 2 5 4 2 5" xfId="42614"/>
    <cellStyle name="Comma 2 2 2 2 5 4 3" xfId="7806"/>
    <cellStyle name="Comma 2 2 2 2 5 4 3 2" xfId="18266"/>
    <cellStyle name="Comma 2 2 2 2 5 4 3 2 2" xfId="39309"/>
    <cellStyle name="Comma 2 2 2 2 5 4 3 2 3" xfId="32886"/>
    <cellStyle name="Comma 2 2 2 2 5 4 3 3" xfId="22758"/>
    <cellStyle name="Comma 2 2 2 2 5 4 3 3 2" xfId="36102"/>
    <cellStyle name="Comma 2 2 2 2 5 4 3 4" xfId="29679"/>
    <cellStyle name="Comma 2 2 2 2 5 4 3 5" xfId="43587"/>
    <cellStyle name="Comma 2 2 2 2 5 4 4" xfId="6785"/>
    <cellStyle name="Comma 2 2 2 2 5 4 4 2" xfId="17288"/>
    <cellStyle name="Comma 2 2 2 2 5 4 4 2 2" xfId="38338"/>
    <cellStyle name="Comma 2 2 2 2 5 4 4 3" xfId="31915"/>
    <cellStyle name="Comma 2 2 2 2 5 4 5" xfId="16708"/>
    <cellStyle name="Comma 2 2 2 2 5 4 5 2" xfId="35131"/>
    <cellStyle name="Comma 2 2 2 2 5 4 6" xfId="20432"/>
    <cellStyle name="Comma 2 2 2 2 5 4 7" xfId="28708"/>
    <cellStyle name="Comma 2 2 2 2 5 4 8" xfId="41453"/>
    <cellStyle name="Comma 2 2 2 2 5 5" xfId="5967"/>
    <cellStyle name="Comma 2 2 2 2 5 5 2" xfId="10638"/>
    <cellStyle name="Comma 2 2 2 2 5 5 2 2" xfId="19437"/>
    <cellStyle name="Comma 2 2 2 2 5 5 2 2 2" xfId="40480"/>
    <cellStyle name="Comma 2 2 2 2 5 5 2 2 3" xfId="34057"/>
    <cellStyle name="Comma 2 2 2 2 5 5 2 3" xfId="21636"/>
    <cellStyle name="Comma 2 2 2 2 5 5 2 3 2" xfId="37273"/>
    <cellStyle name="Comma 2 2 2 2 5 5 2 4" xfId="30850"/>
    <cellStyle name="Comma 2 2 2 2 5 5 2 5" xfId="42615"/>
    <cellStyle name="Comma 2 2 2 2 5 5 3" xfId="7807"/>
    <cellStyle name="Comma 2 2 2 2 5 5 3 2" xfId="18267"/>
    <cellStyle name="Comma 2 2 2 2 5 5 3 2 2" xfId="39310"/>
    <cellStyle name="Comma 2 2 2 2 5 5 3 2 3" xfId="32887"/>
    <cellStyle name="Comma 2 2 2 2 5 5 3 3" xfId="22759"/>
    <cellStyle name="Comma 2 2 2 2 5 5 3 3 2" xfId="36103"/>
    <cellStyle name="Comma 2 2 2 2 5 5 3 4" xfId="29680"/>
    <cellStyle name="Comma 2 2 2 2 5 5 3 5" xfId="43588"/>
    <cellStyle name="Comma 2 2 2 2 5 5 4" xfId="6786"/>
    <cellStyle name="Comma 2 2 2 2 5 5 4 2" xfId="17289"/>
    <cellStyle name="Comma 2 2 2 2 5 5 4 2 2" xfId="38339"/>
    <cellStyle name="Comma 2 2 2 2 5 5 4 3" xfId="31916"/>
    <cellStyle name="Comma 2 2 2 2 5 5 5" xfId="16996"/>
    <cellStyle name="Comma 2 2 2 2 5 5 5 2" xfId="35132"/>
    <cellStyle name="Comma 2 2 2 2 5 5 6" xfId="20433"/>
    <cellStyle name="Comma 2 2 2 2 5 5 7" xfId="28709"/>
    <cellStyle name="Comma 2 2 2 2 5 5 8" xfId="41454"/>
    <cellStyle name="Comma 2 2 2 2 5 6" xfId="10634"/>
    <cellStyle name="Comma 2 2 2 2 5 6 2" xfId="19433"/>
    <cellStyle name="Comma 2 2 2 2 5 6 2 2" xfId="40476"/>
    <cellStyle name="Comma 2 2 2 2 5 6 2 3" xfId="34053"/>
    <cellStyle name="Comma 2 2 2 2 5 6 3" xfId="21632"/>
    <cellStyle name="Comma 2 2 2 2 5 6 3 2" xfId="37269"/>
    <cellStyle name="Comma 2 2 2 2 5 6 4" xfId="30846"/>
    <cellStyle name="Comma 2 2 2 2 5 6 5" xfId="42611"/>
    <cellStyle name="Comma 2 2 2 2 5 7" xfId="7803"/>
    <cellStyle name="Comma 2 2 2 2 5 7 2" xfId="18263"/>
    <cellStyle name="Comma 2 2 2 2 5 7 2 2" xfId="39306"/>
    <cellStyle name="Comma 2 2 2 2 5 7 2 3" xfId="32883"/>
    <cellStyle name="Comma 2 2 2 2 5 7 3" xfId="22755"/>
    <cellStyle name="Comma 2 2 2 2 5 7 3 2" xfId="36099"/>
    <cellStyle name="Comma 2 2 2 2 5 7 4" xfId="29676"/>
    <cellStyle name="Comma 2 2 2 2 5 7 5" xfId="43584"/>
    <cellStyle name="Comma 2 2 2 2 5 8" xfId="6782"/>
    <cellStyle name="Comma 2 2 2 2 5 8 2" xfId="17285"/>
    <cellStyle name="Comma 2 2 2 2 5 8 2 2" xfId="38335"/>
    <cellStyle name="Comma 2 2 2 2 5 8 3" xfId="31912"/>
    <cellStyle name="Comma 2 2 2 2 5 9" xfId="16143"/>
    <cellStyle name="Comma 2 2 2 2 5 9 2" xfId="35128"/>
    <cellStyle name="Comma 2 2 2 2 6" xfId="2308"/>
    <cellStyle name="Comma 2 2 2 2 6 10" xfId="20434"/>
    <cellStyle name="Comma 2 2 2 2 6 11" xfId="28710"/>
    <cellStyle name="Comma 2 2 2 2 6 12" xfId="41455"/>
    <cellStyle name="Comma 2 2 2 2 6 2" xfId="3167"/>
    <cellStyle name="Comma 2 2 2 2 6 2 2" xfId="10640"/>
    <cellStyle name="Comma 2 2 2 2 6 2 2 2" xfId="19439"/>
    <cellStyle name="Comma 2 2 2 2 6 2 2 2 2" xfId="40482"/>
    <cellStyle name="Comma 2 2 2 2 6 2 2 2 3" xfId="34059"/>
    <cellStyle name="Comma 2 2 2 2 6 2 2 3" xfId="21638"/>
    <cellStyle name="Comma 2 2 2 2 6 2 2 3 2" xfId="37275"/>
    <cellStyle name="Comma 2 2 2 2 6 2 2 4" xfId="30852"/>
    <cellStyle name="Comma 2 2 2 2 6 2 2 5" xfId="42617"/>
    <cellStyle name="Comma 2 2 2 2 6 2 3" xfId="7809"/>
    <cellStyle name="Comma 2 2 2 2 6 2 3 2" xfId="18269"/>
    <cellStyle name="Comma 2 2 2 2 6 2 3 2 2" xfId="39312"/>
    <cellStyle name="Comma 2 2 2 2 6 2 3 2 3" xfId="32889"/>
    <cellStyle name="Comma 2 2 2 2 6 2 3 3" xfId="22761"/>
    <cellStyle name="Comma 2 2 2 2 6 2 3 3 2" xfId="36105"/>
    <cellStyle name="Comma 2 2 2 2 6 2 3 4" xfId="29682"/>
    <cellStyle name="Comma 2 2 2 2 6 2 3 5" xfId="43590"/>
    <cellStyle name="Comma 2 2 2 2 6 2 4" xfId="6788"/>
    <cellStyle name="Comma 2 2 2 2 6 2 4 2" xfId="17291"/>
    <cellStyle name="Comma 2 2 2 2 6 2 4 2 2" xfId="38341"/>
    <cellStyle name="Comma 2 2 2 2 6 2 4 3" xfId="31918"/>
    <cellStyle name="Comma 2 2 2 2 6 2 5" xfId="16392"/>
    <cellStyle name="Comma 2 2 2 2 6 2 5 2" xfId="35134"/>
    <cellStyle name="Comma 2 2 2 2 6 2 6" xfId="20435"/>
    <cellStyle name="Comma 2 2 2 2 6 2 7" xfId="28711"/>
    <cellStyle name="Comma 2 2 2 2 6 2 8" xfId="41456"/>
    <cellStyle name="Comma 2 2 2 2 6 3" xfId="4033"/>
    <cellStyle name="Comma 2 2 2 2 6 3 2" xfId="10641"/>
    <cellStyle name="Comma 2 2 2 2 6 3 2 2" xfId="19440"/>
    <cellStyle name="Comma 2 2 2 2 6 3 2 2 2" xfId="40483"/>
    <cellStyle name="Comma 2 2 2 2 6 3 2 2 3" xfId="34060"/>
    <cellStyle name="Comma 2 2 2 2 6 3 2 3" xfId="21639"/>
    <cellStyle name="Comma 2 2 2 2 6 3 2 3 2" xfId="37276"/>
    <cellStyle name="Comma 2 2 2 2 6 3 2 4" xfId="30853"/>
    <cellStyle name="Comma 2 2 2 2 6 3 2 5" xfId="42618"/>
    <cellStyle name="Comma 2 2 2 2 6 3 3" xfId="7810"/>
    <cellStyle name="Comma 2 2 2 2 6 3 3 2" xfId="18270"/>
    <cellStyle name="Comma 2 2 2 2 6 3 3 2 2" xfId="39313"/>
    <cellStyle name="Comma 2 2 2 2 6 3 3 2 3" xfId="32890"/>
    <cellStyle name="Comma 2 2 2 2 6 3 3 3" xfId="22762"/>
    <cellStyle name="Comma 2 2 2 2 6 3 3 3 2" xfId="36106"/>
    <cellStyle name="Comma 2 2 2 2 6 3 3 4" xfId="29683"/>
    <cellStyle name="Comma 2 2 2 2 6 3 3 5" xfId="43591"/>
    <cellStyle name="Comma 2 2 2 2 6 3 4" xfId="6789"/>
    <cellStyle name="Comma 2 2 2 2 6 3 4 2" xfId="17292"/>
    <cellStyle name="Comma 2 2 2 2 6 3 4 2 2" xfId="38342"/>
    <cellStyle name="Comma 2 2 2 2 6 3 4 3" xfId="31919"/>
    <cellStyle name="Comma 2 2 2 2 6 3 5" xfId="16580"/>
    <cellStyle name="Comma 2 2 2 2 6 3 5 2" xfId="35135"/>
    <cellStyle name="Comma 2 2 2 2 6 3 6" xfId="20436"/>
    <cellStyle name="Comma 2 2 2 2 6 3 7" xfId="28712"/>
    <cellStyle name="Comma 2 2 2 2 6 3 8" xfId="41457"/>
    <cellStyle name="Comma 2 2 2 2 6 4" xfId="4912"/>
    <cellStyle name="Comma 2 2 2 2 6 4 2" xfId="10642"/>
    <cellStyle name="Comma 2 2 2 2 6 4 2 2" xfId="19441"/>
    <cellStyle name="Comma 2 2 2 2 6 4 2 2 2" xfId="40484"/>
    <cellStyle name="Comma 2 2 2 2 6 4 2 2 3" xfId="34061"/>
    <cellStyle name="Comma 2 2 2 2 6 4 2 3" xfId="21640"/>
    <cellStyle name="Comma 2 2 2 2 6 4 2 3 2" xfId="37277"/>
    <cellStyle name="Comma 2 2 2 2 6 4 2 4" xfId="30854"/>
    <cellStyle name="Comma 2 2 2 2 6 4 2 5" xfId="42619"/>
    <cellStyle name="Comma 2 2 2 2 6 4 3" xfId="7811"/>
    <cellStyle name="Comma 2 2 2 2 6 4 3 2" xfId="18271"/>
    <cellStyle name="Comma 2 2 2 2 6 4 3 2 2" xfId="39314"/>
    <cellStyle name="Comma 2 2 2 2 6 4 3 2 3" xfId="32891"/>
    <cellStyle name="Comma 2 2 2 2 6 4 3 3" xfId="22763"/>
    <cellStyle name="Comma 2 2 2 2 6 4 3 3 2" xfId="36107"/>
    <cellStyle name="Comma 2 2 2 2 6 4 3 4" xfId="29684"/>
    <cellStyle name="Comma 2 2 2 2 6 4 3 5" xfId="43592"/>
    <cellStyle name="Comma 2 2 2 2 6 4 4" xfId="6790"/>
    <cellStyle name="Comma 2 2 2 2 6 4 4 2" xfId="17293"/>
    <cellStyle name="Comma 2 2 2 2 6 4 4 2 2" xfId="38343"/>
    <cellStyle name="Comma 2 2 2 2 6 4 4 3" xfId="31920"/>
    <cellStyle name="Comma 2 2 2 2 6 4 5" xfId="16768"/>
    <cellStyle name="Comma 2 2 2 2 6 4 5 2" xfId="35136"/>
    <cellStyle name="Comma 2 2 2 2 6 4 6" xfId="20437"/>
    <cellStyle name="Comma 2 2 2 2 6 4 7" xfId="28713"/>
    <cellStyle name="Comma 2 2 2 2 6 4 8" xfId="41458"/>
    <cellStyle name="Comma 2 2 2 2 6 5" xfId="6177"/>
    <cellStyle name="Comma 2 2 2 2 6 5 2" xfId="10643"/>
    <cellStyle name="Comma 2 2 2 2 6 5 2 2" xfId="19442"/>
    <cellStyle name="Comma 2 2 2 2 6 5 2 2 2" xfId="40485"/>
    <cellStyle name="Comma 2 2 2 2 6 5 2 2 3" xfId="34062"/>
    <cellStyle name="Comma 2 2 2 2 6 5 2 3" xfId="21641"/>
    <cellStyle name="Comma 2 2 2 2 6 5 2 3 2" xfId="37278"/>
    <cellStyle name="Comma 2 2 2 2 6 5 2 4" xfId="30855"/>
    <cellStyle name="Comma 2 2 2 2 6 5 2 5" xfId="42620"/>
    <cellStyle name="Comma 2 2 2 2 6 5 3" xfId="7812"/>
    <cellStyle name="Comma 2 2 2 2 6 5 3 2" xfId="18272"/>
    <cellStyle name="Comma 2 2 2 2 6 5 3 2 2" xfId="39315"/>
    <cellStyle name="Comma 2 2 2 2 6 5 3 2 3" xfId="32892"/>
    <cellStyle name="Comma 2 2 2 2 6 5 3 3" xfId="22764"/>
    <cellStyle name="Comma 2 2 2 2 6 5 3 3 2" xfId="36108"/>
    <cellStyle name="Comma 2 2 2 2 6 5 3 4" xfId="29685"/>
    <cellStyle name="Comma 2 2 2 2 6 5 3 5" xfId="43593"/>
    <cellStyle name="Comma 2 2 2 2 6 5 4" xfId="6791"/>
    <cellStyle name="Comma 2 2 2 2 6 5 4 2" xfId="17294"/>
    <cellStyle name="Comma 2 2 2 2 6 5 4 2 2" xfId="38344"/>
    <cellStyle name="Comma 2 2 2 2 6 5 4 3" xfId="31921"/>
    <cellStyle name="Comma 2 2 2 2 6 5 5" xfId="17056"/>
    <cellStyle name="Comma 2 2 2 2 6 5 5 2" xfId="35137"/>
    <cellStyle name="Comma 2 2 2 2 6 5 6" xfId="20438"/>
    <cellStyle name="Comma 2 2 2 2 6 5 7" xfId="28714"/>
    <cellStyle name="Comma 2 2 2 2 6 5 8" xfId="41459"/>
    <cellStyle name="Comma 2 2 2 2 6 6" xfId="10639"/>
    <cellStyle name="Comma 2 2 2 2 6 6 2" xfId="19438"/>
    <cellStyle name="Comma 2 2 2 2 6 6 2 2" xfId="40481"/>
    <cellStyle name="Comma 2 2 2 2 6 6 2 3" xfId="34058"/>
    <cellStyle name="Comma 2 2 2 2 6 6 3" xfId="21637"/>
    <cellStyle name="Comma 2 2 2 2 6 6 3 2" xfId="37274"/>
    <cellStyle name="Comma 2 2 2 2 6 6 4" xfId="30851"/>
    <cellStyle name="Comma 2 2 2 2 6 6 5" xfId="42616"/>
    <cellStyle name="Comma 2 2 2 2 6 7" xfId="7808"/>
    <cellStyle name="Comma 2 2 2 2 6 7 2" xfId="18268"/>
    <cellStyle name="Comma 2 2 2 2 6 7 2 2" xfId="39311"/>
    <cellStyle name="Comma 2 2 2 2 6 7 2 3" xfId="32888"/>
    <cellStyle name="Comma 2 2 2 2 6 7 3" xfId="22760"/>
    <cellStyle name="Comma 2 2 2 2 6 7 3 2" xfId="36104"/>
    <cellStyle name="Comma 2 2 2 2 6 7 4" xfId="29681"/>
    <cellStyle name="Comma 2 2 2 2 6 7 5" xfId="43589"/>
    <cellStyle name="Comma 2 2 2 2 6 8" xfId="6787"/>
    <cellStyle name="Comma 2 2 2 2 6 8 2" xfId="17290"/>
    <cellStyle name="Comma 2 2 2 2 6 8 2 2" xfId="38340"/>
    <cellStyle name="Comma 2 2 2 2 6 8 3" xfId="31917"/>
    <cellStyle name="Comma 2 2 2 2 6 9" xfId="16204"/>
    <cellStyle name="Comma 2 2 2 2 6 9 2" xfId="35133"/>
    <cellStyle name="Comma 2 2 2 2 7" xfId="2449"/>
    <cellStyle name="Comma 2 2 2 2 7 2" xfId="10644"/>
    <cellStyle name="Comma 2 2 2 2 7 2 2" xfId="19443"/>
    <cellStyle name="Comma 2 2 2 2 7 2 2 2" xfId="40486"/>
    <cellStyle name="Comma 2 2 2 2 7 2 2 3" xfId="34063"/>
    <cellStyle name="Comma 2 2 2 2 7 2 3" xfId="21642"/>
    <cellStyle name="Comma 2 2 2 2 7 2 3 2" xfId="37279"/>
    <cellStyle name="Comma 2 2 2 2 7 2 4" xfId="30856"/>
    <cellStyle name="Comma 2 2 2 2 7 2 5" xfId="42621"/>
    <cellStyle name="Comma 2 2 2 2 7 3" xfId="7813"/>
    <cellStyle name="Comma 2 2 2 2 7 3 2" xfId="18273"/>
    <cellStyle name="Comma 2 2 2 2 7 3 2 2" xfId="39316"/>
    <cellStyle name="Comma 2 2 2 2 7 3 2 3" xfId="32893"/>
    <cellStyle name="Comma 2 2 2 2 7 3 3" xfId="22765"/>
    <cellStyle name="Comma 2 2 2 2 7 3 3 2" xfId="36109"/>
    <cellStyle name="Comma 2 2 2 2 7 3 4" xfId="29686"/>
    <cellStyle name="Comma 2 2 2 2 7 3 5" xfId="43594"/>
    <cellStyle name="Comma 2 2 2 2 7 4" xfId="6792"/>
    <cellStyle name="Comma 2 2 2 2 7 4 2" xfId="17295"/>
    <cellStyle name="Comma 2 2 2 2 7 4 2 2" xfId="38345"/>
    <cellStyle name="Comma 2 2 2 2 7 4 3" xfId="31922"/>
    <cellStyle name="Comma 2 2 2 2 7 5" xfId="16224"/>
    <cellStyle name="Comma 2 2 2 2 7 5 2" xfId="35138"/>
    <cellStyle name="Comma 2 2 2 2 7 6" xfId="20439"/>
    <cellStyle name="Comma 2 2 2 2 7 7" xfId="28715"/>
    <cellStyle name="Comma 2 2 2 2 7 8" xfId="41460"/>
    <cellStyle name="Comma 2 2 2 2 8" xfId="3312"/>
    <cellStyle name="Comma 2 2 2 2 8 2" xfId="10645"/>
    <cellStyle name="Comma 2 2 2 2 8 2 2" xfId="19444"/>
    <cellStyle name="Comma 2 2 2 2 8 2 2 2" xfId="40487"/>
    <cellStyle name="Comma 2 2 2 2 8 2 2 3" xfId="34064"/>
    <cellStyle name="Comma 2 2 2 2 8 2 3" xfId="21643"/>
    <cellStyle name="Comma 2 2 2 2 8 2 3 2" xfId="37280"/>
    <cellStyle name="Comma 2 2 2 2 8 2 4" xfId="30857"/>
    <cellStyle name="Comma 2 2 2 2 8 2 5" xfId="42622"/>
    <cellStyle name="Comma 2 2 2 2 8 3" xfId="7814"/>
    <cellStyle name="Comma 2 2 2 2 8 3 2" xfId="18274"/>
    <cellStyle name="Comma 2 2 2 2 8 3 2 2" xfId="39317"/>
    <cellStyle name="Comma 2 2 2 2 8 3 2 3" xfId="32894"/>
    <cellStyle name="Comma 2 2 2 2 8 3 3" xfId="22766"/>
    <cellStyle name="Comma 2 2 2 2 8 3 3 2" xfId="36110"/>
    <cellStyle name="Comma 2 2 2 2 8 3 4" xfId="29687"/>
    <cellStyle name="Comma 2 2 2 2 8 3 5" xfId="43595"/>
    <cellStyle name="Comma 2 2 2 2 8 4" xfId="6793"/>
    <cellStyle name="Comma 2 2 2 2 8 4 2" xfId="17296"/>
    <cellStyle name="Comma 2 2 2 2 8 4 2 2" xfId="38346"/>
    <cellStyle name="Comma 2 2 2 2 8 4 3" xfId="31923"/>
    <cellStyle name="Comma 2 2 2 2 8 5" xfId="16412"/>
    <cellStyle name="Comma 2 2 2 2 8 5 2" xfId="35139"/>
    <cellStyle name="Comma 2 2 2 2 8 6" xfId="20440"/>
    <cellStyle name="Comma 2 2 2 2 8 7" xfId="28716"/>
    <cellStyle name="Comma 2 2 2 2 8 8" xfId="41461"/>
    <cellStyle name="Comma 2 2 2 2 9" xfId="4180"/>
    <cellStyle name="Comma 2 2 2 2 9 2" xfId="10646"/>
    <cellStyle name="Comma 2 2 2 2 9 2 2" xfId="19445"/>
    <cellStyle name="Comma 2 2 2 2 9 2 2 2" xfId="40488"/>
    <cellStyle name="Comma 2 2 2 2 9 2 2 3" xfId="34065"/>
    <cellStyle name="Comma 2 2 2 2 9 2 3" xfId="21644"/>
    <cellStyle name="Comma 2 2 2 2 9 2 3 2" xfId="37281"/>
    <cellStyle name="Comma 2 2 2 2 9 2 4" xfId="30858"/>
    <cellStyle name="Comma 2 2 2 2 9 2 5" xfId="42623"/>
    <cellStyle name="Comma 2 2 2 2 9 3" xfId="7815"/>
    <cellStyle name="Comma 2 2 2 2 9 3 2" xfId="18275"/>
    <cellStyle name="Comma 2 2 2 2 9 3 2 2" xfId="39318"/>
    <cellStyle name="Comma 2 2 2 2 9 3 2 3" xfId="32895"/>
    <cellStyle name="Comma 2 2 2 2 9 3 3" xfId="22767"/>
    <cellStyle name="Comma 2 2 2 2 9 3 3 2" xfId="36111"/>
    <cellStyle name="Comma 2 2 2 2 9 3 4" xfId="29688"/>
    <cellStyle name="Comma 2 2 2 2 9 3 5" xfId="43596"/>
    <cellStyle name="Comma 2 2 2 2 9 4" xfId="6794"/>
    <cellStyle name="Comma 2 2 2 2 9 4 2" xfId="17297"/>
    <cellStyle name="Comma 2 2 2 2 9 4 2 2" xfId="38347"/>
    <cellStyle name="Comma 2 2 2 2 9 4 3" xfId="31924"/>
    <cellStyle name="Comma 2 2 2 2 9 5" xfId="16600"/>
    <cellStyle name="Comma 2 2 2 2 9 5 2" xfId="35140"/>
    <cellStyle name="Comma 2 2 2 2 9 6" xfId="20441"/>
    <cellStyle name="Comma 2 2 2 2 9 7" xfId="28717"/>
    <cellStyle name="Comma 2 2 2 2 9 8" xfId="41462"/>
    <cellStyle name="Comma 2 2 2 3" xfId="1459"/>
    <cellStyle name="Comma 2 2 2 3 10" xfId="5446"/>
    <cellStyle name="Comma 2 2 2 3 10 2" xfId="10647"/>
    <cellStyle name="Comma 2 2 2 3 10 2 2" xfId="19446"/>
    <cellStyle name="Comma 2 2 2 3 10 2 2 2" xfId="40489"/>
    <cellStyle name="Comma 2 2 2 3 10 2 2 3" xfId="34066"/>
    <cellStyle name="Comma 2 2 2 3 10 2 3" xfId="21645"/>
    <cellStyle name="Comma 2 2 2 3 10 2 3 2" xfId="37282"/>
    <cellStyle name="Comma 2 2 2 3 10 2 4" xfId="30859"/>
    <cellStyle name="Comma 2 2 2 3 10 2 5" xfId="42624"/>
    <cellStyle name="Comma 2 2 2 3 10 3" xfId="7817"/>
    <cellStyle name="Comma 2 2 2 3 10 3 2" xfId="18277"/>
    <cellStyle name="Comma 2 2 2 3 10 3 2 2" xfId="39320"/>
    <cellStyle name="Comma 2 2 2 3 10 3 2 3" xfId="32897"/>
    <cellStyle name="Comma 2 2 2 3 10 3 3" xfId="22769"/>
    <cellStyle name="Comma 2 2 2 3 10 3 3 2" xfId="36113"/>
    <cellStyle name="Comma 2 2 2 3 10 3 4" xfId="29690"/>
    <cellStyle name="Comma 2 2 2 3 10 3 5" xfId="43598"/>
    <cellStyle name="Comma 2 2 2 3 10 4" xfId="6795"/>
    <cellStyle name="Comma 2 2 2 3 10 4 2" xfId="17298"/>
    <cellStyle name="Comma 2 2 2 3 10 4 2 2" xfId="38348"/>
    <cellStyle name="Comma 2 2 2 3 10 4 3" xfId="31925"/>
    <cellStyle name="Comma 2 2 2 3 10 5" xfId="16892"/>
    <cellStyle name="Comma 2 2 2 3 10 5 2" xfId="35141"/>
    <cellStyle name="Comma 2 2 2 3 10 6" xfId="20443"/>
    <cellStyle name="Comma 2 2 2 3 10 7" xfId="28718"/>
    <cellStyle name="Comma 2 2 2 3 10 8" xfId="41464"/>
    <cellStyle name="Comma 2 2 2 3 11" xfId="10246"/>
    <cellStyle name="Comma 2 2 2 3 11 2" xfId="19299"/>
    <cellStyle name="Comma 2 2 2 3 11 2 2" xfId="40342"/>
    <cellStyle name="Comma 2 2 2 3 11 2 3" xfId="33919"/>
    <cellStyle name="Comma 2 2 2 3 11 3" xfId="21499"/>
    <cellStyle name="Comma 2 2 2 3 11 3 2" xfId="37135"/>
    <cellStyle name="Comma 2 2 2 3 11 4" xfId="30712"/>
    <cellStyle name="Comma 2 2 2 3 11 5" xfId="42478"/>
    <cellStyle name="Comma 2 2 2 3 12" xfId="7816"/>
    <cellStyle name="Comma 2 2 2 3 12 2" xfId="18276"/>
    <cellStyle name="Comma 2 2 2 3 12 2 2" xfId="39319"/>
    <cellStyle name="Comma 2 2 2 3 12 2 3" xfId="32896"/>
    <cellStyle name="Comma 2 2 2 3 12 3" xfId="22768"/>
    <cellStyle name="Comma 2 2 2 3 12 3 2" xfId="36112"/>
    <cellStyle name="Comma 2 2 2 3 12 4" xfId="29689"/>
    <cellStyle name="Comma 2 2 2 3 12 5" xfId="43597"/>
    <cellStyle name="Comma 2 2 2 3 13" xfId="6645"/>
    <cellStyle name="Comma 2 2 2 3 13 2" xfId="17152"/>
    <cellStyle name="Comma 2 2 2 3 13 2 2" xfId="38205"/>
    <cellStyle name="Comma 2 2 2 3 13 3" xfId="31782"/>
    <cellStyle name="Comma 2 2 2 3 14" xfId="16029"/>
    <cellStyle name="Comma 2 2 2 3 14 2" xfId="34998"/>
    <cellStyle name="Comma 2 2 2 3 15" xfId="20442"/>
    <cellStyle name="Comma 2 2 2 3 16" xfId="28573"/>
    <cellStyle name="Comma 2 2 2 3 17" xfId="41463"/>
    <cellStyle name="Comma 2 2 2 3 2" xfId="1460"/>
    <cellStyle name="Comma 2 2 2 3 2 10" xfId="7818"/>
    <cellStyle name="Comma 2 2 2 3 2 10 2" xfId="18278"/>
    <cellStyle name="Comma 2 2 2 3 2 10 2 2" xfId="39321"/>
    <cellStyle name="Comma 2 2 2 3 2 10 2 3" xfId="32898"/>
    <cellStyle name="Comma 2 2 2 3 2 10 3" xfId="22770"/>
    <cellStyle name="Comma 2 2 2 3 2 10 3 2" xfId="36114"/>
    <cellStyle name="Comma 2 2 2 3 2 10 4" xfId="29691"/>
    <cellStyle name="Comma 2 2 2 3 2 10 5" xfId="43599"/>
    <cellStyle name="Comma 2 2 2 3 2 11" xfId="6640"/>
    <cellStyle name="Comma 2 2 2 3 2 11 2" xfId="17147"/>
    <cellStyle name="Comma 2 2 2 3 2 11 2 2" xfId="38200"/>
    <cellStyle name="Comma 2 2 2 3 2 11 3" xfId="31777"/>
    <cellStyle name="Comma 2 2 2 3 2 12" xfId="16030"/>
    <cellStyle name="Comma 2 2 2 3 2 12 2" xfId="34993"/>
    <cellStyle name="Comma 2 2 2 3 2 13" xfId="20444"/>
    <cellStyle name="Comma 2 2 2 3 2 14" xfId="28568"/>
    <cellStyle name="Comma 2 2 2 3 2 15" xfId="41465"/>
    <cellStyle name="Comma 2 2 2 3 2 2" xfId="1814"/>
    <cellStyle name="Comma 2 2 2 3 2 2 10" xfId="16092"/>
    <cellStyle name="Comma 2 2 2 3 2 2 10 2" xfId="34962"/>
    <cellStyle name="Comma 2 2 2 3 2 2 11" xfId="20445"/>
    <cellStyle name="Comma 2 2 2 3 2 2 12" xfId="28537"/>
    <cellStyle name="Comma 2 2 2 3 2 2 13" xfId="41466"/>
    <cellStyle name="Comma 2 2 2 3 2 2 2" xfId="2704"/>
    <cellStyle name="Comma 2 2 2 3 2 2 2 2" xfId="10648"/>
    <cellStyle name="Comma 2 2 2 3 2 2 2 2 2" xfId="19447"/>
    <cellStyle name="Comma 2 2 2 3 2 2 2 2 2 2" xfId="40490"/>
    <cellStyle name="Comma 2 2 2 3 2 2 2 2 2 3" xfId="34067"/>
    <cellStyle name="Comma 2 2 2 3 2 2 2 2 3" xfId="21646"/>
    <cellStyle name="Comma 2 2 2 3 2 2 2 2 3 2" xfId="37283"/>
    <cellStyle name="Comma 2 2 2 3 2 2 2 2 4" xfId="30860"/>
    <cellStyle name="Comma 2 2 2 3 2 2 2 2 5" xfId="42625"/>
    <cellStyle name="Comma 2 2 2 3 2 2 2 3" xfId="7820"/>
    <cellStyle name="Comma 2 2 2 3 2 2 2 3 2" xfId="18280"/>
    <cellStyle name="Comma 2 2 2 3 2 2 2 3 2 2" xfId="39323"/>
    <cellStyle name="Comma 2 2 2 3 2 2 2 3 2 3" xfId="32900"/>
    <cellStyle name="Comma 2 2 2 3 2 2 2 3 3" xfId="22772"/>
    <cellStyle name="Comma 2 2 2 3 2 2 2 3 3 2" xfId="36116"/>
    <cellStyle name="Comma 2 2 2 3 2 2 2 3 4" xfId="29693"/>
    <cellStyle name="Comma 2 2 2 3 2 2 2 3 5" xfId="43601"/>
    <cellStyle name="Comma 2 2 2 3 2 2 2 4" xfId="6796"/>
    <cellStyle name="Comma 2 2 2 3 2 2 2 4 2" xfId="17299"/>
    <cellStyle name="Comma 2 2 2 3 2 2 2 4 2 2" xfId="38349"/>
    <cellStyle name="Comma 2 2 2 3 2 2 2 4 3" xfId="31926"/>
    <cellStyle name="Comma 2 2 2 3 2 2 2 5" xfId="16282"/>
    <cellStyle name="Comma 2 2 2 3 2 2 2 5 2" xfId="35142"/>
    <cellStyle name="Comma 2 2 2 3 2 2 2 6" xfId="20446"/>
    <cellStyle name="Comma 2 2 2 3 2 2 2 7" xfId="28719"/>
    <cellStyle name="Comma 2 2 2 3 2 2 2 8" xfId="41467"/>
    <cellStyle name="Comma 2 2 2 3 2 2 3" xfId="3568"/>
    <cellStyle name="Comma 2 2 2 3 2 2 3 2" xfId="10649"/>
    <cellStyle name="Comma 2 2 2 3 2 2 3 2 2" xfId="19448"/>
    <cellStyle name="Comma 2 2 2 3 2 2 3 2 2 2" xfId="40491"/>
    <cellStyle name="Comma 2 2 2 3 2 2 3 2 2 3" xfId="34068"/>
    <cellStyle name="Comma 2 2 2 3 2 2 3 2 3" xfId="21647"/>
    <cellStyle name="Comma 2 2 2 3 2 2 3 2 3 2" xfId="37284"/>
    <cellStyle name="Comma 2 2 2 3 2 2 3 2 4" xfId="30861"/>
    <cellStyle name="Comma 2 2 2 3 2 2 3 2 5" xfId="42626"/>
    <cellStyle name="Comma 2 2 2 3 2 2 3 3" xfId="7821"/>
    <cellStyle name="Comma 2 2 2 3 2 2 3 3 2" xfId="18281"/>
    <cellStyle name="Comma 2 2 2 3 2 2 3 3 2 2" xfId="39324"/>
    <cellStyle name="Comma 2 2 2 3 2 2 3 3 2 3" xfId="32901"/>
    <cellStyle name="Comma 2 2 2 3 2 2 3 3 3" xfId="22773"/>
    <cellStyle name="Comma 2 2 2 3 2 2 3 3 3 2" xfId="36117"/>
    <cellStyle name="Comma 2 2 2 3 2 2 3 3 4" xfId="29694"/>
    <cellStyle name="Comma 2 2 2 3 2 2 3 3 5" xfId="43602"/>
    <cellStyle name="Comma 2 2 2 3 2 2 3 4" xfId="6797"/>
    <cellStyle name="Comma 2 2 2 3 2 2 3 4 2" xfId="17300"/>
    <cellStyle name="Comma 2 2 2 3 2 2 3 4 2 2" xfId="38350"/>
    <cellStyle name="Comma 2 2 2 3 2 2 3 4 3" xfId="31927"/>
    <cellStyle name="Comma 2 2 2 3 2 2 3 5" xfId="16470"/>
    <cellStyle name="Comma 2 2 2 3 2 2 3 5 2" xfId="35143"/>
    <cellStyle name="Comma 2 2 2 3 2 2 3 6" xfId="20447"/>
    <cellStyle name="Comma 2 2 2 3 2 2 3 7" xfId="28720"/>
    <cellStyle name="Comma 2 2 2 3 2 2 3 8" xfId="41468"/>
    <cellStyle name="Comma 2 2 2 3 2 2 4" xfId="4443"/>
    <cellStyle name="Comma 2 2 2 3 2 2 4 2" xfId="10650"/>
    <cellStyle name="Comma 2 2 2 3 2 2 4 2 2" xfId="19449"/>
    <cellStyle name="Comma 2 2 2 3 2 2 4 2 2 2" xfId="40492"/>
    <cellStyle name="Comma 2 2 2 3 2 2 4 2 2 3" xfId="34069"/>
    <cellStyle name="Comma 2 2 2 3 2 2 4 2 3" xfId="21648"/>
    <cellStyle name="Comma 2 2 2 3 2 2 4 2 3 2" xfId="37285"/>
    <cellStyle name="Comma 2 2 2 3 2 2 4 2 4" xfId="30862"/>
    <cellStyle name="Comma 2 2 2 3 2 2 4 2 5" xfId="42627"/>
    <cellStyle name="Comma 2 2 2 3 2 2 4 3" xfId="7822"/>
    <cellStyle name="Comma 2 2 2 3 2 2 4 3 2" xfId="18282"/>
    <cellStyle name="Comma 2 2 2 3 2 2 4 3 2 2" xfId="39325"/>
    <cellStyle name="Comma 2 2 2 3 2 2 4 3 2 3" xfId="32902"/>
    <cellStyle name="Comma 2 2 2 3 2 2 4 3 3" xfId="22774"/>
    <cellStyle name="Comma 2 2 2 3 2 2 4 3 3 2" xfId="36118"/>
    <cellStyle name="Comma 2 2 2 3 2 2 4 3 4" xfId="29695"/>
    <cellStyle name="Comma 2 2 2 3 2 2 4 3 5" xfId="43603"/>
    <cellStyle name="Comma 2 2 2 3 2 2 4 4" xfId="6798"/>
    <cellStyle name="Comma 2 2 2 3 2 2 4 4 2" xfId="17301"/>
    <cellStyle name="Comma 2 2 2 3 2 2 4 4 2 2" xfId="38351"/>
    <cellStyle name="Comma 2 2 2 3 2 2 4 4 3" xfId="31928"/>
    <cellStyle name="Comma 2 2 2 3 2 2 4 5" xfId="16658"/>
    <cellStyle name="Comma 2 2 2 3 2 2 4 5 2" xfId="35144"/>
    <cellStyle name="Comma 2 2 2 3 2 2 4 6" xfId="20448"/>
    <cellStyle name="Comma 2 2 2 3 2 2 4 7" xfId="28721"/>
    <cellStyle name="Comma 2 2 2 3 2 2 4 8" xfId="41469"/>
    <cellStyle name="Comma 2 2 2 3 2 2 5" xfId="4981"/>
    <cellStyle name="Comma 2 2 2 3 2 2 5 2" xfId="10651"/>
    <cellStyle name="Comma 2 2 2 3 2 2 5 2 2" xfId="19450"/>
    <cellStyle name="Comma 2 2 2 3 2 2 5 2 2 2" xfId="40493"/>
    <cellStyle name="Comma 2 2 2 3 2 2 5 2 2 3" xfId="34070"/>
    <cellStyle name="Comma 2 2 2 3 2 2 5 2 3" xfId="21649"/>
    <cellStyle name="Comma 2 2 2 3 2 2 5 2 3 2" xfId="37286"/>
    <cellStyle name="Comma 2 2 2 3 2 2 5 2 4" xfId="30863"/>
    <cellStyle name="Comma 2 2 2 3 2 2 5 2 5" xfId="42628"/>
    <cellStyle name="Comma 2 2 2 3 2 2 5 3" xfId="7823"/>
    <cellStyle name="Comma 2 2 2 3 2 2 5 3 2" xfId="18283"/>
    <cellStyle name="Comma 2 2 2 3 2 2 5 3 2 2" xfId="39326"/>
    <cellStyle name="Comma 2 2 2 3 2 2 5 3 2 3" xfId="32903"/>
    <cellStyle name="Comma 2 2 2 3 2 2 5 3 3" xfId="22775"/>
    <cellStyle name="Comma 2 2 2 3 2 2 5 3 3 2" xfId="36119"/>
    <cellStyle name="Comma 2 2 2 3 2 2 5 3 4" xfId="29696"/>
    <cellStyle name="Comma 2 2 2 3 2 2 5 3 5" xfId="43604"/>
    <cellStyle name="Comma 2 2 2 3 2 2 5 4" xfId="6799"/>
    <cellStyle name="Comma 2 2 2 3 2 2 5 4 2" xfId="17302"/>
    <cellStyle name="Comma 2 2 2 3 2 2 5 4 2 2" xfId="38352"/>
    <cellStyle name="Comma 2 2 2 3 2 2 5 4 3" xfId="31929"/>
    <cellStyle name="Comma 2 2 2 3 2 2 5 5" xfId="16796"/>
    <cellStyle name="Comma 2 2 2 3 2 2 5 5 2" xfId="35145"/>
    <cellStyle name="Comma 2 2 2 3 2 2 5 6" xfId="20449"/>
    <cellStyle name="Comma 2 2 2 3 2 2 5 7" xfId="28722"/>
    <cellStyle name="Comma 2 2 2 3 2 2 5 8" xfId="41470"/>
    <cellStyle name="Comma 2 2 2 3 2 2 6" xfId="5708"/>
    <cellStyle name="Comma 2 2 2 3 2 2 6 2" xfId="10652"/>
    <cellStyle name="Comma 2 2 2 3 2 2 6 2 2" xfId="19451"/>
    <cellStyle name="Comma 2 2 2 3 2 2 6 2 2 2" xfId="40494"/>
    <cellStyle name="Comma 2 2 2 3 2 2 6 2 2 3" xfId="34071"/>
    <cellStyle name="Comma 2 2 2 3 2 2 6 2 3" xfId="21650"/>
    <cellStyle name="Comma 2 2 2 3 2 2 6 2 3 2" xfId="37287"/>
    <cellStyle name="Comma 2 2 2 3 2 2 6 2 4" xfId="30864"/>
    <cellStyle name="Comma 2 2 2 3 2 2 6 2 5" xfId="42629"/>
    <cellStyle name="Comma 2 2 2 3 2 2 6 3" xfId="7824"/>
    <cellStyle name="Comma 2 2 2 3 2 2 6 3 2" xfId="18284"/>
    <cellStyle name="Comma 2 2 2 3 2 2 6 3 2 2" xfId="39327"/>
    <cellStyle name="Comma 2 2 2 3 2 2 6 3 2 3" xfId="32904"/>
    <cellStyle name="Comma 2 2 2 3 2 2 6 3 3" xfId="22776"/>
    <cellStyle name="Comma 2 2 2 3 2 2 6 3 3 2" xfId="36120"/>
    <cellStyle name="Comma 2 2 2 3 2 2 6 3 4" xfId="29697"/>
    <cellStyle name="Comma 2 2 2 3 2 2 6 3 5" xfId="43605"/>
    <cellStyle name="Comma 2 2 2 3 2 2 6 4" xfId="6800"/>
    <cellStyle name="Comma 2 2 2 3 2 2 6 4 2" xfId="17303"/>
    <cellStyle name="Comma 2 2 2 3 2 2 6 4 2 2" xfId="38353"/>
    <cellStyle name="Comma 2 2 2 3 2 2 6 4 3" xfId="31930"/>
    <cellStyle name="Comma 2 2 2 3 2 2 6 5" xfId="16946"/>
    <cellStyle name="Comma 2 2 2 3 2 2 6 5 2" xfId="35146"/>
    <cellStyle name="Comma 2 2 2 3 2 2 6 6" xfId="20450"/>
    <cellStyle name="Comma 2 2 2 3 2 2 6 7" xfId="28723"/>
    <cellStyle name="Comma 2 2 2 3 2 2 6 8" xfId="41471"/>
    <cellStyle name="Comma 2 2 2 3 2 2 7" xfId="10209"/>
    <cellStyle name="Comma 2 2 2 3 2 2 7 2" xfId="19263"/>
    <cellStyle name="Comma 2 2 2 3 2 2 7 2 2" xfId="40306"/>
    <cellStyle name="Comma 2 2 2 3 2 2 7 2 3" xfId="33883"/>
    <cellStyle name="Comma 2 2 2 3 2 2 7 3" xfId="21463"/>
    <cellStyle name="Comma 2 2 2 3 2 2 7 3 2" xfId="37099"/>
    <cellStyle name="Comma 2 2 2 3 2 2 7 4" xfId="30676"/>
    <cellStyle name="Comma 2 2 2 3 2 2 7 5" xfId="42442"/>
    <cellStyle name="Comma 2 2 2 3 2 2 8" xfId="7819"/>
    <cellStyle name="Comma 2 2 2 3 2 2 8 2" xfId="18279"/>
    <cellStyle name="Comma 2 2 2 3 2 2 8 2 2" xfId="39322"/>
    <cellStyle name="Comma 2 2 2 3 2 2 8 2 3" xfId="32899"/>
    <cellStyle name="Comma 2 2 2 3 2 2 8 3" xfId="22771"/>
    <cellStyle name="Comma 2 2 2 3 2 2 8 3 2" xfId="36115"/>
    <cellStyle name="Comma 2 2 2 3 2 2 8 4" xfId="29692"/>
    <cellStyle name="Comma 2 2 2 3 2 2 8 5" xfId="43600"/>
    <cellStyle name="Comma 2 2 2 3 2 2 9" xfId="6609"/>
    <cellStyle name="Comma 2 2 2 3 2 2 9 2" xfId="17116"/>
    <cellStyle name="Comma 2 2 2 3 2 2 9 2 2" xfId="38169"/>
    <cellStyle name="Comma 2 2 2 3 2 2 9 3" xfId="31746"/>
    <cellStyle name="Comma 2 2 2 3 2 3" xfId="2089"/>
    <cellStyle name="Comma 2 2 2 3 2 3 10" xfId="20451"/>
    <cellStyle name="Comma 2 2 2 3 2 3 11" xfId="28724"/>
    <cellStyle name="Comma 2 2 2 3 2 3 12" xfId="41472"/>
    <cellStyle name="Comma 2 2 2 3 2 3 2" xfId="2959"/>
    <cellStyle name="Comma 2 2 2 3 2 3 2 2" xfId="10654"/>
    <cellStyle name="Comma 2 2 2 3 2 3 2 2 2" xfId="19453"/>
    <cellStyle name="Comma 2 2 2 3 2 3 2 2 2 2" xfId="40496"/>
    <cellStyle name="Comma 2 2 2 3 2 3 2 2 2 3" xfId="34073"/>
    <cellStyle name="Comma 2 2 2 3 2 3 2 2 3" xfId="21652"/>
    <cellStyle name="Comma 2 2 2 3 2 3 2 2 3 2" xfId="37289"/>
    <cellStyle name="Comma 2 2 2 3 2 3 2 2 4" xfId="30866"/>
    <cellStyle name="Comma 2 2 2 3 2 3 2 2 5" xfId="42631"/>
    <cellStyle name="Comma 2 2 2 3 2 3 2 3" xfId="7826"/>
    <cellStyle name="Comma 2 2 2 3 2 3 2 3 2" xfId="18286"/>
    <cellStyle name="Comma 2 2 2 3 2 3 2 3 2 2" xfId="39329"/>
    <cellStyle name="Comma 2 2 2 3 2 3 2 3 2 3" xfId="32906"/>
    <cellStyle name="Comma 2 2 2 3 2 3 2 3 3" xfId="22778"/>
    <cellStyle name="Comma 2 2 2 3 2 3 2 3 3 2" xfId="36122"/>
    <cellStyle name="Comma 2 2 2 3 2 3 2 3 4" xfId="29699"/>
    <cellStyle name="Comma 2 2 2 3 2 3 2 3 5" xfId="43607"/>
    <cellStyle name="Comma 2 2 2 3 2 3 2 4" xfId="6802"/>
    <cellStyle name="Comma 2 2 2 3 2 3 2 4 2" xfId="17305"/>
    <cellStyle name="Comma 2 2 2 3 2 3 2 4 2 2" xfId="38355"/>
    <cellStyle name="Comma 2 2 2 3 2 3 2 4 3" xfId="31932"/>
    <cellStyle name="Comma 2 2 2 3 2 3 2 5" xfId="16337"/>
    <cellStyle name="Comma 2 2 2 3 2 3 2 5 2" xfId="35148"/>
    <cellStyle name="Comma 2 2 2 3 2 3 2 6" xfId="20452"/>
    <cellStyle name="Comma 2 2 2 3 2 3 2 7" xfId="28725"/>
    <cellStyle name="Comma 2 2 2 3 2 3 2 8" xfId="41473"/>
    <cellStyle name="Comma 2 2 2 3 2 3 3" xfId="3829"/>
    <cellStyle name="Comma 2 2 2 3 2 3 3 2" xfId="10655"/>
    <cellStyle name="Comma 2 2 2 3 2 3 3 2 2" xfId="19454"/>
    <cellStyle name="Comma 2 2 2 3 2 3 3 2 2 2" xfId="40497"/>
    <cellStyle name="Comma 2 2 2 3 2 3 3 2 2 3" xfId="34074"/>
    <cellStyle name="Comma 2 2 2 3 2 3 3 2 3" xfId="21653"/>
    <cellStyle name="Comma 2 2 2 3 2 3 3 2 3 2" xfId="37290"/>
    <cellStyle name="Comma 2 2 2 3 2 3 3 2 4" xfId="30867"/>
    <cellStyle name="Comma 2 2 2 3 2 3 3 2 5" xfId="42632"/>
    <cellStyle name="Comma 2 2 2 3 2 3 3 3" xfId="7827"/>
    <cellStyle name="Comma 2 2 2 3 2 3 3 3 2" xfId="18287"/>
    <cellStyle name="Comma 2 2 2 3 2 3 3 3 2 2" xfId="39330"/>
    <cellStyle name="Comma 2 2 2 3 2 3 3 3 2 3" xfId="32907"/>
    <cellStyle name="Comma 2 2 2 3 2 3 3 3 3" xfId="22779"/>
    <cellStyle name="Comma 2 2 2 3 2 3 3 3 3 2" xfId="36123"/>
    <cellStyle name="Comma 2 2 2 3 2 3 3 3 4" xfId="29700"/>
    <cellStyle name="Comma 2 2 2 3 2 3 3 3 5" xfId="43608"/>
    <cellStyle name="Comma 2 2 2 3 2 3 3 4" xfId="6803"/>
    <cellStyle name="Comma 2 2 2 3 2 3 3 4 2" xfId="17306"/>
    <cellStyle name="Comma 2 2 2 3 2 3 3 4 2 2" xfId="38356"/>
    <cellStyle name="Comma 2 2 2 3 2 3 3 4 3" xfId="31933"/>
    <cellStyle name="Comma 2 2 2 3 2 3 3 5" xfId="16525"/>
    <cellStyle name="Comma 2 2 2 3 2 3 3 5 2" xfId="35149"/>
    <cellStyle name="Comma 2 2 2 3 2 3 3 6" xfId="20453"/>
    <cellStyle name="Comma 2 2 2 3 2 3 3 7" xfId="28726"/>
    <cellStyle name="Comma 2 2 2 3 2 3 3 8" xfId="41474"/>
    <cellStyle name="Comma 2 2 2 3 2 3 4" xfId="4707"/>
    <cellStyle name="Comma 2 2 2 3 2 3 4 2" xfId="10656"/>
    <cellStyle name="Comma 2 2 2 3 2 3 4 2 2" xfId="19455"/>
    <cellStyle name="Comma 2 2 2 3 2 3 4 2 2 2" xfId="40498"/>
    <cellStyle name="Comma 2 2 2 3 2 3 4 2 2 3" xfId="34075"/>
    <cellStyle name="Comma 2 2 2 3 2 3 4 2 3" xfId="21654"/>
    <cellStyle name="Comma 2 2 2 3 2 3 4 2 3 2" xfId="37291"/>
    <cellStyle name="Comma 2 2 2 3 2 3 4 2 4" xfId="30868"/>
    <cellStyle name="Comma 2 2 2 3 2 3 4 2 5" xfId="42633"/>
    <cellStyle name="Comma 2 2 2 3 2 3 4 3" xfId="7828"/>
    <cellStyle name="Comma 2 2 2 3 2 3 4 3 2" xfId="18288"/>
    <cellStyle name="Comma 2 2 2 3 2 3 4 3 2 2" xfId="39331"/>
    <cellStyle name="Comma 2 2 2 3 2 3 4 3 2 3" xfId="32908"/>
    <cellStyle name="Comma 2 2 2 3 2 3 4 3 3" xfId="22780"/>
    <cellStyle name="Comma 2 2 2 3 2 3 4 3 3 2" xfId="36124"/>
    <cellStyle name="Comma 2 2 2 3 2 3 4 3 4" xfId="29701"/>
    <cellStyle name="Comma 2 2 2 3 2 3 4 3 5" xfId="43609"/>
    <cellStyle name="Comma 2 2 2 3 2 3 4 4" xfId="6804"/>
    <cellStyle name="Comma 2 2 2 3 2 3 4 4 2" xfId="17307"/>
    <cellStyle name="Comma 2 2 2 3 2 3 4 4 2 2" xfId="38357"/>
    <cellStyle name="Comma 2 2 2 3 2 3 4 4 3" xfId="31934"/>
    <cellStyle name="Comma 2 2 2 3 2 3 4 5" xfId="16713"/>
    <cellStyle name="Comma 2 2 2 3 2 3 4 5 2" xfId="35150"/>
    <cellStyle name="Comma 2 2 2 3 2 3 4 6" xfId="20454"/>
    <cellStyle name="Comma 2 2 2 3 2 3 4 7" xfId="28727"/>
    <cellStyle name="Comma 2 2 2 3 2 3 4 8" xfId="41475"/>
    <cellStyle name="Comma 2 2 2 3 2 3 5" xfId="5972"/>
    <cellStyle name="Comma 2 2 2 3 2 3 5 2" xfId="10657"/>
    <cellStyle name="Comma 2 2 2 3 2 3 5 2 2" xfId="19456"/>
    <cellStyle name="Comma 2 2 2 3 2 3 5 2 2 2" xfId="40499"/>
    <cellStyle name="Comma 2 2 2 3 2 3 5 2 2 3" xfId="34076"/>
    <cellStyle name="Comma 2 2 2 3 2 3 5 2 3" xfId="21655"/>
    <cellStyle name="Comma 2 2 2 3 2 3 5 2 3 2" xfId="37292"/>
    <cellStyle name="Comma 2 2 2 3 2 3 5 2 4" xfId="30869"/>
    <cellStyle name="Comma 2 2 2 3 2 3 5 2 5" xfId="42634"/>
    <cellStyle name="Comma 2 2 2 3 2 3 5 3" xfId="7829"/>
    <cellStyle name="Comma 2 2 2 3 2 3 5 3 2" xfId="18289"/>
    <cellStyle name="Comma 2 2 2 3 2 3 5 3 2 2" xfId="39332"/>
    <cellStyle name="Comma 2 2 2 3 2 3 5 3 2 3" xfId="32909"/>
    <cellStyle name="Comma 2 2 2 3 2 3 5 3 3" xfId="22781"/>
    <cellStyle name="Comma 2 2 2 3 2 3 5 3 3 2" xfId="36125"/>
    <cellStyle name="Comma 2 2 2 3 2 3 5 3 4" xfId="29702"/>
    <cellStyle name="Comma 2 2 2 3 2 3 5 3 5" xfId="43610"/>
    <cellStyle name="Comma 2 2 2 3 2 3 5 4" xfId="6805"/>
    <cellStyle name="Comma 2 2 2 3 2 3 5 4 2" xfId="17308"/>
    <cellStyle name="Comma 2 2 2 3 2 3 5 4 2 2" xfId="38358"/>
    <cellStyle name="Comma 2 2 2 3 2 3 5 4 3" xfId="31935"/>
    <cellStyle name="Comma 2 2 2 3 2 3 5 5" xfId="17001"/>
    <cellStyle name="Comma 2 2 2 3 2 3 5 5 2" xfId="35151"/>
    <cellStyle name="Comma 2 2 2 3 2 3 5 6" xfId="20455"/>
    <cellStyle name="Comma 2 2 2 3 2 3 5 7" xfId="28728"/>
    <cellStyle name="Comma 2 2 2 3 2 3 5 8" xfId="41476"/>
    <cellStyle name="Comma 2 2 2 3 2 3 6" xfId="10653"/>
    <cellStyle name="Comma 2 2 2 3 2 3 6 2" xfId="19452"/>
    <cellStyle name="Comma 2 2 2 3 2 3 6 2 2" xfId="40495"/>
    <cellStyle name="Comma 2 2 2 3 2 3 6 2 3" xfId="34072"/>
    <cellStyle name="Comma 2 2 2 3 2 3 6 3" xfId="21651"/>
    <cellStyle name="Comma 2 2 2 3 2 3 6 3 2" xfId="37288"/>
    <cellStyle name="Comma 2 2 2 3 2 3 6 4" xfId="30865"/>
    <cellStyle name="Comma 2 2 2 3 2 3 6 5" xfId="42630"/>
    <cellStyle name="Comma 2 2 2 3 2 3 7" xfId="7825"/>
    <cellStyle name="Comma 2 2 2 3 2 3 7 2" xfId="18285"/>
    <cellStyle name="Comma 2 2 2 3 2 3 7 2 2" xfId="39328"/>
    <cellStyle name="Comma 2 2 2 3 2 3 7 2 3" xfId="32905"/>
    <cellStyle name="Comma 2 2 2 3 2 3 7 3" xfId="22777"/>
    <cellStyle name="Comma 2 2 2 3 2 3 7 3 2" xfId="36121"/>
    <cellStyle name="Comma 2 2 2 3 2 3 7 4" xfId="29698"/>
    <cellStyle name="Comma 2 2 2 3 2 3 7 5" xfId="43606"/>
    <cellStyle name="Comma 2 2 2 3 2 3 8" xfId="6801"/>
    <cellStyle name="Comma 2 2 2 3 2 3 8 2" xfId="17304"/>
    <cellStyle name="Comma 2 2 2 3 2 3 8 2 2" xfId="38354"/>
    <cellStyle name="Comma 2 2 2 3 2 3 8 3" xfId="31931"/>
    <cellStyle name="Comma 2 2 2 3 2 3 9" xfId="16148"/>
    <cellStyle name="Comma 2 2 2 3 2 3 9 2" xfId="35147"/>
    <cellStyle name="Comma 2 2 2 3 2 4" xfId="2454"/>
    <cellStyle name="Comma 2 2 2 3 2 4 2" xfId="10658"/>
    <cellStyle name="Comma 2 2 2 3 2 4 2 2" xfId="19457"/>
    <cellStyle name="Comma 2 2 2 3 2 4 2 2 2" xfId="40500"/>
    <cellStyle name="Comma 2 2 2 3 2 4 2 2 3" xfId="34077"/>
    <cellStyle name="Comma 2 2 2 3 2 4 2 3" xfId="21656"/>
    <cellStyle name="Comma 2 2 2 3 2 4 2 3 2" xfId="37293"/>
    <cellStyle name="Comma 2 2 2 3 2 4 2 4" xfId="30870"/>
    <cellStyle name="Comma 2 2 2 3 2 4 2 5" xfId="42635"/>
    <cellStyle name="Comma 2 2 2 3 2 4 3" xfId="7830"/>
    <cellStyle name="Comma 2 2 2 3 2 4 3 2" xfId="18290"/>
    <cellStyle name="Comma 2 2 2 3 2 4 3 2 2" xfId="39333"/>
    <cellStyle name="Comma 2 2 2 3 2 4 3 2 3" xfId="32910"/>
    <cellStyle name="Comma 2 2 2 3 2 4 3 3" xfId="22782"/>
    <cellStyle name="Comma 2 2 2 3 2 4 3 3 2" xfId="36126"/>
    <cellStyle name="Comma 2 2 2 3 2 4 3 4" xfId="29703"/>
    <cellStyle name="Comma 2 2 2 3 2 4 3 5" xfId="43611"/>
    <cellStyle name="Comma 2 2 2 3 2 4 4" xfId="6806"/>
    <cellStyle name="Comma 2 2 2 3 2 4 4 2" xfId="17309"/>
    <cellStyle name="Comma 2 2 2 3 2 4 4 2 2" xfId="38359"/>
    <cellStyle name="Comma 2 2 2 3 2 4 4 3" xfId="31936"/>
    <cellStyle name="Comma 2 2 2 3 2 4 5" xfId="16229"/>
    <cellStyle name="Comma 2 2 2 3 2 4 5 2" xfId="35152"/>
    <cellStyle name="Comma 2 2 2 3 2 4 6" xfId="20456"/>
    <cellStyle name="Comma 2 2 2 3 2 4 7" xfId="28729"/>
    <cellStyle name="Comma 2 2 2 3 2 4 8" xfId="41477"/>
    <cellStyle name="Comma 2 2 2 3 2 5" xfId="3317"/>
    <cellStyle name="Comma 2 2 2 3 2 5 2" xfId="10659"/>
    <cellStyle name="Comma 2 2 2 3 2 5 2 2" xfId="19458"/>
    <cellStyle name="Comma 2 2 2 3 2 5 2 2 2" xfId="40501"/>
    <cellStyle name="Comma 2 2 2 3 2 5 2 2 3" xfId="34078"/>
    <cellStyle name="Comma 2 2 2 3 2 5 2 3" xfId="21657"/>
    <cellStyle name="Comma 2 2 2 3 2 5 2 3 2" xfId="37294"/>
    <cellStyle name="Comma 2 2 2 3 2 5 2 4" xfId="30871"/>
    <cellStyle name="Comma 2 2 2 3 2 5 2 5" xfId="42636"/>
    <cellStyle name="Comma 2 2 2 3 2 5 3" xfId="7831"/>
    <cellStyle name="Comma 2 2 2 3 2 5 3 2" xfId="18291"/>
    <cellStyle name="Comma 2 2 2 3 2 5 3 2 2" xfId="39334"/>
    <cellStyle name="Comma 2 2 2 3 2 5 3 2 3" xfId="32911"/>
    <cellStyle name="Comma 2 2 2 3 2 5 3 3" xfId="22783"/>
    <cellStyle name="Comma 2 2 2 3 2 5 3 3 2" xfId="36127"/>
    <cellStyle name="Comma 2 2 2 3 2 5 3 4" xfId="29704"/>
    <cellStyle name="Comma 2 2 2 3 2 5 3 5" xfId="43612"/>
    <cellStyle name="Comma 2 2 2 3 2 5 4" xfId="6807"/>
    <cellStyle name="Comma 2 2 2 3 2 5 4 2" xfId="17310"/>
    <cellStyle name="Comma 2 2 2 3 2 5 4 2 2" xfId="38360"/>
    <cellStyle name="Comma 2 2 2 3 2 5 4 3" xfId="31937"/>
    <cellStyle name="Comma 2 2 2 3 2 5 5" xfId="16417"/>
    <cellStyle name="Comma 2 2 2 3 2 5 5 2" xfId="35153"/>
    <cellStyle name="Comma 2 2 2 3 2 5 6" xfId="20457"/>
    <cellStyle name="Comma 2 2 2 3 2 5 7" xfId="28730"/>
    <cellStyle name="Comma 2 2 2 3 2 5 8" xfId="41478"/>
    <cellStyle name="Comma 2 2 2 3 2 6" xfId="4185"/>
    <cellStyle name="Comma 2 2 2 3 2 6 2" xfId="10660"/>
    <cellStyle name="Comma 2 2 2 3 2 6 2 2" xfId="19459"/>
    <cellStyle name="Comma 2 2 2 3 2 6 2 2 2" xfId="40502"/>
    <cellStyle name="Comma 2 2 2 3 2 6 2 2 3" xfId="34079"/>
    <cellStyle name="Comma 2 2 2 3 2 6 2 3" xfId="21658"/>
    <cellStyle name="Comma 2 2 2 3 2 6 2 3 2" xfId="37295"/>
    <cellStyle name="Comma 2 2 2 3 2 6 2 4" xfId="30872"/>
    <cellStyle name="Comma 2 2 2 3 2 6 2 5" xfId="42637"/>
    <cellStyle name="Comma 2 2 2 3 2 6 3" xfId="7832"/>
    <cellStyle name="Comma 2 2 2 3 2 6 3 2" xfId="18292"/>
    <cellStyle name="Comma 2 2 2 3 2 6 3 2 2" xfId="39335"/>
    <cellStyle name="Comma 2 2 2 3 2 6 3 2 3" xfId="32912"/>
    <cellStyle name="Comma 2 2 2 3 2 6 3 3" xfId="22784"/>
    <cellStyle name="Comma 2 2 2 3 2 6 3 3 2" xfId="36128"/>
    <cellStyle name="Comma 2 2 2 3 2 6 3 4" xfId="29705"/>
    <cellStyle name="Comma 2 2 2 3 2 6 3 5" xfId="43613"/>
    <cellStyle name="Comma 2 2 2 3 2 6 4" xfId="6808"/>
    <cellStyle name="Comma 2 2 2 3 2 6 4 2" xfId="17311"/>
    <cellStyle name="Comma 2 2 2 3 2 6 4 2 2" xfId="38361"/>
    <cellStyle name="Comma 2 2 2 3 2 6 4 3" xfId="31938"/>
    <cellStyle name="Comma 2 2 2 3 2 6 5" xfId="16605"/>
    <cellStyle name="Comma 2 2 2 3 2 6 5 2" xfId="35154"/>
    <cellStyle name="Comma 2 2 2 3 2 6 6" xfId="20458"/>
    <cellStyle name="Comma 2 2 2 3 2 6 7" xfId="28731"/>
    <cellStyle name="Comma 2 2 2 3 2 6 8" xfId="41479"/>
    <cellStyle name="Comma 2 2 2 3 2 7" xfId="4980"/>
    <cellStyle name="Comma 2 2 2 3 2 7 2" xfId="10661"/>
    <cellStyle name="Comma 2 2 2 3 2 7 2 2" xfId="19460"/>
    <cellStyle name="Comma 2 2 2 3 2 7 2 2 2" xfId="40503"/>
    <cellStyle name="Comma 2 2 2 3 2 7 2 2 3" xfId="34080"/>
    <cellStyle name="Comma 2 2 2 3 2 7 2 3" xfId="21659"/>
    <cellStyle name="Comma 2 2 2 3 2 7 2 3 2" xfId="37296"/>
    <cellStyle name="Comma 2 2 2 3 2 7 2 4" xfId="30873"/>
    <cellStyle name="Comma 2 2 2 3 2 7 2 5" xfId="42638"/>
    <cellStyle name="Comma 2 2 2 3 2 7 3" xfId="7833"/>
    <cellStyle name="Comma 2 2 2 3 2 7 3 2" xfId="18293"/>
    <cellStyle name="Comma 2 2 2 3 2 7 3 2 2" xfId="39336"/>
    <cellStyle name="Comma 2 2 2 3 2 7 3 2 3" xfId="32913"/>
    <cellStyle name="Comma 2 2 2 3 2 7 3 3" xfId="22785"/>
    <cellStyle name="Comma 2 2 2 3 2 7 3 3 2" xfId="36129"/>
    <cellStyle name="Comma 2 2 2 3 2 7 3 4" xfId="29706"/>
    <cellStyle name="Comma 2 2 2 3 2 7 3 5" xfId="43614"/>
    <cellStyle name="Comma 2 2 2 3 2 7 4" xfId="6809"/>
    <cellStyle name="Comma 2 2 2 3 2 7 4 2" xfId="17312"/>
    <cellStyle name="Comma 2 2 2 3 2 7 4 2 2" xfId="38362"/>
    <cellStyle name="Comma 2 2 2 3 2 7 4 3" xfId="31939"/>
    <cellStyle name="Comma 2 2 2 3 2 7 5" xfId="16795"/>
    <cellStyle name="Comma 2 2 2 3 2 7 5 2" xfId="35155"/>
    <cellStyle name="Comma 2 2 2 3 2 7 6" xfId="20459"/>
    <cellStyle name="Comma 2 2 2 3 2 7 7" xfId="28732"/>
    <cellStyle name="Comma 2 2 2 3 2 7 8" xfId="41480"/>
    <cellStyle name="Comma 2 2 2 3 2 8" xfId="5447"/>
    <cellStyle name="Comma 2 2 2 3 2 8 2" xfId="10662"/>
    <cellStyle name="Comma 2 2 2 3 2 8 2 2" xfId="19461"/>
    <cellStyle name="Comma 2 2 2 3 2 8 2 2 2" xfId="40504"/>
    <cellStyle name="Comma 2 2 2 3 2 8 2 2 3" xfId="34081"/>
    <cellStyle name="Comma 2 2 2 3 2 8 2 3" xfId="21660"/>
    <cellStyle name="Comma 2 2 2 3 2 8 2 3 2" xfId="37297"/>
    <cellStyle name="Comma 2 2 2 3 2 8 2 4" xfId="30874"/>
    <cellStyle name="Comma 2 2 2 3 2 8 2 5" xfId="42639"/>
    <cellStyle name="Comma 2 2 2 3 2 8 3" xfId="7834"/>
    <cellStyle name="Comma 2 2 2 3 2 8 3 2" xfId="18294"/>
    <cellStyle name="Comma 2 2 2 3 2 8 3 2 2" xfId="39337"/>
    <cellStyle name="Comma 2 2 2 3 2 8 3 2 3" xfId="32914"/>
    <cellStyle name="Comma 2 2 2 3 2 8 3 3" xfId="22786"/>
    <cellStyle name="Comma 2 2 2 3 2 8 3 3 2" xfId="36130"/>
    <cellStyle name="Comma 2 2 2 3 2 8 3 4" xfId="29707"/>
    <cellStyle name="Comma 2 2 2 3 2 8 3 5" xfId="43615"/>
    <cellStyle name="Comma 2 2 2 3 2 8 4" xfId="6810"/>
    <cellStyle name="Comma 2 2 2 3 2 8 4 2" xfId="17313"/>
    <cellStyle name="Comma 2 2 2 3 2 8 4 2 2" xfId="38363"/>
    <cellStyle name="Comma 2 2 2 3 2 8 4 3" xfId="31940"/>
    <cellStyle name="Comma 2 2 2 3 2 8 5" xfId="16893"/>
    <cellStyle name="Comma 2 2 2 3 2 8 5 2" xfId="35156"/>
    <cellStyle name="Comma 2 2 2 3 2 8 6" xfId="20460"/>
    <cellStyle name="Comma 2 2 2 3 2 8 7" xfId="28733"/>
    <cellStyle name="Comma 2 2 2 3 2 8 8" xfId="41481"/>
    <cellStyle name="Comma 2 2 2 3 2 9" xfId="10241"/>
    <cellStyle name="Comma 2 2 2 3 2 9 2" xfId="19294"/>
    <cellStyle name="Comma 2 2 2 3 2 9 2 2" xfId="40337"/>
    <cellStyle name="Comma 2 2 2 3 2 9 2 3" xfId="33914"/>
    <cellStyle name="Comma 2 2 2 3 2 9 3" xfId="21494"/>
    <cellStyle name="Comma 2 2 2 3 2 9 3 2" xfId="37130"/>
    <cellStyle name="Comma 2 2 2 3 2 9 4" xfId="30707"/>
    <cellStyle name="Comma 2 2 2 3 2 9 5" xfId="42473"/>
    <cellStyle name="Comma 2 2 2 3 3" xfId="1813"/>
    <cellStyle name="Comma 2 2 2 3 3 10" xfId="16091"/>
    <cellStyle name="Comma 2 2 2 3 3 10 2" xfId="34976"/>
    <cellStyle name="Comma 2 2 2 3 3 11" xfId="20461"/>
    <cellStyle name="Comma 2 2 2 3 3 12" xfId="28551"/>
    <cellStyle name="Comma 2 2 2 3 3 13" xfId="41482"/>
    <cellStyle name="Comma 2 2 2 3 3 2" xfId="2703"/>
    <cellStyle name="Comma 2 2 2 3 3 2 2" xfId="10663"/>
    <cellStyle name="Comma 2 2 2 3 3 2 2 2" xfId="19462"/>
    <cellStyle name="Comma 2 2 2 3 3 2 2 2 2" xfId="40505"/>
    <cellStyle name="Comma 2 2 2 3 3 2 2 2 3" xfId="34082"/>
    <cellStyle name="Comma 2 2 2 3 3 2 2 3" xfId="21661"/>
    <cellStyle name="Comma 2 2 2 3 3 2 2 3 2" xfId="37298"/>
    <cellStyle name="Comma 2 2 2 3 3 2 2 4" xfId="30875"/>
    <cellStyle name="Comma 2 2 2 3 3 2 2 5" xfId="42640"/>
    <cellStyle name="Comma 2 2 2 3 3 2 3" xfId="7836"/>
    <cellStyle name="Comma 2 2 2 3 3 2 3 2" xfId="18296"/>
    <cellStyle name="Comma 2 2 2 3 3 2 3 2 2" xfId="39339"/>
    <cellStyle name="Comma 2 2 2 3 3 2 3 2 3" xfId="32916"/>
    <cellStyle name="Comma 2 2 2 3 3 2 3 3" xfId="22788"/>
    <cellStyle name="Comma 2 2 2 3 3 2 3 3 2" xfId="36132"/>
    <cellStyle name="Comma 2 2 2 3 3 2 3 4" xfId="29709"/>
    <cellStyle name="Comma 2 2 2 3 3 2 3 5" xfId="43617"/>
    <cellStyle name="Comma 2 2 2 3 3 2 4" xfId="6811"/>
    <cellStyle name="Comma 2 2 2 3 3 2 4 2" xfId="17314"/>
    <cellStyle name="Comma 2 2 2 3 3 2 4 2 2" xfId="38364"/>
    <cellStyle name="Comma 2 2 2 3 3 2 4 3" xfId="31941"/>
    <cellStyle name="Comma 2 2 2 3 3 2 5" xfId="16281"/>
    <cellStyle name="Comma 2 2 2 3 3 2 5 2" xfId="35157"/>
    <cellStyle name="Comma 2 2 2 3 3 2 6" xfId="20462"/>
    <cellStyle name="Comma 2 2 2 3 3 2 7" xfId="28734"/>
    <cellStyle name="Comma 2 2 2 3 3 2 8" xfId="41483"/>
    <cellStyle name="Comma 2 2 2 3 3 3" xfId="3567"/>
    <cellStyle name="Comma 2 2 2 3 3 3 2" xfId="10664"/>
    <cellStyle name="Comma 2 2 2 3 3 3 2 2" xfId="19463"/>
    <cellStyle name="Comma 2 2 2 3 3 3 2 2 2" xfId="40506"/>
    <cellStyle name="Comma 2 2 2 3 3 3 2 2 3" xfId="34083"/>
    <cellStyle name="Comma 2 2 2 3 3 3 2 3" xfId="21662"/>
    <cellStyle name="Comma 2 2 2 3 3 3 2 3 2" xfId="37299"/>
    <cellStyle name="Comma 2 2 2 3 3 3 2 4" xfId="30876"/>
    <cellStyle name="Comma 2 2 2 3 3 3 2 5" xfId="42641"/>
    <cellStyle name="Comma 2 2 2 3 3 3 3" xfId="7837"/>
    <cellStyle name="Comma 2 2 2 3 3 3 3 2" xfId="18297"/>
    <cellStyle name="Comma 2 2 2 3 3 3 3 2 2" xfId="39340"/>
    <cellStyle name="Comma 2 2 2 3 3 3 3 2 3" xfId="32917"/>
    <cellStyle name="Comma 2 2 2 3 3 3 3 3" xfId="22789"/>
    <cellStyle name="Comma 2 2 2 3 3 3 3 3 2" xfId="36133"/>
    <cellStyle name="Comma 2 2 2 3 3 3 3 4" xfId="29710"/>
    <cellStyle name="Comma 2 2 2 3 3 3 3 5" xfId="43618"/>
    <cellStyle name="Comma 2 2 2 3 3 3 4" xfId="6812"/>
    <cellStyle name="Comma 2 2 2 3 3 3 4 2" xfId="17315"/>
    <cellStyle name="Comma 2 2 2 3 3 3 4 2 2" xfId="38365"/>
    <cellStyle name="Comma 2 2 2 3 3 3 4 3" xfId="31942"/>
    <cellStyle name="Comma 2 2 2 3 3 3 5" xfId="16469"/>
    <cellStyle name="Comma 2 2 2 3 3 3 5 2" xfId="35158"/>
    <cellStyle name="Comma 2 2 2 3 3 3 6" xfId="20463"/>
    <cellStyle name="Comma 2 2 2 3 3 3 7" xfId="28735"/>
    <cellStyle name="Comma 2 2 2 3 3 3 8" xfId="41484"/>
    <cellStyle name="Comma 2 2 2 3 3 4" xfId="4442"/>
    <cellStyle name="Comma 2 2 2 3 3 4 2" xfId="10665"/>
    <cellStyle name="Comma 2 2 2 3 3 4 2 2" xfId="19464"/>
    <cellStyle name="Comma 2 2 2 3 3 4 2 2 2" xfId="40507"/>
    <cellStyle name="Comma 2 2 2 3 3 4 2 2 3" xfId="34084"/>
    <cellStyle name="Comma 2 2 2 3 3 4 2 3" xfId="21663"/>
    <cellStyle name="Comma 2 2 2 3 3 4 2 3 2" xfId="37300"/>
    <cellStyle name="Comma 2 2 2 3 3 4 2 4" xfId="30877"/>
    <cellStyle name="Comma 2 2 2 3 3 4 2 5" xfId="42642"/>
    <cellStyle name="Comma 2 2 2 3 3 4 3" xfId="7838"/>
    <cellStyle name="Comma 2 2 2 3 3 4 3 2" xfId="18298"/>
    <cellStyle name="Comma 2 2 2 3 3 4 3 2 2" xfId="39341"/>
    <cellStyle name="Comma 2 2 2 3 3 4 3 2 3" xfId="32918"/>
    <cellStyle name="Comma 2 2 2 3 3 4 3 3" xfId="22790"/>
    <cellStyle name="Comma 2 2 2 3 3 4 3 3 2" xfId="36134"/>
    <cellStyle name="Comma 2 2 2 3 3 4 3 4" xfId="29711"/>
    <cellStyle name="Comma 2 2 2 3 3 4 3 5" xfId="43619"/>
    <cellStyle name="Comma 2 2 2 3 3 4 4" xfId="6813"/>
    <cellStyle name="Comma 2 2 2 3 3 4 4 2" xfId="17316"/>
    <cellStyle name="Comma 2 2 2 3 3 4 4 2 2" xfId="38366"/>
    <cellStyle name="Comma 2 2 2 3 3 4 4 3" xfId="31943"/>
    <cellStyle name="Comma 2 2 2 3 3 4 5" xfId="16657"/>
    <cellStyle name="Comma 2 2 2 3 3 4 5 2" xfId="35159"/>
    <cellStyle name="Comma 2 2 2 3 3 4 6" xfId="20464"/>
    <cellStyle name="Comma 2 2 2 3 3 4 7" xfId="28736"/>
    <cellStyle name="Comma 2 2 2 3 3 4 8" xfId="41485"/>
    <cellStyle name="Comma 2 2 2 3 3 5" xfId="4982"/>
    <cellStyle name="Comma 2 2 2 3 3 5 2" xfId="10666"/>
    <cellStyle name="Comma 2 2 2 3 3 5 2 2" xfId="19465"/>
    <cellStyle name="Comma 2 2 2 3 3 5 2 2 2" xfId="40508"/>
    <cellStyle name="Comma 2 2 2 3 3 5 2 2 3" xfId="34085"/>
    <cellStyle name="Comma 2 2 2 3 3 5 2 3" xfId="21664"/>
    <cellStyle name="Comma 2 2 2 3 3 5 2 3 2" xfId="37301"/>
    <cellStyle name="Comma 2 2 2 3 3 5 2 4" xfId="30878"/>
    <cellStyle name="Comma 2 2 2 3 3 5 2 5" xfId="42643"/>
    <cellStyle name="Comma 2 2 2 3 3 5 3" xfId="7839"/>
    <cellStyle name="Comma 2 2 2 3 3 5 3 2" xfId="18299"/>
    <cellStyle name="Comma 2 2 2 3 3 5 3 2 2" xfId="39342"/>
    <cellStyle name="Comma 2 2 2 3 3 5 3 2 3" xfId="32919"/>
    <cellStyle name="Comma 2 2 2 3 3 5 3 3" xfId="22791"/>
    <cellStyle name="Comma 2 2 2 3 3 5 3 3 2" xfId="36135"/>
    <cellStyle name="Comma 2 2 2 3 3 5 3 4" xfId="29712"/>
    <cellStyle name="Comma 2 2 2 3 3 5 3 5" xfId="43620"/>
    <cellStyle name="Comma 2 2 2 3 3 5 4" xfId="6814"/>
    <cellStyle name="Comma 2 2 2 3 3 5 4 2" xfId="17317"/>
    <cellStyle name="Comma 2 2 2 3 3 5 4 2 2" xfId="38367"/>
    <cellStyle name="Comma 2 2 2 3 3 5 4 3" xfId="31944"/>
    <cellStyle name="Comma 2 2 2 3 3 5 5" xfId="16797"/>
    <cellStyle name="Comma 2 2 2 3 3 5 5 2" xfId="35160"/>
    <cellStyle name="Comma 2 2 2 3 3 5 6" xfId="20465"/>
    <cellStyle name="Comma 2 2 2 3 3 5 7" xfId="28737"/>
    <cellStyle name="Comma 2 2 2 3 3 5 8" xfId="41486"/>
    <cellStyle name="Comma 2 2 2 3 3 6" xfId="5707"/>
    <cellStyle name="Comma 2 2 2 3 3 6 2" xfId="10667"/>
    <cellStyle name="Comma 2 2 2 3 3 6 2 2" xfId="19466"/>
    <cellStyle name="Comma 2 2 2 3 3 6 2 2 2" xfId="40509"/>
    <cellStyle name="Comma 2 2 2 3 3 6 2 2 3" xfId="34086"/>
    <cellStyle name="Comma 2 2 2 3 3 6 2 3" xfId="21665"/>
    <cellStyle name="Comma 2 2 2 3 3 6 2 3 2" xfId="37302"/>
    <cellStyle name="Comma 2 2 2 3 3 6 2 4" xfId="30879"/>
    <cellStyle name="Comma 2 2 2 3 3 6 2 5" xfId="42644"/>
    <cellStyle name="Comma 2 2 2 3 3 6 3" xfId="7840"/>
    <cellStyle name="Comma 2 2 2 3 3 6 3 2" xfId="18300"/>
    <cellStyle name="Comma 2 2 2 3 3 6 3 2 2" xfId="39343"/>
    <cellStyle name="Comma 2 2 2 3 3 6 3 2 3" xfId="32920"/>
    <cellStyle name="Comma 2 2 2 3 3 6 3 3" xfId="22792"/>
    <cellStyle name="Comma 2 2 2 3 3 6 3 3 2" xfId="36136"/>
    <cellStyle name="Comma 2 2 2 3 3 6 3 4" xfId="29713"/>
    <cellStyle name="Comma 2 2 2 3 3 6 3 5" xfId="43621"/>
    <cellStyle name="Comma 2 2 2 3 3 6 4" xfId="6815"/>
    <cellStyle name="Comma 2 2 2 3 3 6 4 2" xfId="17318"/>
    <cellStyle name="Comma 2 2 2 3 3 6 4 2 2" xfId="38368"/>
    <cellStyle name="Comma 2 2 2 3 3 6 4 3" xfId="31945"/>
    <cellStyle name="Comma 2 2 2 3 3 6 5" xfId="16945"/>
    <cellStyle name="Comma 2 2 2 3 3 6 5 2" xfId="35161"/>
    <cellStyle name="Comma 2 2 2 3 3 6 6" xfId="20466"/>
    <cellStyle name="Comma 2 2 2 3 3 6 7" xfId="28738"/>
    <cellStyle name="Comma 2 2 2 3 3 6 8" xfId="41487"/>
    <cellStyle name="Comma 2 2 2 3 3 7" xfId="10223"/>
    <cellStyle name="Comma 2 2 2 3 3 7 2" xfId="19277"/>
    <cellStyle name="Comma 2 2 2 3 3 7 2 2" xfId="40320"/>
    <cellStyle name="Comma 2 2 2 3 3 7 2 3" xfId="33897"/>
    <cellStyle name="Comma 2 2 2 3 3 7 3" xfId="21477"/>
    <cellStyle name="Comma 2 2 2 3 3 7 3 2" xfId="37113"/>
    <cellStyle name="Comma 2 2 2 3 3 7 4" xfId="30690"/>
    <cellStyle name="Comma 2 2 2 3 3 7 5" xfId="42456"/>
    <cellStyle name="Comma 2 2 2 3 3 8" xfId="7835"/>
    <cellStyle name="Comma 2 2 2 3 3 8 2" xfId="18295"/>
    <cellStyle name="Comma 2 2 2 3 3 8 2 2" xfId="39338"/>
    <cellStyle name="Comma 2 2 2 3 3 8 2 3" xfId="32915"/>
    <cellStyle name="Comma 2 2 2 3 3 8 3" xfId="22787"/>
    <cellStyle name="Comma 2 2 2 3 3 8 3 2" xfId="36131"/>
    <cellStyle name="Comma 2 2 2 3 3 8 4" xfId="29708"/>
    <cellStyle name="Comma 2 2 2 3 3 8 5" xfId="43616"/>
    <cellStyle name="Comma 2 2 2 3 3 9" xfId="6623"/>
    <cellStyle name="Comma 2 2 2 3 3 9 2" xfId="17130"/>
    <cellStyle name="Comma 2 2 2 3 3 9 2 2" xfId="38183"/>
    <cellStyle name="Comma 2 2 2 3 3 9 3" xfId="31760"/>
    <cellStyle name="Comma 2 2 2 3 4" xfId="2088"/>
    <cellStyle name="Comma 2 2 2 3 4 10" xfId="20467"/>
    <cellStyle name="Comma 2 2 2 3 4 11" xfId="28739"/>
    <cellStyle name="Comma 2 2 2 3 4 12" xfId="41488"/>
    <cellStyle name="Comma 2 2 2 3 4 2" xfId="2958"/>
    <cellStyle name="Comma 2 2 2 3 4 2 2" xfId="10669"/>
    <cellStyle name="Comma 2 2 2 3 4 2 2 2" xfId="19468"/>
    <cellStyle name="Comma 2 2 2 3 4 2 2 2 2" xfId="40511"/>
    <cellStyle name="Comma 2 2 2 3 4 2 2 2 3" xfId="34088"/>
    <cellStyle name="Comma 2 2 2 3 4 2 2 3" xfId="21667"/>
    <cellStyle name="Comma 2 2 2 3 4 2 2 3 2" xfId="37304"/>
    <cellStyle name="Comma 2 2 2 3 4 2 2 4" xfId="30881"/>
    <cellStyle name="Comma 2 2 2 3 4 2 2 5" xfId="42646"/>
    <cellStyle name="Comma 2 2 2 3 4 2 3" xfId="7842"/>
    <cellStyle name="Comma 2 2 2 3 4 2 3 2" xfId="18302"/>
    <cellStyle name="Comma 2 2 2 3 4 2 3 2 2" xfId="39345"/>
    <cellStyle name="Comma 2 2 2 3 4 2 3 2 3" xfId="32922"/>
    <cellStyle name="Comma 2 2 2 3 4 2 3 3" xfId="22794"/>
    <cellStyle name="Comma 2 2 2 3 4 2 3 3 2" xfId="36138"/>
    <cellStyle name="Comma 2 2 2 3 4 2 3 4" xfId="29715"/>
    <cellStyle name="Comma 2 2 2 3 4 2 3 5" xfId="43623"/>
    <cellStyle name="Comma 2 2 2 3 4 2 4" xfId="6817"/>
    <cellStyle name="Comma 2 2 2 3 4 2 4 2" xfId="17320"/>
    <cellStyle name="Comma 2 2 2 3 4 2 4 2 2" xfId="38370"/>
    <cellStyle name="Comma 2 2 2 3 4 2 4 3" xfId="31947"/>
    <cellStyle name="Comma 2 2 2 3 4 2 5" xfId="16336"/>
    <cellStyle name="Comma 2 2 2 3 4 2 5 2" xfId="35163"/>
    <cellStyle name="Comma 2 2 2 3 4 2 6" xfId="20468"/>
    <cellStyle name="Comma 2 2 2 3 4 2 7" xfId="28740"/>
    <cellStyle name="Comma 2 2 2 3 4 2 8" xfId="41489"/>
    <cellStyle name="Comma 2 2 2 3 4 3" xfId="3828"/>
    <cellStyle name="Comma 2 2 2 3 4 3 2" xfId="10670"/>
    <cellStyle name="Comma 2 2 2 3 4 3 2 2" xfId="19469"/>
    <cellStyle name="Comma 2 2 2 3 4 3 2 2 2" xfId="40512"/>
    <cellStyle name="Comma 2 2 2 3 4 3 2 2 3" xfId="34089"/>
    <cellStyle name="Comma 2 2 2 3 4 3 2 3" xfId="21668"/>
    <cellStyle name="Comma 2 2 2 3 4 3 2 3 2" xfId="37305"/>
    <cellStyle name="Comma 2 2 2 3 4 3 2 4" xfId="30882"/>
    <cellStyle name="Comma 2 2 2 3 4 3 2 5" xfId="42647"/>
    <cellStyle name="Comma 2 2 2 3 4 3 3" xfId="7843"/>
    <cellStyle name="Comma 2 2 2 3 4 3 3 2" xfId="18303"/>
    <cellStyle name="Comma 2 2 2 3 4 3 3 2 2" xfId="39346"/>
    <cellStyle name="Comma 2 2 2 3 4 3 3 2 3" xfId="32923"/>
    <cellStyle name="Comma 2 2 2 3 4 3 3 3" xfId="22795"/>
    <cellStyle name="Comma 2 2 2 3 4 3 3 3 2" xfId="36139"/>
    <cellStyle name="Comma 2 2 2 3 4 3 3 4" xfId="29716"/>
    <cellStyle name="Comma 2 2 2 3 4 3 3 5" xfId="43624"/>
    <cellStyle name="Comma 2 2 2 3 4 3 4" xfId="6818"/>
    <cellStyle name="Comma 2 2 2 3 4 3 4 2" xfId="17321"/>
    <cellStyle name="Comma 2 2 2 3 4 3 4 2 2" xfId="38371"/>
    <cellStyle name="Comma 2 2 2 3 4 3 4 3" xfId="31948"/>
    <cellStyle name="Comma 2 2 2 3 4 3 5" xfId="16524"/>
    <cellStyle name="Comma 2 2 2 3 4 3 5 2" xfId="35164"/>
    <cellStyle name="Comma 2 2 2 3 4 3 6" xfId="20469"/>
    <cellStyle name="Comma 2 2 2 3 4 3 7" xfId="28741"/>
    <cellStyle name="Comma 2 2 2 3 4 3 8" xfId="41490"/>
    <cellStyle name="Comma 2 2 2 3 4 4" xfId="4706"/>
    <cellStyle name="Comma 2 2 2 3 4 4 2" xfId="10671"/>
    <cellStyle name="Comma 2 2 2 3 4 4 2 2" xfId="19470"/>
    <cellStyle name="Comma 2 2 2 3 4 4 2 2 2" xfId="40513"/>
    <cellStyle name="Comma 2 2 2 3 4 4 2 2 3" xfId="34090"/>
    <cellStyle name="Comma 2 2 2 3 4 4 2 3" xfId="21669"/>
    <cellStyle name="Comma 2 2 2 3 4 4 2 3 2" xfId="37306"/>
    <cellStyle name="Comma 2 2 2 3 4 4 2 4" xfId="30883"/>
    <cellStyle name="Comma 2 2 2 3 4 4 2 5" xfId="42648"/>
    <cellStyle name="Comma 2 2 2 3 4 4 3" xfId="7844"/>
    <cellStyle name="Comma 2 2 2 3 4 4 3 2" xfId="18304"/>
    <cellStyle name="Comma 2 2 2 3 4 4 3 2 2" xfId="39347"/>
    <cellStyle name="Comma 2 2 2 3 4 4 3 2 3" xfId="32924"/>
    <cellStyle name="Comma 2 2 2 3 4 4 3 3" xfId="22796"/>
    <cellStyle name="Comma 2 2 2 3 4 4 3 3 2" xfId="36140"/>
    <cellStyle name="Comma 2 2 2 3 4 4 3 4" xfId="29717"/>
    <cellStyle name="Comma 2 2 2 3 4 4 3 5" xfId="43625"/>
    <cellStyle name="Comma 2 2 2 3 4 4 4" xfId="6819"/>
    <cellStyle name="Comma 2 2 2 3 4 4 4 2" xfId="17322"/>
    <cellStyle name="Comma 2 2 2 3 4 4 4 2 2" xfId="38372"/>
    <cellStyle name="Comma 2 2 2 3 4 4 4 3" xfId="31949"/>
    <cellStyle name="Comma 2 2 2 3 4 4 5" xfId="16712"/>
    <cellStyle name="Comma 2 2 2 3 4 4 5 2" xfId="35165"/>
    <cellStyle name="Comma 2 2 2 3 4 4 6" xfId="20470"/>
    <cellStyle name="Comma 2 2 2 3 4 4 7" xfId="28742"/>
    <cellStyle name="Comma 2 2 2 3 4 4 8" xfId="41491"/>
    <cellStyle name="Comma 2 2 2 3 4 5" xfId="5971"/>
    <cellStyle name="Comma 2 2 2 3 4 5 2" xfId="10672"/>
    <cellStyle name="Comma 2 2 2 3 4 5 2 2" xfId="19471"/>
    <cellStyle name="Comma 2 2 2 3 4 5 2 2 2" xfId="40514"/>
    <cellStyle name="Comma 2 2 2 3 4 5 2 2 3" xfId="34091"/>
    <cellStyle name="Comma 2 2 2 3 4 5 2 3" xfId="21670"/>
    <cellStyle name="Comma 2 2 2 3 4 5 2 3 2" xfId="37307"/>
    <cellStyle name="Comma 2 2 2 3 4 5 2 4" xfId="30884"/>
    <cellStyle name="Comma 2 2 2 3 4 5 2 5" xfId="42649"/>
    <cellStyle name="Comma 2 2 2 3 4 5 3" xfId="7845"/>
    <cellStyle name="Comma 2 2 2 3 4 5 3 2" xfId="18305"/>
    <cellStyle name="Comma 2 2 2 3 4 5 3 2 2" xfId="39348"/>
    <cellStyle name="Comma 2 2 2 3 4 5 3 2 3" xfId="32925"/>
    <cellStyle name="Comma 2 2 2 3 4 5 3 3" xfId="22797"/>
    <cellStyle name="Comma 2 2 2 3 4 5 3 3 2" xfId="36141"/>
    <cellStyle name="Comma 2 2 2 3 4 5 3 4" xfId="29718"/>
    <cellStyle name="Comma 2 2 2 3 4 5 3 5" xfId="43626"/>
    <cellStyle name="Comma 2 2 2 3 4 5 4" xfId="6820"/>
    <cellStyle name="Comma 2 2 2 3 4 5 4 2" xfId="17323"/>
    <cellStyle name="Comma 2 2 2 3 4 5 4 2 2" xfId="38373"/>
    <cellStyle name="Comma 2 2 2 3 4 5 4 3" xfId="31950"/>
    <cellStyle name="Comma 2 2 2 3 4 5 5" xfId="17000"/>
    <cellStyle name="Comma 2 2 2 3 4 5 5 2" xfId="35166"/>
    <cellStyle name="Comma 2 2 2 3 4 5 6" xfId="20471"/>
    <cellStyle name="Comma 2 2 2 3 4 5 7" xfId="28743"/>
    <cellStyle name="Comma 2 2 2 3 4 5 8" xfId="41492"/>
    <cellStyle name="Comma 2 2 2 3 4 6" xfId="10668"/>
    <cellStyle name="Comma 2 2 2 3 4 6 2" xfId="19467"/>
    <cellStyle name="Comma 2 2 2 3 4 6 2 2" xfId="40510"/>
    <cellStyle name="Comma 2 2 2 3 4 6 2 3" xfId="34087"/>
    <cellStyle name="Comma 2 2 2 3 4 6 3" xfId="21666"/>
    <cellStyle name="Comma 2 2 2 3 4 6 3 2" xfId="37303"/>
    <cellStyle name="Comma 2 2 2 3 4 6 4" xfId="30880"/>
    <cellStyle name="Comma 2 2 2 3 4 6 5" xfId="42645"/>
    <cellStyle name="Comma 2 2 2 3 4 7" xfId="7841"/>
    <cellStyle name="Comma 2 2 2 3 4 7 2" xfId="18301"/>
    <cellStyle name="Comma 2 2 2 3 4 7 2 2" xfId="39344"/>
    <cellStyle name="Comma 2 2 2 3 4 7 2 3" xfId="32921"/>
    <cellStyle name="Comma 2 2 2 3 4 7 3" xfId="22793"/>
    <cellStyle name="Comma 2 2 2 3 4 7 3 2" xfId="36137"/>
    <cellStyle name="Comma 2 2 2 3 4 7 4" xfId="29714"/>
    <cellStyle name="Comma 2 2 2 3 4 7 5" xfId="43622"/>
    <cellStyle name="Comma 2 2 2 3 4 8" xfId="6816"/>
    <cellStyle name="Comma 2 2 2 3 4 8 2" xfId="17319"/>
    <cellStyle name="Comma 2 2 2 3 4 8 2 2" xfId="38369"/>
    <cellStyle name="Comma 2 2 2 3 4 8 3" xfId="31946"/>
    <cellStyle name="Comma 2 2 2 3 4 9" xfId="16147"/>
    <cellStyle name="Comma 2 2 2 3 4 9 2" xfId="35162"/>
    <cellStyle name="Comma 2 2 2 3 5" xfId="2330"/>
    <cellStyle name="Comma 2 2 2 3 5 10" xfId="20472"/>
    <cellStyle name="Comma 2 2 2 3 5 11" xfId="28744"/>
    <cellStyle name="Comma 2 2 2 3 5 12" xfId="41493"/>
    <cellStyle name="Comma 2 2 2 3 5 2" xfId="3189"/>
    <cellStyle name="Comma 2 2 2 3 5 2 2" xfId="10674"/>
    <cellStyle name="Comma 2 2 2 3 5 2 2 2" xfId="19473"/>
    <cellStyle name="Comma 2 2 2 3 5 2 2 2 2" xfId="40516"/>
    <cellStyle name="Comma 2 2 2 3 5 2 2 2 3" xfId="34093"/>
    <cellStyle name="Comma 2 2 2 3 5 2 2 3" xfId="21672"/>
    <cellStyle name="Comma 2 2 2 3 5 2 2 3 2" xfId="37309"/>
    <cellStyle name="Comma 2 2 2 3 5 2 2 4" xfId="30886"/>
    <cellStyle name="Comma 2 2 2 3 5 2 2 5" xfId="42651"/>
    <cellStyle name="Comma 2 2 2 3 5 2 3" xfId="7847"/>
    <cellStyle name="Comma 2 2 2 3 5 2 3 2" xfId="18307"/>
    <cellStyle name="Comma 2 2 2 3 5 2 3 2 2" xfId="39350"/>
    <cellStyle name="Comma 2 2 2 3 5 2 3 2 3" xfId="32927"/>
    <cellStyle name="Comma 2 2 2 3 5 2 3 3" xfId="22799"/>
    <cellStyle name="Comma 2 2 2 3 5 2 3 3 2" xfId="36143"/>
    <cellStyle name="Comma 2 2 2 3 5 2 3 4" xfId="29720"/>
    <cellStyle name="Comma 2 2 2 3 5 2 3 5" xfId="43628"/>
    <cellStyle name="Comma 2 2 2 3 5 2 4" xfId="6822"/>
    <cellStyle name="Comma 2 2 2 3 5 2 4 2" xfId="17325"/>
    <cellStyle name="Comma 2 2 2 3 5 2 4 2 2" xfId="38375"/>
    <cellStyle name="Comma 2 2 2 3 5 2 4 3" xfId="31952"/>
    <cellStyle name="Comma 2 2 2 3 5 2 5" xfId="16398"/>
    <cellStyle name="Comma 2 2 2 3 5 2 5 2" xfId="35168"/>
    <cellStyle name="Comma 2 2 2 3 5 2 6" xfId="20473"/>
    <cellStyle name="Comma 2 2 2 3 5 2 7" xfId="28745"/>
    <cellStyle name="Comma 2 2 2 3 5 2 8" xfId="41494"/>
    <cellStyle name="Comma 2 2 2 3 5 3" xfId="4055"/>
    <cellStyle name="Comma 2 2 2 3 5 3 2" xfId="10675"/>
    <cellStyle name="Comma 2 2 2 3 5 3 2 2" xfId="19474"/>
    <cellStyle name="Comma 2 2 2 3 5 3 2 2 2" xfId="40517"/>
    <cellStyle name="Comma 2 2 2 3 5 3 2 2 3" xfId="34094"/>
    <cellStyle name="Comma 2 2 2 3 5 3 2 3" xfId="21673"/>
    <cellStyle name="Comma 2 2 2 3 5 3 2 3 2" xfId="37310"/>
    <cellStyle name="Comma 2 2 2 3 5 3 2 4" xfId="30887"/>
    <cellStyle name="Comma 2 2 2 3 5 3 2 5" xfId="42652"/>
    <cellStyle name="Comma 2 2 2 3 5 3 3" xfId="7848"/>
    <cellStyle name="Comma 2 2 2 3 5 3 3 2" xfId="18308"/>
    <cellStyle name="Comma 2 2 2 3 5 3 3 2 2" xfId="39351"/>
    <cellStyle name="Comma 2 2 2 3 5 3 3 2 3" xfId="32928"/>
    <cellStyle name="Comma 2 2 2 3 5 3 3 3" xfId="22800"/>
    <cellStyle name="Comma 2 2 2 3 5 3 3 3 2" xfId="36144"/>
    <cellStyle name="Comma 2 2 2 3 5 3 3 4" xfId="29721"/>
    <cellStyle name="Comma 2 2 2 3 5 3 3 5" xfId="43629"/>
    <cellStyle name="Comma 2 2 2 3 5 3 4" xfId="6823"/>
    <cellStyle name="Comma 2 2 2 3 5 3 4 2" xfId="17326"/>
    <cellStyle name="Comma 2 2 2 3 5 3 4 2 2" xfId="38376"/>
    <cellStyle name="Comma 2 2 2 3 5 3 4 3" xfId="31953"/>
    <cellStyle name="Comma 2 2 2 3 5 3 5" xfId="16586"/>
    <cellStyle name="Comma 2 2 2 3 5 3 5 2" xfId="35169"/>
    <cellStyle name="Comma 2 2 2 3 5 3 6" xfId="20474"/>
    <cellStyle name="Comma 2 2 2 3 5 3 7" xfId="28746"/>
    <cellStyle name="Comma 2 2 2 3 5 3 8" xfId="41495"/>
    <cellStyle name="Comma 2 2 2 3 5 4" xfId="4934"/>
    <cellStyle name="Comma 2 2 2 3 5 4 2" xfId="10676"/>
    <cellStyle name="Comma 2 2 2 3 5 4 2 2" xfId="19475"/>
    <cellStyle name="Comma 2 2 2 3 5 4 2 2 2" xfId="40518"/>
    <cellStyle name="Comma 2 2 2 3 5 4 2 2 3" xfId="34095"/>
    <cellStyle name="Comma 2 2 2 3 5 4 2 3" xfId="21674"/>
    <cellStyle name="Comma 2 2 2 3 5 4 2 3 2" xfId="37311"/>
    <cellStyle name="Comma 2 2 2 3 5 4 2 4" xfId="30888"/>
    <cellStyle name="Comma 2 2 2 3 5 4 2 5" xfId="42653"/>
    <cellStyle name="Comma 2 2 2 3 5 4 3" xfId="7849"/>
    <cellStyle name="Comma 2 2 2 3 5 4 3 2" xfId="18309"/>
    <cellStyle name="Comma 2 2 2 3 5 4 3 2 2" xfId="39352"/>
    <cellStyle name="Comma 2 2 2 3 5 4 3 2 3" xfId="32929"/>
    <cellStyle name="Comma 2 2 2 3 5 4 3 3" xfId="22801"/>
    <cellStyle name="Comma 2 2 2 3 5 4 3 3 2" xfId="36145"/>
    <cellStyle name="Comma 2 2 2 3 5 4 3 4" xfId="29722"/>
    <cellStyle name="Comma 2 2 2 3 5 4 3 5" xfId="43630"/>
    <cellStyle name="Comma 2 2 2 3 5 4 4" xfId="6824"/>
    <cellStyle name="Comma 2 2 2 3 5 4 4 2" xfId="17327"/>
    <cellStyle name="Comma 2 2 2 3 5 4 4 2 2" xfId="38377"/>
    <cellStyle name="Comma 2 2 2 3 5 4 4 3" xfId="31954"/>
    <cellStyle name="Comma 2 2 2 3 5 4 5" xfId="16774"/>
    <cellStyle name="Comma 2 2 2 3 5 4 5 2" xfId="35170"/>
    <cellStyle name="Comma 2 2 2 3 5 4 6" xfId="20475"/>
    <cellStyle name="Comma 2 2 2 3 5 4 7" xfId="28747"/>
    <cellStyle name="Comma 2 2 2 3 5 4 8" xfId="41496"/>
    <cellStyle name="Comma 2 2 2 3 5 5" xfId="6199"/>
    <cellStyle name="Comma 2 2 2 3 5 5 2" xfId="10677"/>
    <cellStyle name="Comma 2 2 2 3 5 5 2 2" xfId="19476"/>
    <cellStyle name="Comma 2 2 2 3 5 5 2 2 2" xfId="40519"/>
    <cellStyle name="Comma 2 2 2 3 5 5 2 2 3" xfId="34096"/>
    <cellStyle name="Comma 2 2 2 3 5 5 2 3" xfId="21675"/>
    <cellStyle name="Comma 2 2 2 3 5 5 2 3 2" xfId="37312"/>
    <cellStyle name="Comma 2 2 2 3 5 5 2 4" xfId="30889"/>
    <cellStyle name="Comma 2 2 2 3 5 5 2 5" xfId="42654"/>
    <cellStyle name="Comma 2 2 2 3 5 5 3" xfId="7850"/>
    <cellStyle name="Comma 2 2 2 3 5 5 3 2" xfId="18310"/>
    <cellStyle name="Comma 2 2 2 3 5 5 3 2 2" xfId="39353"/>
    <cellStyle name="Comma 2 2 2 3 5 5 3 2 3" xfId="32930"/>
    <cellStyle name="Comma 2 2 2 3 5 5 3 3" xfId="22802"/>
    <cellStyle name="Comma 2 2 2 3 5 5 3 3 2" xfId="36146"/>
    <cellStyle name="Comma 2 2 2 3 5 5 3 4" xfId="29723"/>
    <cellStyle name="Comma 2 2 2 3 5 5 3 5" xfId="43631"/>
    <cellStyle name="Comma 2 2 2 3 5 5 4" xfId="6825"/>
    <cellStyle name="Comma 2 2 2 3 5 5 4 2" xfId="17328"/>
    <cellStyle name="Comma 2 2 2 3 5 5 4 2 2" xfId="38378"/>
    <cellStyle name="Comma 2 2 2 3 5 5 4 3" xfId="31955"/>
    <cellStyle name="Comma 2 2 2 3 5 5 5" xfId="17062"/>
    <cellStyle name="Comma 2 2 2 3 5 5 5 2" xfId="35171"/>
    <cellStyle name="Comma 2 2 2 3 5 5 6" xfId="20476"/>
    <cellStyle name="Comma 2 2 2 3 5 5 7" xfId="28748"/>
    <cellStyle name="Comma 2 2 2 3 5 5 8" xfId="41497"/>
    <cellStyle name="Comma 2 2 2 3 5 6" xfId="10673"/>
    <cellStyle name="Comma 2 2 2 3 5 6 2" xfId="19472"/>
    <cellStyle name="Comma 2 2 2 3 5 6 2 2" xfId="40515"/>
    <cellStyle name="Comma 2 2 2 3 5 6 2 3" xfId="34092"/>
    <cellStyle name="Comma 2 2 2 3 5 6 3" xfId="21671"/>
    <cellStyle name="Comma 2 2 2 3 5 6 3 2" xfId="37308"/>
    <cellStyle name="Comma 2 2 2 3 5 6 4" xfId="30885"/>
    <cellStyle name="Comma 2 2 2 3 5 6 5" xfId="42650"/>
    <cellStyle name="Comma 2 2 2 3 5 7" xfId="7846"/>
    <cellStyle name="Comma 2 2 2 3 5 7 2" xfId="18306"/>
    <cellStyle name="Comma 2 2 2 3 5 7 2 2" xfId="39349"/>
    <cellStyle name="Comma 2 2 2 3 5 7 2 3" xfId="32926"/>
    <cellStyle name="Comma 2 2 2 3 5 7 3" xfId="22798"/>
    <cellStyle name="Comma 2 2 2 3 5 7 3 2" xfId="36142"/>
    <cellStyle name="Comma 2 2 2 3 5 7 4" xfId="29719"/>
    <cellStyle name="Comma 2 2 2 3 5 7 5" xfId="43627"/>
    <cellStyle name="Comma 2 2 2 3 5 8" xfId="6821"/>
    <cellStyle name="Comma 2 2 2 3 5 8 2" xfId="17324"/>
    <cellStyle name="Comma 2 2 2 3 5 8 2 2" xfId="38374"/>
    <cellStyle name="Comma 2 2 2 3 5 8 3" xfId="31951"/>
    <cellStyle name="Comma 2 2 2 3 5 9" xfId="16210"/>
    <cellStyle name="Comma 2 2 2 3 5 9 2" xfId="35167"/>
    <cellStyle name="Comma 2 2 2 3 6" xfId="2453"/>
    <cellStyle name="Comma 2 2 2 3 6 2" xfId="10678"/>
    <cellStyle name="Comma 2 2 2 3 6 2 2" xfId="19477"/>
    <cellStyle name="Comma 2 2 2 3 6 2 2 2" xfId="40520"/>
    <cellStyle name="Comma 2 2 2 3 6 2 2 3" xfId="34097"/>
    <cellStyle name="Comma 2 2 2 3 6 2 3" xfId="21676"/>
    <cellStyle name="Comma 2 2 2 3 6 2 3 2" xfId="37313"/>
    <cellStyle name="Comma 2 2 2 3 6 2 4" xfId="30890"/>
    <cellStyle name="Comma 2 2 2 3 6 2 5" xfId="42655"/>
    <cellStyle name="Comma 2 2 2 3 6 3" xfId="7851"/>
    <cellStyle name="Comma 2 2 2 3 6 3 2" xfId="18311"/>
    <cellStyle name="Comma 2 2 2 3 6 3 2 2" xfId="39354"/>
    <cellStyle name="Comma 2 2 2 3 6 3 2 3" xfId="32931"/>
    <cellStyle name="Comma 2 2 2 3 6 3 3" xfId="22803"/>
    <cellStyle name="Comma 2 2 2 3 6 3 3 2" xfId="36147"/>
    <cellStyle name="Comma 2 2 2 3 6 3 4" xfId="29724"/>
    <cellStyle name="Comma 2 2 2 3 6 3 5" xfId="43632"/>
    <cellStyle name="Comma 2 2 2 3 6 4" xfId="6826"/>
    <cellStyle name="Comma 2 2 2 3 6 4 2" xfId="17329"/>
    <cellStyle name="Comma 2 2 2 3 6 4 2 2" xfId="38379"/>
    <cellStyle name="Comma 2 2 2 3 6 4 3" xfId="31956"/>
    <cellStyle name="Comma 2 2 2 3 6 5" xfId="16228"/>
    <cellStyle name="Comma 2 2 2 3 6 5 2" xfId="35172"/>
    <cellStyle name="Comma 2 2 2 3 6 6" xfId="20477"/>
    <cellStyle name="Comma 2 2 2 3 6 7" xfId="28749"/>
    <cellStyle name="Comma 2 2 2 3 6 8" xfId="41498"/>
    <cellStyle name="Comma 2 2 2 3 7" xfId="3316"/>
    <cellStyle name="Comma 2 2 2 3 7 2" xfId="10679"/>
    <cellStyle name="Comma 2 2 2 3 7 2 2" xfId="19478"/>
    <cellStyle name="Comma 2 2 2 3 7 2 2 2" xfId="40521"/>
    <cellStyle name="Comma 2 2 2 3 7 2 2 3" xfId="34098"/>
    <cellStyle name="Comma 2 2 2 3 7 2 3" xfId="21677"/>
    <cellStyle name="Comma 2 2 2 3 7 2 3 2" xfId="37314"/>
    <cellStyle name="Comma 2 2 2 3 7 2 4" xfId="30891"/>
    <cellStyle name="Comma 2 2 2 3 7 2 5" xfId="42656"/>
    <cellStyle name="Comma 2 2 2 3 7 3" xfId="7852"/>
    <cellStyle name="Comma 2 2 2 3 7 3 2" xfId="18312"/>
    <cellStyle name="Comma 2 2 2 3 7 3 2 2" xfId="39355"/>
    <cellStyle name="Comma 2 2 2 3 7 3 2 3" xfId="32932"/>
    <cellStyle name="Comma 2 2 2 3 7 3 3" xfId="22804"/>
    <cellStyle name="Comma 2 2 2 3 7 3 3 2" xfId="36148"/>
    <cellStyle name="Comma 2 2 2 3 7 3 4" xfId="29725"/>
    <cellStyle name="Comma 2 2 2 3 7 3 5" xfId="43633"/>
    <cellStyle name="Comma 2 2 2 3 7 4" xfId="6827"/>
    <cellStyle name="Comma 2 2 2 3 7 4 2" xfId="17330"/>
    <cellStyle name="Comma 2 2 2 3 7 4 2 2" xfId="38380"/>
    <cellStyle name="Comma 2 2 2 3 7 4 3" xfId="31957"/>
    <cellStyle name="Comma 2 2 2 3 7 5" xfId="16416"/>
    <cellStyle name="Comma 2 2 2 3 7 5 2" xfId="35173"/>
    <cellStyle name="Comma 2 2 2 3 7 6" xfId="20478"/>
    <cellStyle name="Comma 2 2 2 3 7 7" xfId="28750"/>
    <cellStyle name="Comma 2 2 2 3 7 8" xfId="41499"/>
    <cellStyle name="Comma 2 2 2 3 8" xfId="4184"/>
    <cellStyle name="Comma 2 2 2 3 8 2" xfId="10680"/>
    <cellStyle name="Comma 2 2 2 3 8 2 2" xfId="19479"/>
    <cellStyle name="Comma 2 2 2 3 8 2 2 2" xfId="40522"/>
    <cellStyle name="Comma 2 2 2 3 8 2 2 3" xfId="34099"/>
    <cellStyle name="Comma 2 2 2 3 8 2 3" xfId="21678"/>
    <cellStyle name="Comma 2 2 2 3 8 2 3 2" xfId="37315"/>
    <cellStyle name="Comma 2 2 2 3 8 2 4" xfId="30892"/>
    <cellStyle name="Comma 2 2 2 3 8 2 5" xfId="42657"/>
    <cellStyle name="Comma 2 2 2 3 8 3" xfId="7853"/>
    <cellStyle name="Comma 2 2 2 3 8 3 2" xfId="18313"/>
    <cellStyle name="Comma 2 2 2 3 8 3 2 2" xfId="39356"/>
    <cellStyle name="Comma 2 2 2 3 8 3 2 3" xfId="32933"/>
    <cellStyle name="Comma 2 2 2 3 8 3 3" xfId="22805"/>
    <cellStyle name="Comma 2 2 2 3 8 3 3 2" xfId="36149"/>
    <cellStyle name="Comma 2 2 2 3 8 3 4" xfId="29726"/>
    <cellStyle name="Comma 2 2 2 3 8 3 5" xfId="43634"/>
    <cellStyle name="Comma 2 2 2 3 8 4" xfId="6828"/>
    <cellStyle name="Comma 2 2 2 3 8 4 2" xfId="17331"/>
    <cellStyle name="Comma 2 2 2 3 8 4 2 2" xfId="38381"/>
    <cellStyle name="Comma 2 2 2 3 8 4 3" xfId="31958"/>
    <cellStyle name="Comma 2 2 2 3 8 5" xfId="16604"/>
    <cellStyle name="Comma 2 2 2 3 8 5 2" xfId="35174"/>
    <cellStyle name="Comma 2 2 2 3 8 6" xfId="20479"/>
    <cellStyle name="Comma 2 2 2 3 8 7" xfId="28751"/>
    <cellStyle name="Comma 2 2 2 3 8 8" xfId="41500"/>
    <cellStyle name="Comma 2 2 2 3 9" xfId="4979"/>
    <cellStyle name="Comma 2 2 2 3 9 2" xfId="10681"/>
    <cellStyle name="Comma 2 2 2 3 9 2 2" xfId="19480"/>
    <cellStyle name="Comma 2 2 2 3 9 2 2 2" xfId="40523"/>
    <cellStyle name="Comma 2 2 2 3 9 2 2 3" xfId="34100"/>
    <cellStyle name="Comma 2 2 2 3 9 2 3" xfId="21679"/>
    <cellStyle name="Comma 2 2 2 3 9 2 3 2" xfId="37316"/>
    <cellStyle name="Comma 2 2 2 3 9 2 4" xfId="30893"/>
    <cellStyle name="Comma 2 2 2 3 9 2 5" xfId="42658"/>
    <cellStyle name="Comma 2 2 2 3 9 3" xfId="7854"/>
    <cellStyle name="Comma 2 2 2 3 9 3 2" xfId="18314"/>
    <cellStyle name="Comma 2 2 2 3 9 3 2 2" xfId="39357"/>
    <cellStyle name="Comma 2 2 2 3 9 3 2 3" xfId="32934"/>
    <cellStyle name="Comma 2 2 2 3 9 3 3" xfId="22806"/>
    <cellStyle name="Comma 2 2 2 3 9 3 3 2" xfId="36150"/>
    <cellStyle name="Comma 2 2 2 3 9 3 4" xfId="29727"/>
    <cellStyle name="Comma 2 2 2 3 9 3 5" xfId="43635"/>
    <cellStyle name="Comma 2 2 2 3 9 4" xfId="6829"/>
    <cellStyle name="Comma 2 2 2 3 9 4 2" xfId="17332"/>
    <cellStyle name="Comma 2 2 2 3 9 4 2 2" xfId="38382"/>
    <cellStyle name="Comma 2 2 2 3 9 4 3" xfId="31959"/>
    <cellStyle name="Comma 2 2 2 3 9 5" xfId="16794"/>
    <cellStyle name="Comma 2 2 2 3 9 5 2" xfId="35175"/>
    <cellStyle name="Comma 2 2 2 3 9 6" xfId="20480"/>
    <cellStyle name="Comma 2 2 2 3 9 7" xfId="28752"/>
    <cellStyle name="Comma 2 2 2 3 9 8" xfId="41501"/>
    <cellStyle name="Comma 2 2 2 4" xfId="1461"/>
    <cellStyle name="Comma 2 2 2 4 10" xfId="7855"/>
    <cellStyle name="Comma 2 2 2 4 10 2" xfId="18315"/>
    <cellStyle name="Comma 2 2 2 4 10 2 2" xfId="39358"/>
    <cellStyle name="Comma 2 2 2 4 10 2 3" xfId="32935"/>
    <cellStyle name="Comma 2 2 2 4 10 3" xfId="22807"/>
    <cellStyle name="Comma 2 2 2 4 10 3 2" xfId="36151"/>
    <cellStyle name="Comma 2 2 2 4 10 4" xfId="29728"/>
    <cellStyle name="Comma 2 2 2 4 10 5" xfId="43636"/>
    <cellStyle name="Comma 2 2 2 4 11" xfId="6619"/>
    <cellStyle name="Comma 2 2 2 4 11 2" xfId="17126"/>
    <cellStyle name="Comma 2 2 2 4 11 2 2" xfId="38179"/>
    <cellStyle name="Comma 2 2 2 4 11 3" xfId="31756"/>
    <cellStyle name="Comma 2 2 2 4 12" xfId="16031"/>
    <cellStyle name="Comma 2 2 2 4 12 2" xfId="34972"/>
    <cellStyle name="Comma 2 2 2 4 13" xfId="20481"/>
    <cellStyle name="Comma 2 2 2 4 14" xfId="28547"/>
    <cellStyle name="Comma 2 2 2 4 15" xfId="41502"/>
    <cellStyle name="Comma 2 2 2 4 2" xfId="1815"/>
    <cellStyle name="Comma 2 2 2 4 2 10" xfId="16093"/>
    <cellStyle name="Comma 2 2 2 4 2 10 2" xfId="34969"/>
    <cellStyle name="Comma 2 2 2 4 2 11" xfId="20482"/>
    <cellStyle name="Comma 2 2 2 4 2 12" xfId="28544"/>
    <cellStyle name="Comma 2 2 2 4 2 13" xfId="41503"/>
    <cellStyle name="Comma 2 2 2 4 2 2" xfId="2705"/>
    <cellStyle name="Comma 2 2 2 4 2 2 2" xfId="10682"/>
    <cellStyle name="Comma 2 2 2 4 2 2 2 2" xfId="19481"/>
    <cellStyle name="Comma 2 2 2 4 2 2 2 2 2" xfId="40524"/>
    <cellStyle name="Comma 2 2 2 4 2 2 2 2 3" xfId="34101"/>
    <cellStyle name="Comma 2 2 2 4 2 2 2 3" xfId="21680"/>
    <cellStyle name="Comma 2 2 2 4 2 2 2 3 2" xfId="37317"/>
    <cellStyle name="Comma 2 2 2 4 2 2 2 4" xfId="30894"/>
    <cellStyle name="Comma 2 2 2 4 2 2 2 5" xfId="42659"/>
    <cellStyle name="Comma 2 2 2 4 2 2 3" xfId="7857"/>
    <cellStyle name="Comma 2 2 2 4 2 2 3 2" xfId="18317"/>
    <cellStyle name="Comma 2 2 2 4 2 2 3 2 2" xfId="39360"/>
    <cellStyle name="Comma 2 2 2 4 2 2 3 2 3" xfId="32937"/>
    <cellStyle name="Comma 2 2 2 4 2 2 3 3" xfId="22809"/>
    <cellStyle name="Comma 2 2 2 4 2 2 3 3 2" xfId="36153"/>
    <cellStyle name="Comma 2 2 2 4 2 2 3 4" xfId="29730"/>
    <cellStyle name="Comma 2 2 2 4 2 2 3 5" xfId="43638"/>
    <cellStyle name="Comma 2 2 2 4 2 2 4" xfId="6830"/>
    <cellStyle name="Comma 2 2 2 4 2 2 4 2" xfId="17333"/>
    <cellStyle name="Comma 2 2 2 4 2 2 4 2 2" xfId="38383"/>
    <cellStyle name="Comma 2 2 2 4 2 2 4 3" xfId="31960"/>
    <cellStyle name="Comma 2 2 2 4 2 2 5" xfId="16283"/>
    <cellStyle name="Comma 2 2 2 4 2 2 5 2" xfId="35176"/>
    <cellStyle name="Comma 2 2 2 4 2 2 6" xfId="20483"/>
    <cellStyle name="Comma 2 2 2 4 2 2 7" xfId="28753"/>
    <cellStyle name="Comma 2 2 2 4 2 2 8" xfId="41504"/>
    <cellStyle name="Comma 2 2 2 4 2 3" xfId="3569"/>
    <cellStyle name="Comma 2 2 2 4 2 3 2" xfId="10683"/>
    <cellStyle name="Comma 2 2 2 4 2 3 2 2" xfId="19482"/>
    <cellStyle name="Comma 2 2 2 4 2 3 2 2 2" xfId="40525"/>
    <cellStyle name="Comma 2 2 2 4 2 3 2 2 3" xfId="34102"/>
    <cellStyle name="Comma 2 2 2 4 2 3 2 3" xfId="21681"/>
    <cellStyle name="Comma 2 2 2 4 2 3 2 3 2" xfId="37318"/>
    <cellStyle name="Comma 2 2 2 4 2 3 2 4" xfId="30895"/>
    <cellStyle name="Comma 2 2 2 4 2 3 2 5" xfId="42660"/>
    <cellStyle name="Comma 2 2 2 4 2 3 3" xfId="7858"/>
    <cellStyle name="Comma 2 2 2 4 2 3 3 2" xfId="18318"/>
    <cellStyle name="Comma 2 2 2 4 2 3 3 2 2" xfId="39361"/>
    <cellStyle name="Comma 2 2 2 4 2 3 3 2 3" xfId="32938"/>
    <cellStyle name="Comma 2 2 2 4 2 3 3 3" xfId="22810"/>
    <cellStyle name="Comma 2 2 2 4 2 3 3 3 2" xfId="36154"/>
    <cellStyle name="Comma 2 2 2 4 2 3 3 4" xfId="29731"/>
    <cellStyle name="Comma 2 2 2 4 2 3 3 5" xfId="43639"/>
    <cellStyle name="Comma 2 2 2 4 2 3 4" xfId="6831"/>
    <cellStyle name="Comma 2 2 2 4 2 3 4 2" xfId="17334"/>
    <cellStyle name="Comma 2 2 2 4 2 3 4 2 2" xfId="38384"/>
    <cellStyle name="Comma 2 2 2 4 2 3 4 3" xfId="31961"/>
    <cellStyle name="Comma 2 2 2 4 2 3 5" xfId="16471"/>
    <cellStyle name="Comma 2 2 2 4 2 3 5 2" xfId="35177"/>
    <cellStyle name="Comma 2 2 2 4 2 3 6" xfId="20484"/>
    <cellStyle name="Comma 2 2 2 4 2 3 7" xfId="28754"/>
    <cellStyle name="Comma 2 2 2 4 2 3 8" xfId="41505"/>
    <cellStyle name="Comma 2 2 2 4 2 4" xfId="4444"/>
    <cellStyle name="Comma 2 2 2 4 2 4 2" xfId="10684"/>
    <cellStyle name="Comma 2 2 2 4 2 4 2 2" xfId="19483"/>
    <cellStyle name="Comma 2 2 2 4 2 4 2 2 2" xfId="40526"/>
    <cellStyle name="Comma 2 2 2 4 2 4 2 2 3" xfId="34103"/>
    <cellStyle name="Comma 2 2 2 4 2 4 2 3" xfId="21682"/>
    <cellStyle name="Comma 2 2 2 4 2 4 2 3 2" xfId="37319"/>
    <cellStyle name="Comma 2 2 2 4 2 4 2 4" xfId="30896"/>
    <cellStyle name="Comma 2 2 2 4 2 4 2 5" xfId="42661"/>
    <cellStyle name="Comma 2 2 2 4 2 4 3" xfId="7859"/>
    <cellStyle name="Comma 2 2 2 4 2 4 3 2" xfId="18319"/>
    <cellStyle name="Comma 2 2 2 4 2 4 3 2 2" xfId="39362"/>
    <cellStyle name="Comma 2 2 2 4 2 4 3 2 3" xfId="32939"/>
    <cellStyle name="Comma 2 2 2 4 2 4 3 3" xfId="22811"/>
    <cellStyle name="Comma 2 2 2 4 2 4 3 3 2" xfId="36155"/>
    <cellStyle name="Comma 2 2 2 4 2 4 3 4" xfId="29732"/>
    <cellStyle name="Comma 2 2 2 4 2 4 3 5" xfId="43640"/>
    <cellStyle name="Comma 2 2 2 4 2 4 4" xfId="6832"/>
    <cellStyle name="Comma 2 2 2 4 2 4 4 2" xfId="17335"/>
    <cellStyle name="Comma 2 2 2 4 2 4 4 2 2" xfId="38385"/>
    <cellStyle name="Comma 2 2 2 4 2 4 4 3" xfId="31962"/>
    <cellStyle name="Comma 2 2 2 4 2 4 5" xfId="16659"/>
    <cellStyle name="Comma 2 2 2 4 2 4 5 2" xfId="35178"/>
    <cellStyle name="Comma 2 2 2 4 2 4 6" xfId="20485"/>
    <cellStyle name="Comma 2 2 2 4 2 4 7" xfId="28755"/>
    <cellStyle name="Comma 2 2 2 4 2 4 8" xfId="41506"/>
    <cellStyle name="Comma 2 2 2 4 2 5" xfId="4984"/>
    <cellStyle name="Comma 2 2 2 4 2 5 2" xfId="10685"/>
    <cellStyle name="Comma 2 2 2 4 2 5 2 2" xfId="19484"/>
    <cellStyle name="Comma 2 2 2 4 2 5 2 2 2" xfId="40527"/>
    <cellStyle name="Comma 2 2 2 4 2 5 2 2 3" xfId="34104"/>
    <cellStyle name="Comma 2 2 2 4 2 5 2 3" xfId="21683"/>
    <cellStyle name="Comma 2 2 2 4 2 5 2 3 2" xfId="37320"/>
    <cellStyle name="Comma 2 2 2 4 2 5 2 4" xfId="30897"/>
    <cellStyle name="Comma 2 2 2 4 2 5 2 5" xfId="42662"/>
    <cellStyle name="Comma 2 2 2 4 2 5 3" xfId="7860"/>
    <cellStyle name="Comma 2 2 2 4 2 5 3 2" xfId="18320"/>
    <cellStyle name="Comma 2 2 2 4 2 5 3 2 2" xfId="39363"/>
    <cellStyle name="Comma 2 2 2 4 2 5 3 2 3" xfId="32940"/>
    <cellStyle name="Comma 2 2 2 4 2 5 3 3" xfId="22812"/>
    <cellStyle name="Comma 2 2 2 4 2 5 3 3 2" xfId="36156"/>
    <cellStyle name="Comma 2 2 2 4 2 5 3 4" xfId="29733"/>
    <cellStyle name="Comma 2 2 2 4 2 5 3 5" xfId="43641"/>
    <cellStyle name="Comma 2 2 2 4 2 5 4" xfId="6833"/>
    <cellStyle name="Comma 2 2 2 4 2 5 4 2" xfId="17336"/>
    <cellStyle name="Comma 2 2 2 4 2 5 4 2 2" xfId="38386"/>
    <cellStyle name="Comma 2 2 2 4 2 5 4 3" xfId="31963"/>
    <cellStyle name="Comma 2 2 2 4 2 5 5" xfId="16799"/>
    <cellStyle name="Comma 2 2 2 4 2 5 5 2" xfId="35179"/>
    <cellStyle name="Comma 2 2 2 4 2 5 6" xfId="20486"/>
    <cellStyle name="Comma 2 2 2 4 2 5 7" xfId="28756"/>
    <cellStyle name="Comma 2 2 2 4 2 5 8" xfId="41507"/>
    <cellStyle name="Comma 2 2 2 4 2 6" xfId="5709"/>
    <cellStyle name="Comma 2 2 2 4 2 6 2" xfId="10686"/>
    <cellStyle name="Comma 2 2 2 4 2 6 2 2" xfId="19485"/>
    <cellStyle name="Comma 2 2 2 4 2 6 2 2 2" xfId="40528"/>
    <cellStyle name="Comma 2 2 2 4 2 6 2 2 3" xfId="34105"/>
    <cellStyle name="Comma 2 2 2 4 2 6 2 3" xfId="21684"/>
    <cellStyle name="Comma 2 2 2 4 2 6 2 3 2" xfId="37321"/>
    <cellStyle name="Comma 2 2 2 4 2 6 2 4" xfId="30898"/>
    <cellStyle name="Comma 2 2 2 4 2 6 2 5" xfId="42663"/>
    <cellStyle name="Comma 2 2 2 4 2 6 3" xfId="7861"/>
    <cellStyle name="Comma 2 2 2 4 2 6 3 2" xfId="18321"/>
    <cellStyle name="Comma 2 2 2 4 2 6 3 2 2" xfId="39364"/>
    <cellStyle name="Comma 2 2 2 4 2 6 3 2 3" xfId="32941"/>
    <cellStyle name="Comma 2 2 2 4 2 6 3 3" xfId="22813"/>
    <cellStyle name="Comma 2 2 2 4 2 6 3 3 2" xfId="36157"/>
    <cellStyle name="Comma 2 2 2 4 2 6 3 4" xfId="29734"/>
    <cellStyle name="Comma 2 2 2 4 2 6 3 5" xfId="43642"/>
    <cellStyle name="Comma 2 2 2 4 2 6 4" xfId="6834"/>
    <cellStyle name="Comma 2 2 2 4 2 6 4 2" xfId="17337"/>
    <cellStyle name="Comma 2 2 2 4 2 6 4 2 2" xfId="38387"/>
    <cellStyle name="Comma 2 2 2 4 2 6 4 3" xfId="31964"/>
    <cellStyle name="Comma 2 2 2 4 2 6 5" xfId="16947"/>
    <cellStyle name="Comma 2 2 2 4 2 6 5 2" xfId="35180"/>
    <cellStyle name="Comma 2 2 2 4 2 6 6" xfId="20487"/>
    <cellStyle name="Comma 2 2 2 4 2 6 7" xfId="28757"/>
    <cellStyle name="Comma 2 2 2 4 2 6 8" xfId="41508"/>
    <cellStyle name="Comma 2 2 2 4 2 7" xfId="10216"/>
    <cellStyle name="Comma 2 2 2 4 2 7 2" xfId="19270"/>
    <cellStyle name="Comma 2 2 2 4 2 7 2 2" xfId="40313"/>
    <cellStyle name="Comma 2 2 2 4 2 7 2 3" xfId="33890"/>
    <cellStyle name="Comma 2 2 2 4 2 7 3" xfId="21470"/>
    <cellStyle name="Comma 2 2 2 4 2 7 3 2" xfId="37106"/>
    <cellStyle name="Comma 2 2 2 4 2 7 4" xfId="30683"/>
    <cellStyle name="Comma 2 2 2 4 2 7 5" xfId="42449"/>
    <cellStyle name="Comma 2 2 2 4 2 8" xfId="7856"/>
    <cellStyle name="Comma 2 2 2 4 2 8 2" xfId="18316"/>
    <cellStyle name="Comma 2 2 2 4 2 8 2 2" xfId="39359"/>
    <cellStyle name="Comma 2 2 2 4 2 8 2 3" xfId="32936"/>
    <cellStyle name="Comma 2 2 2 4 2 8 3" xfId="22808"/>
    <cellStyle name="Comma 2 2 2 4 2 8 3 2" xfId="36152"/>
    <cellStyle name="Comma 2 2 2 4 2 8 4" xfId="29729"/>
    <cellStyle name="Comma 2 2 2 4 2 8 5" xfId="43637"/>
    <cellStyle name="Comma 2 2 2 4 2 9" xfId="6616"/>
    <cellStyle name="Comma 2 2 2 4 2 9 2" xfId="17123"/>
    <cellStyle name="Comma 2 2 2 4 2 9 2 2" xfId="38176"/>
    <cellStyle name="Comma 2 2 2 4 2 9 3" xfId="31753"/>
    <cellStyle name="Comma 2 2 2 4 3" xfId="2090"/>
    <cellStyle name="Comma 2 2 2 4 3 10" xfId="20488"/>
    <cellStyle name="Comma 2 2 2 4 3 11" xfId="28758"/>
    <cellStyle name="Comma 2 2 2 4 3 12" xfId="41509"/>
    <cellStyle name="Comma 2 2 2 4 3 2" xfId="2960"/>
    <cellStyle name="Comma 2 2 2 4 3 2 2" xfId="10688"/>
    <cellStyle name="Comma 2 2 2 4 3 2 2 2" xfId="19487"/>
    <cellStyle name="Comma 2 2 2 4 3 2 2 2 2" xfId="40530"/>
    <cellStyle name="Comma 2 2 2 4 3 2 2 2 3" xfId="34107"/>
    <cellStyle name="Comma 2 2 2 4 3 2 2 3" xfId="21686"/>
    <cellStyle name="Comma 2 2 2 4 3 2 2 3 2" xfId="37323"/>
    <cellStyle name="Comma 2 2 2 4 3 2 2 4" xfId="30900"/>
    <cellStyle name="Comma 2 2 2 4 3 2 2 5" xfId="42665"/>
    <cellStyle name="Comma 2 2 2 4 3 2 3" xfId="7863"/>
    <cellStyle name="Comma 2 2 2 4 3 2 3 2" xfId="18323"/>
    <cellStyle name="Comma 2 2 2 4 3 2 3 2 2" xfId="39366"/>
    <cellStyle name="Comma 2 2 2 4 3 2 3 2 3" xfId="32943"/>
    <cellStyle name="Comma 2 2 2 4 3 2 3 3" xfId="22815"/>
    <cellStyle name="Comma 2 2 2 4 3 2 3 3 2" xfId="36159"/>
    <cellStyle name="Comma 2 2 2 4 3 2 3 4" xfId="29736"/>
    <cellStyle name="Comma 2 2 2 4 3 2 3 5" xfId="43644"/>
    <cellStyle name="Comma 2 2 2 4 3 2 4" xfId="6836"/>
    <cellStyle name="Comma 2 2 2 4 3 2 4 2" xfId="17339"/>
    <cellStyle name="Comma 2 2 2 4 3 2 4 2 2" xfId="38389"/>
    <cellStyle name="Comma 2 2 2 4 3 2 4 3" xfId="31966"/>
    <cellStyle name="Comma 2 2 2 4 3 2 5" xfId="16338"/>
    <cellStyle name="Comma 2 2 2 4 3 2 5 2" xfId="35182"/>
    <cellStyle name="Comma 2 2 2 4 3 2 6" xfId="20489"/>
    <cellStyle name="Comma 2 2 2 4 3 2 7" xfId="28759"/>
    <cellStyle name="Comma 2 2 2 4 3 2 8" xfId="41510"/>
    <cellStyle name="Comma 2 2 2 4 3 3" xfId="3830"/>
    <cellStyle name="Comma 2 2 2 4 3 3 2" xfId="10689"/>
    <cellStyle name="Comma 2 2 2 4 3 3 2 2" xfId="19488"/>
    <cellStyle name="Comma 2 2 2 4 3 3 2 2 2" xfId="40531"/>
    <cellStyle name="Comma 2 2 2 4 3 3 2 2 3" xfId="34108"/>
    <cellStyle name="Comma 2 2 2 4 3 3 2 3" xfId="21687"/>
    <cellStyle name="Comma 2 2 2 4 3 3 2 3 2" xfId="37324"/>
    <cellStyle name="Comma 2 2 2 4 3 3 2 4" xfId="30901"/>
    <cellStyle name="Comma 2 2 2 4 3 3 2 5" xfId="42666"/>
    <cellStyle name="Comma 2 2 2 4 3 3 3" xfId="7864"/>
    <cellStyle name="Comma 2 2 2 4 3 3 3 2" xfId="18324"/>
    <cellStyle name="Comma 2 2 2 4 3 3 3 2 2" xfId="39367"/>
    <cellStyle name="Comma 2 2 2 4 3 3 3 2 3" xfId="32944"/>
    <cellStyle name="Comma 2 2 2 4 3 3 3 3" xfId="22816"/>
    <cellStyle name="Comma 2 2 2 4 3 3 3 3 2" xfId="36160"/>
    <cellStyle name="Comma 2 2 2 4 3 3 3 4" xfId="29737"/>
    <cellStyle name="Comma 2 2 2 4 3 3 3 5" xfId="43645"/>
    <cellStyle name="Comma 2 2 2 4 3 3 4" xfId="6837"/>
    <cellStyle name="Comma 2 2 2 4 3 3 4 2" xfId="17340"/>
    <cellStyle name="Comma 2 2 2 4 3 3 4 2 2" xfId="38390"/>
    <cellStyle name="Comma 2 2 2 4 3 3 4 3" xfId="31967"/>
    <cellStyle name="Comma 2 2 2 4 3 3 5" xfId="16526"/>
    <cellStyle name="Comma 2 2 2 4 3 3 5 2" xfId="35183"/>
    <cellStyle name="Comma 2 2 2 4 3 3 6" xfId="20490"/>
    <cellStyle name="Comma 2 2 2 4 3 3 7" xfId="28760"/>
    <cellStyle name="Comma 2 2 2 4 3 3 8" xfId="41511"/>
    <cellStyle name="Comma 2 2 2 4 3 4" xfId="4708"/>
    <cellStyle name="Comma 2 2 2 4 3 4 2" xfId="10690"/>
    <cellStyle name="Comma 2 2 2 4 3 4 2 2" xfId="19489"/>
    <cellStyle name="Comma 2 2 2 4 3 4 2 2 2" xfId="40532"/>
    <cellStyle name="Comma 2 2 2 4 3 4 2 2 3" xfId="34109"/>
    <cellStyle name="Comma 2 2 2 4 3 4 2 3" xfId="21688"/>
    <cellStyle name="Comma 2 2 2 4 3 4 2 3 2" xfId="37325"/>
    <cellStyle name="Comma 2 2 2 4 3 4 2 4" xfId="30902"/>
    <cellStyle name="Comma 2 2 2 4 3 4 2 5" xfId="42667"/>
    <cellStyle name="Comma 2 2 2 4 3 4 3" xfId="7865"/>
    <cellStyle name="Comma 2 2 2 4 3 4 3 2" xfId="18325"/>
    <cellStyle name="Comma 2 2 2 4 3 4 3 2 2" xfId="39368"/>
    <cellStyle name="Comma 2 2 2 4 3 4 3 2 3" xfId="32945"/>
    <cellStyle name="Comma 2 2 2 4 3 4 3 3" xfId="22817"/>
    <cellStyle name="Comma 2 2 2 4 3 4 3 3 2" xfId="36161"/>
    <cellStyle name="Comma 2 2 2 4 3 4 3 4" xfId="29738"/>
    <cellStyle name="Comma 2 2 2 4 3 4 3 5" xfId="43646"/>
    <cellStyle name="Comma 2 2 2 4 3 4 4" xfId="6838"/>
    <cellStyle name="Comma 2 2 2 4 3 4 4 2" xfId="17341"/>
    <cellStyle name="Comma 2 2 2 4 3 4 4 2 2" xfId="38391"/>
    <cellStyle name="Comma 2 2 2 4 3 4 4 3" xfId="31968"/>
    <cellStyle name="Comma 2 2 2 4 3 4 5" xfId="16714"/>
    <cellStyle name="Comma 2 2 2 4 3 4 5 2" xfId="35184"/>
    <cellStyle name="Comma 2 2 2 4 3 4 6" xfId="20491"/>
    <cellStyle name="Comma 2 2 2 4 3 4 7" xfId="28761"/>
    <cellStyle name="Comma 2 2 2 4 3 4 8" xfId="41512"/>
    <cellStyle name="Comma 2 2 2 4 3 5" xfId="5973"/>
    <cellStyle name="Comma 2 2 2 4 3 5 2" xfId="10691"/>
    <cellStyle name="Comma 2 2 2 4 3 5 2 2" xfId="19490"/>
    <cellStyle name="Comma 2 2 2 4 3 5 2 2 2" xfId="40533"/>
    <cellStyle name="Comma 2 2 2 4 3 5 2 2 3" xfId="34110"/>
    <cellStyle name="Comma 2 2 2 4 3 5 2 3" xfId="21689"/>
    <cellStyle name="Comma 2 2 2 4 3 5 2 3 2" xfId="37326"/>
    <cellStyle name="Comma 2 2 2 4 3 5 2 4" xfId="30903"/>
    <cellStyle name="Comma 2 2 2 4 3 5 2 5" xfId="42668"/>
    <cellStyle name="Comma 2 2 2 4 3 5 3" xfId="7866"/>
    <cellStyle name="Comma 2 2 2 4 3 5 3 2" xfId="18326"/>
    <cellStyle name="Comma 2 2 2 4 3 5 3 2 2" xfId="39369"/>
    <cellStyle name="Comma 2 2 2 4 3 5 3 2 3" xfId="32946"/>
    <cellStyle name="Comma 2 2 2 4 3 5 3 3" xfId="22818"/>
    <cellStyle name="Comma 2 2 2 4 3 5 3 3 2" xfId="36162"/>
    <cellStyle name="Comma 2 2 2 4 3 5 3 4" xfId="29739"/>
    <cellStyle name="Comma 2 2 2 4 3 5 3 5" xfId="43647"/>
    <cellStyle name="Comma 2 2 2 4 3 5 4" xfId="6839"/>
    <cellStyle name="Comma 2 2 2 4 3 5 4 2" xfId="17342"/>
    <cellStyle name="Comma 2 2 2 4 3 5 4 2 2" xfId="38392"/>
    <cellStyle name="Comma 2 2 2 4 3 5 4 3" xfId="31969"/>
    <cellStyle name="Comma 2 2 2 4 3 5 5" xfId="17002"/>
    <cellStyle name="Comma 2 2 2 4 3 5 5 2" xfId="35185"/>
    <cellStyle name="Comma 2 2 2 4 3 5 6" xfId="20492"/>
    <cellStyle name="Comma 2 2 2 4 3 5 7" xfId="28762"/>
    <cellStyle name="Comma 2 2 2 4 3 5 8" xfId="41513"/>
    <cellStyle name="Comma 2 2 2 4 3 6" xfId="10687"/>
    <cellStyle name="Comma 2 2 2 4 3 6 2" xfId="19486"/>
    <cellStyle name="Comma 2 2 2 4 3 6 2 2" xfId="40529"/>
    <cellStyle name="Comma 2 2 2 4 3 6 2 3" xfId="34106"/>
    <cellStyle name="Comma 2 2 2 4 3 6 3" xfId="21685"/>
    <cellStyle name="Comma 2 2 2 4 3 6 3 2" xfId="37322"/>
    <cellStyle name="Comma 2 2 2 4 3 6 4" xfId="30899"/>
    <cellStyle name="Comma 2 2 2 4 3 6 5" xfId="42664"/>
    <cellStyle name="Comma 2 2 2 4 3 7" xfId="7862"/>
    <cellStyle name="Comma 2 2 2 4 3 7 2" xfId="18322"/>
    <cellStyle name="Comma 2 2 2 4 3 7 2 2" xfId="39365"/>
    <cellStyle name="Comma 2 2 2 4 3 7 2 3" xfId="32942"/>
    <cellStyle name="Comma 2 2 2 4 3 7 3" xfId="22814"/>
    <cellStyle name="Comma 2 2 2 4 3 7 3 2" xfId="36158"/>
    <cellStyle name="Comma 2 2 2 4 3 7 4" xfId="29735"/>
    <cellStyle name="Comma 2 2 2 4 3 7 5" xfId="43643"/>
    <cellStyle name="Comma 2 2 2 4 3 8" xfId="6835"/>
    <cellStyle name="Comma 2 2 2 4 3 8 2" xfId="17338"/>
    <cellStyle name="Comma 2 2 2 4 3 8 2 2" xfId="38388"/>
    <cellStyle name="Comma 2 2 2 4 3 8 3" xfId="31965"/>
    <cellStyle name="Comma 2 2 2 4 3 9" xfId="16149"/>
    <cellStyle name="Comma 2 2 2 4 3 9 2" xfId="35181"/>
    <cellStyle name="Comma 2 2 2 4 4" xfId="2455"/>
    <cellStyle name="Comma 2 2 2 4 4 2" xfId="10692"/>
    <cellStyle name="Comma 2 2 2 4 4 2 2" xfId="19491"/>
    <cellStyle name="Comma 2 2 2 4 4 2 2 2" xfId="40534"/>
    <cellStyle name="Comma 2 2 2 4 4 2 2 3" xfId="34111"/>
    <cellStyle name="Comma 2 2 2 4 4 2 3" xfId="21690"/>
    <cellStyle name="Comma 2 2 2 4 4 2 3 2" xfId="37327"/>
    <cellStyle name="Comma 2 2 2 4 4 2 4" xfId="30904"/>
    <cellStyle name="Comma 2 2 2 4 4 2 5" xfId="42669"/>
    <cellStyle name="Comma 2 2 2 4 4 3" xfId="7867"/>
    <cellStyle name="Comma 2 2 2 4 4 3 2" xfId="18327"/>
    <cellStyle name="Comma 2 2 2 4 4 3 2 2" xfId="39370"/>
    <cellStyle name="Comma 2 2 2 4 4 3 2 3" xfId="32947"/>
    <cellStyle name="Comma 2 2 2 4 4 3 3" xfId="22819"/>
    <cellStyle name="Comma 2 2 2 4 4 3 3 2" xfId="36163"/>
    <cellStyle name="Comma 2 2 2 4 4 3 4" xfId="29740"/>
    <cellStyle name="Comma 2 2 2 4 4 3 5" xfId="43648"/>
    <cellStyle name="Comma 2 2 2 4 4 4" xfId="6840"/>
    <cellStyle name="Comma 2 2 2 4 4 4 2" xfId="17343"/>
    <cellStyle name="Comma 2 2 2 4 4 4 2 2" xfId="38393"/>
    <cellStyle name="Comma 2 2 2 4 4 4 3" xfId="31970"/>
    <cellStyle name="Comma 2 2 2 4 4 5" xfId="16230"/>
    <cellStyle name="Comma 2 2 2 4 4 5 2" xfId="35186"/>
    <cellStyle name="Comma 2 2 2 4 4 6" xfId="20493"/>
    <cellStyle name="Comma 2 2 2 4 4 7" xfId="28763"/>
    <cellStyle name="Comma 2 2 2 4 4 8" xfId="41514"/>
    <cellStyle name="Comma 2 2 2 4 5" xfId="3318"/>
    <cellStyle name="Comma 2 2 2 4 5 2" xfId="10693"/>
    <cellStyle name="Comma 2 2 2 4 5 2 2" xfId="19492"/>
    <cellStyle name="Comma 2 2 2 4 5 2 2 2" xfId="40535"/>
    <cellStyle name="Comma 2 2 2 4 5 2 2 3" xfId="34112"/>
    <cellStyle name="Comma 2 2 2 4 5 2 3" xfId="21691"/>
    <cellStyle name="Comma 2 2 2 4 5 2 3 2" xfId="37328"/>
    <cellStyle name="Comma 2 2 2 4 5 2 4" xfId="30905"/>
    <cellStyle name="Comma 2 2 2 4 5 2 5" xfId="42670"/>
    <cellStyle name="Comma 2 2 2 4 5 3" xfId="7868"/>
    <cellStyle name="Comma 2 2 2 4 5 3 2" xfId="18328"/>
    <cellStyle name="Comma 2 2 2 4 5 3 2 2" xfId="39371"/>
    <cellStyle name="Comma 2 2 2 4 5 3 2 3" xfId="32948"/>
    <cellStyle name="Comma 2 2 2 4 5 3 3" xfId="22820"/>
    <cellStyle name="Comma 2 2 2 4 5 3 3 2" xfId="36164"/>
    <cellStyle name="Comma 2 2 2 4 5 3 4" xfId="29741"/>
    <cellStyle name="Comma 2 2 2 4 5 3 5" xfId="43649"/>
    <cellStyle name="Comma 2 2 2 4 5 4" xfId="6841"/>
    <cellStyle name="Comma 2 2 2 4 5 4 2" xfId="17344"/>
    <cellStyle name="Comma 2 2 2 4 5 4 2 2" xfId="38394"/>
    <cellStyle name="Comma 2 2 2 4 5 4 3" xfId="31971"/>
    <cellStyle name="Comma 2 2 2 4 5 5" xfId="16418"/>
    <cellStyle name="Comma 2 2 2 4 5 5 2" xfId="35187"/>
    <cellStyle name="Comma 2 2 2 4 5 6" xfId="20494"/>
    <cellStyle name="Comma 2 2 2 4 5 7" xfId="28764"/>
    <cellStyle name="Comma 2 2 2 4 5 8" xfId="41515"/>
    <cellStyle name="Comma 2 2 2 4 6" xfId="4186"/>
    <cellStyle name="Comma 2 2 2 4 6 2" xfId="10694"/>
    <cellStyle name="Comma 2 2 2 4 6 2 2" xfId="19493"/>
    <cellStyle name="Comma 2 2 2 4 6 2 2 2" xfId="40536"/>
    <cellStyle name="Comma 2 2 2 4 6 2 2 3" xfId="34113"/>
    <cellStyle name="Comma 2 2 2 4 6 2 3" xfId="21692"/>
    <cellStyle name="Comma 2 2 2 4 6 2 3 2" xfId="37329"/>
    <cellStyle name="Comma 2 2 2 4 6 2 4" xfId="30906"/>
    <cellStyle name="Comma 2 2 2 4 6 2 5" xfId="42671"/>
    <cellStyle name="Comma 2 2 2 4 6 3" xfId="7869"/>
    <cellStyle name="Comma 2 2 2 4 6 3 2" xfId="18329"/>
    <cellStyle name="Comma 2 2 2 4 6 3 2 2" xfId="39372"/>
    <cellStyle name="Comma 2 2 2 4 6 3 2 3" xfId="32949"/>
    <cellStyle name="Comma 2 2 2 4 6 3 3" xfId="22821"/>
    <cellStyle name="Comma 2 2 2 4 6 3 3 2" xfId="36165"/>
    <cellStyle name="Comma 2 2 2 4 6 3 4" xfId="29742"/>
    <cellStyle name="Comma 2 2 2 4 6 3 5" xfId="43650"/>
    <cellStyle name="Comma 2 2 2 4 6 4" xfId="6842"/>
    <cellStyle name="Comma 2 2 2 4 6 4 2" xfId="17345"/>
    <cellStyle name="Comma 2 2 2 4 6 4 2 2" xfId="38395"/>
    <cellStyle name="Comma 2 2 2 4 6 4 3" xfId="31972"/>
    <cellStyle name="Comma 2 2 2 4 6 5" xfId="16606"/>
    <cellStyle name="Comma 2 2 2 4 6 5 2" xfId="35188"/>
    <cellStyle name="Comma 2 2 2 4 6 6" xfId="20495"/>
    <cellStyle name="Comma 2 2 2 4 6 7" xfId="28765"/>
    <cellStyle name="Comma 2 2 2 4 6 8" xfId="41516"/>
    <cellStyle name="Comma 2 2 2 4 7" xfId="4983"/>
    <cellStyle name="Comma 2 2 2 4 7 2" xfId="10695"/>
    <cellStyle name="Comma 2 2 2 4 7 2 2" xfId="19494"/>
    <cellStyle name="Comma 2 2 2 4 7 2 2 2" xfId="40537"/>
    <cellStyle name="Comma 2 2 2 4 7 2 2 3" xfId="34114"/>
    <cellStyle name="Comma 2 2 2 4 7 2 3" xfId="21693"/>
    <cellStyle name="Comma 2 2 2 4 7 2 3 2" xfId="37330"/>
    <cellStyle name="Comma 2 2 2 4 7 2 4" xfId="30907"/>
    <cellStyle name="Comma 2 2 2 4 7 2 5" xfId="42672"/>
    <cellStyle name="Comma 2 2 2 4 7 3" xfId="7870"/>
    <cellStyle name="Comma 2 2 2 4 7 3 2" xfId="18330"/>
    <cellStyle name="Comma 2 2 2 4 7 3 2 2" xfId="39373"/>
    <cellStyle name="Comma 2 2 2 4 7 3 2 3" xfId="32950"/>
    <cellStyle name="Comma 2 2 2 4 7 3 3" xfId="22822"/>
    <cellStyle name="Comma 2 2 2 4 7 3 3 2" xfId="36166"/>
    <cellStyle name="Comma 2 2 2 4 7 3 4" xfId="29743"/>
    <cellStyle name="Comma 2 2 2 4 7 3 5" xfId="43651"/>
    <cellStyle name="Comma 2 2 2 4 7 4" xfId="6843"/>
    <cellStyle name="Comma 2 2 2 4 7 4 2" xfId="17346"/>
    <cellStyle name="Comma 2 2 2 4 7 4 2 2" xfId="38396"/>
    <cellStyle name="Comma 2 2 2 4 7 4 3" xfId="31973"/>
    <cellStyle name="Comma 2 2 2 4 7 5" xfId="16798"/>
    <cellStyle name="Comma 2 2 2 4 7 5 2" xfId="35189"/>
    <cellStyle name="Comma 2 2 2 4 7 6" xfId="20496"/>
    <cellStyle name="Comma 2 2 2 4 7 7" xfId="28766"/>
    <cellStyle name="Comma 2 2 2 4 7 8" xfId="41517"/>
    <cellStyle name="Comma 2 2 2 4 8" xfId="5448"/>
    <cellStyle name="Comma 2 2 2 4 8 2" xfId="10696"/>
    <cellStyle name="Comma 2 2 2 4 8 2 2" xfId="19495"/>
    <cellStyle name="Comma 2 2 2 4 8 2 2 2" xfId="40538"/>
    <cellStyle name="Comma 2 2 2 4 8 2 2 3" xfId="34115"/>
    <cellStyle name="Comma 2 2 2 4 8 2 3" xfId="21694"/>
    <cellStyle name="Comma 2 2 2 4 8 2 3 2" xfId="37331"/>
    <cellStyle name="Comma 2 2 2 4 8 2 4" xfId="30908"/>
    <cellStyle name="Comma 2 2 2 4 8 2 5" xfId="42673"/>
    <cellStyle name="Comma 2 2 2 4 8 3" xfId="7871"/>
    <cellStyle name="Comma 2 2 2 4 8 3 2" xfId="18331"/>
    <cellStyle name="Comma 2 2 2 4 8 3 2 2" xfId="39374"/>
    <cellStyle name="Comma 2 2 2 4 8 3 2 3" xfId="32951"/>
    <cellStyle name="Comma 2 2 2 4 8 3 3" xfId="22823"/>
    <cellStyle name="Comma 2 2 2 4 8 3 3 2" xfId="36167"/>
    <cellStyle name="Comma 2 2 2 4 8 3 4" xfId="29744"/>
    <cellStyle name="Comma 2 2 2 4 8 3 5" xfId="43652"/>
    <cellStyle name="Comma 2 2 2 4 8 4" xfId="6844"/>
    <cellStyle name="Comma 2 2 2 4 8 4 2" xfId="17347"/>
    <cellStyle name="Comma 2 2 2 4 8 4 2 2" xfId="38397"/>
    <cellStyle name="Comma 2 2 2 4 8 4 3" xfId="31974"/>
    <cellStyle name="Comma 2 2 2 4 8 5" xfId="16894"/>
    <cellStyle name="Comma 2 2 2 4 8 5 2" xfId="35190"/>
    <cellStyle name="Comma 2 2 2 4 8 6" xfId="20497"/>
    <cellStyle name="Comma 2 2 2 4 8 7" xfId="28767"/>
    <cellStyle name="Comma 2 2 2 4 8 8" xfId="41518"/>
    <cellStyle name="Comma 2 2 2 4 9" xfId="10219"/>
    <cellStyle name="Comma 2 2 2 4 9 2" xfId="19273"/>
    <cellStyle name="Comma 2 2 2 4 9 2 2" xfId="40316"/>
    <cellStyle name="Comma 2 2 2 4 9 2 3" xfId="33893"/>
    <cellStyle name="Comma 2 2 2 4 9 3" xfId="21473"/>
    <cellStyle name="Comma 2 2 2 4 9 3 2" xfId="37109"/>
    <cellStyle name="Comma 2 2 2 4 9 4" xfId="30686"/>
    <cellStyle name="Comma 2 2 2 4 9 5" xfId="42452"/>
    <cellStyle name="Comma 2 2 2 5" xfId="1808"/>
    <cellStyle name="Comma 2 2 2 5 10" xfId="16086"/>
    <cellStyle name="Comma 2 2 2 5 10 2" xfId="34961"/>
    <cellStyle name="Comma 2 2 2 5 11" xfId="20498"/>
    <cellStyle name="Comma 2 2 2 5 12" xfId="28536"/>
    <cellStyle name="Comma 2 2 2 5 13" xfId="41519"/>
    <cellStyle name="Comma 2 2 2 5 2" xfId="2698"/>
    <cellStyle name="Comma 2 2 2 5 2 2" xfId="10697"/>
    <cellStyle name="Comma 2 2 2 5 2 2 2" xfId="19496"/>
    <cellStyle name="Comma 2 2 2 5 2 2 2 2" xfId="40539"/>
    <cellStyle name="Comma 2 2 2 5 2 2 2 3" xfId="34116"/>
    <cellStyle name="Comma 2 2 2 5 2 2 3" xfId="21695"/>
    <cellStyle name="Comma 2 2 2 5 2 2 3 2" xfId="37332"/>
    <cellStyle name="Comma 2 2 2 5 2 2 4" xfId="30909"/>
    <cellStyle name="Comma 2 2 2 5 2 2 5" xfId="42674"/>
    <cellStyle name="Comma 2 2 2 5 2 3" xfId="7873"/>
    <cellStyle name="Comma 2 2 2 5 2 3 2" xfId="18333"/>
    <cellStyle name="Comma 2 2 2 5 2 3 2 2" xfId="39376"/>
    <cellStyle name="Comma 2 2 2 5 2 3 2 3" xfId="32953"/>
    <cellStyle name="Comma 2 2 2 5 2 3 3" xfId="22825"/>
    <cellStyle name="Comma 2 2 2 5 2 3 3 2" xfId="36169"/>
    <cellStyle name="Comma 2 2 2 5 2 3 4" xfId="29746"/>
    <cellStyle name="Comma 2 2 2 5 2 3 5" xfId="43654"/>
    <cellStyle name="Comma 2 2 2 5 2 4" xfId="6845"/>
    <cellStyle name="Comma 2 2 2 5 2 4 2" xfId="17348"/>
    <cellStyle name="Comma 2 2 2 5 2 4 2 2" xfId="38398"/>
    <cellStyle name="Comma 2 2 2 5 2 4 3" xfId="31975"/>
    <cellStyle name="Comma 2 2 2 5 2 5" xfId="16276"/>
    <cellStyle name="Comma 2 2 2 5 2 5 2" xfId="35191"/>
    <cellStyle name="Comma 2 2 2 5 2 6" xfId="20499"/>
    <cellStyle name="Comma 2 2 2 5 2 7" xfId="28768"/>
    <cellStyle name="Comma 2 2 2 5 2 8" xfId="41520"/>
    <cellStyle name="Comma 2 2 2 5 3" xfId="3562"/>
    <cellStyle name="Comma 2 2 2 5 3 2" xfId="10698"/>
    <cellStyle name="Comma 2 2 2 5 3 2 2" xfId="19497"/>
    <cellStyle name="Comma 2 2 2 5 3 2 2 2" xfId="40540"/>
    <cellStyle name="Comma 2 2 2 5 3 2 2 3" xfId="34117"/>
    <cellStyle name="Comma 2 2 2 5 3 2 3" xfId="21696"/>
    <cellStyle name="Comma 2 2 2 5 3 2 3 2" xfId="37333"/>
    <cellStyle name="Comma 2 2 2 5 3 2 4" xfId="30910"/>
    <cellStyle name="Comma 2 2 2 5 3 2 5" xfId="42675"/>
    <cellStyle name="Comma 2 2 2 5 3 3" xfId="7874"/>
    <cellStyle name="Comma 2 2 2 5 3 3 2" xfId="18334"/>
    <cellStyle name="Comma 2 2 2 5 3 3 2 2" xfId="39377"/>
    <cellStyle name="Comma 2 2 2 5 3 3 2 3" xfId="32954"/>
    <cellStyle name="Comma 2 2 2 5 3 3 3" xfId="22826"/>
    <cellStyle name="Comma 2 2 2 5 3 3 3 2" xfId="36170"/>
    <cellStyle name="Comma 2 2 2 5 3 3 4" xfId="29747"/>
    <cellStyle name="Comma 2 2 2 5 3 3 5" xfId="43655"/>
    <cellStyle name="Comma 2 2 2 5 3 4" xfId="6846"/>
    <cellStyle name="Comma 2 2 2 5 3 4 2" xfId="17349"/>
    <cellStyle name="Comma 2 2 2 5 3 4 2 2" xfId="38399"/>
    <cellStyle name="Comma 2 2 2 5 3 4 3" xfId="31976"/>
    <cellStyle name="Comma 2 2 2 5 3 5" xfId="16464"/>
    <cellStyle name="Comma 2 2 2 5 3 5 2" xfId="35192"/>
    <cellStyle name="Comma 2 2 2 5 3 6" xfId="20500"/>
    <cellStyle name="Comma 2 2 2 5 3 7" xfId="28769"/>
    <cellStyle name="Comma 2 2 2 5 3 8" xfId="41521"/>
    <cellStyle name="Comma 2 2 2 5 4" xfId="4437"/>
    <cellStyle name="Comma 2 2 2 5 4 2" xfId="10699"/>
    <cellStyle name="Comma 2 2 2 5 4 2 2" xfId="19498"/>
    <cellStyle name="Comma 2 2 2 5 4 2 2 2" xfId="40541"/>
    <cellStyle name="Comma 2 2 2 5 4 2 2 3" xfId="34118"/>
    <cellStyle name="Comma 2 2 2 5 4 2 3" xfId="21697"/>
    <cellStyle name="Comma 2 2 2 5 4 2 3 2" xfId="37334"/>
    <cellStyle name="Comma 2 2 2 5 4 2 4" xfId="30911"/>
    <cellStyle name="Comma 2 2 2 5 4 2 5" xfId="42676"/>
    <cellStyle name="Comma 2 2 2 5 4 3" xfId="7875"/>
    <cellStyle name="Comma 2 2 2 5 4 3 2" xfId="18335"/>
    <cellStyle name="Comma 2 2 2 5 4 3 2 2" xfId="39378"/>
    <cellStyle name="Comma 2 2 2 5 4 3 2 3" xfId="32955"/>
    <cellStyle name="Comma 2 2 2 5 4 3 3" xfId="22827"/>
    <cellStyle name="Comma 2 2 2 5 4 3 3 2" xfId="36171"/>
    <cellStyle name="Comma 2 2 2 5 4 3 4" xfId="29748"/>
    <cellStyle name="Comma 2 2 2 5 4 3 5" xfId="43656"/>
    <cellStyle name="Comma 2 2 2 5 4 4" xfId="6847"/>
    <cellStyle name="Comma 2 2 2 5 4 4 2" xfId="17350"/>
    <cellStyle name="Comma 2 2 2 5 4 4 2 2" xfId="38400"/>
    <cellStyle name="Comma 2 2 2 5 4 4 3" xfId="31977"/>
    <cellStyle name="Comma 2 2 2 5 4 5" xfId="16652"/>
    <cellStyle name="Comma 2 2 2 5 4 5 2" xfId="35193"/>
    <cellStyle name="Comma 2 2 2 5 4 6" xfId="20501"/>
    <cellStyle name="Comma 2 2 2 5 4 7" xfId="28770"/>
    <cellStyle name="Comma 2 2 2 5 4 8" xfId="41522"/>
    <cellStyle name="Comma 2 2 2 5 5" xfId="4985"/>
    <cellStyle name="Comma 2 2 2 5 5 2" xfId="10700"/>
    <cellStyle name="Comma 2 2 2 5 5 2 2" xfId="19499"/>
    <cellStyle name="Comma 2 2 2 5 5 2 2 2" xfId="40542"/>
    <cellStyle name="Comma 2 2 2 5 5 2 2 3" xfId="34119"/>
    <cellStyle name="Comma 2 2 2 5 5 2 3" xfId="21698"/>
    <cellStyle name="Comma 2 2 2 5 5 2 3 2" xfId="37335"/>
    <cellStyle name="Comma 2 2 2 5 5 2 4" xfId="30912"/>
    <cellStyle name="Comma 2 2 2 5 5 2 5" xfId="42677"/>
    <cellStyle name="Comma 2 2 2 5 5 3" xfId="7876"/>
    <cellStyle name="Comma 2 2 2 5 5 3 2" xfId="18336"/>
    <cellStyle name="Comma 2 2 2 5 5 3 2 2" xfId="39379"/>
    <cellStyle name="Comma 2 2 2 5 5 3 2 3" xfId="32956"/>
    <cellStyle name="Comma 2 2 2 5 5 3 3" xfId="22828"/>
    <cellStyle name="Comma 2 2 2 5 5 3 3 2" xfId="36172"/>
    <cellStyle name="Comma 2 2 2 5 5 3 4" xfId="29749"/>
    <cellStyle name="Comma 2 2 2 5 5 3 5" xfId="43657"/>
    <cellStyle name="Comma 2 2 2 5 5 4" xfId="6848"/>
    <cellStyle name="Comma 2 2 2 5 5 4 2" xfId="17351"/>
    <cellStyle name="Comma 2 2 2 5 5 4 2 2" xfId="38401"/>
    <cellStyle name="Comma 2 2 2 5 5 4 3" xfId="31978"/>
    <cellStyle name="Comma 2 2 2 5 5 5" xfId="16800"/>
    <cellStyle name="Comma 2 2 2 5 5 5 2" xfId="35194"/>
    <cellStyle name="Comma 2 2 2 5 5 6" xfId="20502"/>
    <cellStyle name="Comma 2 2 2 5 5 7" xfId="28771"/>
    <cellStyle name="Comma 2 2 2 5 5 8" xfId="41523"/>
    <cellStyle name="Comma 2 2 2 5 6" xfId="5702"/>
    <cellStyle name="Comma 2 2 2 5 6 2" xfId="10701"/>
    <cellStyle name="Comma 2 2 2 5 6 2 2" xfId="19500"/>
    <cellStyle name="Comma 2 2 2 5 6 2 2 2" xfId="40543"/>
    <cellStyle name="Comma 2 2 2 5 6 2 2 3" xfId="34120"/>
    <cellStyle name="Comma 2 2 2 5 6 2 3" xfId="21699"/>
    <cellStyle name="Comma 2 2 2 5 6 2 3 2" xfId="37336"/>
    <cellStyle name="Comma 2 2 2 5 6 2 4" xfId="30913"/>
    <cellStyle name="Comma 2 2 2 5 6 2 5" xfId="42678"/>
    <cellStyle name="Comma 2 2 2 5 6 3" xfId="7877"/>
    <cellStyle name="Comma 2 2 2 5 6 3 2" xfId="18337"/>
    <cellStyle name="Comma 2 2 2 5 6 3 2 2" xfId="39380"/>
    <cellStyle name="Comma 2 2 2 5 6 3 2 3" xfId="32957"/>
    <cellStyle name="Comma 2 2 2 5 6 3 3" xfId="22829"/>
    <cellStyle name="Comma 2 2 2 5 6 3 3 2" xfId="36173"/>
    <cellStyle name="Comma 2 2 2 5 6 3 4" xfId="29750"/>
    <cellStyle name="Comma 2 2 2 5 6 3 5" xfId="43658"/>
    <cellStyle name="Comma 2 2 2 5 6 4" xfId="6849"/>
    <cellStyle name="Comma 2 2 2 5 6 4 2" xfId="17352"/>
    <cellStyle name="Comma 2 2 2 5 6 4 2 2" xfId="38402"/>
    <cellStyle name="Comma 2 2 2 5 6 4 3" xfId="31979"/>
    <cellStyle name="Comma 2 2 2 5 6 5" xfId="16940"/>
    <cellStyle name="Comma 2 2 2 5 6 5 2" xfId="35195"/>
    <cellStyle name="Comma 2 2 2 5 6 6" xfId="20503"/>
    <cellStyle name="Comma 2 2 2 5 6 7" xfId="28772"/>
    <cellStyle name="Comma 2 2 2 5 6 8" xfId="41524"/>
    <cellStyle name="Comma 2 2 2 5 7" xfId="10208"/>
    <cellStyle name="Comma 2 2 2 5 7 2" xfId="19262"/>
    <cellStyle name="Comma 2 2 2 5 7 2 2" xfId="40305"/>
    <cellStyle name="Comma 2 2 2 5 7 2 3" xfId="33882"/>
    <cellStyle name="Comma 2 2 2 5 7 3" xfId="21462"/>
    <cellStyle name="Comma 2 2 2 5 7 3 2" xfId="37098"/>
    <cellStyle name="Comma 2 2 2 5 7 4" xfId="30675"/>
    <cellStyle name="Comma 2 2 2 5 7 5" xfId="42441"/>
    <cellStyle name="Comma 2 2 2 5 8" xfId="7872"/>
    <cellStyle name="Comma 2 2 2 5 8 2" xfId="18332"/>
    <cellStyle name="Comma 2 2 2 5 8 2 2" xfId="39375"/>
    <cellStyle name="Comma 2 2 2 5 8 2 3" xfId="32952"/>
    <cellStyle name="Comma 2 2 2 5 8 3" xfId="22824"/>
    <cellStyle name="Comma 2 2 2 5 8 3 2" xfId="36168"/>
    <cellStyle name="Comma 2 2 2 5 8 4" xfId="29745"/>
    <cellStyle name="Comma 2 2 2 5 8 5" xfId="43653"/>
    <cellStyle name="Comma 2 2 2 5 9" xfId="6608"/>
    <cellStyle name="Comma 2 2 2 5 9 2" xfId="17115"/>
    <cellStyle name="Comma 2 2 2 5 9 2 2" xfId="38168"/>
    <cellStyle name="Comma 2 2 2 5 9 3" xfId="31745"/>
    <cellStyle name="Comma 2 2 2 6" xfId="2083"/>
    <cellStyle name="Comma 2 2 2 6 10" xfId="20504"/>
    <cellStyle name="Comma 2 2 2 6 11" xfId="28773"/>
    <cellStyle name="Comma 2 2 2 6 12" xfId="41525"/>
    <cellStyle name="Comma 2 2 2 6 2" xfId="2953"/>
    <cellStyle name="Comma 2 2 2 6 2 2" xfId="10703"/>
    <cellStyle name="Comma 2 2 2 6 2 2 2" xfId="19502"/>
    <cellStyle name="Comma 2 2 2 6 2 2 2 2" xfId="40545"/>
    <cellStyle name="Comma 2 2 2 6 2 2 2 3" xfId="34122"/>
    <cellStyle name="Comma 2 2 2 6 2 2 3" xfId="21701"/>
    <cellStyle name="Comma 2 2 2 6 2 2 3 2" xfId="37338"/>
    <cellStyle name="Comma 2 2 2 6 2 2 4" xfId="30915"/>
    <cellStyle name="Comma 2 2 2 6 2 2 5" xfId="42680"/>
    <cellStyle name="Comma 2 2 2 6 2 3" xfId="7879"/>
    <cellStyle name="Comma 2 2 2 6 2 3 2" xfId="18339"/>
    <cellStyle name="Comma 2 2 2 6 2 3 2 2" xfId="39382"/>
    <cellStyle name="Comma 2 2 2 6 2 3 2 3" xfId="32959"/>
    <cellStyle name="Comma 2 2 2 6 2 3 3" xfId="22831"/>
    <cellStyle name="Comma 2 2 2 6 2 3 3 2" xfId="36175"/>
    <cellStyle name="Comma 2 2 2 6 2 3 4" xfId="29752"/>
    <cellStyle name="Comma 2 2 2 6 2 3 5" xfId="43660"/>
    <cellStyle name="Comma 2 2 2 6 2 4" xfId="6851"/>
    <cellStyle name="Comma 2 2 2 6 2 4 2" xfId="17354"/>
    <cellStyle name="Comma 2 2 2 6 2 4 2 2" xfId="38404"/>
    <cellStyle name="Comma 2 2 2 6 2 4 3" xfId="31981"/>
    <cellStyle name="Comma 2 2 2 6 2 5" xfId="16331"/>
    <cellStyle name="Comma 2 2 2 6 2 5 2" xfId="35197"/>
    <cellStyle name="Comma 2 2 2 6 2 6" xfId="20505"/>
    <cellStyle name="Comma 2 2 2 6 2 7" xfId="28774"/>
    <cellStyle name="Comma 2 2 2 6 2 8" xfId="41526"/>
    <cellStyle name="Comma 2 2 2 6 3" xfId="3823"/>
    <cellStyle name="Comma 2 2 2 6 3 2" xfId="10704"/>
    <cellStyle name="Comma 2 2 2 6 3 2 2" xfId="19503"/>
    <cellStyle name="Comma 2 2 2 6 3 2 2 2" xfId="40546"/>
    <cellStyle name="Comma 2 2 2 6 3 2 2 3" xfId="34123"/>
    <cellStyle name="Comma 2 2 2 6 3 2 3" xfId="21702"/>
    <cellStyle name="Comma 2 2 2 6 3 2 3 2" xfId="37339"/>
    <cellStyle name="Comma 2 2 2 6 3 2 4" xfId="30916"/>
    <cellStyle name="Comma 2 2 2 6 3 2 5" xfId="42681"/>
    <cellStyle name="Comma 2 2 2 6 3 3" xfId="7880"/>
    <cellStyle name="Comma 2 2 2 6 3 3 2" xfId="18340"/>
    <cellStyle name="Comma 2 2 2 6 3 3 2 2" xfId="39383"/>
    <cellStyle name="Comma 2 2 2 6 3 3 2 3" xfId="32960"/>
    <cellStyle name="Comma 2 2 2 6 3 3 3" xfId="22832"/>
    <cellStyle name="Comma 2 2 2 6 3 3 3 2" xfId="36176"/>
    <cellStyle name="Comma 2 2 2 6 3 3 4" xfId="29753"/>
    <cellStyle name="Comma 2 2 2 6 3 3 5" xfId="43661"/>
    <cellStyle name="Comma 2 2 2 6 3 4" xfId="6852"/>
    <cellStyle name="Comma 2 2 2 6 3 4 2" xfId="17355"/>
    <cellStyle name="Comma 2 2 2 6 3 4 2 2" xfId="38405"/>
    <cellStyle name="Comma 2 2 2 6 3 4 3" xfId="31982"/>
    <cellStyle name="Comma 2 2 2 6 3 5" xfId="16519"/>
    <cellStyle name="Comma 2 2 2 6 3 5 2" xfId="35198"/>
    <cellStyle name="Comma 2 2 2 6 3 6" xfId="20506"/>
    <cellStyle name="Comma 2 2 2 6 3 7" xfId="28775"/>
    <cellStyle name="Comma 2 2 2 6 3 8" xfId="41527"/>
    <cellStyle name="Comma 2 2 2 6 4" xfId="4701"/>
    <cellStyle name="Comma 2 2 2 6 4 2" xfId="10705"/>
    <cellStyle name="Comma 2 2 2 6 4 2 2" xfId="19504"/>
    <cellStyle name="Comma 2 2 2 6 4 2 2 2" xfId="40547"/>
    <cellStyle name="Comma 2 2 2 6 4 2 2 3" xfId="34124"/>
    <cellStyle name="Comma 2 2 2 6 4 2 3" xfId="21703"/>
    <cellStyle name="Comma 2 2 2 6 4 2 3 2" xfId="37340"/>
    <cellStyle name="Comma 2 2 2 6 4 2 4" xfId="30917"/>
    <cellStyle name="Comma 2 2 2 6 4 2 5" xfId="42682"/>
    <cellStyle name="Comma 2 2 2 6 4 3" xfId="7881"/>
    <cellStyle name="Comma 2 2 2 6 4 3 2" xfId="18341"/>
    <cellStyle name="Comma 2 2 2 6 4 3 2 2" xfId="39384"/>
    <cellStyle name="Comma 2 2 2 6 4 3 2 3" xfId="32961"/>
    <cellStyle name="Comma 2 2 2 6 4 3 3" xfId="22833"/>
    <cellStyle name="Comma 2 2 2 6 4 3 3 2" xfId="36177"/>
    <cellStyle name="Comma 2 2 2 6 4 3 4" xfId="29754"/>
    <cellStyle name="Comma 2 2 2 6 4 3 5" xfId="43662"/>
    <cellStyle name="Comma 2 2 2 6 4 4" xfId="6853"/>
    <cellStyle name="Comma 2 2 2 6 4 4 2" xfId="17356"/>
    <cellStyle name="Comma 2 2 2 6 4 4 2 2" xfId="38406"/>
    <cellStyle name="Comma 2 2 2 6 4 4 3" xfId="31983"/>
    <cellStyle name="Comma 2 2 2 6 4 5" xfId="16707"/>
    <cellStyle name="Comma 2 2 2 6 4 5 2" xfId="35199"/>
    <cellStyle name="Comma 2 2 2 6 4 6" xfId="20507"/>
    <cellStyle name="Comma 2 2 2 6 4 7" xfId="28776"/>
    <cellStyle name="Comma 2 2 2 6 4 8" xfId="41528"/>
    <cellStyle name="Comma 2 2 2 6 5" xfId="5966"/>
    <cellStyle name="Comma 2 2 2 6 5 2" xfId="10706"/>
    <cellStyle name="Comma 2 2 2 6 5 2 2" xfId="19505"/>
    <cellStyle name="Comma 2 2 2 6 5 2 2 2" xfId="40548"/>
    <cellStyle name="Comma 2 2 2 6 5 2 2 3" xfId="34125"/>
    <cellStyle name="Comma 2 2 2 6 5 2 3" xfId="21704"/>
    <cellStyle name="Comma 2 2 2 6 5 2 3 2" xfId="37341"/>
    <cellStyle name="Comma 2 2 2 6 5 2 4" xfId="30918"/>
    <cellStyle name="Comma 2 2 2 6 5 2 5" xfId="42683"/>
    <cellStyle name="Comma 2 2 2 6 5 3" xfId="7882"/>
    <cellStyle name="Comma 2 2 2 6 5 3 2" xfId="18342"/>
    <cellStyle name="Comma 2 2 2 6 5 3 2 2" xfId="39385"/>
    <cellStyle name="Comma 2 2 2 6 5 3 2 3" xfId="32962"/>
    <cellStyle name="Comma 2 2 2 6 5 3 3" xfId="22834"/>
    <cellStyle name="Comma 2 2 2 6 5 3 3 2" xfId="36178"/>
    <cellStyle name="Comma 2 2 2 6 5 3 4" xfId="29755"/>
    <cellStyle name="Comma 2 2 2 6 5 3 5" xfId="43663"/>
    <cellStyle name="Comma 2 2 2 6 5 4" xfId="6854"/>
    <cellStyle name="Comma 2 2 2 6 5 4 2" xfId="17357"/>
    <cellStyle name="Comma 2 2 2 6 5 4 2 2" xfId="38407"/>
    <cellStyle name="Comma 2 2 2 6 5 4 3" xfId="31984"/>
    <cellStyle name="Comma 2 2 2 6 5 5" xfId="16995"/>
    <cellStyle name="Comma 2 2 2 6 5 5 2" xfId="35200"/>
    <cellStyle name="Comma 2 2 2 6 5 6" xfId="20508"/>
    <cellStyle name="Comma 2 2 2 6 5 7" xfId="28777"/>
    <cellStyle name="Comma 2 2 2 6 5 8" xfId="41529"/>
    <cellStyle name="Comma 2 2 2 6 6" xfId="10702"/>
    <cellStyle name="Comma 2 2 2 6 6 2" xfId="19501"/>
    <cellStyle name="Comma 2 2 2 6 6 2 2" xfId="40544"/>
    <cellStyle name="Comma 2 2 2 6 6 2 3" xfId="34121"/>
    <cellStyle name="Comma 2 2 2 6 6 3" xfId="21700"/>
    <cellStyle name="Comma 2 2 2 6 6 3 2" xfId="37337"/>
    <cellStyle name="Comma 2 2 2 6 6 4" xfId="30914"/>
    <cellStyle name="Comma 2 2 2 6 6 5" xfId="42679"/>
    <cellStyle name="Comma 2 2 2 6 7" xfId="7878"/>
    <cellStyle name="Comma 2 2 2 6 7 2" xfId="18338"/>
    <cellStyle name="Comma 2 2 2 6 7 2 2" xfId="39381"/>
    <cellStyle name="Comma 2 2 2 6 7 2 3" xfId="32958"/>
    <cellStyle name="Comma 2 2 2 6 7 3" xfId="22830"/>
    <cellStyle name="Comma 2 2 2 6 7 3 2" xfId="36174"/>
    <cellStyle name="Comma 2 2 2 6 7 4" xfId="29751"/>
    <cellStyle name="Comma 2 2 2 6 7 5" xfId="43659"/>
    <cellStyle name="Comma 2 2 2 6 8" xfId="6850"/>
    <cellStyle name="Comma 2 2 2 6 8 2" xfId="17353"/>
    <cellStyle name="Comma 2 2 2 6 8 2 2" xfId="38403"/>
    <cellStyle name="Comma 2 2 2 6 8 3" xfId="31980"/>
    <cellStyle name="Comma 2 2 2 6 9" xfId="16142"/>
    <cellStyle name="Comma 2 2 2 6 9 2" xfId="35196"/>
    <cellStyle name="Comma 2 2 2 7" xfId="2286"/>
    <cellStyle name="Comma 2 2 2 7 10" xfId="20509"/>
    <cellStyle name="Comma 2 2 2 7 11" xfId="28778"/>
    <cellStyle name="Comma 2 2 2 7 12" xfId="41530"/>
    <cellStyle name="Comma 2 2 2 7 2" xfId="3145"/>
    <cellStyle name="Comma 2 2 2 7 2 2" xfId="10708"/>
    <cellStyle name="Comma 2 2 2 7 2 2 2" xfId="19507"/>
    <cellStyle name="Comma 2 2 2 7 2 2 2 2" xfId="40550"/>
    <cellStyle name="Comma 2 2 2 7 2 2 2 3" xfId="34127"/>
    <cellStyle name="Comma 2 2 2 7 2 2 3" xfId="21706"/>
    <cellStyle name="Comma 2 2 2 7 2 2 3 2" xfId="37343"/>
    <cellStyle name="Comma 2 2 2 7 2 2 4" xfId="30920"/>
    <cellStyle name="Comma 2 2 2 7 2 2 5" xfId="42685"/>
    <cellStyle name="Comma 2 2 2 7 2 3" xfId="7884"/>
    <cellStyle name="Comma 2 2 2 7 2 3 2" xfId="18344"/>
    <cellStyle name="Comma 2 2 2 7 2 3 2 2" xfId="39387"/>
    <cellStyle name="Comma 2 2 2 7 2 3 2 3" xfId="32964"/>
    <cellStyle name="Comma 2 2 2 7 2 3 3" xfId="22836"/>
    <cellStyle name="Comma 2 2 2 7 2 3 3 2" xfId="36180"/>
    <cellStyle name="Comma 2 2 2 7 2 3 4" xfId="29757"/>
    <cellStyle name="Comma 2 2 2 7 2 3 5" xfId="43665"/>
    <cellStyle name="Comma 2 2 2 7 2 4" xfId="6856"/>
    <cellStyle name="Comma 2 2 2 7 2 4 2" xfId="17359"/>
    <cellStyle name="Comma 2 2 2 7 2 4 2 2" xfId="38409"/>
    <cellStyle name="Comma 2 2 2 7 2 4 3" xfId="31986"/>
    <cellStyle name="Comma 2 2 2 7 2 5" xfId="16386"/>
    <cellStyle name="Comma 2 2 2 7 2 5 2" xfId="35202"/>
    <cellStyle name="Comma 2 2 2 7 2 6" xfId="20510"/>
    <cellStyle name="Comma 2 2 2 7 2 7" xfId="28779"/>
    <cellStyle name="Comma 2 2 2 7 2 8" xfId="41531"/>
    <cellStyle name="Comma 2 2 2 7 3" xfId="4011"/>
    <cellStyle name="Comma 2 2 2 7 3 2" xfId="10709"/>
    <cellStyle name="Comma 2 2 2 7 3 2 2" xfId="19508"/>
    <cellStyle name="Comma 2 2 2 7 3 2 2 2" xfId="40551"/>
    <cellStyle name="Comma 2 2 2 7 3 2 2 3" xfId="34128"/>
    <cellStyle name="Comma 2 2 2 7 3 2 3" xfId="21707"/>
    <cellStyle name="Comma 2 2 2 7 3 2 3 2" xfId="37344"/>
    <cellStyle name="Comma 2 2 2 7 3 2 4" xfId="30921"/>
    <cellStyle name="Comma 2 2 2 7 3 2 5" xfId="42686"/>
    <cellStyle name="Comma 2 2 2 7 3 3" xfId="7885"/>
    <cellStyle name="Comma 2 2 2 7 3 3 2" xfId="18345"/>
    <cellStyle name="Comma 2 2 2 7 3 3 2 2" xfId="39388"/>
    <cellStyle name="Comma 2 2 2 7 3 3 2 3" xfId="32965"/>
    <cellStyle name="Comma 2 2 2 7 3 3 3" xfId="22837"/>
    <cellStyle name="Comma 2 2 2 7 3 3 3 2" xfId="36181"/>
    <cellStyle name="Comma 2 2 2 7 3 3 4" xfId="29758"/>
    <cellStyle name="Comma 2 2 2 7 3 3 5" xfId="43666"/>
    <cellStyle name="Comma 2 2 2 7 3 4" xfId="6857"/>
    <cellStyle name="Comma 2 2 2 7 3 4 2" xfId="17360"/>
    <cellStyle name="Comma 2 2 2 7 3 4 2 2" xfId="38410"/>
    <cellStyle name="Comma 2 2 2 7 3 4 3" xfId="31987"/>
    <cellStyle name="Comma 2 2 2 7 3 5" xfId="16574"/>
    <cellStyle name="Comma 2 2 2 7 3 5 2" xfId="35203"/>
    <cellStyle name="Comma 2 2 2 7 3 6" xfId="20511"/>
    <cellStyle name="Comma 2 2 2 7 3 7" xfId="28780"/>
    <cellStyle name="Comma 2 2 2 7 3 8" xfId="41532"/>
    <cellStyle name="Comma 2 2 2 7 4" xfId="4890"/>
    <cellStyle name="Comma 2 2 2 7 4 2" xfId="10710"/>
    <cellStyle name="Comma 2 2 2 7 4 2 2" xfId="19509"/>
    <cellStyle name="Comma 2 2 2 7 4 2 2 2" xfId="40552"/>
    <cellStyle name="Comma 2 2 2 7 4 2 2 3" xfId="34129"/>
    <cellStyle name="Comma 2 2 2 7 4 2 3" xfId="21708"/>
    <cellStyle name="Comma 2 2 2 7 4 2 3 2" xfId="37345"/>
    <cellStyle name="Comma 2 2 2 7 4 2 4" xfId="30922"/>
    <cellStyle name="Comma 2 2 2 7 4 2 5" xfId="42687"/>
    <cellStyle name="Comma 2 2 2 7 4 3" xfId="7886"/>
    <cellStyle name="Comma 2 2 2 7 4 3 2" xfId="18346"/>
    <cellStyle name="Comma 2 2 2 7 4 3 2 2" xfId="39389"/>
    <cellStyle name="Comma 2 2 2 7 4 3 2 3" xfId="32966"/>
    <cellStyle name="Comma 2 2 2 7 4 3 3" xfId="22838"/>
    <cellStyle name="Comma 2 2 2 7 4 3 3 2" xfId="36182"/>
    <cellStyle name="Comma 2 2 2 7 4 3 4" xfId="29759"/>
    <cellStyle name="Comma 2 2 2 7 4 3 5" xfId="43667"/>
    <cellStyle name="Comma 2 2 2 7 4 4" xfId="6858"/>
    <cellStyle name="Comma 2 2 2 7 4 4 2" xfId="17361"/>
    <cellStyle name="Comma 2 2 2 7 4 4 2 2" xfId="38411"/>
    <cellStyle name="Comma 2 2 2 7 4 4 3" xfId="31988"/>
    <cellStyle name="Comma 2 2 2 7 4 5" xfId="16762"/>
    <cellStyle name="Comma 2 2 2 7 4 5 2" xfId="35204"/>
    <cellStyle name="Comma 2 2 2 7 4 6" xfId="20512"/>
    <cellStyle name="Comma 2 2 2 7 4 7" xfId="28781"/>
    <cellStyle name="Comma 2 2 2 7 4 8" xfId="41533"/>
    <cellStyle name="Comma 2 2 2 7 5" xfId="6155"/>
    <cellStyle name="Comma 2 2 2 7 5 2" xfId="10711"/>
    <cellStyle name="Comma 2 2 2 7 5 2 2" xfId="19510"/>
    <cellStyle name="Comma 2 2 2 7 5 2 2 2" xfId="40553"/>
    <cellStyle name="Comma 2 2 2 7 5 2 2 3" xfId="34130"/>
    <cellStyle name="Comma 2 2 2 7 5 2 3" xfId="21709"/>
    <cellStyle name="Comma 2 2 2 7 5 2 3 2" xfId="37346"/>
    <cellStyle name="Comma 2 2 2 7 5 2 4" xfId="30923"/>
    <cellStyle name="Comma 2 2 2 7 5 2 5" xfId="42688"/>
    <cellStyle name="Comma 2 2 2 7 5 3" xfId="7887"/>
    <cellStyle name="Comma 2 2 2 7 5 3 2" xfId="18347"/>
    <cellStyle name="Comma 2 2 2 7 5 3 2 2" xfId="39390"/>
    <cellStyle name="Comma 2 2 2 7 5 3 2 3" xfId="32967"/>
    <cellStyle name="Comma 2 2 2 7 5 3 3" xfId="22839"/>
    <cellStyle name="Comma 2 2 2 7 5 3 3 2" xfId="36183"/>
    <cellStyle name="Comma 2 2 2 7 5 3 4" xfId="29760"/>
    <cellStyle name="Comma 2 2 2 7 5 3 5" xfId="43668"/>
    <cellStyle name="Comma 2 2 2 7 5 4" xfId="6859"/>
    <cellStyle name="Comma 2 2 2 7 5 4 2" xfId="17362"/>
    <cellStyle name="Comma 2 2 2 7 5 4 2 2" xfId="38412"/>
    <cellStyle name="Comma 2 2 2 7 5 4 3" xfId="31989"/>
    <cellStyle name="Comma 2 2 2 7 5 5" xfId="17050"/>
    <cellStyle name="Comma 2 2 2 7 5 5 2" xfId="35205"/>
    <cellStyle name="Comma 2 2 2 7 5 6" xfId="20513"/>
    <cellStyle name="Comma 2 2 2 7 5 7" xfId="28782"/>
    <cellStyle name="Comma 2 2 2 7 5 8" xfId="41534"/>
    <cellStyle name="Comma 2 2 2 7 6" xfId="10707"/>
    <cellStyle name="Comma 2 2 2 7 6 2" xfId="19506"/>
    <cellStyle name="Comma 2 2 2 7 6 2 2" xfId="40549"/>
    <cellStyle name="Comma 2 2 2 7 6 2 3" xfId="34126"/>
    <cellStyle name="Comma 2 2 2 7 6 3" xfId="21705"/>
    <cellStyle name="Comma 2 2 2 7 6 3 2" xfId="37342"/>
    <cellStyle name="Comma 2 2 2 7 6 4" xfId="30919"/>
    <cellStyle name="Comma 2 2 2 7 6 5" xfId="42684"/>
    <cellStyle name="Comma 2 2 2 7 7" xfId="7883"/>
    <cellStyle name="Comma 2 2 2 7 7 2" xfId="18343"/>
    <cellStyle name="Comma 2 2 2 7 7 2 2" xfId="39386"/>
    <cellStyle name="Comma 2 2 2 7 7 2 3" xfId="32963"/>
    <cellStyle name="Comma 2 2 2 7 7 3" xfId="22835"/>
    <cellStyle name="Comma 2 2 2 7 7 3 2" xfId="36179"/>
    <cellStyle name="Comma 2 2 2 7 7 4" xfId="29756"/>
    <cellStyle name="Comma 2 2 2 7 7 5" xfId="43664"/>
    <cellStyle name="Comma 2 2 2 7 8" xfId="6855"/>
    <cellStyle name="Comma 2 2 2 7 8 2" xfId="17358"/>
    <cellStyle name="Comma 2 2 2 7 8 2 2" xfId="38408"/>
    <cellStyle name="Comma 2 2 2 7 8 3" xfId="31985"/>
    <cellStyle name="Comma 2 2 2 7 9" xfId="16198"/>
    <cellStyle name="Comma 2 2 2 7 9 2" xfId="35201"/>
    <cellStyle name="Comma 2 2 2 8" xfId="2448"/>
    <cellStyle name="Comma 2 2 2 8 2" xfId="10712"/>
    <cellStyle name="Comma 2 2 2 8 2 2" xfId="19511"/>
    <cellStyle name="Comma 2 2 2 8 2 2 2" xfId="40554"/>
    <cellStyle name="Comma 2 2 2 8 2 2 3" xfId="34131"/>
    <cellStyle name="Comma 2 2 2 8 2 3" xfId="21710"/>
    <cellStyle name="Comma 2 2 2 8 2 3 2" xfId="37347"/>
    <cellStyle name="Comma 2 2 2 8 2 4" xfId="30924"/>
    <cellStyle name="Comma 2 2 2 8 2 5" xfId="42689"/>
    <cellStyle name="Comma 2 2 2 8 3" xfId="7888"/>
    <cellStyle name="Comma 2 2 2 8 3 2" xfId="18348"/>
    <cellStyle name="Comma 2 2 2 8 3 2 2" xfId="39391"/>
    <cellStyle name="Comma 2 2 2 8 3 2 3" xfId="32968"/>
    <cellStyle name="Comma 2 2 2 8 3 3" xfId="22840"/>
    <cellStyle name="Comma 2 2 2 8 3 3 2" xfId="36184"/>
    <cellStyle name="Comma 2 2 2 8 3 4" xfId="29761"/>
    <cellStyle name="Comma 2 2 2 8 3 5" xfId="43669"/>
    <cellStyle name="Comma 2 2 2 8 4" xfId="6860"/>
    <cellStyle name="Comma 2 2 2 8 4 2" xfId="17363"/>
    <cellStyle name="Comma 2 2 2 8 4 2 2" xfId="38413"/>
    <cellStyle name="Comma 2 2 2 8 4 3" xfId="31990"/>
    <cellStyle name="Comma 2 2 2 8 5" xfId="16223"/>
    <cellStyle name="Comma 2 2 2 8 5 2" xfId="35206"/>
    <cellStyle name="Comma 2 2 2 8 6" xfId="20514"/>
    <cellStyle name="Comma 2 2 2 8 7" xfId="28783"/>
    <cellStyle name="Comma 2 2 2 8 8" xfId="41535"/>
    <cellStyle name="Comma 2 2 2 9" xfId="3311"/>
    <cellStyle name="Comma 2 2 2 9 2" xfId="10713"/>
    <cellStyle name="Comma 2 2 2 9 2 2" xfId="19512"/>
    <cellStyle name="Comma 2 2 2 9 2 2 2" xfId="40555"/>
    <cellStyle name="Comma 2 2 2 9 2 2 3" xfId="34132"/>
    <cellStyle name="Comma 2 2 2 9 2 3" xfId="21711"/>
    <cellStyle name="Comma 2 2 2 9 2 3 2" xfId="37348"/>
    <cellStyle name="Comma 2 2 2 9 2 4" xfId="30925"/>
    <cellStyle name="Comma 2 2 2 9 2 5" xfId="42690"/>
    <cellStyle name="Comma 2 2 2 9 3" xfId="7889"/>
    <cellStyle name="Comma 2 2 2 9 3 2" xfId="18349"/>
    <cellStyle name="Comma 2 2 2 9 3 2 2" xfId="39392"/>
    <cellStyle name="Comma 2 2 2 9 3 2 3" xfId="32969"/>
    <cellStyle name="Comma 2 2 2 9 3 3" xfId="22841"/>
    <cellStyle name="Comma 2 2 2 9 3 3 2" xfId="36185"/>
    <cellStyle name="Comma 2 2 2 9 3 4" xfId="29762"/>
    <cellStyle name="Comma 2 2 2 9 3 5" xfId="43670"/>
    <cellStyle name="Comma 2 2 2 9 4" xfId="6861"/>
    <cellStyle name="Comma 2 2 2 9 4 2" xfId="17364"/>
    <cellStyle name="Comma 2 2 2 9 4 2 2" xfId="38414"/>
    <cellStyle name="Comma 2 2 2 9 4 3" xfId="31991"/>
    <cellStyle name="Comma 2 2 2 9 5" xfId="16411"/>
    <cellStyle name="Comma 2 2 2 9 5 2" xfId="35207"/>
    <cellStyle name="Comma 2 2 2 9 6" xfId="20515"/>
    <cellStyle name="Comma 2 2 2 9 7" xfId="28784"/>
    <cellStyle name="Comma 2 2 2 9 8" xfId="41536"/>
    <cellStyle name="Comma 2 2 3" xfId="1462"/>
    <cellStyle name="Comma 2 2 3 10" xfId="4986"/>
    <cellStyle name="Comma 2 2 3 10 2" xfId="10714"/>
    <cellStyle name="Comma 2 2 3 10 2 2" xfId="19513"/>
    <cellStyle name="Comma 2 2 3 10 2 2 2" xfId="40556"/>
    <cellStyle name="Comma 2 2 3 10 2 2 3" xfId="34133"/>
    <cellStyle name="Comma 2 2 3 10 2 3" xfId="21712"/>
    <cellStyle name="Comma 2 2 3 10 2 3 2" xfId="37349"/>
    <cellStyle name="Comma 2 2 3 10 2 4" xfId="30926"/>
    <cellStyle name="Comma 2 2 3 10 2 5" xfId="42691"/>
    <cellStyle name="Comma 2 2 3 10 3" xfId="7891"/>
    <cellStyle name="Comma 2 2 3 10 3 2" xfId="18351"/>
    <cellStyle name="Comma 2 2 3 10 3 2 2" xfId="39394"/>
    <cellStyle name="Comma 2 2 3 10 3 2 3" xfId="32971"/>
    <cellStyle name="Comma 2 2 3 10 3 3" xfId="22843"/>
    <cellStyle name="Comma 2 2 3 10 3 3 2" xfId="36187"/>
    <cellStyle name="Comma 2 2 3 10 3 4" xfId="29764"/>
    <cellStyle name="Comma 2 2 3 10 3 5" xfId="43672"/>
    <cellStyle name="Comma 2 2 3 10 4" xfId="6862"/>
    <cellStyle name="Comma 2 2 3 10 4 2" xfId="17365"/>
    <cellStyle name="Comma 2 2 3 10 4 2 2" xfId="38415"/>
    <cellStyle name="Comma 2 2 3 10 4 3" xfId="31992"/>
    <cellStyle name="Comma 2 2 3 10 5" xfId="16801"/>
    <cellStyle name="Comma 2 2 3 10 5 2" xfId="35208"/>
    <cellStyle name="Comma 2 2 3 10 6" xfId="20517"/>
    <cellStyle name="Comma 2 2 3 10 7" xfId="28785"/>
    <cellStyle name="Comma 2 2 3 10 8" xfId="41538"/>
    <cellStyle name="Comma 2 2 3 11" xfId="5449"/>
    <cellStyle name="Comma 2 2 3 11 2" xfId="10715"/>
    <cellStyle name="Comma 2 2 3 11 2 2" xfId="19514"/>
    <cellStyle name="Comma 2 2 3 11 2 2 2" xfId="40557"/>
    <cellStyle name="Comma 2 2 3 11 2 2 3" xfId="34134"/>
    <cellStyle name="Comma 2 2 3 11 2 3" xfId="21713"/>
    <cellStyle name="Comma 2 2 3 11 2 3 2" xfId="37350"/>
    <cellStyle name="Comma 2 2 3 11 2 4" xfId="30927"/>
    <cellStyle name="Comma 2 2 3 11 2 5" xfId="42692"/>
    <cellStyle name="Comma 2 2 3 11 3" xfId="7892"/>
    <cellStyle name="Comma 2 2 3 11 3 2" xfId="18352"/>
    <cellStyle name="Comma 2 2 3 11 3 2 2" xfId="39395"/>
    <cellStyle name="Comma 2 2 3 11 3 2 3" xfId="32972"/>
    <cellStyle name="Comma 2 2 3 11 3 3" xfId="22844"/>
    <cellStyle name="Comma 2 2 3 11 3 3 2" xfId="36188"/>
    <cellStyle name="Comma 2 2 3 11 3 4" xfId="29765"/>
    <cellStyle name="Comma 2 2 3 11 3 5" xfId="43673"/>
    <cellStyle name="Comma 2 2 3 11 4" xfId="6863"/>
    <cellStyle name="Comma 2 2 3 11 4 2" xfId="17366"/>
    <cellStyle name="Comma 2 2 3 11 4 2 2" xfId="38416"/>
    <cellStyle name="Comma 2 2 3 11 4 3" xfId="31993"/>
    <cellStyle name="Comma 2 2 3 11 5" xfId="16895"/>
    <cellStyle name="Comma 2 2 3 11 5 2" xfId="35209"/>
    <cellStyle name="Comma 2 2 3 11 6" xfId="20518"/>
    <cellStyle name="Comma 2 2 3 11 7" xfId="28786"/>
    <cellStyle name="Comma 2 2 3 11 8" xfId="41539"/>
    <cellStyle name="Comma 2 2 3 12" xfId="10200"/>
    <cellStyle name="Comma 2 2 3 12 2" xfId="19254"/>
    <cellStyle name="Comma 2 2 3 12 2 2" xfId="40297"/>
    <cellStyle name="Comma 2 2 3 12 2 3" xfId="33874"/>
    <cellStyle name="Comma 2 2 3 12 3" xfId="21454"/>
    <cellStyle name="Comma 2 2 3 12 3 2" xfId="37090"/>
    <cellStyle name="Comma 2 2 3 12 4" xfId="30667"/>
    <cellStyle name="Comma 2 2 3 12 5" xfId="42433"/>
    <cellStyle name="Comma 2 2 3 13" xfId="7890"/>
    <cellStyle name="Comma 2 2 3 13 2" xfId="18350"/>
    <cellStyle name="Comma 2 2 3 13 2 2" xfId="39393"/>
    <cellStyle name="Comma 2 2 3 13 2 3" xfId="32970"/>
    <cellStyle name="Comma 2 2 3 13 3" xfId="22842"/>
    <cellStyle name="Comma 2 2 3 13 3 2" xfId="36186"/>
    <cellStyle name="Comma 2 2 3 13 4" xfId="29763"/>
    <cellStyle name="Comma 2 2 3 13 5" xfId="43671"/>
    <cellStyle name="Comma 2 2 3 14" xfId="6600"/>
    <cellStyle name="Comma 2 2 3 14 2" xfId="17107"/>
    <cellStyle name="Comma 2 2 3 14 2 2" xfId="38160"/>
    <cellStyle name="Comma 2 2 3 14 3" xfId="31737"/>
    <cellStyle name="Comma 2 2 3 15" xfId="16032"/>
    <cellStyle name="Comma 2 2 3 15 2" xfId="34953"/>
    <cellStyle name="Comma 2 2 3 16" xfId="20516"/>
    <cellStyle name="Comma 2 2 3 17" xfId="28528"/>
    <cellStyle name="Comma 2 2 3 18" xfId="41537"/>
    <cellStyle name="Comma 2 2 3 2" xfId="1463"/>
    <cellStyle name="Comma 2 2 3 2 10" xfId="5450"/>
    <cellStyle name="Comma 2 2 3 2 10 2" xfId="10716"/>
    <cellStyle name="Comma 2 2 3 2 10 2 2" xfId="19515"/>
    <cellStyle name="Comma 2 2 3 2 10 2 2 2" xfId="40558"/>
    <cellStyle name="Comma 2 2 3 2 10 2 2 3" xfId="34135"/>
    <cellStyle name="Comma 2 2 3 2 10 2 3" xfId="21714"/>
    <cellStyle name="Comma 2 2 3 2 10 2 3 2" xfId="37351"/>
    <cellStyle name="Comma 2 2 3 2 10 2 4" xfId="30928"/>
    <cellStyle name="Comma 2 2 3 2 10 2 5" xfId="42693"/>
    <cellStyle name="Comma 2 2 3 2 10 3" xfId="7894"/>
    <cellStyle name="Comma 2 2 3 2 10 3 2" xfId="18354"/>
    <cellStyle name="Comma 2 2 3 2 10 3 2 2" xfId="39397"/>
    <cellStyle name="Comma 2 2 3 2 10 3 2 3" xfId="32974"/>
    <cellStyle name="Comma 2 2 3 2 10 3 3" xfId="22846"/>
    <cellStyle name="Comma 2 2 3 2 10 3 3 2" xfId="36190"/>
    <cellStyle name="Comma 2 2 3 2 10 3 4" xfId="29767"/>
    <cellStyle name="Comma 2 2 3 2 10 3 5" xfId="43675"/>
    <cellStyle name="Comma 2 2 3 2 10 4" xfId="6864"/>
    <cellStyle name="Comma 2 2 3 2 10 4 2" xfId="17367"/>
    <cellStyle name="Comma 2 2 3 2 10 4 2 2" xfId="38417"/>
    <cellStyle name="Comma 2 2 3 2 10 4 3" xfId="31994"/>
    <cellStyle name="Comma 2 2 3 2 10 5" xfId="16896"/>
    <cellStyle name="Comma 2 2 3 2 10 5 2" xfId="35210"/>
    <cellStyle name="Comma 2 2 3 2 10 6" xfId="20520"/>
    <cellStyle name="Comma 2 2 3 2 10 7" xfId="28787"/>
    <cellStyle name="Comma 2 2 3 2 10 8" xfId="41541"/>
    <cellStyle name="Comma 2 2 3 2 11" xfId="10245"/>
    <cellStyle name="Comma 2 2 3 2 11 2" xfId="19298"/>
    <cellStyle name="Comma 2 2 3 2 11 2 2" xfId="40341"/>
    <cellStyle name="Comma 2 2 3 2 11 2 3" xfId="33918"/>
    <cellStyle name="Comma 2 2 3 2 11 3" xfId="21498"/>
    <cellStyle name="Comma 2 2 3 2 11 3 2" xfId="37134"/>
    <cellStyle name="Comma 2 2 3 2 11 4" xfId="30711"/>
    <cellStyle name="Comma 2 2 3 2 11 5" xfId="42477"/>
    <cellStyle name="Comma 2 2 3 2 12" xfId="7893"/>
    <cellStyle name="Comma 2 2 3 2 12 2" xfId="18353"/>
    <cellStyle name="Comma 2 2 3 2 12 2 2" xfId="39396"/>
    <cellStyle name="Comma 2 2 3 2 12 2 3" xfId="32973"/>
    <cellStyle name="Comma 2 2 3 2 12 3" xfId="22845"/>
    <cellStyle name="Comma 2 2 3 2 12 3 2" xfId="36189"/>
    <cellStyle name="Comma 2 2 3 2 12 4" xfId="29766"/>
    <cellStyle name="Comma 2 2 3 2 12 5" xfId="43674"/>
    <cellStyle name="Comma 2 2 3 2 13" xfId="6644"/>
    <cellStyle name="Comma 2 2 3 2 13 2" xfId="17151"/>
    <cellStyle name="Comma 2 2 3 2 13 2 2" xfId="38204"/>
    <cellStyle name="Comma 2 2 3 2 13 3" xfId="31781"/>
    <cellStyle name="Comma 2 2 3 2 14" xfId="16033"/>
    <cellStyle name="Comma 2 2 3 2 14 2" xfId="34997"/>
    <cellStyle name="Comma 2 2 3 2 15" xfId="20519"/>
    <cellStyle name="Comma 2 2 3 2 16" xfId="28572"/>
    <cellStyle name="Comma 2 2 3 2 17" xfId="41540"/>
    <cellStyle name="Comma 2 2 3 2 2" xfId="1464"/>
    <cellStyle name="Comma 2 2 3 2 2 10" xfId="7895"/>
    <cellStyle name="Comma 2 2 3 2 2 10 2" xfId="18355"/>
    <cellStyle name="Comma 2 2 3 2 2 10 2 2" xfId="39398"/>
    <cellStyle name="Comma 2 2 3 2 2 10 2 3" xfId="32975"/>
    <cellStyle name="Comma 2 2 3 2 2 10 3" xfId="22847"/>
    <cellStyle name="Comma 2 2 3 2 2 10 3 2" xfId="36191"/>
    <cellStyle name="Comma 2 2 3 2 2 10 4" xfId="29768"/>
    <cellStyle name="Comma 2 2 3 2 2 10 5" xfId="43676"/>
    <cellStyle name="Comma 2 2 3 2 2 11" xfId="6639"/>
    <cellStyle name="Comma 2 2 3 2 2 11 2" xfId="17146"/>
    <cellStyle name="Comma 2 2 3 2 2 11 2 2" xfId="38199"/>
    <cellStyle name="Comma 2 2 3 2 2 11 3" xfId="31776"/>
    <cellStyle name="Comma 2 2 3 2 2 12" xfId="16034"/>
    <cellStyle name="Comma 2 2 3 2 2 12 2" xfId="34992"/>
    <cellStyle name="Comma 2 2 3 2 2 13" xfId="20521"/>
    <cellStyle name="Comma 2 2 3 2 2 14" xfId="28567"/>
    <cellStyle name="Comma 2 2 3 2 2 15" xfId="41542"/>
    <cellStyle name="Comma 2 2 3 2 2 2" xfId="1818"/>
    <cellStyle name="Comma 2 2 3 2 2 2 10" xfId="16096"/>
    <cellStyle name="Comma 2 2 3 2 2 2 10 2" xfId="34989"/>
    <cellStyle name="Comma 2 2 3 2 2 2 11" xfId="20522"/>
    <cellStyle name="Comma 2 2 3 2 2 2 12" xfId="28564"/>
    <cellStyle name="Comma 2 2 3 2 2 2 13" xfId="41543"/>
    <cellStyle name="Comma 2 2 3 2 2 2 2" xfId="2708"/>
    <cellStyle name="Comma 2 2 3 2 2 2 2 2" xfId="10717"/>
    <cellStyle name="Comma 2 2 3 2 2 2 2 2 2" xfId="19516"/>
    <cellStyle name="Comma 2 2 3 2 2 2 2 2 2 2" xfId="40559"/>
    <cellStyle name="Comma 2 2 3 2 2 2 2 2 2 3" xfId="34136"/>
    <cellStyle name="Comma 2 2 3 2 2 2 2 2 3" xfId="21715"/>
    <cellStyle name="Comma 2 2 3 2 2 2 2 2 3 2" xfId="37352"/>
    <cellStyle name="Comma 2 2 3 2 2 2 2 2 4" xfId="30929"/>
    <cellStyle name="Comma 2 2 3 2 2 2 2 2 5" xfId="42694"/>
    <cellStyle name="Comma 2 2 3 2 2 2 2 3" xfId="7897"/>
    <cellStyle name="Comma 2 2 3 2 2 2 2 3 2" xfId="18357"/>
    <cellStyle name="Comma 2 2 3 2 2 2 2 3 2 2" xfId="39400"/>
    <cellStyle name="Comma 2 2 3 2 2 2 2 3 2 3" xfId="32977"/>
    <cellStyle name="Comma 2 2 3 2 2 2 2 3 3" xfId="22849"/>
    <cellStyle name="Comma 2 2 3 2 2 2 2 3 3 2" xfId="36193"/>
    <cellStyle name="Comma 2 2 3 2 2 2 2 3 4" xfId="29770"/>
    <cellStyle name="Comma 2 2 3 2 2 2 2 3 5" xfId="43678"/>
    <cellStyle name="Comma 2 2 3 2 2 2 2 4" xfId="6865"/>
    <cellStyle name="Comma 2 2 3 2 2 2 2 4 2" xfId="17368"/>
    <cellStyle name="Comma 2 2 3 2 2 2 2 4 2 2" xfId="38418"/>
    <cellStyle name="Comma 2 2 3 2 2 2 2 4 3" xfId="31995"/>
    <cellStyle name="Comma 2 2 3 2 2 2 2 5" xfId="16286"/>
    <cellStyle name="Comma 2 2 3 2 2 2 2 5 2" xfId="35211"/>
    <cellStyle name="Comma 2 2 3 2 2 2 2 6" xfId="20523"/>
    <cellStyle name="Comma 2 2 3 2 2 2 2 7" xfId="28788"/>
    <cellStyle name="Comma 2 2 3 2 2 2 2 8" xfId="41544"/>
    <cellStyle name="Comma 2 2 3 2 2 2 3" xfId="3572"/>
    <cellStyle name="Comma 2 2 3 2 2 2 3 2" xfId="10718"/>
    <cellStyle name="Comma 2 2 3 2 2 2 3 2 2" xfId="19517"/>
    <cellStyle name="Comma 2 2 3 2 2 2 3 2 2 2" xfId="40560"/>
    <cellStyle name="Comma 2 2 3 2 2 2 3 2 2 3" xfId="34137"/>
    <cellStyle name="Comma 2 2 3 2 2 2 3 2 3" xfId="21716"/>
    <cellStyle name="Comma 2 2 3 2 2 2 3 2 3 2" xfId="37353"/>
    <cellStyle name="Comma 2 2 3 2 2 2 3 2 4" xfId="30930"/>
    <cellStyle name="Comma 2 2 3 2 2 2 3 2 5" xfId="42695"/>
    <cellStyle name="Comma 2 2 3 2 2 2 3 3" xfId="7898"/>
    <cellStyle name="Comma 2 2 3 2 2 2 3 3 2" xfId="18358"/>
    <cellStyle name="Comma 2 2 3 2 2 2 3 3 2 2" xfId="39401"/>
    <cellStyle name="Comma 2 2 3 2 2 2 3 3 2 3" xfId="32978"/>
    <cellStyle name="Comma 2 2 3 2 2 2 3 3 3" xfId="22850"/>
    <cellStyle name="Comma 2 2 3 2 2 2 3 3 3 2" xfId="36194"/>
    <cellStyle name="Comma 2 2 3 2 2 2 3 3 4" xfId="29771"/>
    <cellStyle name="Comma 2 2 3 2 2 2 3 3 5" xfId="43679"/>
    <cellStyle name="Comma 2 2 3 2 2 2 3 4" xfId="6866"/>
    <cellStyle name="Comma 2 2 3 2 2 2 3 4 2" xfId="17369"/>
    <cellStyle name="Comma 2 2 3 2 2 2 3 4 2 2" xfId="38419"/>
    <cellStyle name="Comma 2 2 3 2 2 2 3 4 3" xfId="31996"/>
    <cellStyle name="Comma 2 2 3 2 2 2 3 5" xfId="16474"/>
    <cellStyle name="Comma 2 2 3 2 2 2 3 5 2" xfId="35212"/>
    <cellStyle name="Comma 2 2 3 2 2 2 3 6" xfId="20524"/>
    <cellStyle name="Comma 2 2 3 2 2 2 3 7" xfId="28789"/>
    <cellStyle name="Comma 2 2 3 2 2 2 3 8" xfId="41545"/>
    <cellStyle name="Comma 2 2 3 2 2 2 4" xfId="4447"/>
    <cellStyle name="Comma 2 2 3 2 2 2 4 2" xfId="10719"/>
    <cellStyle name="Comma 2 2 3 2 2 2 4 2 2" xfId="19518"/>
    <cellStyle name="Comma 2 2 3 2 2 2 4 2 2 2" xfId="40561"/>
    <cellStyle name="Comma 2 2 3 2 2 2 4 2 2 3" xfId="34138"/>
    <cellStyle name="Comma 2 2 3 2 2 2 4 2 3" xfId="21717"/>
    <cellStyle name="Comma 2 2 3 2 2 2 4 2 3 2" xfId="37354"/>
    <cellStyle name="Comma 2 2 3 2 2 2 4 2 4" xfId="30931"/>
    <cellStyle name="Comma 2 2 3 2 2 2 4 2 5" xfId="42696"/>
    <cellStyle name="Comma 2 2 3 2 2 2 4 3" xfId="7899"/>
    <cellStyle name="Comma 2 2 3 2 2 2 4 3 2" xfId="18359"/>
    <cellStyle name="Comma 2 2 3 2 2 2 4 3 2 2" xfId="39402"/>
    <cellStyle name="Comma 2 2 3 2 2 2 4 3 2 3" xfId="32979"/>
    <cellStyle name="Comma 2 2 3 2 2 2 4 3 3" xfId="22851"/>
    <cellStyle name="Comma 2 2 3 2 2 2 4 3 3 2" xfId="36195"/>
    <cellStyle name="Comma 2 2 3 2 2 2 4 3 4" xfId="29772"/>
    <cellStyle name="Comma 2 2 3 2 2 2 4 3 5" xfId="43680"/>
    <cellStyle name="Comma 2 2 3 2 2 2 4 4" xfId="6867"/>
    <cellStyle name="Comma 2 2 3 2 2 2 4 4 2" xfId="17370"/>
    <cellStyle name="Comma 2 2 3 2 2 2 4 4 2 2" xfId="38420"/>
    <cellStyle name="Comma 2 2 3 2 2 2 4 4 3" xfId="31997"/>
    <cellStyle name="Comma 2 2 3 2 2 2 4 5" xfId="16662"/>
    <cellStyle name="Comma 2 2 3 2 2 2 4 5 2" xfId="35213"/>
    <cellStyle name="Comma 2 2 3 2 2 2 4 6" xfId="20525"/>
    <cellStyle name="Comma 2 2 3 2 2 2 4 7" xfId="28790"/>
    <cellStyle name="Comma 2 2 3 2 2 2 4 8" xfId="41546"/>
    <cellStyle name="Comma 2 2 3 2 2 2 5" xfId="4989"/>
    <cellStyle name="Comma 2 2 3 2 2 2 5 2" xfId="10720"/>
    <cellStyle name="Comma 2 2 3 2 2 2 5 2 2" xfId="19519"/>
    <cellStyle name="Comma 2 2 3 2 2 2 5 2 2 2" xfId="40562"/>
    <cellStyle name="Comma 2 2 3 2 2 2 5 2 2 3" xfId="34139"/>
    <cellStyle name="Comma 2 2 3 2 2 2 5 2 3" xfId="21718"/>
    <cellStyle name="Comma 2 2 3 2 2 2 5 2 3 2" xfId="37355"/>
    <cellStyle name="Comma 2 2 3 2 2 2 5 2 4" xfId="30932"/>
    <cellStyle name="Comma 2 2 3 2 2 2 5 2 5" xfId="42697"/>
    <cellStyle name="Comma 2 2 3 2 2 2 5 3" xfId="7900"/>
    <cellStyle name="Comma 2 2 3 2 2 2 5 3 2" xfId="18360"/>
    <cellStyle name="Comma 2 2 3 2 2 2 5 3 2 2" xfId="39403"/>
    <cellStyle name="Comma 2 2 3 2 2 2 5 3 2 3" xfId="32980"/>
    <cellStyle name="Comma 2 2 3 2 2 2 5 3 3" xfId="22852"/>
    <cellStyle name="Comma 2 2 3 2 2 2 5 3 3 2" xfId="36196"/>
    <cellStyle name="Comma 2 2 3 2 2 2 5 3 4" xfId="29773"/>
    <cellStyle name="Comma 2 2 3 2 2 2 5 3 5" xfId="43681"/>
    <cellStyle name="Comma 2 2 3 2 2 2 5 4" xfId="6868"/>
    <cellStyle name="Comma 2 2 3 2 2 2 5 4 2" xfId="17371"/>
    <cellStyle name="Comma 2 2 3 2 2 2 5 4 2 2" xfId="38421"/>
    <cellStyle name="Comma 2 2 3 2 2 2 5 4 3" xfId="31998"/>
    <cellStyle name="Comma 2 2 3 2 2 2 5 5" xfId="16804"/>
    <cellStyle name="Comma 2 2 3 2 2 2 5 5 2" xfId="35214"/>
    <cellStyle name="Comma 2 2 3 2 2 2 5 6" xfId="20526"/>
    <cellStyle name="Comma 2 2 3 2 2 2 5 7" xfId="28791"/>
    <cellStyle name="Comma 2 2 3 2 2 2 5 8" xfId="41547"/>
    <cellStyle name="Comma 2 2 3 2 2 2 6" xfId="5712"/>
    <cellStyle name="Comma 2 2 3 2 2 2 6 2" xfId="10721"/>
    <cellStyle name="Comma 2 2 3 2 2 2 6 2 2" xfId="19520"/>
    <cellStyle name="Comma 2 2 3 2 2 2 6 2 2 2" xfId="40563"/>
    <cellStyle name="Comma 2 2 3 2 2 2 6 2 2 3" xfId="34140"/>
    <cellStyle name="Comma 2 2 3 2 2 2 6 2 3" xfId="21719"/>
    <cellStyle name="Comma 2 2 3 2 2 2 6 2 3 2" xfId="37356"/>
    <cellStyle name="Comma 2 2 3 2 2 2 6 2 4" xfId="30933"/>
    <cellStyle name="Comma 2 2 3 2 2 2 6 2 5" xfId="42698"/>
    <cellStyle name="Comma 2 2 3 2 2 2 6 3" xfId="7901"/>
    <cellStyle name="Comma 2 2 3 2 2 2 6 3 2" xfId="18361"/>
    <cellStyle name="Comma 2 2 3 2 2 2 6 3 2 2" xfId="39404"/>
    <cellStyle name="Comma 2 2 3 2 2 2 6 3 2 3" xfId="32981"/>
    <cellStyle name="Comma 2 2 3 2 2 2 6 3 3" xfId="22853"/>
    <cellStyle name="Comma 2 2 3 2 2 2 6 3 3 2" xfId="36197"/>
    <cellStyle name="Comma 2 2 3 2 2 2 6 3 4" xfId="29774"/>
    <cellStyle name="Comma 2 2 3 2 2 2 6 3 5" xfId="43682"/>
    <cellStyle name="Comma 2 2 3 2 2 2 6 4" xfId="6869"/>
    <cellStyle name="Comma 2 2 3 2 2 2 6 4 2" xfId="17372"/>
    <cellStyle name="Comma 2 2 3 2 2 2 6 4 2 2" xfId="38422"/>
    <cellStyle name="Comma 2 2 3 2 2 2 6 4 3" xfId="31999"/>
    <cellStyle name="Comma 2 2 3 2 2 2 6 5" xfId="16950"/>
    <cellStyle name="Comma 2 2 3 2 2 2 6 5 2" xfId="35215"/>
    <cellStyle name="Comma 2 2 3 2 2 2 6 6" xfId="20527"/>
    <cellStyle name="Comma 2 2 3 2 2 2 6 7" xfId="28792"/>
    <cellStyle name="Comma 2 2 3 2 2 2 6 8" xfId="41548"/>
    <cellStyle name="Comma 2 2 3 2 2 2 7" xfId="10237"/>
    <cellStyle name="Comma 2 2 3 2 2 2 7 2" xfId="19290"/>
    <cellStyle name="Comma 2 2 3 2 2 2 7 2 2" xfId="40333"/>
    <cellStyle name="Comma 2 2 3 2 2 2 7 2 3" xfId="33910"/>
    <cellStyle name="Comma 2 2 3 2 2 2 7 3" xfId="21490"/>
    <cellStyle name="Comma 2 2 3 2 2 2 7 3 2" xfId="37126"/>
    <cellStyle name="Comma 2 2 3 2 2 2 7 4" xfId="30703"/>
    <cellStyle name="Comma 2 2 3 2 2 2 7 5" xfId="42469"/>
    <cellStyle name="Comma 2 2 3 2 2 2 8" xfId="7896"/>
    <cellStyle name="Comma 2 2 3 2 2 2 8 2" xfId="18356"/>
    <cellStyle name="Comma 2 2 3 2 2 2 8 2 2" xfId="39399"/>
    <cellStyle name="Comma 2 2 3 2 2 2 8 2 3" xfId="32976"/>
    <cellStyle name="Comma 2 2 3 2 2 2 8 3" xfId="22848"/>
    <cellStyle name="Comma 2 2 3 2 2 2 8 3 2" xfId="36192"/>
    <cellStyle name="Comma 2 2 3 2 2 2 8 4" xfId="29769"/>
    <cellStyle name="Comma 2 2 3 2 2 2 8 5" xfId="43677"/>
    <cellStyle name="Comma 2 2 3 2 2 2 9" xfId="6636"/>
    <cellStyle name="Comma 2 2 3 2 2 2 9 2" xfId="17143"/>
    <cellStyle name="Comma 2 2 3 2 2 2 9 2 2" xfId="38196"/>
    <cellStyle name="Comma 2 2 3 2 2 2 9 3" xfId="31773"/>
    <cellStyle name="Comma 2 2 3 2 2 3" xfId="2093"/>
    <cellStyle name="Comma 2 2 3 2 2 3 10" xfId="20528"/>
    <cellStyle name="Comma 2 2 3 2 2 3 11" xfId="28793"/>
    <cellStyle name="Comma 2 2 3 2 2 3 12" xfId="41549"/>
    <cellStyle name="Comma 2 2 3 2 2 3 2" xfId="2963"/>
    <cellStyle name="Comma 2 2 3 2 2 3 2 2" xfId="10723"/>
    <cellStyle name="Comma 2 2 3 2 2 3 2 2 2" xfId="19522"/>
    <cellStyle name="Comma 2 2 3 2 2 3 2 2 2 2" xfId="40565"/>
    <cellStyle name="Comma 2 2 3 2 2 3 2 2 2 3" xfId="34142"/>
    <cellStyle name="Comma 2 2 3 2 2 3 2 2 3" xfId="21721"/>
    <cellStyle name="Comma 2 2 3 2 2 3 2 2 3 2" xfId="37358"/>
    <cellStyle name="Comma 2 2 3 2 2 3 2 2 4" xfId="30935"/>
    <cellStyle name="Comma 2 2 3 2 2 3 2 2 5" xfId="42700"/>
    <cellStyle name="Comma 2 2 3 2 2 3 2 3" xfId="7903"/>
    <cellStyle name="Comma 2 2 3 2 2 3 2 3 2" xfId="18363"/>
    <cellStyle name="Comma 2 2 3 2 2 3 2 3 2 2" xfId="39406"/>
    <cellStyle name="Comma 2 2 3 2 2 3 2 3 2 3" xfId="32983"/>
    <cellStyle name="Comma 2 2 3 2 2 3 2 3 3" xfId="22855"/>
    <cellStyle name="Comma 2 2 3 2 2 3 2 3 3 2" xfId="36199"/>
    <cellStyle name="Comma 2 2 3 2 2 3 2 3 4" xfId="29776"/>
    <cellStyle name="Comma 2 2 3 2 2 3 2 3 5" xfId="43684"/>
    <cellStyle name="Comma 2 2 3 2 2 3 2 4" xfId="6871"/>
    <cellStyle name="Comma 2 2 3 2 2 3 2 4 2" xfId="17374"/>
    <cellStyle name="Comma 2 2 3 2 2 3 2 4 2 2" xfId="38424"/>
    <cellStyle name="Comma 2 2 3 2 2 3 2 4 3" xfId="32001"/>
    <cellStyle name="Comma 2 2 3 2 2 3 2 5" xfId="16341"/>
    <cellStyle name="Comma 2 2 3 2 2 3 2 5 2" xfId="35217"/>
    <cellStyle name="Comma 2 2 3 2 2 3 2 6" xfId="20529"/>
    <cellStyle name="Comma 2 2 3 2 2 3 2 7" xfId="28794"/>
    <cellStyle name="Comma 2 2 3 2 2 3 2 8" xfId="41550"/>
    <cellStyle name="Comma 2 2 3 2 2 3 3" xfId="3833"/>
    <cellStyle name="Comma 2 2 3 2 2 3 3 2" xfId="10724"/>
    <cellStyle name="Comma 2 2 3 2 2 3 3 2 2" xfId="19523"/>
    <cellStyle name="Comma 2 2 3 2 2 3 3 2 2 2" xfId="40566"/>
    <cellStyle name="Comma 2 2 3 2 2 3 3 2 2 3" xfId="34143"/>
    <cellStyle name="Comma 2 2 3 2 2 3 3 2 3" xfId="21722"/>
    <cellStyle name="Comma 2 2 3 2 2 3 3 2 3 2" xfId="37359"/>
    <cellStyle name="Comma 2 2 3 2 2 3 3 2 4" xfId="30936"/>
    <cellStyle name="Comma 2 2 3 2 2 3 3 2 5" xfId="42701"/>
    <cellStyle name="Comma 2 2 3 2 2 3 3 3" xfId="7904"/>
    <cellStyle name="Comma 2 2 3 2 2 3 3 3 2" xfId="18364"/>
    <cellStyle name="Comma 2 2 3 2 2 3 3 3 2 2" xfId="39407"/>
    <cellStyle name="Comma 2 2 3 2 2 3 3 3 2 3" xfId="32984"/>
    <cellStyle name="Comma 2 2 3 2 2 3 3 3 3" xfId="22856"/>
    <cellStyle name="Comma 2 2 3 2 2 3 3 3 3 2" xfId="36200"/>
    <cellStyle name="Comma 2 2 3 2 2 3 3 3 4" xfId="29777"/>
    <cellStyle name="Comma 2 2 3 2 2 3 3 3 5" xfId="43685"/>
    <cellStyle name="Comma 2 2 3 2 2 3 3 4" xfId="6872"/>
    <cellStyle name="Comma 2 2 3 2 2 3 3 4 2" xfId="17375"/>
    <cellStyle name="Comma 2 2 3 2 2 3 3 4 2 2" xfId="38425"/>
    <cellStyle name="Comma 2 2 3 2 2 3 3 4 3" xfId="32002"/>
    <cellStyle name="Comma 2 2 3 2 2 3 3 5" xfId="16529"/>
    <cellStyle name="Comma 2 2 3 2 2 3 3 5 2" xfId="35218"/>
    <cellStyle name="Comma 2 2 3 2 2 3 3 6" xfId="20530"/>
    <cellStyle name="Comma 2 2 3 2 2 3 3 7" xfId="28795"/>
    <cellStyle name="Comma 2 2 3 2 2 3 3 8" xfId="41551"/>
    <cellStyle name="Comma 2 2 3 2 2 3 4" xfId="4711"/>
    <cellStyle name="Comma 2 2 3 2 2 3 4 2" xfId="10725"/>
    <cellStyle name="Comma 2 2 3 2 2 3 4 2 2" xfId="19524"/>
    <cellStyle name="Comma 2 2 3 2 2 3 4 2 2 2" xfId="40567"/>
    <cellStyle name="Comma 2 2 3 2 2 3 4 2 2 3" xfId="34144"/>
    <cellStyle name="Comma 2 2 3 2 2 3 4 2 3" xfId="21723"/>
    <cellStyle name="Comma 2 2 3 2 2 3 4 2 3 2" xfId="37360"/>
    <cellStyle name="Comma 2 2 3 2 2 3 4 2 4" xfId="30937"/>
    <cellStyle name="Comma 2 2 3 2 2 3 4 2 5" xfId="42702"/>
    <cellStyle name="Comma 2 2 3 2 2 3 4 3" xfId="7905"/>
    <cellStyle name="Comma 2 2 3 2 2 3 4 3 2" xfId="18365"/>
    <cellStyle name="Comma 2 2 3 2 2 3 4 3 2 2" xfId="39408"/>
    <cellStyle name="Comma 2 2 3 2 2 3 4 3 2 3" xfId="32985"/>
    <cellStyle name="Comma 2 2 3 2 2 3 4 3 3" xfId="22857"/>
    <cellStyle name="Comma 2 2 3 2 2 3 4 3 3 2" xfId="36201"/>
    <cellStyle name="Comma 2 2 3 2 2 3 4 3 4" xfId="29778"/>
    <cellStyle name="Comma 2 2 3 2 2 3 4 3 5" xfId="43686"/>
    <cellStyle name="Comma 2 2 3 2 2 3 4 4" xfId="6873"/>
    <cellStyle name="Comma 2 2 3 2 2 3 4 4 2" xfId="17376"/>
    <cellStyle name="Comma 2 2 3 2 2 3 4 4 2 2" xfId="38426"/>
    <cellStyle name="Comma 2 2 3 2 2 3 4 4 3" xfId="32003"/>
    <cellStyle name="Comma 2 2 3 2 2 3 4 5" xfId="16717"/>
    <cellStyle name="Comma 2 2 3 2 2 3 4 5 2" xfId="35219"/>
    <cellStyle name="Comma 2 2 3 2 2 3 4 6" xfId="20531"/>
    <cellStyle name="Comma 2 2 3 2 2 3 4 7" xfId="28796"/>
    <cellStyle name="Comma 2 2 3 2 2 3 4 8" xfId="41552"/>
    <cellStyle name="Comma 2 2 3 2 2 3 5" xfId="5976"/>
    <cellStyle name="Comma 2 2 3 2 2 3 5 2" xfId="10726"/>
    <cellStyle name="Comma 2 2 3 2 2 3 5 2 2" xfId="19525"/>
    <cellStyle name="Comma 2 2 3 2 2 3 5 2 2 2" xfId="40568"/>
    <cellStyle name="Comma 2 2 3 2 2 3 5 2 2 3" xfId="34145"/>
    <cellStyle name="Comma 2 2 3 2 2 3 5 2 3" xfId="21724"/>
    <cellStyle name="Comma 2 2 3 2 2 3 5 2 3 2" xfId="37361"/>
    <cellStyle name="Comma 2 2 3 2 2 3 5 2 4" xfId="30938"/>
    <cellStyle name="Comma 2 2 3 2 2 3 5 2 5" xfId="42703"/>
    <cellStyle name="Comma 2 2 3 2 2 3 5 3" xfId="7906"/>
    <cellStyle name="Comma 2 2 3 2 2 3 5 3 2" xfId="18366"/>
    <cellStyle name="Comma 2 2 3 2 2 3 5 3 2 2" xfId="39409"/>
    <cellStyle name="Comma 2 2 3 2 2 3 5 3 2 3" xfId="32986"/>
    <cellStyle name="Comma 2 2 3 2 2 3 5 3 3" xfId="22858"/>
    <cellStyle name="Comma 2 2 3 2 2 3 5 3 3 2" xfId="36202"/>
    <cellStyle name="Comma 2 2 3 2 2 3 5 3 4" xfId="29779"/>
    <cellStyle name="Comma 2 2 3 2 2 3 5 3 5" xfId="43687"/>
    <cellStyle name="Comma 2 2 3 2 2 3 5 4" xfId="6874"/>
    <cellStyle name="Comma 2 2 3 2 2 3 5 4 2" xfId="17377"/>
    <cellStyle name="Comma 2 2 3 2 2 3 5 4 2 2" xfId="38427"/>
    <cellStyle name="Comma 2 2 3 2 2 3 5 4 3" xfId="32004"/>
    <cellStyle name="Comma 2 2 3 2 2 3 5 5" xfId="17005"/>
    <cellStyle name="Comma 2 2 3 2 2 3 5 5 2" xfId="35220"/>
    <cellStyle name="Comma 2 2 3 2 2 3 5 6" xfId="20532"/>
    <cellStyle name="Comma 2 2 3 2 2 3 5 7" xfId="28797"/>
    <cellStyle name="Comma 2 2 3 2 2 3 5 8" xfId="41553"/>
    <cellStyle name="Comma 2 2 3 2 2 3 6" xfId="10722"/>
    <cellStyle name="Comma 2 2 3 2 2 3 6 2" xfId="19521"/>
    <cellStyle name="Comma 2 2 3 2 2 3 6 2 2" xfId="40564"/>
    <cellStyle name="Comma 2 2 3 2 2 3 6 2 3" xfId="34141"/>
    <cellStyle name="Comma 2 2 3 2 2 3 6 3" xfId="21720"/>
    <cellStyle name="Comma 2 2 3 2 2 3 6 3 2" xfId="37357"/>
    <cellStyle name="Comma 2 2 3 2 2 3 6 4" xfId="30934"/>
    <cellStyle name="Comma 2 2 3 2 2 3 6 5" xfId="42699"/>
    <cellStyle name="Comma 2 2 3 2 2 3 7" xfId="7902"/>
    <cellStyle name="Comma 2 2 3 2 2 3 7 2" xfId="18362"/>
    <cellStyle name="Comma 2 2 3 2 2 3 7 2 2" xfId="39405"/>
    <cellStyle name="Comma 2 2 3 2 2 3 7 2 3" xfId="32982"/>
    <cellStyle name="Comma 2 2 3 2 2 3 7 3" xfId="22854"/>
    <cellStyle name="Comma 2 2 3 2 2 3 7 3 2" xfId="36198"/>
    <cellStyle name="Comma 2 2 3 2 2 3 7 4" xfId="29775"/>
    <cellStyle name="Comma 2 2 3 2 2 3 7 5" xfId="43683"/>
    <cellStyle name="Comma 2 2 3 2 2 3 8" xfId="6870"/>
    <cellStyle name="Comma 2 2 3 2 2 3 8 2" xfId="17373"/>
    <cellStyle name="Comma 2 2 3 2 2 3 8 2 2" xfId="38423"/>
    <cellStyle name="Comma 2 2 3 2 2 3 8 3" xfId="32000"/>
    <cellStyle name="Comma 2 2 3 2 2 3 9" xfId="16152"/>
    <cellStyle name="Comma 2 2 3 2 2 3 9 2" xfId="35216"/>
    <cellStyle name="Comma 2 2 3 2 2 4" xfId="2458"/>
    <cellStyle name="Comma 2 2 3 2 2 4 2" xfId="10727"/>
    <cellStyle name="Comma 2 2 3 2 2 4 2 2" xfId="19526"/>
    <cellStyle name="Comma 2 2 3 2 2 4 2 2 2" xfId="40569"/>
    <cellStyle name="Comma 2 2 3 2 2 4 2 2 3" xfId="34146"/>
    <cellStyle name="Comma 2 2 3 2 2 4 2 3" xfId="21725"/>
    <cellStyle name="Comma 2 2 3 2 2 4 2 3 2" xfId="37362"/>
    <cellStyle name="Comma 2 2 3 2 2 4 2 4" xfId="30939"/>
    <cellStyle name="Comma 2 2 3 2 2 4 2 5" xfId="42704"/>
    <cellStyle name="Comma 2 2 3 2 2 4 3" xfId="7907"/>
    <cellStyle name="Comma 2 2 3 2 2 4 3 2" xfId="18367"/>
    <cellStyle name="Comma 2 2 3 2 2 4 3 2 2" xfId="39410"/>
    <cellStyle name="Comma 2 2 3 2 2 4 3 2 3" xfId="32987"/>
    <cellStyle name="Comma 2 2 3 2 2 4 3 3" xfId="22859"/>
    <cellStyle name="Comma 2 2 3 2 2 4 3 3 2" xfId="36203"/>
    <cellStyle name="Comma 2 2 3 2 2 4 3 4" xfId="29780"/>
    <cellStyle name="Comma 2 2 3 2 2 4 3 5" xfId="43688"/>
    <cellStyle name="Comma 2 2 3 2 2 4 4" xfId="6875"/>
    <cellStyle name="Comma 2 2 3 2 2 4 4 2" xfId="17378"/>
    <cellStyle name="Comma 2 2 3 2 2 4 4 2 2" xfId="38428"/>
    <cellStyle name="Comma 2 2 3 2 2 4 4 3" xfId="32005"/>
    <cellStyle name="Comma 2 2 3 2 2 4 5" xfId="16233"/>
    <cellStyle name="Comma 2 2 3 2 2 4 5 2" xfId="35221"/>
    <cellStyle name="Comma 2 2 3 2 2 4 6" xfId="20533"/>
    <cellStyle name="Comma 2 2 3 2 2 4 7" xfId="28798"/>
    <cellStyle name="Comma 2 2 3 2 2 4 8" xfId="41554"/>
    <cellStyle name="Comma 2 2 3 2 2 5" xfId="3321"/>
    <cellStyle name="Comma 2 2 3 2 2 5 2" xfId="10728"/>
    <cellStyle name="Comma 2 2 3 2 2 5 2 2" xfId="19527"/>
    <cellStyle name="Comma 2 2 3 2 2 5 2 2 2" xfId="40570"/>
    <cellStyle name="Comma 2 2 3 2 2 5 2 2 3" xfId="34147"/>
    <cellStyle name="Comma 2 2 3 2 2 5 2 3" xfId="21726"/>
    <cellStyle name="Comma 2 2 3 2 2 5 2 3 2" xfId="37363"/>
    <cellStyle name="Comma 2 2 3 2 2 5 2 4" xfId="30940"/>
    <cellStyle name="Comma 2 2 3 2 2 5 2 5" xfId="42705"/>
    <cellStyle name="Comma 2 2 3 2 2 5 3" xfId="7908"/>
    <cellStyle name="Comma 2 2 3 2 2 5 3 2" xfId="18368"/>
    <cellStyle name="Comma 2 2 3 2 2 5 3 2 2" xfId="39411"/>
    <cellStyle name="Comma 2 2 3 2 2 5 3 2 3" xfId="32988"/>
    <cellStyle name="Comma 2 2 3 2 2 5 3 3" xfId="22860"/>
    <cellStyle name="Comma 2 2 3 2 2 5 3 3 2" xfId="36204"/>
    <cellStyle name="Comma 2 2 3 2 2 5 3 4" xfId="29781"/>
    <cellStyle name="Comma 2 2 3 2 2 5 3 5" xfId="43689"/>
    <cellStyle name="Comma 2 2 3 2 2 5 4" xfId="6876"/>
    <cellStyle name="Comma 2 2 3 2 2 5 4 2" xfId="17379"/>
    <cellStyle name="Comma 2 2 3 2 2 5 4 2 2" xfId="38429"/>
    <cellStyle name="Comma 2 2 3 2 2 5 4 3" xfId="32006"/>
    <cellStyle name="Comma 2 2 3 2 2 5 5" xfId="16421"/>
    <cellStyle name="Comma 2 2 3 2 2 5 5 2" xfId="35222"/>
    <cellStyle name="Comma 2 2 3 2 2 5 6" xfId="20534"/>
    <cellStyle name="Comma 2 2 3 2 2 5 7" xfId="28799"/>
    <cellStyle name="Comma 2 2 3 2 2 5 8" xfId="41555"/>
    <cellStyle name="Comma 2 2 3 2 2 6" xfId="4189"/>
    <cellStyle name="Comma 2 2 3 2 2 6 2" xfId="10729"/>
    <cellStyle name="Comma 2 2 3 2 2 6 2 2" xfId="19528"/>
    <cellStyle name="Comma 2 2 3 2 2 6 2 2 2" xfId="40571"/>
    <cellStyle name="Comma 2 2 3 2 2 6 2 2 3" xfId="34148"/>
    <cellStyle name="Comma 2 2 3 2 2 6 2 3" xfId="21727"/>
    <cellStyle name="Comma 2 2 3 2 2 6 2 3 2" xfId="37364"/>
    <cellStyle name="Comma 2 2 3 2 2 6 2 4" xfId="30941"/>
    <cellStyle name="Comma 2 2 3 2 2 6 2 5" xfId="42706"/>
    <cellStyle name="Comma 2 2 3 2 2 6 3" xfId="7909"/>
    <cellStyle name="Comma 2 2 3 2 2 6 3 2" xfId="18369"/>
    <cellStyle name="Comma 2 2 3 2 2 6 3 2 2" xfId="39412"/>
    <cellStyle name="Comma 2 2 3 2 2 6 3 2 3" xfId="32989"/>
    <cellStyle name="Comma 2 2 3 2 2 6 3 3" xfId="22861"/>
    <cellStyle name="Comma 2 2 3 2 2 6 3 3 2" xfId="36205"/>
    <cellStyle name="Comma 2 2 3 2 2 6 3 4" xfId="29782"/>
    <cellStyle name="Comma 2 2 3 2 2 6 3 5" xfId="43690"/>
    <cellStyle name="Comma 2 2 3 2 2 6 4" xfId="6877"/>
    <cellStyle name="Comma 2 2 3 2 2 6 4 2" xfId="17380"/>
    <cellStyle name="Comma 2 2 3 2 2 6 4 2 2" xfId="38430"/>
    <cellStyle name="Comma 2 2 3 2 2 6 4 3" xfId="32007"/>
    <cellStyle name="Comma 2 2 3 2 2 6 5" xfId="16609"/>
    <cellStyle name="Comma 2 2 3 2 2 6 5 2" xfId="35223"/>
    <cellStyle name="Comma 2 2 3 2 2 6 6" xfId="20535"/>
    <cellStyle name="Comma 2 2 3 2 2 6 7" xfId="28800"/>
    <cellStyle name="Comma 2 2 3 2 2 6 8" xfId="41556"/>
    <cellStyle name="Comma 2 2 3 2 2 7" xfId="4988"/>
    <cellStyle name="Comma 2 2 3 2 2 7 2" xfId="10730"/>
    <cellStyle name="Comma 2 2 3 2 2 7 2 2" xfId="19529"/>
    <cellStyle name="Comma 2 2 3 2 2 7 2 2 2" xfId="40572"/>
    <cellStyle name="Comma 2 2 3 2 2 7 2 2 3" xfId="34149"/>
    <cellStyle name="Comma 2 2 3 2 2 7 2 3" xfId="21728"/>
    <cellStyle name="Comma 2 2 3 2 2 7 2 3 2" xfId="37365"/>
    <cellStyle name="Comma 2 2 3 2 2 7 2 4" xfId="30942"/>
    <cellStyle name="Comma 2 2 3 2 2 7 2 5" xfId="42707"/>
    <cellStyle name="Comma 2 2 3 2 2 7 3" xfId="7910"/>
    <cellStyle name="Comma 2 2 3 2 2 7 3 2" xfId="18370"/>
    <cellStyle name="Comma 2 2 3 2 2 7 3 2 2" xfId="39413"/>
    <cellStyle name="Comma 2 2 3 2 2 7 3 2 3" xfId="32990"/>
    <cellStyle name="Comma 2 2 3 2 2 7 3 3" xfId="22862"/>
    <cellStyle name="Comma 2 2 3 2 2 7 3 3 2" xfId="36206"/>
    <cellStyle name="Comma 2 2 3 2 2 7 3 4" xfId="29783"/>
    <cellStyle name="Comma 2 2 3 2 2 7 3 5" xfId="43691"/>
    <cellStyle name="Comma 2 2 3 2 2 7 4" xfId="6878"/>
    <cellStyle name="Comma 2 2 3 2 2 7 4 2" xfId="17381"/>
    <cellStyle name="Comma 2 2 3 2 2 7 4 2 2" xfId="38431"/>
    <cellStyle name="Comma 2 2 3 2 2 7 4 3" xfId="32008"/>
    <cellStyle name="Comma 2 2 3 2 2 7 5" xfId="16803"/>
    <cellStyle name="Comma 2 2 3 2 2 7 5 2" xfId="35224"/>
    <cellStyle name="Comma 2 2 3 2 2 7 6" xfId="20536"/>
    <cellStyle name="Comma 2 2 3 2 2 7 7" xfId="28801"/>
    <cellStyle name="Comma 2 2 3 2 2 7 8" xfId="41557"/>
    <cellStyle name="Comma 2 2 3 2 2 8" xfId="5451"/>
    <cellStyle name="Comma 2 2 3 2 2 8 2" xfId="10731"/>
    <cellStyle name="Comma 2 2 3 2 2 8 2 2" xfId="19530"/>
    <cellStyle name="Comma 2 2 3 2 2 8 2 2 2" xfId="40573"/>
    <cellStyle name="Comma 2 2 3 2 2 8 2 2 3" xfId="34150"/>
    <cellStyle name="Comma 2 2 3 2 2 8 2 3" xfId="21729"/>
    <cellStyle name="Comma 2 2 3 2 2 8 2 3 2" xfId="37366"/>
    <cellStyle name="Comma 2 2 3 2 2 8 2 4" xfId="30943"/>
    <cellStyle name="Comma 2 2 3 2 2 8 2 5" xfId="42708"/>
    <cellStyle name="Comma 2 2 3 2 2 8 3" xfId="7911"/>
    <cellStyle name="Comma 2 2 3 2 2 8 3 2" xfId="18371"/>
    <cellStyle name="Comma 2 2 3 2 2 8 3 2 2" xfId="39414"/>
    <cellStyle name="Comma 2 2 3 2 2 8 3 2 3" xfId="32991"/>
    <cellStyle name="Comma 2 2 3 2 2 8 3 3" xfId="22863"/>
    <cellStyle name="Comma 2 2 3 2 2 8 3 3 2" xfId="36207"/>
    <cellStyle name="Comma 2 2 3 2 2 8 3 4" xfId="29784"/>
    <cellStyle name="Comma 2 2 3 2 2 8 3 5" xfId="43692"/>
    <cellStyle name="Comma 2 2 3 2 2 8 4" xfId="6879"/>
    <cellStyle name="Comma 2 2 3 2 2 8 4 2" xfId="17382"/>
    <cellStyle name="Comma 2 2 3 2 2 8 4 2 2" xfId="38432"/>
    <cellStyle name="Comma 2 2 3 2 2 8 4 3" xfId="32009"/>
    <cellStyle name="Comma 2 2 3 2 2 8 5" xfId="16897"/>
    <cellStyle name="Comma 2 2 3 2 2 8 5 2" xfId="35225"/>
    <cellStyle name="Comma 2 2 3 2 2 8 6" xfId="20537"/>
    <cellStyle name="Comma 2 2 3 2 2 8 7" xfId="28802"/>
    <cellStyle name="Comma 2 2 3 2 2 8 8" xfId="41558"/>
    <cellStyle name="Comma 2 2 3 2 2 9" xfId="10240"/>
    <cellStyle name="Comma 2 2 3 2 2 9 2" xfId="19293"/>
    <cellStyle name="Comma 2 2 3 2 2 9 2 2" xfId="40336"/>
    <cellStyle name="Comma 2 2 3 2 2 9 2 3" xfId="33913"/>
    <cellStyle name="Comma 2 2 3 2 2 9 3" xfId="21493"/>
    <cellStyle name="Comma 2 2 3 2 2 9 3 2" xfId="37129"/>
    <cellStyle name="Comma 2 2 3 2 2 9 4" xfId="30706"/>
    <cellStyle name="Comma 2 2 3 2 2 9 5" xfId="42472"/>
    <cellStyle name="Comma 2 2 3 2 3" xfId="1817"/>
    <cellStyle name="Comma 2 2 3 2 3 10" xfId="16095"/>
    <cellStyle name="Comma 2 2 3 2 3 10 2" xfId="34982"/>
    <cellStyle name="Comma 2 2 3 2 3 11" xfId="20538"/>
    <cellStyle name="Comma 2 2 3 2 3 12" xfId="28557"/>
    <cellStyle name="Comma 2 2 3 2 3 13" xfId="41559"/>
    <cellStyle name="Comma 2 2 3 2 3 2" xfId="2707"/>
    <cellStyle name="Comma 2 2 3 2 3 2 2" xfId="10732"/>
    <cellStyle name="Comma 2 2 3 2 3 2 2 2" xfId="19531"/>
    <cellStyle name="Comma 2 2 3 2 3 2 2 2 2" xfId="40574"/>
    <cellStyle name="Comma 2 2 3 2 3 2 2 2 3" xfId="34151"/>
    <cellStyle name="Comma 2 2 3 2 3 2 2 3" xfId="21730"/>
    <cellStyle name="Comma 2 2 3 2 3 2 2 3 2" xfId="37367"/>
    <cellStyle name="Comma 2 2 3 2 3 2 2 4" xfId="30944"/>
    <cellStyle name="Comma 2 2 3 2 3 2 2 5" xfId="42709"/>
    <cellStyle name="Comma 2 2 3 2 3 2 3" xfId="7913"/>
    <cellStyle name="Comma 2 2 3 2 3 2 3 2" xfId="18373"/>
    <cellStyle name="Comma 2 2 3 2 3 2 3 2 2" xfId="39416"/>
    <cellStyle name="Comma 2 2 3 2 3 2 3 2 3" xfId="32993"/>
    <cellStyle name="Comma 2 2 3 2 3 2 3 3" xfId="22865"/>
    <cellStyle name="Comma 2 2 3 2 3 2 3 3 2" xfId="36209"/>
    <cellStyle name="Comma 2 2 3 2 3 2 3 4" xfId="29786"/>
    <cellStyle name="Comma 2 2 3 2 3 2 3 5" xfId="43694"/>
    <cellStyle name="Comma 2 2 3 2 3 2 4" xfId="6880"/>
    <cellStyle name="Comma 2 2 3 2 3 2 4 2" xfId="17383"/>
    <cellStyle name="Comma 2 2 3 2 3 2 4 2 2" xfId="38433"/>
    <cellStyle name="Comma 2 2 3 2 3 2 4 3" xfId="32010"/>
    <cellStyle name="Comma 2 2 3 2 3 2 5" xfId="16285"/>
    <cellStyle name="Comma 2 2 3 2 3 2 5 2" xfId="35226"/>
    <cellStyle name="Comma 2 2 3 2 3 2 6" xfId="20539"/>
    <cellStyle name="Comma 2 2 3 2 3 2 7" xfId="28803"/>
    <cellStyle name="Comma 2 2 3 2 3 2 8" xfId="41560"/>
    <cellStyle name="Comma 2 2 3 2 3 3" xfId="3571"/>
    <cellStyle name="Comma 2 2 3 2 3 3 2" xfId="10733"/>
    <cellStyle name="Comma 2 2 3 2 3 3 2 2" xfId="19532"/>
    <cellStyle name="Comma 2 2 3 2 3 3 2 2 2" xfId="40575"/>
    <cellStyle name="Comma 2 2 3 2 3 3 2 2 3" xfId="34152"/>
    <cellStyle name="Comma 2 2 3 2 3 3 2 3" xfId="21731"/>
    <cellStyle name="Comma 2 2 3 2 3 3 2 3 2" xfId="37368"/>
    <cellStyle name="Comma 2 2 3 2 3 3 2 4" xfId="30945"/>
    <cellStyle name="Comma 2 2 3 2 3 3 2 5" xfId="42710"/>
    <cellStyle name="Comma 2 2 3 2 3 3 3" xfId="7914"/>
    <cellStyle name="Comma 2 2 3 2 3 3 3 2" xfId="18374"/>
    <cellStyle name="Comma 2 2 3 2 3 3 3 2 2" xfId="39417"/>
    <cellStyle name="Comma 2 2 3 2 3 3 3 2 3" xfId="32994"/>
    <cellStyle name="Comma 2 2 3 2 3 3 3 3" xfId="22866"/>
    <cellStyle name="Comma 2 2 3 2 3 3 3 3 2" xfId="36210"/>
    <cellStyle name="Comma 2 2 3 2 3 3 3 4" xfId="29787"/>
    <cellStyle name="Comma 2 2 3 2 3 3 3 5" xfId="43695"/>
    <cellStyle name="Comma 2 2 3 2 3 3 4" xfId="6881"/>
    <cellStyle name="Comma 2 2 3 2 3 3 4 2" xfId="17384"/>
    <cellStyle name="Comma 2 2 3 2 3 3 4 2 2" xfId="38434"/>
    <cellStyle name="Comma 2 2 3 2 3 3 4 3" xfId="32011"/>
    <cellStyle name="Comma 2 2 3 2 3 3 5" xfId="16473"/>
    <cellStyle name="Comma 2 2 3 2 3 3 5 2" xfId="35227"/>
    <cellStyle name="Comma 2 2 3 2 3 3 6" xfId="20540"/>
    <cellStyle name="Comma 2 2 3 2 3 3 7" xfId="28804"/>
    <cellStyle name="Comma 2 2 3 2 3 3 8" xfId="41561"/>
    <cellStyle name="Comma 2 2 3 2 3 4" xfId="4446"/>
    <cellStyle name="Comma 2 2 3 2 3 4 2" xfId="10734"/>
    <cellStyle name="Comma 2 2 3 2 3 4 2 2" xfId="19533"/>
    <cellStyle name="Comma 2 2 3 2 3 4 2 2 2" xfId="40576"/>
    <cellStyle name="Comma 2 2 3 2 3 4 2 2 3" xfId="34153"/>
    <cellStyle name="Comma 2 2 3 2 3 4 2 3" xfId="21732"/>
    <cellStyle name="Comma 2 2 3 2 3 4 2 3 2" xfId="37369"/>
    <cellStyle name="Comma 2 2 3 2 3 4 2 4" xfId="30946"/>
    <cellStyle name="Comma 2 2 3 2 3 4 2 5" xfId="42711"/>
    <cellStyle name="Comma 2 2 3 2 3 4 3" xfId="7915"/>
    <cellStyle name="Comma 2 2 3 2 3 4 3 2" xfId="18375"/>
    <cellStyle name="Comma 2 2 3 2 3 4 3 2 2" xfId="39418"/>
    <cellStyle name="Comma 2 2 3 2 3 4 3 2 3" xfId="32995"/>
    <cellStyle name="Comma 2 2 3 2 3 4 3 3" xfId="22867"/>
    <cellStyle name="Comma 2 2 3 2 3 4 3 3 2" xfId="36211"/>
    <cellStyle name="Comma 2 2 3 2 3 4 3 4" xfId="29788"/>
    <cellStyle name="Comma 2 2 3 2 3 4 3 5" xfId="43696"/>
    <cellStyle name="Comma 2 2 3 2 3 4 4" xfId="6882"/>
    <cellStyle name="Comma 2 2 3 2 3 4 4 2" xfId="17385"/>
    <cellStyle name="Comma 2 2 3 2 3 4 4 2 2" xfId="38435"/>
    <cellStyle name="Comma 2 2 3 2 3 4 4 3" xfId="32012"/>
    <cellStyle name="Comma 2 2 3 2 3 4 5" xfId="16661"/>
    <cellStyle name="Comma 2 2 3 2 3 4 5 2" xfId="35228"/>
    <cellStyle name="Comma 2 2 3 2 3 4 6" xfId="20541"/>
    <cellStyle name="Comma 2 2 3 2 3 4 7" xfId="28805"/>
    <cellStyle name="Comma 2 2 3 2 3 4 8" xfId="41562"/>
    <cellStyle name="Comma 2 2 3 2 3 5" xfId="4990"/>
    <cellStyle name="Comma 2 2 3 2 3 5 2" xfId="10735"/>
    <cellStyle name="Comma 2 2 3 2 3 5 2 2" xfId="19534"/>
    <cellStyle name="Comma 2 2 3 2 3 5 2 2 2" xfId="40577"/>
    <cellStyle name="Comma 2 2 3 2 3 5 2 2 3" xfId="34154"/>
    <cellStyle name="Comma 2 2 3 2 3 5 2 3" xfId="21733"/>
    <cellStyle name="Comma 2 2 3 2 3 5 2 3 2" xfId="37370"/>
    <cellStyle name="Comma 2 2 3 2 3 5 2 4" xfId="30947"/>
    <cellStyle name="Comma 2 2 3 2 3 5 2 5" xfId="42712"/>
    <cellStyle name="Comma 2 2 3 2 3 5 3" xfId="7916"/>
    <cellStyle name="Comma 2 2 3 2 3 5 3 2" xfId="18376"/>
    <cellStyle name="Comma 2 2 3 2 3 5 3 2 2" xfId="39419"/>
    <cellStyle name="Comma 2 2 3 2 3 5 3 2 3" xfId="32996"/>
    <cellStyle name="Comma 2 2 3 2 3 5 3 3" xfId="22868"/>
    <cellStyle name="Comma 2 2 3 2 3 5 3 3 2" xfId="36212"/>
    <cellStyle name="Comma 2 2 3 2 3 5 3 4" xfId="29789"/>
    <cellStyle name="Comma 2 2 3 2 3 5 3 5" xfId="43697"/>
    <cellStyle name="Comma 2 2 3 2 3 5 4" xfId="6883"/>
    <cellStyle name="Comma 2 2 3 2 3 5 4 2" xfId="17386"/>
    <cellStyle name="Comma 2 2 3 2 3 5 4 2 2" xfId="38436"/>
    <cellStyle name="Comma 2 2 3 2 3 5 4 3" xfId="32013"/>
    <cellStyle name="Comma 2 2 3 2 3 5 5" xfId="16805"/>
    <cellStyle name="Comma 2 2 3 2 3 5 5 2" xfId="35229"/>
    <cellStyle name="Comma 2 2 3 2 3 5 6" xfId="20542"/>
    <cellStyle name="Comma 2 2 3 2 3 5 7" xfId="28806"/>
    <cellStyle name="Comma 2 2 3 2 3 5 8" xfId="41563"/>
    <cellStyle name="Comma 2 2 3 2 3 6" xfId="5711"/>
    <cellStyle name="Comma 2 2 3 2 3 6 2" xfId="10736"/>
    <cellStyle name="Comma 2 2 3 2 3 6 2 2" xfId="19535"/>
    <cellStyle name="Comma 2 2 3 2 3 6 2 2 2" xfId="40578"/>
    <cellStyle name="Comma 2 2 3 2 3 6 2 2 3" xfId="34155"/>
    <cellStyle name="Comma 2 2 3 2 3 6 2 3" xfId="21734"/>
    <cellStyle name="Comma 2 2 3 2 3 6 2 3 2" xfId="37371"/>
    <cellStyle name="Comma 2 2 3 2 3 6 2 4" xfId="30948"/>
    <cellStyle name="Comma 2 2 3 2 3 6 2 5" xfId="42713"/>
    <cellStyle name="Comma 2 2 3 2 3 6 3" xfId="7917"/>
    <cellStyle name="Comma 2 2 3 2 3 6 3 2" xfId="18377"/>
    <cellStyle name="Comma 2 2 3 2 3 6 3 2 2" xfId="39420"/>
    <cellStyle name="Comma 2 2 3 2 3 6 3 2 3" xfId="32997"/>
    <cellStyle name="Comma 2 2 3 2 3 6 3 3" xfId="22869"/>
    <cellStyle name="Comma 2 2 3 2 3 6 3 3 2" xfId="36213"/>
    <cellStyle name="Comma 2 2 3 2 3 6 3 4" xfId="29790"/>
    <cellStyle name="Comma 2 2 3 2 3 6 3 5" xfId="43698"/>
    <cellStyle name="Comma 2 2 3 2 3 6 4" xfId="6884"/>
    <cellStyle name="Comma 2 2 3 2 3 6 4 2" xfId="17387"/>
    <cellStyle name="Comma 2 2 3 2 3 6 4 2 2" xfId="38437"/>
    <cellStyle name="Comma 2 2 3 2 3 6 4 3" xfId="32014"/>
    <cellStyle name="Comma 2 2 3 2 3 6 5" xfId="16949"/>
    <cellStyle name="Comma 2 2 3 2 3 6 5 2" xfId="35230"/>
    <cellStyle name="Comma 2 2 3 2 3 6 6" xfId="20543"/>
    <cellStyle name="Comma 2 2 3 2 3 6 7" xfId="28807"/>
    <cellStyle name="Comma 2 2 3 2 3 6 8" xfId="41564"/>
    <cellStyle name="Comma 2 2 3 2 3 7" xfId="10229"/>
    <cellStyle name="Comma 2 2 3 2 3 7 2" xfId="19283"/>
    <cellStyle name="Comma 2 2 3 2 3 7 2 2" xfId="40326"/>
    <cellStyle name="Comma 2 2 3 2 3 7 2 3" xfId="33903"/>
    <cellStyle name="Comma 2 2 3 2 3 7 3" xfId="21483"/>
    <cellStyle name="Comma 2 2 3 2 3 7 3 2" xfId="37119"/>
    <cellStyle name="Comma 2 2 3 2 3 7 4" xfId="30696"/>
    <cellStyle name="Comma 2 2 3 2 3 7 5" xfId="42462"/>
    <cellStyle name="Comma 2 2 3 2 3 8" xfId="7912"/>
    <cellStyle name="Comma 2 2 3 2 3 8 2" xfId="18372"/>
    <cellStyle name="Comma 2 2 3 2 3 8 2 2" xfId="39415"/>
    <cellStyle name="Comma 2 2 3 2 3 8 2 3" xfId="32992"/>
    <cellStyle name="Comma 2 2 3 2 3 8 3" xfId="22864"/>
    <cellStyle name="Comma 2 2 3 2 3 8 3 2" xfId="36208"/>
    <cellStyle name="Comma 2 2 3 2 3 8 4" xfId="29785"/>
    <cellStyle name="Comma 2 2 3 2 3 8 5" xfId="43693"/>
    <cellStyle name="Comma 2 2 3 2 3 9" xfId="6629"/>
    <cellStyle name="Comma 2 2 3 2 3 9 2" xfId="17136"/>
    <cellStyle name="Comma 2 2 3 2 3 9 2 2" xfId="38189"/>
    <cellStyle name="Comma 2 2 3 2 3 9 3" xfId="31766"/>
    <cellStyle name="Comma 2 2 3 2 4" xfId="2092"/>
    <cellStyle name="Comma 2 2 3 2 4 10" xfId="20544"/>
    <cellStyle name="Comma 2 2 3 2 4 11" xfId="28808"/>
    <cellStyle name="Comma 2 2 3 2 4 12" xfId="41565"/>
    <cellStyle name="Comma 2 2 3 2 4 2" xfId="2962"/>
    <cellStyle name="Comma 2 2 3 2 4 2 2" xfId="10738"/>
    <cellStyle name="Comma 2 2 3 2 4 2 2 2" xfId="19537"/>
    <cellStyle name="Comma 2 2 3 2 4 2 2 2 2" xfId="40580"/>
    <cellStyle name="Comma 2 2 3 2 4 2 2 2 3" xfId="34157"/>
    <cellStyle name="Comma 2 2 3 2 4 2 2 3" xfId="21736"/>
    <cellStyle name="Comma 2 2 3 2 4 2 2 3 2" xfId="37373"/>
    <cellStyle name="Comma 2 2 3 2 4 2 2 4" xfId="30950"/>
    <cellStyle name="Comma 2 2 3 2 4 2 2 5" xfId="42715"/>
    <cellStyle name="Comma 2 2 3 2 4 2 3" xfId="7919"/>
    <cellStyle name="Comma 2 2 3 2 4 2 3 2" xfId="18379"/>
    <cellStyle name="Comma 2 2 3 2 4 2 3 2 2" xfId="39422"/>
    <cellStyle name="Comma 2 2 3 2 4 2 3 2 3" xfId="32999"/>
    <cellStyle name="Comma 2 2 3 2 4 2 3 3" xfId="22871"/>
    <cellStyle name="Comma 2 2 3 2 4 2 3 3 2" xfId="36215"/>
    <cellStyle name="Comma 2 2 3 2 4 2 3 4" xfId="29792"/>
    <cellStyle name="Comma 2 2 3 2 4 2 3 5" xfId="43700"/>
    <cellStyle name="Comma 2 2 3 2 4 2 4" xfId="6886"/>
    <cellStyle name="Comma 2 2 3 2 4 2 4 2" xfId="17389"/>
    <cellStyle name="Comma 2 2 3 2 4 2 4 2 2" xfId="38439"/>
    <cellStyle name="Comma 2 2 3 2 4 2 4 3" xfId="32016"/>
    <cellStyle name="Comma 2 2 3 2 4 2 5" xfId="16340"/>
    <cellStyle name="Comma 2 2 3 2 4 2 5 2" xfId="35232"/>
    <cellStyle name="Comma 2 2 3 2 4 2 6" xfId="20545"/>
    <cellStyle name="Comma 2 2 3 2 4 2 7" xfId="28809"/>
    <cellStyle name="Comma 2 2 3 2 4 2 8" xfId="41566"/>
    <cellStyle name="Comma 2 2 3 2 4 3" xfId="3832"/>
    <cellStyle name="Comma 2 2 3 2 4 3 2" xfId="10739"/>
    <cellStyle name="Comma 2 2 3 2 4 3 2 2" xfId="19538"/>
    <cellStyle name="Comma 2 2 3 2 4 3 2 2 2" xfId="40581"/>
    <cellStyle name="Comma 2 2 3 2 4 3 2 2 3" xfId="34158"/>
    <cellStyle name="Comma 2 2 3 2 4 3 2 3" xfId="21737"/>
    <cellStyle name="Comma 2 2 3 2 4 3 2 3 2" xfId="37374"/>
    <cellStyle name="Comma 2 2 3 2 4 3 2 4" xfId="30951"/>
    <cellStyle name="Comma 2 2 3 2 4 3 2 5" xfId="42716"/>
    <cellStyle name="Comma 2 2 3 2 4 3 3" xfId="7920"/>
    <cellStyle name="Comma 2 2 3 2 4 3 3 2" xfId="18380"/>
    <cellStyle name="Comma 2 2 3 2 4 3 3 2 2" xfId="39423"/>
    <cellStyle name="Comma 2 2 3 2 4 3 3 2 3" xfId="33000"/>
    <cellStyle name="Comma 2 2 3 2 4 3 3 3" xfId="22872"/>
    <cellStyle name="Comma 2 2 3 2 4 3 3 3 2" xfId="36216"/>
    <cellStyle name="Comma 2 2 3 2 4 3 3 4" xfId="29793"/>
    <cellStyle name="Comma 2 2 3 2 4 3 3 5" xfId="43701"/>
    <cellStyle name="Comma 2 2 3 2 4 3 4" xfId="6887"/>
    <cellStyle name="Comma 2 2 3 2 4 3 4 2" xfId="17390"/>
    <cellStyle name="Comma 2 2 3 2 4 3 4 2 2" xfId="38440"/>
    <cellStyle name="Comma 2 2 3 2 4 3 4 3" xfId="32017"/>
    <cellStyle name="Comma 2 2 3 2 4 3 5" xfId="16528"/>
    <cellStyle name="Comma 2 2 3 2 4 3 5 2" xfId="35233"/>
    <cellStyle name="Comma 2 2 3 2 4 3 6" xfId="20546"/>
    <cellStyle name="Comma 2 2 3 2 4 3 7" xfId="28810"/>
    <cellStyle name="Comma 2 2 3 2 4 3 8" xfId="41567"/>
    <cellStyle name="Comma 2 2 3 2 4 4" xfId="4710"/>
    <cellStyle name="Comma 2 2 3 2 4 4 2" xfId="10740"/>
    <cellStyle name="Comma 2 2 3 2 4 4 2 2" xfId="19539"/>
    <cellStyle name="Comma 2 2 3 2 4 4 2 2 2" xfId="40582"/>
    <cellStyle name="Comma 2 2 3 2 4 4 2 2 3" xfId="34159"/>
    <cellStyle name="Comma 2 2 3 2 4 4 2 3" xfId="21738"/>
    <cellStyle name="Comma 2 2 3 2 4 4 2 3 2" xfId="37375"/>
    <cellStyle name="Comma 2 2 3 2 4 4 2 4" xfId="30952"/>
    <cellStyle name="Comma 2 2 3 2 4 4 2 5" xfId="42717"/>
    <cellStyle name="Comma 2 2 3 2 4 4 3" xfId="7921"/>
    <cellStyle name="Comma 2 2 3 2 4 4 3 2" xfId="18381"/>
    <cellStyle name="Comma 2 2 3 2 4 4 3 2 2" xfId="39424"/>
    <cellStyle name="Comma 2 2 3 2 4 4 3 2 3" xfId="33001"/>
    <cellStyle name="Comma 2 2 3 2 4 4 3 3" xfId="22873"/>
    <cellStyle name="Comma 2 2 3 2 4 4 3 3 2" xfId="36217"/>
    <cellStyle name="Comma 2 2 3 2 4 4 3 4" xfId="29794"/>
    <cellStyle name="Comma 2 2 3 2 4 4 3 5" xfId="43702"/>
    <cellStyle name="Comma 2 2 3 2 4 4 4" xfId="6888"/>
    <cellStyle name="Comma 2 2 3 2 4 4 4 2" xfId="17391"/>
    <cellStyle name="Comma 2 2 3 2 4 4 4 2 2" xfId="38441"/>
    <cellStyle name="Comma 2 2 3 2 4 4 4 3" xfId="32018"/>
    <cellStyle name="Comma 2 2 3 2 4 4 5" xfId="16716"/>
    <cellStyle name="Comma 2 2 3 2 4 4 5 2" xfId="35234"/>
    <cellStyle name="Comma 2 2 3 2 4 4 6" xfId="20547"/>
    <cellStyle name="Comma 2 2 3 2 4 4 7" xfId="28811"/>
    <cellStyle name="Comma 2 2 3 2 4 4 8" xfId="41568"/>
    <cellStyle name="Comma 2 2 3 2 4 5" xfId="5975"/>
    <cellStyle name="Comma 2 2 3 2 4 5 2" xfId="10741"/>
    <cellStyle name="Comma 2 2 3 2 4 5 2 2" xfId="19540"/>
    <cellStyle name="Comma 2 2 3 2 4 5 2 2 2" xfId="40583"/>
    <cellStyle name="Comma 2 2 3 2 4 5 2 2 3" xfId="34160"/>
    <cellStyle name="Comma 2 2 3 2 4 5 2 3" xfId="21739"/>
    <cellStyle name="Comma 2 2 3 2 4 5 2 3 2" xfId="37376"/>
    <cellStyle name="Comma 2 2 3 2 4 5 2 4" xfId="30953"/>
    <cellStyle name="Comma 2 2 3 2 4 5 2 5" xfId="42718"/>
    <cellStyle name="Comma 2 2 3 2 4 5 3" xfId="7922"/>
    <cellStyle name="Comma 2 2 3 2 4 5 3 2" xfId="18382"/>
    <cellStyle name="Comma 2 2 3 2 4 5 3 2 2" xfId="39425"/>
    <cellStyle name="Comma 2 2 3 2 4 5 3 2 3" xfId="33002"/>
    <cellStyle name="Comma 2 2 3 2 4 5 3 3" xfId="22874"/>
    <cellStyle name="Comma 2 2 3 2 4 5 3 3 2" xfId="36218"/>
    <cellStyle name="Comma 2 2 3 2 4 5 3 4" xfId="29795"/>
    <cellStyle name="Comma 2 2 3 2 4 5 3 5" xfId="43703"/>
    <cellStyle name="Comma 2 2 3 2 4 5 4" xfId="6889"/>
    <cellStyle name="Comma 2 2 3 2 4 5 4 2" xfId="17392"/>
    <cellStyle name="Comma 2 2 3 2 4 5 4 2 2" xfId="38442"/>
    <cellStyle name="Comma 2 2 3 2 4 5 4 3" xfId="32019"/>
    <cellStyle name="Comma 2 2 3 2 4 5 5" xfId="17004"/>
    <cellStyle name="Comma 2 2 3 2 4 5 5 2" xfId="35235"/>
    <cellStyle name="Comma 2 2 3 2 4 5 6" xfId="20548"/>
    <cellStyle name="Comma 2 2 3 2 4 5 7" xfId="28812"/>
    <cellStyle name="Comma 2 2 3 2 4 5 8" xfId="41569"/>
    <cellStyle name="Comma 2 2 3 2 4 6" xfId="10737"/>
    <cellStyle name="Comma 2 2 3 2 4 6 2" xfId="19536"/>
    <cellStyle name="Comma 2 2 3 2 4 6 2 2" xfId="40579"/>
    <cellStyle name="Comma 2 2 3 2 4 6 2 3" xfId="34156"/>
    <cellStyle name="Comma 2 2 3 2 4 6 3" xfId="21735"/>
    <cellStyle name="Comma 2 2 3 2 4 6 3 2" xfId="37372"/>
    <cellStyle name="Comma 2 2 3 2 4 6 4" xfId="30949"/>
    <cellStyle name="Comma 2 2 3 2 4 6 5" xfId="42714"/>
    <cellStyle name="Comma 2 2 3 2 4 7" xfId="7918"/>
    <cellStyle name="Comma 2 2 3 2 4 7 2" xfId="18378"/>
    <cellStyle name="Comma 2 2 3 2 4 7 2 2" xfId="39421"/>
    <cellStyle name="Comma 2 2 3 2 4 7 2 3" xfId="32998"/>
    <cellStyle name="Comma 2 2 3 2 4 7 3" xfId="22870"/>
    <cellStyle name="Comma 2 2 3 2 4 7 3 2" xfId="36214"/>
    <cellStyle name="Comma 2 2 3 2 4 7 4" xfId="29791"/>
    <cellStyle name="Comma 2 2 3 2 4 7 5" xfId="43699"/>
    <cellStyle name="Comma 2 2 3 2 4 8" xfId="6885"/>
    <cellStyle name="Comma 2 2 3 2 4 8 2" xfId="17388"/>
    <cellStyle name="Comma 2 2 3 2 4 8 2 2" xfId="38438"/>
    <cellStyle name="Comma 2 2 3 2 4 8 3" xfId="32015"/>
    <cellStyle name="Comma 2 2 3 2 4 9" xfId="16151"/>
    <cellStyle name="Comma 2 2 3 2 4 9 2" xfId="35231"/>
    <cellStyle name="Comma 2 2 3 2 5" xfId="2339"/>
    <cellStyle name="Comma 2 2 3 2 5 10" xfId="20549"/>
    <cellStyle name="Comma 2 2 3 2 5 11" xfId="28813"/>
    <cellStyle name="Comma 2 2 3 2 5 12" xfId="41570"/>
    <cellStyle name="Comma 2 2 3 2 5 2" xfId="3198"/>
    <cellStyle name="Comma 2 2 3 2 5 2 2" xfId="10743"/>
    <cellStyle name="Comma 2 2 3 2 5 2 2 2" xfId="19542"/>
    <cellStyle name="Comma 2 2 3 2 5 2 2 2 2" xfId="40585"/>
    <cellStyle name="Comma 2 2 3 2 5 2 2 2 3" xfId="34162"/>
    <cellStyle name="Comma 2 2 3 2 5 2 2 3" xfId="21741"/>
    <cellStyle name="Comma 2 2 3 2 5 2 2 3 2" xfId="37378"/>
    <cellStyle name="Comma 2 2 3 2 5 2 2 4" xfId="30955"/>
    <cellStyle name="Comma 2 2 3 2 5 2 2 5" xfId="42720"/>
    <cellStyle name="Comma 2 2 3 2 5 2 3" xfId="7924"/>
    <cellStyle name="Comma 2 2 3 2 5 2 3 2" xfId="18384"/>
    <cellStyle name="Comma 2 2 3 2 5 2 3 2 2" xfId="39427"/>
    <cellStyle name="Comma 2 2 3 2 5 2 3 2 3" xfId="33004"/>
    <cellStyle name="Comma 2 2 3 2 5 2 3 3" xfId="22876"/>
    <cellStyle name="Comma 2 2 3 2 5 2 3 3 2" xfId="36220"/>
    <cellStyle name="Comma 2 2 3 2 5 2 3 4" xfId="29797"/>
    <cellStyle name="Comma 2 2 3 2 5 2 3 5" xfId="43705"/>
    <cellStyle name="Comma 2 2 3 2 5 2 4" xfId="6891"/>
    <cellStyle name="Comma 2 2 3 2 5 2 4 2" xfId="17394"/>
    <cellStyle name="Comma 2 2 3 2 5 2 4 2 2" xfId="38444"/>
    <cellStyle name="Comma 2 2 3 2 5 2 4 3" xfId="32021"/>
    <cellStyle name="Comma 2 2 3 2 5 2 5" xfId="16401"/>
    <cellStyle name="Comma 2 2 3 2 5 2 5 2" xfId="35237"/>
    <cellStyle name="Comma 2 2 3 2 5 2 6" xfId="20550"/>
    <cellStyle name="Comma 2 2 3 2 5 2 7" xfId="28814"/>
    <cellStyle name="Comma 2 2 3 2 5 2 8" xfId="41571"/>
    <cellStyle name="Comma 2 2 3 2 5 3" xfId="4064"/>
    <cellStyle name="Comma 2 2 3 2 5 3 2" xfId="10744"/>
    <cellStyle name="Comma 2 2 3 2 5 3 2 2" xfId="19543"/>
    <cellStyle name="Comma 2 2 3 2 5 3 2 2 2" xfId="40586"/>
    <cellStyle name="Comma 2 2 3 2 5 3 2 2 3" xfId="34163"/>
    <cellStyle name="Comma 2 2 3 2 5 3 2 3" xfId="21742"/>
    <cellStyle name="Comma 2 2 3 2 5 3 2 3 2" xfId="37379"/>
    <cellStyle name="Comma 2 2 3 2 5 3 2 4" xfId="30956"/>
    <cellStyle name="Comma 2 2 3 2 5 3 2 5" xfId="42721"/>
    <cellStyle name="Comma 2 2 3 2 5 3 3" xfId="7925"/>
    <cellStyle name="Comma 2 2 3 2 5 3 3 2" xfId="18385"/>
    <cellStyle name="Comma 2 2 3 2 5 3 3 2 2" xfId="39428"/>
    <cellStyle name="Comma 2 2 3 2 5 3 3 2 3" xfId="33005"/>
    <cellStyle name="Comma 2 2 3 2 5 3 3 3" xfId="22877"/>
    <cellStyle name="Comma 2 2 3 2 5 3 3 3 2" xfId="36221"/>
    <cellStyle name="Comma 2 2 3 2 5 3 3 4" xfId="29798"/>
    <cellStyle name="Comma 2 2 3 2 5 3 3 5" xfId="43706"/>
    <cellStyle name="Comma 2 2 3 2 5 3 4" xfId="6892"/>
    <cellStyle name="Comma 2 2 3 2 5 3 4 2" xfId="17395"/>
    <cellStyle name="Comma 2 2 3 2 5 3 4 2 2" xfId="38445"/>
    <cellStyle name="Comma 2 2 3 2 5 3 4 3" xfId="32022"/>
    <cellStyle name="Comma 2 2 3 2 5 3 5" xfId="16589"/>
    <cellStyle name="Comma 2 2 3 2 5 3 5 2" xfId="35238"/>
    <cellStyle name="Comma 2 2 3 2 5 3 6" xfId="20551"/>
    <cellStyle name="Comma 2 2 3 2 5 3 7" xfId="28815"/>
    <cellStyle name="Comma 2 2 3 2 5 3 8" xfId="41572"/>
    <cellStyle name="Comma 2 2 3 2 5 4" xfId="4943"/>
    <cellStyle name="Comma 2 2 3 2 5 4 2" xfId="10745"/>
    <cellStyle name="Comma 2 2 3 2 5 4 2 2" xfId="19544"/>
    <cellStyle name="Comma 2 2 3 2 5 4 2 2 2" xfId="40587"/>
    <cellStyle name="Comma 2 2 3 2 5 4 2 2 3" xfId="34164"/>
    <cellStyle name="Comma 2 2 3 2 5 4 2 3" xfId="21743"/>
    <cellStyle name="Comma 2 2 3 2 5 4 2 3 2" xfId="37380"/>
    <cellStyle name="Comma 2 2 3 2 5 4 2 4" xfId="30957"/>
    <cellStyle name="Comma 2 2 3 2 5 4 2 5" xfId="42722"/>
    <cellStyle name="Comma 2 2 3 2 5 4 3" xfId="7926"/>
    <cellStyle name="Comma 2 2 3 2 5 4 3 2" xfId="18386"/>
    <cellStyle name="Comma 2 2 3 2 5 4 3 2 2" xfId="39429"/>
    <cellStyle name="Comma 2 2 3 2 5 4 3 2 3" xfId="33006"/>
    <cellStyle name="Comma 2 2 3 2 5 4 3 3" xfId="22878"/>
    <cellStyle name="Comma 2 2 3 2 5 4 3 3 2" xfId="36222"/>
    <cellStyle name="Comma 2 2 3 2 5 4 3 4" xfId="29799"/>
    <cellStyle name="Comma 2 2 3 2 5 4 3 5" xfId="43707"/>
    <cellStyle name="Comma 2 2 3 2 5 4 4" xfId="6893"/>
    <cellStyle name="Comma 2 2 3 2 5 4 4 2" xfId="17396"/>
    <cellStyle name="Comma 2 2 3 2 5 4 4 2 2" xfId="38446"/>
    <cellStyle name="Comma 2 2 3 2 5 4 4 3" xfId="32023"/>
    <cellStyle name="Comma 2 2 3 2 5 4 5" xfId="16777"/>
    <cellStyle name="Comma 2 2 3 2 5 4 5 2" xfId="35239"/>
    <cellStyle name="Comma 2 2 3 2 5 4 6" xfId="20552"/>
    <cellStyle name="Comma 2 2 3 2 5 4 7" xfId="28816"/>
    <cellStyle name="Comma 2 2 3 2 5 4 8" xfId="41573"/>
    <cellStyle name="Comma 2 2 3 2 5 5" xfId="6208"/>
    <cellStyle name="Comma 2 2 3 2 5 5 2" xfId="10746"/>
    <cellStyle name="Comma 2 2 3 2 5 5 2 2" xfId="19545"/>
    <cellStyle name="Comma 2 2 3 2 5 5 2 2 2" xfId="40588"/>
    <cellStyle name="Comma 2 2 3 2 5 5 2 2 3" xfId="34165"/>
    <cellStyle name="Comma 2 2 3 2 5 5 2 3" xfId="21744"/>
    <cellStyle name="Comma 2 2 3 2 5 5 2 3 2" xfId="37381"/>
    <cellStyle name="Comma 2 2 3 2 5 5 2 4" xfId="30958"/>
    <cellStyle name="Comma 2 2 3 2 5 5 2 5" xfId="42723"/>
    <cellStyle name="Comma 2 2 3 2 5 5 3" xfId="7927"/>
    <cellStyle name="Comma 2 2 3 2 5 5 3 2" xfId="18387"/>
    <cellStyle name="Comma 2 2 3 2 5 5 3 2 2" xfId="39430"/>
    <cellStyle name="Comma 2 2 3 2 5 5 3 2 3" xfId="33007"/>
    <cellStyle name="Comma 2 2 3 2 5 5 3 3" xfId="22879"/>
    <cellStyle name="Comma 2 2 3 2 5 5 3 3 2" xfId="36223"/>
    <cellStyle name="Comma 2 2 3 2 5 5 3 4" xfId="29800"/>
    <cellStyle name="Comma 2 2 3 2 5 5 3 5" xfId="43708"/>
    <cellStyle name="Comma 2 2 3 2 5 5 4" xfId="6894"/>
    <cellStyle name="Comma 2 2 3 2 5 5 4 2" xfId="17397"/>
    <cellStyle name="Comma 2 2 3 2 5 5 4 2 2" xfId="38447"/>
    <cellStyle name="Comma 2 2 3 2 5 5 4 3" xfId="32024"/>
    <cellStyle name="Comma 2 2 3 2 5 5 5" xfId="17065"/>
    <cellStyle name="Comma 2 2 3 2 5 5 5 2" xfId="35240"/>
    <cellStyle name="Comma 2 2 3 2 5 5 6" xfId="20553"/>
    <cellStyle name="Comma 2 2 3 2 5 5 7" xfId="28817"/>
    <cellStyle name="Comma 2 2 3 2 5 5 8" xfId="41574"/>
    <cellStyle name="Comma 2 2 3 2 5 6" xfId="10742"/>
    <cellStyle name="Comma 2 2 3 2 5 6 2" xfId="19541"/>
    <cellStyle name="Comma 2 2 3 2 5 6 2 2" xfId="40584"/>
    <cellStyle name="Comma 2 2 3 2 5 6 2 3" xfId="34161"/>
    <cellStyle name="Comma 2 2 3 2 5 6 3" xfId="21740"/>
    <cellStyle name="Comma 2 2 3 2 5 6 3 2" xfId="37377"/>
    <cellStyle name="Comma 2 2 3 2 5 6 4" xfId="30954"/>
    <cellStyle name="Comma 2 2 3 2 5 6 5" xfId="42719"/>
    <cellStyle name="Comma 2 2 3 2 5 7" xfId="7923"/>
    <cellStyle name="Comma 2 2 3 2 5 7 2" xfId="18383"/>
    <cellStyle name="Comma 2 2 3 2 5 7 2 2" xfId="39426"/>
    <cellStyle name="Comma 2 2 3 2 5 7 2 3" xfId="33003"/>
    <cellStyle name="Comma 2 2 3 2 5 7 3" xfId="22875"/>
    <cellStyle name="Comma 2 2 3 2 5 7 3 2" xfId="36219"/>
    <cellStyle name="Comma 2 2 3 2 5 7 4" xfId="29796"/>
    <cellStyle name="Comma 2 2 3 2 5 7 5" xfId="43704"/>
    <cellStyle name="Comma 2 2 3 2 5 8" xfId="6890"/>
    <cellStyle name="Comma 2 2 3 2 5 8 2" xfId="17393"/>
    <cellStyle name="Comma 2 2 3 2 5 8 2 2" xfId="38443"/>
    <cellStyle name="Comma 2 2 3 2 5 8 3" xfId="32020"/>
    <cellStyle name="Comma 2 2 3 2 5 9" xfId="16213"/>
    <cellStyle name="Comma 2 2 3 2 5 9 2" xfId="35236"/>
    <cellStyle name="Comma 2 2 3 2 6" xfId="2457"/>
    <cellStyle name="Comma 2 2 3 2 6 2" xfId="10747"/>
    <cellStyle name="Comma 2 2 3 2 6 2 2" xfId="19546"/>
    <cellStyle name="Comma 2 2 3 2 6 2 2 2" xfId="40589"/>
    <cellStyle name="Comma 2 2 3 2 6 2 2 3" xfId="34166"/>
    <cellStyle name="Comma 2 2 3 2 6 2 3" xfId="21745"/>
    <cellStyle name="Comma 2 2 3 2 6 2 3 2" xfId="37382"/>
    <cellStyle name="Comma 2 2 3 2 6 2 4" xfId="30959"/>
    <cellStyle name="Comma 2 2 3 2 6 2 5" xfId="42724"/>
    <cellStyle name="Comma 2 2 3 2 6 3" xfId="7928"/>
    <cellStyle name="Comma 2 2 3 2 6 3 2" xfId="18388"/>
    <cellStyle name="Comma 2 2 3 2 6 3 2 2" xfId="39431"/>
    <cellStyle name="Comma 2 2 3 2 6 3 2 3" xfId="33008"/>
    <cellStyle name="Comma 2 2 3 2 6 3 3" xfId="22880"/>
    <cellStyle name="Comma 2 2 3 2 6 3 3 2" xfId="36224"/>
    <cellStyle name="Comma 2 2 3 2 6 3 4" xfId="29801"/>
    <cellStyle name="Comma 2 2 3 2 6 3 5" xfId="43709"/>
    <cellStyle name="Comma 2 2 3 2 6 4" xfId="6895"/>
    <cellStyle name="Comma 2 2 3 2 6 4 2" xfId="17398"/>
    <cellStyle name="Comma 2 2 3 2 6 4 2 2" xfId="38448"/>
    <cellStyle name="Comma 2 2 3 2 6 4 3" xfId="32025"/>
    <cellStyle name="Comma 2 2 3 2 6 5" xfId="16232"/>
    <cellStyle name="Comma 2 2 3 2 6 5 2" xfId="35241"/>
    <cellStyle name="Comma 2 2 3 2 6 6" xfId="20554"/>
    <cellStyle name="Comma 2 2 3 2 6 7" xfId="28818"/>
    <cellStyle name="Comma 2 2 3 2 6 8" xfId="41575"/>
    <cellStyle name="Comma 2 2 3 2 7" xfId="3320"/>
    <cellStyle name="Comma 2 2 3 2 7 2" xfId="10748"/>
    <cellStyle name="Comma 2 2 3 2 7 2 2" xfId="19547"/>
    <cellStyle name="Comma 2 2 3 2 7 2 2 2" xfId="40590"/>
    <cellStyle name="Comma 2 2 3 2 7 2 2 3" xfId="34167"/>
    <cellStyle name="Comma 2 2 3 2 7 2 3" xfId="21746"/>
    <cellStyle name="Comma 2 2 3 2 7 2 3 2" xfId="37383"/>
    <cellStyle name="Comma 2 2 3 2 7 2 4" xfId="30960"/>
    <cellStyle name="Comma 2 2 3 2 7 2 5" xfId="42725"/>
    <cellStyle name="Comma 2 2 3 2 7 3" xfId="7929"/>
    <cellStyle name="Comma 2 2 3 2 7 3 2" xfId="18389"/>
    <cellStyle name="Comma 2 2 3 2 7 3 2 2" xfId="39432"/>
    <cellStyle name="Comma 2 2 3 2 7 3 2 3" xfId="33009"/>
    <cellStyle name="Comma 2 2 3 2 7 3 3" xfId="22881"/>
    <cellStyle name="Comma 2 2 3 2 7 3 3 2" xfId="36225"/>
    <cellStyle name="Comma 2 2 3 2 7 3 4" xfId="29802"/>
    <cellStyle name="Comma 2 2 3 2 7 3 5" xfId="43710"/>
    <cellStyle name="Comma 2 2 3 2 7 4" xfId="6896"/>
    <cellStyle name="Comma 2 2 3 2 7 4 2" xfId="17399"/>
    <cellStyle name="Comma 2 2 3 2 7 4 2 2" xfId="38449"/>
    <cellStyle name="Comma 2 2 3 2 7 4 3" xfId="32026"/>
    <cellStyle name="Comma 2 2 3 2 7 5" xfId="16420"/>
    <cellStyle name="Comma 2 2 3 2 7 5 2" xfId="35242"/>
    <cellStyle name="Comma 2 2 3 2 7 6" xfId="20555"/>
    <cellStyle name="Comma 2 2 3 2 7 7" xfId="28819"/>
    <cellStyle name="Comma 2 2 3 2 7 8" xfId="41576"/>
    <cellStyle name="Comma 2 2 3 2 8" xfId="4188"/>
    <cellStyle name="Comma 2 2 3 2 8 2" xfId="10749"/>
    <cellStyle name="Comma 2 2 3 2 8 2 2" xfId="19548"/>
    <cellStyle name="Comma 2 2 3 2 8 2 2 2" xfId="40591"/>
    <cellStyle name="Comma 2 2 3 2 8 2 2 3" xfId="34168"/>
    <cellStyle name="Comma 2 2 3 2 8 2 3" xfId="21747"/>
    <cellStyle name="Comma 2 2 3 2 8 2 3 2" xfId="37384"/>
    <cellStyle name="Comma 2 2 3 2 8 2 4" xfId="30961"/>
    <cellStyle name="Comma 2 2 3 2 8 2 5" xfId="42726"/>
    <cellStyle name="Comma 2 2 3 2 8 3" xfId="7930"/>
    <cellStyle name="Comma 2 2 3 2 8 3 2" xfId="18390"/>
    <cellStyle name="Comma 2 2 3 2 8 3 2 2" xfId="39433"/>
    <cellStyle name="Comma 2 2 3 2 8 3 2 3" xfId="33010"/>
    <cellStyle name="Comma 2 2 3 2 8 3 3" xfId="22882"/>
    <cellStyle name="Comma 2 2 3 2 8 3 3 2" xfId="36226"/>
    <cellStyle name="Comma 2 2 3 2 8 3 4" xfId="29803"/>
    <cellStyle name="Comma 2 2 3 2 8 3 5" xfId="43711"/>
    <cellStyle name="Comma 2 2 3 2 8 4" xfId="6897"/>
    <cellStyle name="Comma 2 2 3 2 8 4 2" xfId="17400"/>
    <cellStyle name="Comma 2 2 3 2 8 4 2 2" xfId="38450"/>
    <cellStyle name="Comma 2 2 3 2 8 4 3" xfId="32027"/>
    <cellStyle name="Comma 2 2 3 2 8 5" xfId="16608"/>
    <cellStyle name="Comma 2 2 3 2 8 5 2" xfId="35243"/>
    <cellStyle name="Comma 2 2 3 2 8 6" xfId="20556"/>
    <cellStyle name="Comma 2 2 3 2 8 7" xfId="28820"/>
    <cellStyle name="Comma 2 2 3 2 8 8" xfId="41577"/>
    <cellStyle name="Comma 2 2 3 2 9" xfId="4987"/>
    <cellStyle name="Comma 2 2 3 2 9 2" xfId="10750"/>
    <cellStyle name="Comma 2 2 3 2 9 2 2" xfId="19549"/>
    <cellStyle name="Comma 2 2 3 2 9 2 2 2" xfId="40592"/>
    <cellStyle name="Comma 2 2 3 2 9 2 2 3" xfId="34169"/>
    <cellStyle name="Comma 2 2 3 2 9 2 3" xfId="21748"/>
    <cellStyle name="Comma 2 2 3 2 9 2 3 2" xfId="37385"/>
    <cellStyle name="Comma 2 2 3 2 9 2 4" xfId="30962"/>
    <cellStyle name="Comma 2 2 3 2 9 2 5" xfId="42727"/>
    <cellStyle name="Comma 2 2 3 2 9 3" xfId="7931"/>
    <cellStyle name="Comma 2 2 3 2 9 3 2" xfId="18391"/>
    <cellStyle name="Comma 2 2 3 2 9 3 2 2" xfId="39434"/>
    <cellStyle name="Comma 2 2 3 2 9 3 2 3" xfId="33011"/>
    <cellStyle name="Comma 2 2 3 2 9 3 3" xfId="22883"/>
    <cellStyle name="Comma 2 2 3 2 9 3 3 2" xfId="36227"/>
    <cellStyle name="Comma 2 2 3 2 9 3 4" xfId="29804"/>
    <cellStyle name="Comma 2 2 3 2 9 3 5" xfId="43712"/>
    <cellStyle name="Comma 2 2 3 2 9 4" xfId="6898"/>
    <cellStyle name="Comma 2 2 3 2 9 4 2" xfId="17401"/>
    <cellStyle name="Comma 2 2 3 2 9 4 2 2" xfId="38451"/>
    <cellStyle name="Comma 2 2 3 2 9 4 3" xfId="32028"/>
    <cellStyle name="Comma 2 2 3 2 9 5" xfId="16802"/>
    <cellStyle name="Comma 2 2 3 2 9 5 2" xfId="35244"/>
    <cellStyle name="Comma 2 2 3 2 9 6" xfId="20557"/>
    <cellStyle name="Comma 2 2 3 2 9 7" xfId="28821"/>
    <cellStyle name="Comma 2 2 3 2 9 8" xfId="41578"/>
    <cellStyle name="Comma 2 2 3 3" xfId="1465"/>
    <cellStyle name="Comma 2 2 3 3 10" xfId="7932"/>
    <cellStyle name="Comma 2 2 3 3 10 2" xfId="18392"/>
    <cellStyle name="Comma 2 2 3 3 10 2 2" xfId="39435"/>
    <cellStyle name="Comma 2 2 3 3 10 2 3" xfId="33012"/>
    <cellStyle name="Comma 2 2 3 3 10 3" xfId="22884"/>
    <cellStyle name="Comma 2 2 3 3 10 3 2" xfId="36228"/>
    <cellStyle name="Comma 2 2 3 3 10 4" xfId="29805"/>
    <cellStyle name="Comma 2 2 3 3 10 5" xfId="43713"/>
    <cellStyle name="Comma 2 2 3 3 11" xfId="6592"/>
    <cellStyle name="Comma 2 2 3 3 11 2" xfId="17100"/>
    <cellStyle name="Comma 2 2 3 3 11 2 2" xfId="38154"/>
    <cellStyle name="Comma 2 2 3 3 11 3" xfId="31731"/>
    <cellStyle name="Comma 2 2 3 3 12" xfId="16035"/>
    <cellStyle name="Comma 2 2 3 3 12 2" xfId="34947"/>
    <cellStyle name="Comma 2 2 3 3 13" xfId="20558"/>
    <cellStyle name="Comma 2 2 3 3 14" xfId="28522"/>
    <cellStyle name="Comma 2 2 3 3 15" xfId="41579"/>
    <cellStyle name="Comma 2 2 3 3 2" xfId="1819"/>
    <cellStyle name="Comma 2 2 3 3 2 10" xfId="16097"/>
    <cellStyle name="Comma 2 2 3 3 2 10 2" xfId="34968"/>
    <cellStyle name="Comma 2 2 3 3 2 11" xfId="20559"/>
    <cellStyle name="Comma 2 2 3 3 2 12" xfId="28543"/>
    <cellStyle name="Comma 2 2 3 3 2 13" xfId="41580"/>
    <cellStyle name="Comma 2 2 3 3 2 2" xfId="2709"/>
    <cellStyle name="Comma 2 2 3 3 2 2 2" xfId="10751"/>
    <cellStyle name="Comma 2 2 3 3 2 2 2 2" xfId="19550"/>
    <cellStyle name="Comma 2 2 3 3 2 2 2 2 2" xfId="40593"/>
    <cellStyle name="Comma 2 2 3 3 2 2 2 2 3" xfId="34170"/>
    <cellStyle name="Comma 2 2 3 3 2 2 2 3" xfId="21749"/>
    <cellStyle name="Comma 2 2 3 3 2 2 2 3 2" xfId="37386"/>
    <cellStyle name="Comma 2 2 3 3 2 2 2 4" xfId="30963"/>
    <cellStyle name="Comma 2 2 3 3 2 2 2 5" xfId="42728"/>
    <cellStyle name="Comma 2 2 3 3 2 2 3" xfId="7934"/>
    <cellStyle name="Comma 2 2 3 3 2 2 3 2" xfId="18394"/>
    <cellStyle name="Comma 2 2 3 3 2 2 3 2 2" xfId="39437"/>
    <cellStyle name="Comma 2 2 3 3 2 2 3 2 3" xfId="33014"/>
    <cellStyle name="Comma 2 2 3 3 2 2 3 3" xfId="22886"/>
    <cellStyle name="Comma 2 2 3 3 2 2 3 3 2" xfId="36230"/>
    <cellStyle name="Comma 2 2 3 3 2 2 3 4" xfId="29807"/>
    <cellStyle name="Comma 2 2 3 3 2 2 3 5" xfId="43715"/>
    <cellStyle name="Comma 2 2 3 3 2 2 4" xfId="6899"/>
    <cellStyle name="Comma 2 2 3 3 2 2 4 2" xfId="17402"/>
    <cellStyle name="Comma 2 2 3 3 2 2 4 2 2" xfId="38452"/>
    <cellStyle name="Comma 2 2 3 3 2 2 4 3" xfId="32029"/>
    <cellStyle name="Comma 2 2 3 3 2 2 5" xfId="16287"/>
    <cellStyle name="Comma 2 2 3 3 2 2 5 2" xfId="35245"/>
    <cellStyle name="Comma 2 2 3 3 2 2 6" xfId="20560"/>
    <cellStyle name="Comma 2 2 3 3 2 2 7" xfId="28822"/>
    <cellStyle name="Comma 2 2 3 3 2 2 8" xfId="41581"/>
    <cellStyle name="Comma 2 2 3 3 2 3" xfId="3573"/>
    <cellStyle name="Comma 2 2 3 3 2 3 2" xfId="10752"/>
    <cellStyle name="Comma 2 2 3 3 2 3 2 2" xfId="19551"/>
    <cellStyle name="Comma 2 2 3 3 2 3 2 2 2" xfId="40594"/>
    <cellStyle name="Comma 2 2 3 3 2 3 2 2 3" xfId="34171"/>
    <cellStyle name="Comma 2 2 3 3 2 3 2 3" xfId="21750"/>
    <cellStyle name="Comma 2 2 3 3 2 3 2 3 2" xfId="37387"/>
    <cellStyle name="Comma 2 2 3 3 2 3 2 4" xfId="30964"/>
    <cellStyle name="Comma 2 2 3 3 2 3 2 5" xfId="42729"/>
    <cellStyle name="Comma 2 2 3 3 2 3 3" xfId="7935"/>
    <cellStyle name="Comma 2 2 3 3 2 3 3 2" xfId="18395"/>
    <cellStyle name="Comma 2 2 3 3 2 3 3 2 2" xfId="39438"/>
    <cellStyle name="Comma 2 2 3 3 2 3 3 2 3" xfId="33015"/>
    <cellStyle name="Comma 2 2 3 3 2 3 3 3" xfId="22887"/>
    <cellStyle name="Comma 2 2 3 3 2 3 3 3 2" xfId="36231"/>
    <cellStyle name="Comma 2 2 3 3 2 3 3 4" xfId="29808"/>
    <cellStyle name="Comma 2 2 3 3 2 3 3 5" xfId="43716"/>
    <cellStyle name="Comma 2 2 3 3 2 3 4" xfId="6900"/>
    <cellStyle name="Comma 2 2 3 3 2 3 4 2" xfId="17403"/>
    <cellStyle name="Comma 2 2 3 3 2 3 4 2 2" xfId="38453"/>
    <cellStyle name="Comma 2 2 3 3 2 3 4 3" xfId="32030"/>
    <cellStyle name="Comma 2 2 3 3 2 3 5" xfId="16475"/>
    <cellStyle name="Comma 2 2 3 3 2 3 5 2" xfId="35246"/>
    <cellStyle name="Comma 2 2 3 3 2 3 6" xfId="20561"/>
    <cellStyle name="Comma 2 2 3 3 2 3 7" xfId="28823"/>
    <cellStyle name="Comma 2 2 3 3 2 3 8" xfId="41582"/>
    <cellStyle name="Comma 2 2 3 3 2 4" xfId="4448"/>
    <cellStyle name="Comma 2 2 3 3 2 4 2" xfId="10753"/>
    <cellStyle name="Comma 2 2 3 3 2 4 2 2" xfId="19552"/>
    <cellStyle name="Comma 2 2 3 3 2 4 2 2 2" xfId="40595"/>
    <cellStyle name="Comma 2 2 3 3 2 4 2 2 3" xfId="34172"/>
    <cellStyle name="Comma 2 2 3 3 2 4 2 3" xfId="21751"/>
    <cellStyle name="Comma 2 2 3 3 2 4 2 3 2" xfId="37388"/>
    <cellStyle name="Comma 2 2 3 3 2 4 2 4" xfId="30965"/>
    <cellStyle name="Comma 2 2 3 3 2 4 2 5" xfId="42730"/>
    <cellStyle name="Comma 2 2 3 3 2 4 3" xfId="7936"/>
    <cellStyle name="Comma 2 2 3 3 2 4 3 2" xfId="18396"/>
    <cellStyle name="Comma 2 2 3 3 2 4 3 2 2" xfId="39439"/>
    <cellStyle name="Comma 2 2 3 3 2 4 3 2 3" xfId="33016"/>
    <cellStyle name="Comma 2 2 3 3 2 4 3 3" xfId="22888"/>
    <cellStyle name="Comma 2 2 3 3 2 4 3 3 2" xfId="36232"/>
    <cellStyle name="Comma 2 2 3 3 2 4 3 4" xfId="29809"/>
    <cellStyle name="Comma 2 2 3 3 2 4 3 5" xfId="43717"/>
    <cellStyle name="Comma 2 2 3 3 2 4 4" xfId="6901"/>
    <cellStyle name="Comma 2 2 3 3 2 4 4 2" xfId="17404"/>
    <cellStyle name="Comma 2 2 3 3 2 4 4 2 2" xfId="38454"/>
    <cellStyle name="Comma 2 2 3 3 2 4 4 3" xfId="32031"/>
    <cellStyle name="Comma 2 2 3 3 2 4 5" xfId="16663"/>
    <cellStyle name="Comma 2 2 3 3 2 4 5 2" xfId="35247"/>
    <cellStyle name="Comma 2 2 3 3 2 4 6" xfId="20562"/>
    <cellStyle name="Comma 2 2 3 3 2 4 7" xfId="28824"/>
    <cellStyle name="Comma 2 2 3 3 2 4 8" xfId="41583"/>
    <cellStyle name="Comma 2 2 3 3 2 5" xfId="4992"/>
    <cellStyle name="Comma 2 2 3 3 2 5 2" xfId="10754"/>
    <cellStyle name="Comma 2 2 3 3 2 5 2 2" xfId="19553"/>
    <cellStyle name="Comma 2 2 3 3 2 5 2 2 2" xfId="40596"/>
    <cellStyle name="Comma 2 2 3 3 2 5 2 2 3" xfId="34173"/>
    <cellStyle name="Comma 2 2 3 3 2 5 2 3" xfId="21752"/>
    <cellStyle name="Comma 2 2 3 3 2 5 2 3 2" xfId="37389"/>
    <cellStyle name="Comma 2 2 3 3 2 5 2 4" xfId="30966"/>
    <cellStyle name="Comma 2 2 3 3 2 5 2 5" xfId="42731"/>
    <cellStyle name="Comma 2 2 3 3 2 5 3" xfId="7937"/>
    <cellStyle name="Comma 2 2 3 3 2 5 3 2" xfId="18397"/>
    <cellStyle name="Comma 2 2 3 3 2 5 3 2 2" xfId="39440"/>
    <cellStyle name="Comma 2 2 3 3 2 5 3 2 3" xfId="33017"/>
    <cellStyle name="Comma 2 2 3 3 2 5 3 3" xfId="22889"/>
    <cellStyle name="Comma 2 2 3 3 2 5 3 3 2" xfId="36233"/>
    <cellStyle name="Comma 2 2 3 3 2 5 3 4" xfId="29810"/>
    <cellStyle name="Comma 2 2 3 3 2 5 3 5" xfId="43718"/>
    <cellStyle name="Comma 2 2 3 3 2 5 4" xfId="6902"/>
    <cellStyle name="Comma 2 2 3 3 2 5 4 2" xfId="17405"/>
    <cellStyle name="Comma 2 2 3 3 2 5 4 2 2" xfId="38455"/>
    <cellStyle name="Comma 2 2 3 3 2 5 4 3" xfId="32032"/>
    <cellStyle name="Comma 2 2 3 3 2 5 5" xfId="16807"/>
    <cellStyle name="Comma 2 2 3 3 2 5 5 2" xfId="35248"/>
    <cellStyle name="Comma 2 2 3 3 2 5 6" xfId="20563"/>
    <cellStyle name="Comma 2 2 3 3 2 5 7" xfId="28825"/>
    <cellStyle name="Comma 2 2 3 3 2 5 8" xfId="41584"/>
    <cellStyle name="Comma 2 2 3 3 2 6" xfId="5713"/>
    <cellStyle name="Comma 2 2 3 3 2 6 2" xfId="10755"/>
    <cellStyle name="Comma 2 2 3 3 2 6 2 2" xfId="19554"/>
    <cellStyle name="Comma 2 2 3 3 2 6 2 2 2" xfId="40597"/>
    <cellStyle name="Comma 2 2 3 3 2 6 2 2 3" xfId="34174"/>
    <cellStyle name="Comma 2 2 3 3 2 6 2 3" xfId="21753"/>
    <cellStyle name="Comma 2 2 3 3 2 6 2 3 2" xfId="37390"/>
    <cellStyle name="Comma 2 2 3 3 2 6 2 4" xfId="30967"/>
    <cellStyle name="Comma 2 2 3 3 2 6 2 5" xfId="42732"/>
    <cellStyle name="Comma 2 2 3 3 2 6 3" xfId="7938"/>
    <cellStyle name="Comma 2 2 3 3 2 6 3 2" xfId="18398"/>
    <cellStyle name="Comma 2 2 3 3 2 6 3 2 2" xfId="39441"/>
    <cellStyle name="Comma 2 2 3 3 2 6 3 2 3" xfId="33018"/>
    <cellStyle name="Comma 2 2 3 3 2 6 3 3" xfId="22890"/>
    <cellStyle name="Comma 2 2 3 3 2 6 3 3 2" xfId="36234"/>
    <cellStyle name="Comma 2 2 3 3 2 6 3 4" xfId="29811"/>
    <cellStyle name="Comma 2 2 3 3 2 6 3 5" xfId="43719"/>
    <cellStyle name="Comma 2 2 3 3 2 6 4" xfId="6903"/>
    <cellStyle name="Comma 2 2 3 3 2 6 4 2" xfId="17406"/>
    <cellStyle name="Comma 2 2 3 3 2 6 4 2 2" xfId="38456"/>
    <cellStyle name="Comma 2 2 3 3 2 6 4 3" xfId="32033"/>
    <cellStyle name="Comma 2 2 3 3 2 6 5" xfId="16951"/>
    <cellStyle name="Comma 2 2 3 3 2 6 5 2" xfId="35249"/>
    <cellStyle name="Comma 2 2 3 3 2 6 6" xfId="20564"/>
    <cellStyle name="Comma 2 2 3 3 2 6 7" xfId="28826"/>
    <cellStyle name="Comma 2 2 3 3 2 6 8" xfId="41585"/>
    <cellStyle name="Comma 2 2 3 3 2 7" xfId="10215"/>
    <cellStyle name="Comma 2 2 3 3 2 7 2" xfId="19269"/>
    <cellStyle name="Comma 2 2 3 3 2 7 2 2" xfId="40312"/>
    <cellStyle name="Comma 2 2 3 3 2 7 2 3" xfId="33889"/>
    <cellStyle name="Comma 2 2 3 3 2 7 3" xfId="21469"/>
    <cellStyle name="Comma 2 2 3 3 2 7 3 2" xfId="37105"/>
    <cellStyle name="Comma 2 2 3 3 2 7 4" xfId="30682"/>
    <cellStyle name="Comma 2 2 3 3 2 7 5" xfId="42448"/>
    <cellStyle name="Comma 2 2 3 3 2 8" xfId="7933"/>
    <cellStyle name="Comma 2 2 3 3 2 8 2" xfId="18393"/>
    <cellStyle name="Comma 2 2 3 3 2 8 2 2" xfId="39436"/>
    <cellStyle name="Comma 2 2 3 3 2 8 2 3" xfId="33013"/>
    <cellStyle name="Comma 2 2 3 3 2 8 3" xfId="22885"/>
    <cellStyle name="Comma 2 2 3 3 2 8 3 2" xfId="36229"/>
    <cellStyle name="Comma 2 2 3 3 2 8 4" xfId="29806"/>
    <cellStyle name="Comma 2 2 3 3 2 8 5" xfId="43714"/>
    <cellStyle name="Comma 2 2 3 3 2 9" xfId="6615"/>
    <cellStyle name="Comma 2 2 3 3 2 9 2" xfId="17122"/>
    <cellStyle name="Comma 2 2 3 3 2 9 2 2" xfId="38175"/>
    <cellStyle name="Comma 2 2 3 3 2 9 3" xfId="31752"/>
    <cellStyle name="Comma 2 2 3 3 3" xfId="2094"/>
    <cellStyle name="Comma 2 2 3 3 3 10" xfId="20565"/>
    <cellStyle name="Comma 2 2 3 3 3 11" xfId="28827"/>
    <cellStyle name="Comma 2 2 3 3 3 12" xfId="41586"/>
    <cellStyle name="Comma 2 2 3 3 3 2" xfId="2964"/>
    <cellStyle name="Comma 2 2 3 3 3 2 2" xfId="10757"/>
    <cellStyle name="Comma 2 2 3 3 3 2 2 2" xfId="19556"/>
    <cellStyle name="Comma 2 2 3 3 3 2 2 2 2" xfId="40599"/>
    <cellStyle name="Comma 2 2 3 3 3 2 2 2 3" xfId="34176"/>
    <cellStyle name="Comma 2 2 3 3 3 2 2 3" xfId="21755"/>
    <cellStyle name="Comma 2 2 3 3 3 2 2 3 2" xfId="37392"/>
    <cellStyle name="Comma 2 2 3 3 3 2 2 4" xfId="30969"/>
    <cellStyle name="Comma 2 2 3 3 3 2 2 5" xfId="42734"/>
    <cellStyle name="Comma 2 2 3 3 3 2 3" xfId="7940"/>
    <cellStyle name="Comma 2 2 3 3 3 2 3 2" xfId="18400"/>
    <cellStyle name="Comma 2 2 3 3 3 2 3 2 2" xfId="39443"/>
    <cellStyle name="Comma 2 2 3 3 3 2 3 2 3" xfId="33020"/>
    <cellStyle name="Comma 2 2 3 3 3 2 3 3" xfId="22892"/>
    <cellStyle name="Comma 2 2 3 3 3 2 3 3 2" xfId="36236"/>
    <cellStyle name="Comma 2 2 3 3 3 2 3 4" xfId="29813"/>
    <cellStyle name="Comma 2 2 3 3 3 2 3 5" xfId="43721"/>
    <cellStyle name="Comma 2 2 3 3 3 2 4" xfId="6905"/>
    <cellStyle name="Comma 2 2 3 3 3 2 4 2" xfId="17408"/>
    <cellStyle name="Comma 2 2 3 3 3 2 4 2 2" xfId="38458"/>
    <cellStyle name="Comma 2 2 3 3 3 2 4 3" xfId="32035"/>
    <cellStyle name="Comma 2 2 3 3 3 2 5" xfId="16342"/>
    <cellStyle name="Comma 2 2 3 3 3 2 5 2" xfId="35251"/>
    <cellStyle name="Comma 2 2 3 3 3 2 6" xfId="20566"/>
    <cellStyle name="Comma 2 2 3 3 3 2 7" xfId="28828"/>
    <cellStyle name="Comma 2 2 3 3 3 2 8" xfId="41587"/>
    <cellStyle name="Comma 2 2 3 3 3 3" xfId="3834"/>
    <cellStyle name="Comma 2 2 3 3 3 3 2" xfId="10758"/>
    <cellStyle name="Comma 2 2 3 3 3 3 2 2" xfId="19557"/>
    <cellStyle name="Comma 2 2 3 3 3 3 2 2 2" xfId="40600"/>
    <cellStyle name="Comma 2 2 3 3 3 3 2 2 3" xfId="34177"/>
    <cellStyle name="Comma 2 2 3 3 3 3 2 3" xfId="21756"/>
    <cellStyle name="Comma 2 2 3 3 3 3 2 3 2" xfId="37393"/>
    <cellStyle name="Comma 2 2 3 3 3 3 2 4" xfId="30970"/>
    <cellStyle name="Comma 2 2 3 3 3 3 2 5" xfId="42735"/>
    <cellStyle name="Comma 2 2 3 3 3 3 3" xfId="7941"/>
    <cellStyle name="Comma 2 2 3 3 3 3 3 2" xfId="18401"/>
    <cellStyle name="Comma 2 2 3 3 3 3 3 2 2" xfId="39444"/>
    <cellStyle name="Comma 2 2 3 3 3 3 3 2 3" xfId="33021"/>
    <cellStyle name="Comma 2 2 3 3 3 3 3 3" xfId="22893"/>
    <cellStyle name="Comma 2 2 3 3 3 3 3 3 2" xfId="36237"/>
    <cellStyle name="Comma 2 2 3 3 3 3 3 4" xfId="29814"/>
    <cellStyle name="Comma 2 2 3 3 3 3 3 5" xfId="43722"/>
    <cellStyle name="Comma 2 2 3 3 3 3 4" xfId="6906"/>
    <cellStyle name="Comma 2 2 3 3 3 3 4 2" xfId="17409"/>
    <cellStyle name="Comma 2 2 3 3 3 3 4 2 2" xfId="38459"/>
    <cellStyle name="Comma 2 2 3 3 3 3 4 3" xfId="32036"/>
    <cellStyle name="Comma 2 2 3 3 3 3 5" xfId="16530"/>
    <cellStyle name="Comma 2 2 3 3 3 3 5 2" xfId="35252"/>
    <cellStyle name="Comma 2 2 3 3 3 3 6" xfId="20567"/>
    <cellStyle name="Comma 2 2 3 3 3 3 7" xfId="28829"/>
    <cellStyle name="Comma 2 2 3 3 3 3 8" xfId="41588"/>
    <cellStyle name="Comma 2 2 3 3 3 4" xfId="4712"/>
    <cellStyle name="Comma 2 2 3 3 3 4 2" xfId="10759"/>
    <cellStyle name="Comma 2 2 3 3 3 4 2 2" xfId="19558"/>
    <cellStyle name="Comma 2 2 3 3 3 4 2 2 2" xfId="40601"/>
    <cellStyle name="Comma 2 2 3 3 3 4 2 2 3" xfId="34178"/>
    <cellStyle name="Comma 2 2 3 3 3 4 2 3" xfId="21757"/>
    <cellStyle name="Comma 2 2 3 3 3 4 2 3 2" xfId="37394"/>
    <cellStyle name="Comma 2 2 3 3 3 4 2 4" xfId="30971"/>
    <cellStyle name="Comma 2 2 3 3 3 4 2 5" xfId="42736"/>
    <cellStyle name="Comma 2 2 3 3 3 4 3" xfId="7942"/>
    <cellStyle name="Comma 2 2 3 3 3 4 3 2" xfId="18402"/>
    <cellStyle name="Comma 2 2 3 3 3 4 3 2 2" xfId="39445"/>
    <cellStyle name="Comma 2 2 3 3 3 4 3 2 3" xfId="33022"/>
    <cellStyle name="Comma 2 2 3 3 3 4 3 3" xfId="22894"/>
    <cellStyle name="Comma 2 2 3 3 3 4 3 3 2" xfId="36238"/>
    <cellStyle name="Comma 2 2 3 3 3 4 3 4" xfId="29815"/>
    <cellStyle name="Comma 2 2 3 3 3 4 3 5" xfId="43723"/>
    <cellStyle name="Comma 2 2 3 3 3 4 4" xfId="6907"/>
    <cellStyle name="Comma 2 2 3 3 3 4 4 2" xfId="17410"/>
    <cellStyle name="Comma 2 2 3 3 3 4 4 2 2" xfId="38460"/>
    <cellStyle name="Comma 2 2 3 3 3 4 4 3" xfId="32037"/>
    <cellStyle name="Comma 2 2 3 3 3 4 5" xfId="16718"/>
    <cellStyle name="Comma 2 2 3 3 3 4 5 2" xfId="35253"/>
    <cellStyle name="Comma 2 2 3 3 3 4 6" xfId="20568"/>
    <cellStyle name="Comma 2 2 3 3 3 4 7" xfId="28830"/>
    <cellStyle name="Comma 2 2 3 3 3 4 8" xfId="41589"/>
    <cellStyle name="Comma 2 2 3 3 3 5" xfId="5977"/>
    <cellStyle name="Comma 2 2 3 3 3 5 2" xfId="10760"/>
    <cellStyle name="Comma 2 2 3 3 3 5 2 2" xfId="19559"/>
    <cellStyle name="Comma 2 2 3 3 3 5 2 2 2" xfId="40602"/>
    <cellStyle name="Comma 2 2 3 3 3 5 2 2 3" xfId="34179"/>
    <cellStyle name="Comma 2 2 3 3 3 5 2 3" xfId="21758"/>
    <cellStyle name="Comma 2 2 3 3 3 5 2 3 2" xfId="37395"/>
    <cellStyle name="Comma 2 2 3 3 3 5 2 4" xfId="30972"/>
    <cellStyle name="Comma 2 2 3 3 3 5 2 5" xfId="42737"/>
    <cellStyle name="Comma 2 2 3 3 3 5 3" xfId="7943"/>
    <cellStyle name="Comma 2 2 3 3 3 5 3 2" xfId="18403"/>
    <cellStyle name="Comma 2 2 3 3 3 5 3 2 2" xfId="39446"/>
    <cellStyle name="Comma 2 2 3 3 3 5 3 2 3" xfId="33023"/>
    <cellStyle name="Comma 2 2 3 3 3 5 3 3" xfId="22895"/>
    <cellStyle name="Comma 2 2 3 3 3 5 3 3 2" xfId="36239"/>
    <cellStyle name="Comma 2 2 3 3 3 5 3 4" xfId="29816"/>
    <cellStyle name="Comma 2 2 3 3 3 5 3 5" xfId="43724"/>
    <cellStyle name="Comma 2 2 3 3 3 5 4" xfId="6908"/>
    <cellStyle name="Comma 2 2 3 3 3 5 4 2" xfId="17411"/>
    <cellStyle name="Comma 2 2 3 3 3 5 4 2 2" xfId="38461"/>
    <cellStyle name="Comma 2 2 3 3 3 5 4 3" xfId="32038"/>
    <cellStyle name="Comma 2 2 3 3 3 5 5" xfId="17006"/>
    <cellStyle name="Comma 2 2 3 3 3 5 5 2" xfId="35254"/>
    <cellStyle name="Comma 2 2 3 3 3 5 6" xfId="20569"/>
    <cellStyle name="Comma 2 2 3 3 3 5 7" xfId="28831"/>
    <cellStyle name="Comma 2 2 3 3 3 5 8" xfId="41590"/>
    <cellStyle name="Comma 2 2 3 3 3 6" xfId="10756"/>
    <cellStyle name="Comma 2 2 3 3 3 6 2" xfId="19555"/>
    <cellStyle name="Comma 2 2 3 3 3 6 2 2" xfId="40598"/>
    <cellStyle name="Comma 2 2 3 3 3 6 2 3" xfId="34175"/>
    <cellStyle name="Comma 2 2 3 3 3 6 3" xfId="21754"/>
    <cellStyle name="Comma 2 2 3 3 3 6 3 2" xfId="37391"/>
    <cellStyle name="Comma 2 2 3 3 3 6 4" xfId="30968"/>
    <cellStyle name="Comma 2 2 3 3 3 6 5" xfId="42733"/>
    <cellStyle name="Comma 2 2 3 3 3 7" xfId="7939"/>
    <cellStyle name="Comma 2 2 3 3 3 7 2" xfId="18399"/>
    <cellStyle name="Comma 2 2 3 3 3 7 2 2" xfId="39442"/>
    <cellStyle name="Comma 2 2 3 3 3 7 2 3" xfId="33019"/>
    <cellStyle name="Comma 2 2 3 3 3 7 3" xfId="22891"/>
    <cellStyle name="Comma 2 2 3 3 3 7 3 2" xfId="36235"/>
    <cellStyle name="Comma 2 2 3 3 3 7 4" xfId="29812"/>
    <cellStyle name="Comma 2 2 3 3 3 7 5" xfId="43720"/>
    <cellStyle name="Comma 2 2 3 3 3 8" xfId="6904"/>
    <cellStyle name="Comma 2 2 3 3 3 8 2" xfId="17407"/>
    <cellStyle name="Comma 2 2 3 3 3 8 2 2" xfId="38457"/>
    <cellStyle name="Comma 2 2 3 3 3 8 3" xfId="32034"/>
    <cellStyle name="Comma 2 2 3 3 3 9" xfId="16153"/>
    <cellStyle name="Comma 2 2 3 3 3 9 2" xfId="35250"/>
    <cellStyle name="Comma 2 2 3 3 4" xfId="2459"/>
    <cellStyle name="Comma 2 2 3 3 4 2" xfId="10761"/>
    <cellStyle name="Comma 2 2 3 3 4 2 2" xfId="19560"/>
    <cellStyle name="Comma 2 2 3 3 4 2 2 2" xfId="40603"/>
    <cellStyle name="Comma 2 2 3 3 4 2 2 3" xfId="34180"/>
    <cellStyle name="Comma 2 2 3 3 4 2 3" xfId="21759"/>
    <cellStyle name="Comma 2 2 3 3 4 2 3 2" xfId="37396"/>
    <cellStyle name="Comma 2 2 3 3 4 2 4" xfId="30973"/>
    <cellStyle name="Comma 2 2 3 3 4 2 5" xfId="42738"/>
    <cellStyle name="Comma 2 2 3 3 4 3" xfId="7944"/>
    <cellStyle name="Comma 2 2 3 3 4 3 2" xfId="18404"/>
    <cellStyle name="Comma 2 2 3 3 4 3 2 2" xfId="39447"/>
    <cellStyle name="Comma 2 2 3 3 4 3 2 3" xfId="33024"/>
    <cellStyle name="Comma 2 2 3 3 4 3 3" xfId="22896"/>
    <cellStyle name="Comma 2 2 3 3 4 3 3 2" xfId="36240"/>
    <cellStyle name="Comma 2 2 3 3 4 3 4" xfId="29817"/>
    <cellStyle name="Comma 2 2 3 3 4 3 5" xfId="43725"/>
    <cellStyle name="Comma 2 2 3 3 4 4" xfId="6909"/>
    <cellStyle name="Comma 2 2 3 3 4 4 2" xfId="17412"/>
    <cellStyle name="Comma 2 2 3 3 4 4 2 2" xfId="38462"/>
    <cellStyle name="Comma 2 2 3 3 4 4 3" xfId="32039"/>
    <cellStyle name="Comma 2 2 3 3 4 5" xfId="16234"/>
    <cellStyle name="Comma 2 2 3 3 4 5 2" xfId="35255"/>
    <cellStyle name="Comma 2 2 3 3 4 6" xfId="20570"/>
    <cellStyle name="Comma 2 2 3 3 4 7" xfId="28832"/>
    <cellStyle name="Comma 2 2 3 3 4 8" xfId="41591"/>
    <cellStyle name="Comma 2 2 3 3 5" xfId="3322"/>
    <cellStyle name="Comma 2 2 3 3 5 2" xfId="10762"/>
    <cellStyle name="Comma 2 2 3 3 5 2 2" xfId="19561"/>
    <cellStyle name="Comma 2 2 3 3 5 2 2 2" xfId="40604"/>
    <cellStyle name="Comma 2 2 3 3 5 2 2 3" xfId="34181"/>
    <cellStyle name="Comma 2 2 3 3 5 2 3" xfId="21760"/>
    <cellStyle name="Comma 2 2 3 3 5 2 3 2" xfId="37397"/>
    <cellStyle name="Comma 2 2 3 3 5 2 4" xfId="30974"/>
    <cellStyle name="Comma 2 2 3 3 5 2 5" xfId="42739"/>
    <cellStyle name="Comma 2 2 3 3 5 3" xfId="7945"/>
    <cellStyle name="Comma 2 2 3 3 5 3 2" xfId="18405"/>
    <cellStyle name="Comma 2 2 3 3 5 3 2 2" xfId="39448"/>
    <cellStyle name="Comma 2 2 3 3 5 3 2 3" xfId="33025"/>
    <cellStyle name="Comma 2 2 3 3 5 3 3" xfId="22897"/>
    <cellStyle name="Comma 2 2 3 3 5 3 3 2" xfId="36241"/>
    <cellStyle name="Comma 2 2 3 3 5 3 4" xfId="29818"/>
    <cellStyle name="Comma 2 2 3 3 5 3 5" xfId="43726"/>
    <cellStyle name="Comma 2 2 3 3 5 4" xfId="6910"/>
    <cellStyle name="Comma 2 2 3 3 5 4 2" xfId="17413"/>
    <cellStyle name="Comma 2 2 3 3 5 4 2 2" xfId="38463"/>
    <cellStyle name="Comma 2 2 3 3 5 4 3" xfId="32040"/>
    <cellStyle name="Comma 2 2 3 3 5 5" xfId="16422"/>
    <cellStyle name="Comma 2 2 3 3 5 5 2" xfId="35256"/>
    <cellStyle name="Comma 2 2 3 3 5 6" xfId="20571"/>
    <cellStyle name="Comma 2 2 3 3 5 7" xfId="28833"/>
    <cellStyle name="Comma 2 2 3 3 5 8" xfId="41592"/>
    <cellStyle name="Comma 2 2 3 3 6" xfId="4190"/>
    <cellStyle name="Comma 2 2 3 3 6 2" xfId="10763"/>
    <cellStyle name="Comma 2 2 3 3 6 2 2" xfId="19562"/>
    <cellStyle name="Comma 2 2 3 3 6 2 2 2" xfId="40605"/>
    <cellStyle name="Comma 2 2 3 3 6 2 2 3" xfId="34182"/>
    <cellStyle name="Comma 2 2 3 3 6 2 3" xfId="21761"/>
    <cellStyle name="Comma 2 2 3 3 6 2 3 2" xfId="37398"/>
    <cellStyle name="Comma 2 2 3 3 6 2 4" xfId="30975"/>
    <cellStyle name="Comma 2 2 3 3 6 2 5" xfId="42740"/>
    <cellStyle name="Comma 2 2 3 3 6 3" xfId="7946"/>
    <cellStyle name="Comma 2 2 3 3 6 3 2" xfId="18406"/>
    <cellStyle name="Comma 2 2 3 3 6 3 2 2" xfId="39449"/>
    <cellStyle name="Comma 2 2 3 3 6 3 2 3" xfId="33026"/>
    <cellStyle name="Comma 2 2 3 3 6 3 3" xfId="22898"/>
    <cellStyle name="Comma 2 2 3 3 6 3 3 2" xfId="36242"/>
    <cellStyle name="Comma 2 2 3 3 6 3 4" xfId="29819"/>
    <cellStyle name="Comma 2 2 3 3 6 3 5" xfId="43727"/>
    <cellStyle name="Comma 2 2 3 3 6 4" xfId="6911"/>
    <cellStyle name="Comma 2 2 3 3 6 4 2" xfId="17414"/>
    <cellStyle name="Comma 2 2 3 3 6 4 2 2" xfId="38464"/>
    <cellStyle name="Comma 2 2 3 3 6 4 3" xfId="32041"/>
    <cellStyle name="Comma 2 2 3 3 6 5" xfId="16610"/>
    <cellStyle name="Comma 2 2 3 3 6 5 2" xfId="35257"/>
    <cellStyle name="Comma 2 2 3 3 6 6" xfId="20572"/>
    <cellStyle name="Comma 2 2 3 3 6 7" xfId="28834"/>
    <cellStyle name="Comma 2 2 3 3 6 8" xfId="41593"/>
    <cellStyle name="Comma 2 2 3 3 7" xfId="4991"/>
    <cellStyle name="Comma 2 2 3 3 7 2" xfId="10764"/>
    <cellStyle name="Comma 2 2 3 3 7 2 2" xfId="19563"/>
    <cellStyle name="Comma 2 2 3 3 7 2 2 2" xfId="40606"/>
    <cellStyle name="Comma 2 2 3 3 7 2 2 3" xfId="34183"/>
    <cellStyle name="Comma 2 2 3 3 7 2 3" xfId="21762"/>
    <cellStyle name="Comma 2 2 3 3 7 2 3 2" xfId="37399"/>
    <cellStyle name="Comma 2 2 3 3 7 2 4" xfId="30976"/>
    <cellStyle name="Comma 2 2 3 3 7 2 5" xfId="42741"/>
    <cellStyle name="Comma 2 2 3 3 7 3" xfId="7947"/>
    <cellStyle name="Comma 2 2 3 3 7 3 2" xfId="18407"/>
    <cellStyle name="Comma 2 2 3 3 7 3 2 2" xfId="39450"/>
    <cellStyle name="Comma 2 2 3 3 7 3 2 3" xfId="33027"/>
    <cellStyle name="Comma 2 2 3 3 7 3 3" xfId="22899"/>
    <cellStyle name="Comma 2 2 3 3 7 3 3 2" xfId="36243"/>
    <cellStyle name="Comma 2 2 3 3 7 3 4" xfId="29820"/>
    <cellStyle name="Comma 2 2 3 3 7 3 5" xfId="43728"/>
    <cellStyle name="Comma 2 2 3 3 7 4" xfId="6912"/>
    <cellStyle name="Comma 2 2 3 3 7 4 2" xfId="17415"/>
    <cellStyle name="Comma 2 2 3 3 7 4 2 2" xfId="38465"/>
    <cellStyle name="Comma 2 2 3 3 7 4 3" xfId="32042"/>
    <cellStyle name="Comma 2 2 3 3 7 5" xfId="16806"/>
    <cellStyle name="Comma 2 2 3 3 7 5 2" xfId="35258"/>
    <cellStyle name="Comma 2 2 3 3 7 6" xfId="20573"/>
    <cellStyle name="Comma 2 2 3 3 7 7" xfId="28835"/>
    <cellStyle name="Comma 2 2 3 3 7 8" xfId="41594"/>
    <cellStyle name="Comma 2 2 3 3 8" xfId="5452"/>
    <cellStyle name="Comma 2 2 3 3 8 2" xfId="10765"/>
    <cellStyle name="Comma 2 2 3 3 8 2 2" xfId="19564"/>
    <cellStyle name="Comma 2 2 3 3 8 2 2 2" xfId="40607"/>
    <cellStyle name="Comma 2 2 3 3 8 2 2 3" xfId="34184"/>
    <cellStyle name="Comma 2 2 3 3 8 2 3" xfId="21763"/>
    <cellStyle name="Comma 2 2 3 3 8 2 3 2" xfId="37400"/>
    <cellStyle name="Comma 2 2 3 3 8 2 4" xfId="30977"/>
    <cellStyle name="Comma 2 2 3 3 8 2 5" xfId="42742"/>
    <cellStyle name="Comma 2 2 3 3 8 3" xfId="7948"/>
    <cellStyle name="Comma 2 2 3 3 8 3 2" xfId="18408"/>
    <cellStyle name="Comma 2 2 3 3 8 3 2 2" xfId="39451"/>
    <cellStyle name="Comma 2 2 3 3 8 3 2 3" xfId="33028"/>
    <cellStyle name="Comma 2 2 3 3 8 3 3" xfId="22900"/>
    <cellStyle name="Comma 2 2 3 3 8 3 3 2" xfId="36244"/>
    <cellStyle name="Comma 2 2 3 3 8 3 4" xfId="29821"/>
    <cellStyle name="Comma 2 2 3 3 8 3 5" xfId="43729"/>
    <cellStyle name="Comma 2 2 3 3 8 4" xfId="6913"/>
    <cellStyle name="Comma 2 2 3 3 8 4 2" xfId="17416"/>
    <cellStyle name="Comma 2 2 3 3 8 4 2 2" xfId="38466"/>
    <cellStyle name="Comma 2 2 3 3 8 4 3" xfId="32043"/>
    <cellStyle name="Comma 2 2 3 3 8 5" xfId="16898"/>
    <cellStyle name="Comma 2 2 3 3 8 5 2" xfId="35259"/>
    <cellStyle name="Comma 2 2 3 3 8 6" xfId="20574"/>
    <cellStyle name="Comma 2 2 3 3 8 7" xfId="28836"/>
    <cellStyle name="Comma 2 2 3 3 8 8" xfId="41595"/>
    <cellStyle name="Comma 2 2 3 3 9" xfId="10192"/>
    <cellStyle name="Comma 2 2 3 3 9 2" xfId="19247"/>
    <cellStyle name="Comma 2 2 3 3 9 2 2" xfId="40290"/>
    <cellStyle name="Comma 2 2 3 3 9 2 3" xfId="33867"/>
    <cellStyle name="Comma 2 2 3 3 9 3" xfId="21447"/>
    <cellStyle name="Comma 2 2 3 3 9 3 2" xfId="37083"/>
    <cellStyle name="Comma 2 2 3 3 9 4" xfId="30660"/>
    <cellStyle name="Comma 2 2 3 3 9 5" xfId="42426"/>
    <cellStyle name="Comma 2 2 3 4" xfId="1816"/>
    <cellStyle name="Comma 2 2 3 4 10" xfId="16094"/>
    <cellStyle name="Comma 2 2 3 4 10 2" xfId="34960"/>
    <cellStyle name="Comma 2 2 3 4 11" xfId="20575"/>
    <cellStyle name="Comma 2 2 3 4 12" xfId="28535"/>
    <cellStyle name="Comma 2 2 3 4 13" xfId="41596"/>
    <cellStyle name="Comma 2 2 3 4 2" xfId="2706"/>
    <cellStyle name="Comma 2 2 3 4 2 2" xfId="10766"/>
    <cellStyle name="Comma 2 2 3 4 2 2 2" xfId="19565"/>
    <cellStyle name="Comma 2 2 3 4 2 2 2 2" xfId="40608"/>
    <cellStyle name="Comma 2 2 3 4 2 2 2 3" xfId="34185"/>
    <cellStyle name="Comma 2 2 3 4 2 2 3" xfId="21764"/>
    <cellStyle name="Comma 2 2 3 4 2 2 3 2" xfId="37401"/>
    <cellStyle name="Comma 2 2 3 4 2 2 4" xfId="30978"/>
    <cellStyle name="Comma 2 2 3 4 2 2 5" xfId="42743"/>
    <cellStyle name="Comma 2 2 3 4 2 3" xfId="7950"/>
    <cellStyle name="Comma 2 2 3 4 2 3 2" xfId="18410"/>
    <cellStyle name="Comma 2 2 3 4 2 3 2 2" xfId="39453"/>
    <cellStyle name="Comma 2 2 3 4 2 3 2 3" xfId="33030"/>
    <cellStyle name="Comma 2 2 3 4 2 3 3" xfId="22902"/>
    <cellStyle name="Comma 2 2 3 4 2 3 3 2" xfId="36246"/>
    <cellStyle name="Comma 2 2 3 4 2 3 4" xfId="29823"/>
    <cellStyle name="Comma 2 2 3 4 2 3 5" xfId="43731"/>
    <cellStyle name="Comma 2 2 3 4 2 4" xfId="6914"/>
    <cellStyle name="Comma 2 2 3 4 2 4 2" xfId="17417"/>
    <cellStyle name="Comma 2 2 3 4 2 4 2 2" xfId="38467"/>
    <cellStyle name="Comma 2 2 3 4 2 4 3" xfId="32044"/>
    <cellStyle name="Comma 2 2 3 4 2 5" xfId="16284"/>
    <cellStyle name="Comma 2 2 3 4 2 5 2" xfId="35260"/>
    <cellStyle name="Comma 2 2 3 4 2 6" xfId="20576"/>
    <cellStyle name="Comma 2 2 3 4 2 7" xfId="28837"/>
    <cellStyle name="Comma 2 2 3 4 2 8" xfId="41597"/>
    <cellStyle name="Comma 2 2 3 4 3" xfId="3570"/>
    <cellStyle name="Comma 2 2 3 4 3 2" xfId="10767"/>
    <cellStyle name="Comma 2 2 3 4 3 2 2" xfId="19566"/>
    <cellStyle name="Comma 2 2 3 4 3 2 2 2" xfId="40609"/>
    <cellStyle name="Comma 2 2 3 4 3 2 2 3" xfId="34186"/>
    <cellStyle name="Comma 2 2 3 4 3 2 3" xfId="21765"/>
    <cellStyle name="Comma 2 2 3 4 3 2 3 2" xfId="37402"/>
    <cellStyle name="Comma 2 2 3 4 3 2 4" xfId="30979"/>
    <cellStyle name="Comma 2 2 3 4 3 2 5" xfId="42744"/>
    <cellStyle name="Comma 2 2 3 4 3 3" xfId="7951"/>
    <cellStyle name="Comma 2 2 3 4 3 3 2" xfId="18411"/>
    <cellStyle name="Comma 2 2 3 4 3 3 2 2" xfId="39454"/>
    <cellStyle name="Comma 2 2 3 4 3 3 2 3" xfId="33031"/>
    <cellStyle name="Comma 2 2 3 4 3 3 3" xfId="22903"/>
    <cellStyle name="Comma 2 2 3 4 3 3 3 2" xfId="36247"/>
    <cellStyle name="Comma 2 2 3 4 3 3 4" xfId="29824"/>
    <cellStyle name="Comma 2 2 3 4 3 3 5" xfId="43732"/>
    <cellStyle name="Comma 2 2 3 4 3 4" xfId="6915"/>
    <cellStyle name="Comma 2 2 3 4 3 4 2" xfId="17418"/>
    <cellStyle name="Comma 2 2 3 4 3 4 2 2" xfId="38468"/>
    <cellStyle name="Comma 2 2 3 4 3 4 3" xfId="32045"/>
    <cellStyle name="Comma 2 2 3 4 3 5" xfId="16472"/>
    <cellStyle name="Comma 2 2 3 4 3 5 2" xfId="35261"/>
    <cellStyle name="Comma 2 2 3 4 3 6" xfId="20577"/>
    <cellStyle name="Comma 2 2 3 4 3 7" xfId="28838"/>
    <cellStyle name="Comma 2 2 3 4 3 8" xfId="41598"/>
    <cellStyle name="Comma 2 2 3 4 4" xfId="4445"/>
    <cellStyle name="Comma 2 2 3 4 4 2" xfId="10768"/>
    <cellStyle name="Comma 2 2 3 4 4 2 2" xfId="19567"/>
    <cellStyle name="Comma 2 2 3 4 4 2 2 2" xfId="40610"/>
    <cellStyle name="Comma 2 2 3 4 4 2 2 3" xfId="34187"/>
    <cellStyle name="Comma 2 2 3 4 4 2 3" xfId="21766"/>
    <cellStyle name="Comma 2 2 3 4 4 2 3 2" xfId="37403"/>
    <cellStyle name="Comma 2 2 3 4 4 2 4" xfId="30980"/>
    <cellStyle name="Comma 2 2 3 4 4 2 5" xfId="42745"/>
    <cellStyle name="Comma 2 2 3 4 4 3" xfId="7952"/>
    <cellStyle name="Comma 2 2 3 4 4 3 2" xfId="18412"/>
    <cellStyle name="Comma 2 2 3 4 4 3 2 2" xfId="39455"/>
    <cellStyle name="Comma 2 2 3 4 4 3 2 3" xfId="33032"/>
    <cellStyle name="Comma 2 2 3 4 4 3 3" xfId="22904"/>
    <cellStyle name="Comma 2 2 3 4 4 3 3 2" xfId="36248"/>
    <cellStyle name="Comma 2 2 3 4 4 3 4" xfId="29825"/>
    <cellStyle name="Comma 2 2 3 4 4 3 5" xfId="43733"/>
    <cellStyle name="Comma 2 2 3 4 4 4" xfId="6916"/>
    <cellStyle name="Comma 2 2 3 4 4 4 2" xfId="17419"/>
    <cellStyle name="Comma 2 2 3 4 4 4 2 2" xfId="38469"/>
    <cellStyle name="Comma 2 2 3 4 4 4 3" xfId="32046"/>
    <cellStyle name="Comma 2 2 3 4 4 5" xfId="16660"/>
    <cellStyle name="Comma 2 2 3 4 4 5 2" xfId="35262"/>
    <cellStyle name="Comma 2 2 3 4 4 6" xfId="20578"/>
    <cellStyle name="Comma 2 2 3 4 4 7" xfId="28839"/>
    <cellStyle name="Comma 2 2 3 4 4 8" xfId="41599"/>
    <cellStyle name="Comma 2 2 3 4 5" xfId="4993"/>
    <cellStyle name="Comma 2 2 3 4 5 2" xfId="10769"/>
    <cellStyle name="Comma 2 2 3 4 5 2 2" xfId="19568"/>
    <cellStyle name="Comma 2 2 3 4 5 2 2 2" xfId="40611"/>
    <cellStyle name="Comma 2 2 3 4 5 2 2 3" xfId="34188"/>
    <cellStyle name="Comma 2 2 3 4 5 2 3" xfId="21767"/>
    <cellStyle name="Comma 2 2 3 4 5 2 3 2" xfId="37404"/>
    <cellStyle name="Comma 2 2 3 4 5 2 4" xfId="30981"/>
    <cellStyle name="Comma 2 2 3 4 5 2 5" xfId="42746"/>
    <cellStyle name="Comma 2 2 3 4 5 3" xfId="7953"/>
    <cellStyle name="Comma 2 2 3 4 5 3 2" xfId="18413"/>
    <cellStyle name="Comma 2 2 3 4 5 3 2 2" xfId="39456"/>
    <cellStyle name="Comma 2 2 3 4 5 3 2 3" xfId="33033"/>
    <cellStyle name="Comma 2 2 3 4 5 3 3" xfId="22905"/>
    <cellStyle name="Comma 2 2 3 4 5 3 3 2" xfId="36249"/>
    <cellStyle name="Comma 2 2 3 4 5 3 4" xfId="29826"/>
    <cellStyle name="Comma 2 2 3 4 5 3 5" xfId="43734"/>
    <cellStyle name="Comma 2 2 3 4 5 4" xfId="6917"/>
    <cellStyle name="Comma 2 2 3 4 5 4 2" xfId="17420"/>
    <cellStyle name="Comma 2 2 3 4 5 4 2 2" xfId="38470"/>
    <cellStyle name="Comma 2 2 3 4 5 4 3" xfId="32047"/>
    <cellStyle name="Comma 2 2 3 4 5 5" xfId="16808"/>
    <cellStyle name="Comma 2 2 3 4 5 5 2" xfId="35263"/>
    <cellStyle name="Comma 2 2 3 4 5 6" xfId="20579"/>
    <cellStyle name="Comma 2 2 3 4 5 7" xfId="28840"/>
    <cellStyle name="Comma 2 2 3 4 5 8" xfId="41600"/>
    <cellStyle name="Comma 2 2 3 4 6" xfId="5710"/>
    <cellStyle name="Comma 2 2 3 4 6 2" xfId="10770"/>
    <cellStyle name="Comma 2 2 3 4 6 2 2" xfId="19569"/>
    <cellStyle name="Comma 2 2 3 4 6 2 2 2" xfId="40612"/>
    <cellStyle name="Comma 2 2 3 4 6 2 2 3" xfId="34189"/>
    <cellStyle name="Comma 2 2 3 4 6 2 3" xfId="21768"/>
    <cellStyle name="Comma 2 2 3 4 6 2 3 2" xfId="37405"/>
    <cellStyle name="Comma 2 2 3 4 6 2 4" xfId="30982"/>
    <cellStyle name="Comma 2 2 3 4 6 2 5" xfId="42747"/>
    <cellStyle name="Comma 2 2 3 4 6 3" xfId="7954"/>
    <cellStyle name="Comma 2 2 3 4 6 3 2" xfId="18414"/>
    <cellStyle name="Comma 2 2 3 4 6 3 2 2" xfId="39457"/>
    <cellStyle name="Comma 2 2 3 4 6 3 2 3" xfId="33034"/>
    <cellStyle name="Comma 2 2 3 4 6 3 3" xfId="22906"/>
    <cellStyle name="Comma 2 2 3 4 6 3 3 2" xfId="36250"/>
    <cellStyle name="Comma 2 2 3 4 6 3 4" xfId="29827"/>
    <cellStyle name="Comma 2 2 3 4 6 3 5" xfId="43735"/>
    <cellStyle name="Comma 2 2 3 4 6 4" xfId="6918"/>
    <cellStyle name="Comma 2 2 3 4 6 4 2" xfId="17421"/>
    <cellStyle name="Comma 2 2 3 4 6 4 2 2" xfId="38471"/>
    <cellStyle name="Comma 2 2 3 4 6 4 3" xfId="32048"/>
    <cellStyle name="Comma 2 2 3 4 6 5" xfId="16948"/>
    <cellStyle name="Comma 2 2 3 4 6 5 2" xfId="35264"/>
    <cellStyle name="Comma 2 2 3 4 6 6" xfId="20580"/>
    <cellStyle name="Comma 2 2 3 4 6 7" xfId="28841"/>
    <cellStyle name="Comma 2 2 3 4 6 8" xfId="41601"/>
    <cellStyle name="Comma 2 2 3 4 7" xfId="10207"/>
    <cellStyle name="Comma 2 2 3 4 7 2" xfId="19261"/>
    <cellStyle name="Comma 2 2 3 4 7 2 2" xfId="40304"/>
    <cellStyle name="Comma 2 2 3 4 7 2 3" xfId="33881"/>
    <cellStyle name="Comma 2 2 3 4 7 3" xfId="21461"/>
    <cellStyle name="Comma 2 2 3 4 7 3 2" xfId="37097"/>
    <cellStyle name="Comma 2 2 3 4 7 4" xfId="30674"/>
    <cellStyle name="Comma 2 2 3 4 7 5" xfId="42440"/>
    <cellStyle name="Comma 2 2 3 4 8" xfId="7949"/>
    <cellStyle name="Comma 2 2 3 4 8 2" xfId="18409"/>
    <cellStyle name="Comma 2 2 3 4 8 2 2" xfId="39452"/>
    <cellStyle name="Comma 2 2 3 4 8 2 3" xfId="33029"/>
    <cellStyle name="Comma 2 2 3 4 8 3" xfId="22901"/>
    <cellStyle name="Comma 2 2 3 4 8 3 2" xfId="36245"/>
    <cellStyle name="Comma 2 2 3 4 8 4" xfId="29822"/>
    <cellStyle name="Comma 2 2 3 4 8 5" xfId="43730"/>
    <cellStyle name="Comma 2 2 3 4 9" xfId="6607"/>
    <cellStyle name="Comma 2 2 3 4 9 2" xfId="17114"/>
    <cellStyle name="Comma 2 2 3 4 9 2 2" xfId="38167"/>
    <cellStyle name="Comma 2 2 3 4 9 3" xfId="31744"/>
    <cellStyle name="Comma 2 2 3 5" xfId="2091"/>
    <cellStyle name="Comma 2 2 3 5 10" xfId="20581"/>
    <cellStyle name="Comma 2 2 3 5 11" xfId="28842"/>
    <cellStyle name="Comma 2 2 3 5 12" xfId="41602"/>
    <cellStyle name="Comma 2 2 3 5 2" xfId="2961"/>
    <cellStyle name="Comma 2 2 3 5 2 2" xfId="10772"/>
    <cellStyle name="Comma 2 2 3 5 2 2 2" xfId="19571"/>
    <cellStyle name="Comma 2 2 3 5 2 2 2 2" xfId="40614"/>
    <cellStyle name="Comma 2 2 3 5 2 2 2 3" xfId="34191"/>
    <cellStyle name="Comma 2 2 3 5 2 2 3" xfId="21770"/>
    <cellStyle name="Comma 2 2 3 5 2 2 3 2" xfId="37407"/>
    <cellStyle name="Comma 2 2 3 5 2 2 4" xfId="30984"/>
    <cellStyle name="Comma 2 2 3 5 2 2 5" xfId="42749"/>
    <cellStyle name="Comma 2 2 3 5 2 3" xfId="7956"/>
    <cellStyle name="Comma 2 2 3 5 2 3 2" xfId="18416"/>
    <cellStyle name="Comma 2 2 3 5 2 3 2 2" xfId="39459"/>
    <cellStyle name="Comma 2 2 3 5 2 3 2 3" xfId="33036"/>
    <cellStyle name="Comma 2 2 3 5 2 3 3" xfId="22908"/>
    <cellStyle name="Comma 2 2 3 5 2 3 3 2" xfId="36252"/>
    <cellStyle name="Comma 2 2 3 5 2 3 4" xfId="29829"/>
    <cellStyle name="Comma 2 2 3 5 2 3 5" xfId="43737"/>
    <cellStyle name="Comma 2 2 3 5 2 4" xfId="6920"/>
    <cellStyle name="Comma 2 2 3 5 2 4 2" xfId="17423"/>
    <cellStyle name="Comma 2 2 3 5 2 4 2 2" xfId="38473"/>
    <cellStyle name="Comma 2 2 3 5 2 4 3" xfId="32050"/>
    <cellStyle name="Comma 2 2 3 5 2 5" xfId="16339"/>
    <cellStyle name="Comma 2 2 3 5 2 5 2" xfId="35266"/>
    <cellStyle name="Comma 2 2 3 5 2 6" xfId="20582"/>
    <cellStyle name="Comma 2 2 3 5 2 7" xfId="28843"/>
    <cellStyle name="Comma 2 2 3 5 2 8" xfId="41603"/>
    <cellStyle name="Comma 2 2 3 5 3" xfId="3831"/>
    <cellStyle name="Comma 2 2 3 5 3 2" xfId="10773"/>
    <cellStyle name="Comma 2 2 3 5 3 2 2" xfId="19572"/>
    <cellStyle name="Comma 2 2 3 5 3 2 2 2" xfId="40615"/>
    <cellStyle name="Comma 2 2 3 5 3 2 2 3" xfId="34192"/>
    <cellStyle name="Comma 2 2 3 5 3 2 3" xfId="21771"/>
    <cellStyle name="Comma 2 2 3 5 3 2 3 2" xfId="37408"/>
    <cellStyle name="Comma 2 2 3 5 3 2 4" xfId="30985"/>
    <cellStyle name="Comma 2 2 3 5 3 2 5" xfId="42750"/>
    <cellStyle name="Comma 2 2 3 5 3 3" xfId="7957"/>
    <cellStyle name="Comma 2 2 3 5 3 3 2" xfId="18417"/>
    <cellStyle name="Comma 2 2 3 5 3 3 2 2" xfId="39460"/>
    <cellStyle name="Comma 2 2 3 5 3 3 2 3" xfId="33037"/>
    <cellStyle name="Comma 2 2 3 5 3 3 3" xfId="22909"/>
    <cellStyle name="Comma 2 2 3 5 3 3 3 2" xfId="36253"/>
    <cellStyle name="Comma 2 2 3 5 3 3 4" xfId="29830"/>
    <cellStyle name="Comma 2 2 3 5 3 3 5" xfId="43738"/>
    <cellStyle name="Comma 2 2 3 5 3 4" xfId="6921"/>
    <cellStyle name="Comma 2 2 3 5 3 4 2" xfId="17424"/>
    <cellStyle name="Comma 2 2 3 5 3 4 2 2" xfId="38474"/>
    <cellStyle name="Comma 2 2 3 5 3 4 3" xfId="32051"/>
    <cellStyle name="Comma 2 2 3 5 3 5" xfId="16527"/>
    <cellStyle name="Comma 2 2 3 5 3 5 2" xfId="35267"/>
    <cellStyle name="Comma 2 2 3 5 3 6" xfId="20583"/>
    <cellStyle name="Comma 2 2 3 5 3 7" xfId="28844"/>
    <cellStyle name="Comma 2 2 3 5 3 8" xfId="41604"/>
    <cellStyle name="Comma 2 2 3 5 4" xfId="4709"/>
    <cellStyle name="Comma 2 2 3 5 4 2" xfId="10774"/>
    <cellStyle name="Comma 2 2 3 5 4 2 2" xfId="19573"/>
    <cellStyle name="Comma 2 2 3 5 4 2 2 2" xfId="40616"/>
    <cellStyle name="Comma 2 2 3 5 4 2 2 3" xfId="34193"/>
    <cellStyle name="Comma 2 2 3 5 4 2 3" xfId="21772"/>
    <cellStyle name="Comma 2 2 3 5 4 2 3 2" xfId="37409"/>
    <cellStyle name="Comma 2 2 3 5 4 2 4" xfId="30986"/>
    <cellStyle name="Comma 2 2 3 5 4 2 5" xfId="42751"/>
    <cellStyle name="Comma 2 2 3 5 4 3" xfId="7958"/>
    <cellStyle name="Comma 2 2 3 5 4 3 2" xfId="18418"/>
    <cellStyle name="Comma 2 2 3 5 4 3 2 2" xfId="39461"/>
    <cellStyle name="Comma 2 2 3 5 4 3 2 3" xfId="33038"/>
    <cellStyle name="Comma 2 2 3 5 4 3 3" xfId="22910"/>
    <cellStyle name="Comma 2 2 3 5 4 3 3 2" xfId="36254"/>
    <cellStyle name="Comma 2 2 3 5 4 3 4" xfId="29831"/>
    <cellStyle name="Comma 2 2 3 5 4 3 5" xfId="43739"/>
    <cellStyle name="Comma 2 2 3 5 4 4" xfId="6922"/>
    <cellStyle name="Comma 2 2 3 5 4 4 2" xfId="17425"/>
    <cellStyle name="Comma 2 2 3 5 4 4 2 2" xfId="38475"/>
    <cellStyle name="Comma 2 2 3 5 4 4 3" xfId="32052"/>
    <cellStyle name="Comma 2 2 3 5 4 5" xfId="16715"/>
    <cellStyle name="Comma 2 2 3 5 4 5 2" xfId="35268"/>
    <cellStyle name="Comma 2 2 3 5 4 6" xfId="20584"/>
    <cellStyle name="Comma 2 2 3 5 4 7" xfId="28845"/>
    <cellStyle name="Comma 2 2 3 5 4 8" xfId="41605"/>
    <cellStyle name="Comma 2 2 3 5 5" xfId="5974"/>
    <cellStyle name="Comma 2 2 3 5 5 2" xfId="10775"/>
    <cellStyle name="Comma 2 2 3 5 5 2 2" xfId="19574"/>
    <cellStyle name="Comma 2 2 3 5 5 2 2 2" xfId="40617"/>
    <cellStyle name="Comma 2 2 3 5 5 2 2 3" xfId="34194"/>
    <cellStyle name="Comma 2 2 3 5 5 2 3" xfId="21773"/>
    <cellStyle name="Comma 2 2 3 5 5 2 3 2" xfId="37410"/>
    <cellStyle name="Comma 2 2 3 5 5 2 4" xfId="30987"/>
    <cellStyle name="Comma 2 2 3 5 5 2 5" xfId="42752"/>
    <cellStyle name="Comma 2 2 3 5 5 3" xfId="7959"/>
    <cellStyle name="Comma 2 2 3 5 5 3 2" xfId="18419"/>
    <cellStyle name="Comma 2 2 3 5 5 3 2 2" xfId="39462"/>
    <cellStyle name="Comma 2 2 3 5 5 3 2 3" xfId="33039"/>
    <cellStyle name="Comma 2 2 3 5 5 3 3" xfId="22911"/>
    <cellStyle name="Comma 2 2 3 5 5 3 3 2" xfId="36255"/>
    <cellStyle name="Comma 2 2 3 5 5 3 4" xfId="29832"/>
    <cellStyle name="Comma 2 2 3 5 5 3 5" xfId="43740"/>
    <cellStyle name="Comma 2 2 3 5 5 4" xfId="6923"/>
    <cellStyle name="Comma 2 2 3 5 5 4 2" xfId="17426"/>
    <cellStyle name="Comma 2 2 3 5 5 4 2 2" xfId="38476"/>
    <cellStyle name="Comma 2 2 3 5 5 4 3" xfId="32053"/>
    <cellStyle name="Comma 2 2 3 5 5 5" xfId="17003"/>
    <cellStyle name="Comma 2 2 3 5 5 5 2" xfId="35269"/>
    <cellStyle name="Comma 2 2 3 5 5 6" xfId="20585"/>
    <cellStyle name="Comma 2 2 3 5 5 7" xfId="28846"/>
    <cellStyle name="Comma 2 2 3 5 5 8" xfId="41606"/>
    <cellStyle name="Comma 2 2 3 5 6" xfId="10771"/>
    <cellStyle name="Comma 2 2 3 5 6 2" xfId="19570"/>
    <cellStyle name="Comma 2 2 3 5 6 2 2" xfId="40613"/>
    <cellStyle name="Comma 2 2 3 5 6 2 3" xfId="34190"/>
    <cellStyle name="Comma 2 2 3 5 6 3" xfId="21769"/>
    <cellStyle name="Comma 2 2 3 5 6 3 2" xfId="37406"/>
    <cellStyle name="Comma 2 2 3 5 6 4" xfId="30983"/>
    <cellStyle name="Comma 2 2 3 5 6 5" xfId="42748"/>
    <cellStyle name="Comma 2 2 3 5 7" xfId="7955"/>
    <cellStyle name="Comma 2 2 3 5 7 2" xfId="18415"/>
    <cellStyle name="Comma 2 2 3 5 7 2 2" xfId="39458"/>
    <cellStyle name="Comma 2 2 3 5 7 2 3" xfId="33035"/>
    <cellStyle name="Comma 2 2 3 5 7 3" xfId="22907"/>
    <cellStyle name="Comma 2 2 3 5 7 3 2" xfId="36251"/>
    <cellStyle name="Comma 2 2 3 5 7 4" xfId="29828"/>
    <cellStyle name="Comma 2 2 3 5 7 5" xfId="43736"/>
    <cellStyle name="Comma 2 2 3 5 8" xfId="6919"/>
    <cellStyle name="Comma 2 2 3 5 8 2" xfId="17422"/>
    <cellStyle name="Comma 2 2 3 5 8 2 2" xfId="38472"/>
    <cellStyle name="Comma 2 2 3 5 8 3" xfId="32049"/>
    <cellStyle name="Comma 2 2 3 5 9" xfId="16150"/>
    <cellStyle name="Comma 2 2 3 5 9 2" xfId="35265"/>
    <cellStyle name="Comma 2 2 3 6" xfId="2295"/>
    <cellStyle name="Comma 2 2 3 6 10" xfId="20586"/>
    <cellStyle name="Comma 2 2 3 6 11" xfId="28847"/>
    <cellStyle name="Comma 2 2 3 6 12" xfId="41607"/>
    <cellStyle name="Comma 2 2 3 6 2" xfId="3154"/>
    <cellStyle name="Comma 2 2 3 6 2 2" xfId="10777"/>
    <cellStyle name="Comma 2 2 3 6 2 2 2" xfId="19576"/>
    <cellStyle name="Comma 2 2 3 6 2 2 2 2" xfId="40619"/>
    <cellStyle name="Comma 2 2 3 6 2 2 2 3" xfId="34196"/>
    <cellStyle name="Comma 2 2 3 6 2 2 3" xfId="21775"/>
    <cellStyle name="Comma 2 2 3 6 2 2 3 2" xfId="37412"/>
    <cellStyle name="Comma 2 2 3 6 2 2 4" xfId="30989"/>
    <cellStyle name="Comma 2 2 3 6 2 2 5" xfId="42754"/>
    <cellStyle name="Comma 2 2 3 6 2 3" xfId="7961"/>
    <cellStyle name="Comma 2 2 3 6 2 3 2" xfId="18421"/>
    <cellStyle name="Comma 2 2 3 6 2 3 2 2" xfId="39464"/>
    <cellStyle name="Comma 2 2 3 6 2 3 2 3" xfId="33041"/>
    <cellStyle name="Comma 2 2 3 6 2 3 3" xfId="22913"/>
    <cellStyle name="Comma 2 2 3 6 2 3 3 2" xfId="36257"/>
    <cellStyle name="Comma 2 2 3 6 2 3 4" xfId="29834"/>
    <cellStyle name="Comma 2 2 3 6 2 3 5" xfId="43742"/>
    <cellStyle name="Comma 2 2 3 6 2 4" xfId="6925"/>
    <cellStyle name="Comma 2 2 3 6 2 4 2" xfId="17428"/>
    <cellStyle name="Comma 2 2 3 6 2 4 2 2" xfId="38478"/>
    <cellStyle name="Comma 2 2 3 6 2 4 3" xfId="32055"/>
    <cellStyle name="Comma 2 2 3 6 2 5" xfId="16389"/>
    <cellStyle name="Comma 2 2 3 6 2 5 2" xfId="35271"/>
    <cellStyle name="Comma 2 2 3 6 2 6" xfId="20587"/>
    <cellStyle name="Comma 2 2 3 6 2 7" xfId="28848"/>
    <cellStyle name="Comma 2 2 3 6 2 8" xfId="41608"/>
    <cellStyle name="Comma 2 2 3 6 3" xfId="4020"/>
    <cellStyle name="Comma 2 2 3 6 3 2" xfId="10778"/>
    <cellStyle name="Comma 2 2 3 6 3 2 2" xfId="19577"/>
    <cellStyle name="Comma 2 2 3 6 3 2 2 2" xfId="40620"/>
    <cellStyle name="Comma 2 2 3 6 3 2 2 3" xfId="34197"/>
    <cellStyle name="Comma 2 2 3 6 3 2 3" xfId="21776"/>
    <cellStyle name="Comma 2 2 3 6 3 2 3 2" xfId="37413"/>
    <cellStyle name="Comma 2 2 3 6 3 2 4" xfId="30990"/>
    <cellStyle name="Comma 2 2 3 6 3 2 5" xfId="42755"/>
    <cellStyle name="Comma 2 2 3 6 3 3" xfId="7962"/>
    <cellStyle name="Comma 2 2 3 6 3 3 2" xfId="18422"/>
    <cellStyle name="Comma 2 2 3 6 3 3 2 2" xfId="39465"/>
    <cellStyle name="Comma 2 2 3 6 3 3 2 3" xfId="33042"/>
    <cellStyle name="Comma 2 2 3 6 3 3 3" xfId="22914"/>
    <cellStyle name="Comma 2 2 3 6 3 3 3 2" xfId="36258"/>
    <cellStyle name="Comma 2 2 3 6 3 3 4" xfId="29835"/>
    <cellStyle name="Comma 2 2 3 6 3 3 5" xfId="43743"/>
    <cellStyle name="Comma 2 2 3 6 3 4" xfId="6926"/>
    <cellStyle name="Comma 2 2 3 6 3 4 2" xfId="17429"/>
    <cellStyle name="Comma 2 2 3 6 3 4 2 2" xfId="38479"/>
    <cellStyle name="Comma 2 2 3 6 3 4 3" xfId="32056"/>
    <cellStyle name="Comma 2 2 3 6 3 5" xfId="16577"/>
    <cellStyle name="Comma 2 2 3 6 3 5 2" xfId="35272"/>
    <cellStyle name="Comma 2 2 3 6 3 6" xfId="20588"/>
    <cellStyle name="Comma 2 2 3 6 3 7" xfId="28849"/>
    <cellStyle name="Comma 2 2 3 6 3 8" xfId="41609"/>
    <cellStyle name="Comma 2 2 3 6 4" xfId="4899"/>
    <cellStyle name="Comma 2 2 3 6 4 2" xfId="10779"/>
    <cellStyle name="Comma 2 2 3 6 4 2 2" xfId="19578"/>
    <cellStyle name="Comma 2 2 3 6 4 2 2 2" xfId="40621"/>
    <cellStyle name="Comma 2 2 3 6 4 2 2 3" xfId="34198"/>
    <cellStyle name="Comma 2 2 3 6 4 2 3" xfId="21777"/>
    <cellStyle name="Comma 2 2 3 6 4 2 3 2" xfId="37414"/>
    <cellStyle name="Comma 2 2 3 6 4 2 4" xfId="30991"/>
    <cellStyle name="Comma 2 2 3 6 4 2 5" xfId="42756"/>
    <cellStyle name="Comma 2 2 3 6 4 3" xfId="7963"/>
    <cellStyle name="Comma 2 2 3 6 4 3 2" xfId="18423"/>
    <cellStyle name="Comma 2 2 3 6 4 3 2 2" xfId="39466"/>
    <cellStyle name="Comma 2 2 3 6 4 3 2 3" xfId="33043"/>
    <cellStyle name="Comma 2 2 3 6 4 3 3" xfId="22915"/>
    <cellStyle name="Comma 2 2 3 6 4 3 3 2" xfId="36259"/>
    <cellStyle name="Comma 2 2 3 6 4 3 4" xfId="29836"/>
    <cellStyle name="Comma 2 2 3 6 4 3 5" xfId="43744"/>
    <cellStyle name="Comma 2 2 3 6 4 4" xfId="6927"/>
    <cellStyle name="Comma 2 2 3 6 4 4 2" xfId="17430"/>
    <cellStyle name="Comma 2 2 3 6 4 4 2 2" xfId="38480"/>
    <cellStyle name="Comma 2 2 3 6 4 4 3" xfId="32057"/>
    <cellStyle name="Comma 2 2 3 6 4 5" xfId="16765"/>
    <cellStyle name="Comma 2 2 3 6 4 5 2" xfId="35273"/>
    <cellStyle name="Comma 2 2 3 6 4 6" xfId="20589"/>
    <cellStyle name="Comma 2 2 3 6 4 7" xfId="28850"/>
    <cellStyle name="Comma 2 2 3 6 4 8" xfId="41610"/>
    <cellStyle name="Comma 2 2 3 6 5" xfId="6164"/>
    <cellStyle name="Comma 2 2 3 6 5 2" xfId="10780"/>
    <cellStyle name="Comma 2 2 3 6 5 2 2" xfId="19579"/>
    <cellStyle name="Comma 2 2 3 6 5 2 2 2" xfId="40622"/>
    <cellStyle name="Comma 2 2 3 6 5 2 2 3" xfId="34199"/>
    <cellStyle name="Comma 2 2 3 6 5 2 3" xfId="21778"/>
    <cellStyle name="Comma 2 2 3 6 5 2 3 2" xfId="37415"/>
    <cellStyle name="Comma 2 2 3 6 5 2 4" xfId="30992"/>
    <cellStyle name="Comma 2 2 3 6 5 2 5" xfId="42757"/>
    <cellStyle name="Comma 2 2 3 6 5 3" xfId="7964"/>
    <cellStyle name="Comma 2 2 3 6 5 3 2" xfId="18424"/>
    <cellStyle name="Comma 2 2 3 6 5 3 2 2" xfId="39467"/>
    <cellStyle name="Comma 2 2 3 6 5 3 2 3" xfId="33044"/>
    <cellStyle name="Comma 2 2 3 6 5 3 3" xfId="22916"/>
    <cellStyle name="Comma 2 2 3 6 5 3 3 2" xfId="36260"/>
    <cellStyle name="Comma 2 2 3 6 5 3 4" xfId="29837"/>
    <cellStyle name="Comma 2 2 3 6 5 3 5" xfId="43745"/>
    <cellStyle name="Comma 2 2 3 6 5 4" xfId="6928"/>
    <cellStyle name="Comma 2 2 3 6 5 4 2" xfId="17431"/>
    <cellStyle name="Comma 2 2 3 6 5 4 2 2" xfId="38481"/>
    <cellStyle name="Comma 2 2 3 6 5 4 3" xfId="32058"/>
    <cellStyle name="Comma 2 2 3 6 5 5" xfId="17053"/>
    <cellStyle name="Comma 2 2 3 6 5 5 2" xfId="35274"/>
    <cellStyle name="Comma 2 2 3 6 5 6" xfId="20590"/>
    <cellStyle name="Comma 2 2 3 6 5 7" xfId="28851"/>
    <cellStyle name="Comma 2 2 3 6 5 8" xfId="41611"/>
    <cellStyle name="Comma 2 2 3 6 6" xfId="10776"/>
    <cellStyle name="Comma 2 2 3 6 6 2" xfId="19575"/>
    <cellStyle name="Comma 2 2 3 6 6 2 2" xfId="40618"/>
    <cellStyle name="Comma 2 2 3 6 6 2 3" xfId="34195"/>
    <cellStyle name="Comma 2 2 3 6 6 3" xfId="21774"/>
    <cellStyle name="Comma 2 2 3 6 6 3 2" xfId="37411"/>
    <cellStyle name="Comma 2 2 3 6 6 4" xfId="30988"/>
    <cellStyle name="Comma 2 2 3 6 6 5" xfId="42753"/>
    <cellStyle name="Comma 2 2 3 6 7" xfId="7960"/>
    <cellStyle name="Comma 2 2 3 6 7 2" xfId="18420"/>
    <cellStyle name="Comma 2 2 3 6 7 2 2" xfId="39463"/>
    <cellStyle name="Comma 2 2 3 6 7 2 3" xfId="33040"/>
    <cellStyle name="Comma 2 2 3 6 7 3" xfId="22912"/>
    <cellStyle name="Comma 2 2 3 6 7 3 2" xfId="36256"/>
    <cellStyle name="Comma 2 2 3 6 7 4" xfId="29833"/>
    <cellStyle name="Comma 2 2 3 6 7 5" xfId="43741"/>
    <cellStyle name="Comma 2 2 3 6 8" xfId="6924"/>
    <cellStyle name="Comma 2 2 3 6 8 2" xfId="17427"/>
    <cellStyle name="Comma 2 2 3 6 8 2 2" xfId="38477"/>
    <cellStyle name="Comma 2 2 3 6 8 3" xfId="32054"/>
    <cellStyle name="Comma 2 2 3 6 9" xfId="16201"/>
    <cellStyle name="Comma 2 2 3 6 9 2" xfId="35270"/>
    <cellStyle name="Comma 2 2 3 7" xfId="2456"/>
    <cellStyle name="Comma 2 2 3 7 2" xfId="10781"/>
    <cellStyle name="Comma 2 2 3 7 2 2" xfId="19580"/>
    <cellStyle name="Comma 2 2 3 7 2 2 2" xfId="40623"/>
    <cellStyle name="Comma 2 2 3 7 2 2 3" xfId="34200"/>
    <cellStyle name="Comma 2 2 3 7 2 3" xfId="21779"/>
    <cellStyle name="Comma 2 2 3 7 2 3 2" xfId="37416"/>
    <cellStyle name="Comma 2 2 3 7 2 4" xfId="30993"/>
    <cellStyle name="Comma 2 2 3 7 2 5" xfId="42758"/>
    <cellStyle name="Comma 2 2 3 7 3" xfId="7965"/>
    <cellStyle name="Comma 2 2 3 7 3 2" xfId="18425"/>
    <cellStyle name="Comma 2 2 3 7 3 2 2" xfId="39468"/>
    <cellStyle name="Comma 2 2 3 7 3 2 3" xfId="33045"/>
    <cellStyle name="Comma 2 2 3 7 3 3" xfId="22917"/>
    <cellStyle name="Comma 2 2 3 7 3 3 2" xfId="36261"/>
    <cellStyle name="Comma 2 2 3 7 3 4" xfId="29838"/>
    <cellStyle name="Comma 2 2 3 7 3 5" xfId="43746"/>
    <cellStyle name="Comma 2 2 3 7 4" xfId="6929"/>
    <cellStyle name="Comma 2 2 3 7 4 2" xfId="17432"/>
    <cellStyle name="Comma 2 2 3 7 4 2 2" xfId="38482"/>
    <cellStyle name="Comma 2 2 3 7 4 3" xfId="32059"/>
    <cellStyle name="Comma 2 2 3 7 5" xfId="16231"/>
    <cellStyle name="Comma 2 2 3 7 5 2" xfId="35275"/>
    <cellStyle name="Comma 2 2 3 7 6" xfId="20591"/>
    <cellStyle name="Comma 2 2 3 7 7" xfId="28852"/>
    <cellStyle name="Comma 2 2 3 7 8" xfId="41612"/>
    <cellStyle name="Comma 2 2 3 8" xfId="3319"/>
    <cellStyle name="Comma 2 2 3 8 2" xfId="10782"/>
    <cellStyle name="Comma 2 2 3 8 2 2" xfId="19581"/>
    <cellStyle name="Comma 2 2 3 8 2 2 2" xfId="40624"/>
    <cellStyle name="Comma 2 2 3 8 2 2 3" xfId="34201"/>
    <cellStyle name="Comma 2 2 3 8 2 3" xfId="21780"/>
    <cellStyle name="Comma 2 2 3 8 2 3 2" xfId="37417"/>
    <cellStyle name="Comma 2 2 3 8 2 4" xfId="30994"/>
    <cellStyle name="Comma 2 2 3 8 2 5" xfId="42759"/>
    <cellStyle name="Comma 2 2 3 8 3" xfId="7966"/>
    <cellStyle name="Comma 2 2 3 8 3 2" xfId="18426"/>
    <cellStyle name="Comma 2 2 3 8 3 2 2" xfId="39469"/>
    <cellStyle name="Comma 2 2 3 8 3 2 3" xfId="33046"/>
    <cellStyle name="Comma 2 2 3 8 3 3" xfId="22918"/>
    <cellStyle name="Comma 2 2 3 8 3 3 2" xfId="36262"/>
    <cellStyle name="Comma 2 2 3 8 3 4" xfId="29839"/>
    <cellStyle name="Comma 2 2 3 8 3 5" xfId="43747"/>
    <cellStyle name="Comma 2 2 3 8 4" xfId="6930"/>
    <cellStyle name="Comma 2 2 3 8 4 2" xfId="17433"/>
    <cellStyle name="Comma 2 2 3 8 4 2 2" xfId="38483"/>
    <cellStyle name="Comma 2 2 3 8 4 3" xfId="32060"/>
    <cellStyle name="Comma 2 2 3 8 5" xfId="16419"/>
    <cellStyle name="Comma 2 2 3 8 5 2" xfId="35276"/>
    <cellStyle name="Comma 2 2 3 8 6" xfId="20592"/>
    <cellStyle name="Comma 2 2 3 8 7" xfId="28853"/>
    <cellStyle name="Comma 2 2 3 8 8" xfId="41613"/>
    <cellStyle name="Comma 2 2 3 9" xfId="4187"/>
    <cellStyle name="Comma 2 2 3 9 2" xfId="10783"/>
    <cellStyle name="Comma 2 2 3 9 2 2" xfId="19582"/>
    <cellStyle name="Comma 2 2 3 9 2 2 2" xfId="40625"/>
    <cellStyle name="Comma 2 2 3 9 2 2 3" xfId="34202"/>
    <cellStyle name="Comma 2 2 3 9 2 3" xfId="21781"/>
    <cellStyle name="Comma 2 2 3 9 2 3 2" xfId="37418"/>
    <cellStyle name="Comma 2 2 3 9 2 4" xfId="30995"/>
    <cellStyle name="Comma 2 2 3 9 2 5" xfId="42760"/>
    <cellStyle name="Comma 2 2 3 9 3" xfId="7967"/>
    <cellStyle name="Comma 2 2 3 9 3 2" xfId="18427"/>
    <cellStyle name="Comma 2 2 3 9 3 2 2" xfId="39470"/>
    <cellStyle name="Comma 2 2 3 9 3 2 3" xfId="33047"/>
    <cellStyle name="Comma 2 2 3 9 3 3" xfId="22919"/>
    <cellStyle name="Comma 2 2 3 9 3 3 2" xfId="36263"/>
    <cellStyle name="Comma 2 2 3 9 3 4" xfId="29840"/>
    <cellStyle name="Comma 2 2 3 9 3 5" xfId="43748"/>
    <cellStyle name="Comma 2 2 3 9 4" xfId="6931"/>
    <cellStyle name="Comma 2 2 3 9 4 2" xfId="17434"/>
    <cellStyle name="Comma 2 2 3 9 4 2 2" xfId="38484"/>
    <cellStyle name="Comma 2 2 3 9 4 3" xfId="32061"/>
    <cellStyle name="Comma 2 2 3 9 5" xfId="16607"/>
    <cellStyle name="Comma 2 2 3 9 5 2" xfId="35277"/>
    <cellStyle name="Comma 2 2 3 9 6" xfId="20593"/>
    <cellStyle name="Comma 2 2 3 9 7" xfId="28854"/>
    <cellStyle name="Comma 2 2 3 9 8" xfId="41614"/>
    <cellStyle name="Comma 2 2 4" xfId="1466"/>
    <cellStyle name="Comma 2 2 4 10" xfId="5453"/>
    <cellStyle name="Comma 2 2 4 10 2" xfId="10784"/>
    <cellStyle name="Comma 2 2 4 10 2 2" xfId="19583"/>
    <cellStyle name="Comma 2 2 4 10 2 2 2" xfId="40626"/>
    <cellStyle name="Comma 2 2 4 10 2 2 3" xfId="34203"/>
    <cellStyle name="Comma 2 2 4 10 2 3" xfId="21782"/>
    <cellStyle name="Comma 2 2 4 10 2 3 2" xfId="37419"/>
    <cellStyle name="Comma 2 2 4 10 2 4" xfId="30996"/>
    <cellStyle name="Comma 2 2 4 10 2 5" xfId="42761"/>
    <cellStyle name="Comma 2 2 4 10 3" xfId="7969"/>
    <cellStyle name="Comma 2 2 4 10 3 2" xfId="18429"/>
    <cellStyle name="Comma 2 2 4 10 3 2 2" xfId="39472"/>
    <cellStyle name="Comma 2 2 4 10 3 2 3" xfId="33049"/>
    <cellStyle name="Comma 2 2 4 10 3 3" xfId="22921"/>
    <cellStyle name="Comma 2 2 4 10 3 3 2" xfId="36265"/>
    <cellStyle name="Comma 2 2 4 10 3 4" xfId="29842"/>
    <cellStyle name="Comma 2 2 4 10 3 5" xfId="43750"/>
    <cellStyle name="Comma 2 2 4 10 4" xfId="6932"/>
    <cellStyle name="Comma 2 2 4 10 4 2" xfId="17435"/>
    <cellStyle name="Comma 2 2 4 10 4 2 2" xfId="38485"/>
    <cellStyle name="Comma 2 2 4 10 4 3" xfId="32062"/>
    <cellStyle name="Comma 2 2 4 10 5" xfId="16899"/>
    <cellStyle name="Comma 2 2 4 10 5 2" xfId="35278"/>
    <cellStyle name="Comma 2 2 4 10 6" xfId="20595"/>
    <cellStyle name="Comma 2 2 4 10 7" xfId="28855"/>
    <cellStyle name="Comma 2 2 4 10 8" xfId="41616"/>
    <cellStyle name="Comma 2 2 4 11" xfId="10202"/>
    <cellStyle name="Comma 2 2 4 11 2" xfId="19256"/>
    <cellStyle name="Comma 2 2 4 11 2 2" xfId="40299"/>
    <cellStyle name="Comma 2 2 4 11 2 3" xfId="33876"/>
    <cellStyle name="Comma 2 2 4 11 3" xfId="21456"/>
    <cellStyle name="Comma 2 2 4 11 3 2" xfId="37092"/>
    <cellStyle name="Comma 2 2 4 11 4" xfId="30669"/>
    <cellStyle name="Comma 2 2 4 11 5" xfId="42435"/>
    <cellStyle name="Comma 2 2 4 12" xfId="7968"/>
    <cellStyle name="Comma 2 2 4 12 2" xfId="18428"/>
    <cellStyle name="Comma 2 2 4 12 2 2" xfId="39471"/>
    <cellStyle name="Comma 2 2 4 12 2 3" xfId="33048"/>
    <cellStyle name="Comma 2 2 4 12 3" xfId="22920"/>
    <cellStyle name="Comma 2 2 4 12 3 2" xfId="36264"/>
    <cellStyle name="Comma 2 2 4 12 4" xfId="29841"/>
    <cellStyle name="Comma 2 2 4 12 5" xfId="43749"/>
    <cellStyle name="Comma 2 2 4 13" xfId="6602"/>
    <cellStyle name="Comma 2 2 4 13 2" xfId="17109"/>
    <cellStyle name="Comma 2 2 4 13 2 2" xfId="38162"/>
    <cellStyle name="Comma 2 2 4 13 3" xfId="31739"/>
    <cellStyle name="Comma 2 2 4 14" xfId="16036"/>
    <cellStyle name="Comma 2 2 4 14 2" xfId="34955"/>
    <cellStyle name="Comma 2 2 4 15" xfId="20594"/>
    <cellStyle name="Comma 2 2 4 16" xfId="28530"/>
    <cellStyle name="Comma 2 2 4 17" xfId="41615"/>
    <cellStyle name="Comma 2 2 4 2" xfId="1467"/>
    <cellStyle name="Comma 2 2 4 2 10" xfId="7970"/>
    <cellStyle name="Comma 2 2 4 2 10 2" xfId="18430"/>
    <cellStyle name="Comma 2 2 4 2 10 2 2" xfId="39473"/>
    <cellStyle name="Comma 2 2 4 2 10 2 3" xfId="33050"/>
    <cellStyle name="Comma 2 2 4 2 10 3" xfId="22922"/>
    <cellStyle name="Comma 2 2 4 2 10 3 2" xfId="36266"/>
    <cellStyle name="Comma 2 2 4 2 10 4" xfId="29843"/>
    <cellStyle name="Comma 2 2 4 2 10 5" xfId="43751"/>
    <cellStyle name="Comma 2 2 4 2 11" xfId="6653"/>
    <cellStyle name="Comma 2 2 4 2 11 2" xfId="17160"/>
    <cellStyle name="Comma 2 2 4 2 11 2 2" xfId="38213"/>
    <cellStyle name="Comma 2 2 4 2 11 3" xfId="31790"/>
    <cellStyle name="Comma 2 2 4 2 12" xfId="16037"/>
    <cellStyle name="Comma 2 2 4 2 12 2" xfId="35006"/>
    <cellStyle name="Comma 2 2 4 2 13" xfId="20596"/>
    <cellStyle name="Comma 2 2 4 2 14" xfId="28581"/>
    <cellStyle name="Comma 2 2 4 2 15" xfId="41617"/>
    <cellStyle name="Comma 2 2 4 2 2" xfId="1821"/>
    <cellStyle name="Comma 2 2 4 2 2 10" xfId="16099"/>
    <cellStyle name="Comma 2 2 4 2 2 10 2" xfId="34984"/>
    <cellStyle name="Comma 2 2 4 2 2 11" xfId="20597"/>
    <cellStyle name="Comma 2 2 4 2 2 12" xfId="28559"/>
    <cellStyle name="Comma 2 2 4 2 2 13" xfId="41618"/>
    <cellStyle name="Comma 2 2 4 2 2 2" xfId="2711"/>
    <cellStyle name="Comma 2 2 4 2 2 2 2" xfId="10785"/>
    <cellStyle name="Comma 2 2 4 2 2 2 2 2" xfId="19584"/>
    <cellStyle name="Comma 2 2 4 2 2 2 2 2 2" xfId="40627"/>
    <cellStyle name="Comma 2 2 4 2 2 2 2 2 3" xfId="34204"/>
    <cellStyle name="Comma 2 2 4 2 2 2 2 3" xfId="21783"/>
    <cellStyle name="Comma 2 2 4 2 2 2 2 3 2" xfId="37420"/>
    <cellStyle name="Comma 2 2 4 2 2 2 2 4" xfId="30997"/>
    <cellStyle name="Comma 2 2 4 2 2 2 2 5" xfId="42762"/>
    <cellStyle name="Comma 2 2 4 2 2 2 3" xfId="7972"/>
    <cellStyle name="Comma 2 2 4 2 2 2 3 2" xfId="18432"/>
    <cellStyle name="Comma 2 2 4 2 2 2 3 2 2" xfId="39475"/>
    <cellStyle name="Comma 2 2 4 2 2 2 3 2 3" xfId="33052"/>
    <cellStyle name="Comma 2 2 4 2 2 2 3 3" xfId="22924"/>
    <cellStyle name="Comma 2 2 4 2 2 2 3 3 2" xfId="36268"/>
    <cellStyle name="Comma 2 2 4 2 2 2 3 4" xfId="29845"/>
    <cellStyle name="Comma 2 2 4 2 2 2 3 5" xfId="43753"/>
    <cellStyle name="Comma 2 2 4 2 2 2 4" xfId="6933"/>
    <cellStyle name="Comma 2 2 4 2 2 2 4 2" xfId="17436"/>
    <cellStyle name="Comma 2 2 4 2 2 2 4 2 2" xfId="38486"/>
    <cellStyle name="Comma 2 2 4 2 2 2 4 3" xfId="32063"/>
    <cellStyle name="Comma 2 2 4 2 2 2 5" xfId="16289"/>
    <cellStyle name="Comma 2 2 4 2 2 2 5 2" xfId="35279"/>
    <cellStyle name="Comma 2 2 4 2 2 2 6" xfId="20598"/>
    <cellStyle name="Comma 2 2 4 2 2 2 7" xfId="28856"/>
    <cellStyle name="Comma 2 2 4 2 2 2 8" xfId="41619"/>
    <cellStyle name="Comma 2 2 4 2 2 3" xfId="3575"/>
    <cellStyle name="Comma 2 2 4 2 2 3 2" xfId="10786"/>
    <cellStyle name="Comma 2 2 4 2 2 3 2 2" xfId="19585"/>
    <cellStyle name="Comma 2 2 4 2 2 3 2 2 2" xfId="40628"/>
    <cellStyle name="Comma 2 2 4 2 2 3 2 2 3" xfId="34205"/>
    <cellStyle name="Comma 2 2 4 2 2 3 2 3" xfId="21784"/>
    <cellStyle name="Comma 2 2 4 2 2 3 2 3 2" xfId="37421"/>
    <cellStyle name="Comma 2 2 4 2 2 3 2 4" xfId="30998"/>
    <cellStyle name="Comma 2 2 4 2 2 3 2 5" xfId="42763"/>
    <cellStyle name="Comma 2 2 4 2 2 3 3" xfId="7973"/>
    <cellStyle name="Comma 2 2 4 2 2 3 3 2" xfId="18433"/>
    <cellStyle name="Comma 2 2 4 2 2 3 3 2 2" xfId="39476"/>
    <cellStyle name="Comma 2 2 4 2 2 3 3 2 3" xfId="33053"/>
    <cellStyle name="Comma 2 2 4 2 2 3 3 3" xfId="22925"/>
    <cellStyle name="Comma 2 2 4 2 2 3 3 3 2" xfId="36269"/>
    <cellStyle name="Comma 2 2 4 2 2 3 3 4" xfId="29846"/>
    <cellStyle name="Comma 2 2 4 2 2 3 3 5" xfId="43754"/>
    <cellStyle name="Comma 2 2 4 2 2 3 4" xfId="6934"/>
    <cellStyle name="Comma 2 2 4 2 2 3 4 2" xfId="17437"/>
    <cellStyle name="Comma 2 2 4 2 2 3 4 2 2" xfId="38487"/>
    <cellStyle name="Comma 2 2 4 2 2 3 4 3" xfId="32064"/>
    <cellStyle name="Comma 2 2 4 2 2 3 5" xfId="16477"/>
    <cellStyle name="Comma 2 2 4 2 2 3 5 2" xfId="35280"/>
    <cellStyle name="Comma 2 2 4 2 2 3 6" xfId="20599"/>
    <cellStyle name="Comma 2 2 4 2 2 3 7" xfId="28857"/>
    <cellStyle name="Comma 2 2 4 2 2 3 8" xfId="41620"/>
    <cellStyle name="Comma 2 2 4 2 2 4" xfId="4450"/>
    <cellStyle name="Comma 2 2 4 2 2 4 2" xfId="10787"/>
    <cellStyle name="Comma 2 2 4 2 2 4 2 2" xfId="19586"/>
    <cellStyle name="Comma 2 2 4 2 2 4 2 2 2" xfId="40629"/>
    <cellStyle name="Comma 2 2 4 2 2 4 2 2 3" xfId="34206"/>
    <cellStyle name="Comma 2 2 4 2 2 4 2 3" xfId="21785"/>
    <cellStyle name="Comma 2 2 4 2 2 4 2 3 2" xfId="37422"/>
    <cellStyle name="Comma 2 2 4 2 2 4 2 4" xfId="30999"/>
    <cellStyle name="Comma 2 2 4 2 2 4 2 5" xfId="42764"/>
    <cellStyle name="Comma 2 2 4 2 2 4 3" xfId="7974"/>
    <cellStyle name="Comma 2 2 4 2 2 4 3 2" xfId="18434"/>
    <cellStyle name="Comma 2 2 4 2 2 4 3 2 2" xfId="39477"/>
    <cellStyle name="Comma 2 2 4 2 2 4 3 2 3" xfId="33054"/>
    <cellStyle name="Comma 2 2 4 2 2 4 3 3" xfId="22926"/>
    <cellStyle name="Comma 2 2 4 2 2 4 3 3 2" xfId="36270"/>
    <cellStyle name="Comma 2 2 4 2 2 4 3 4" xfId="29847"/>
    <cellStyle name="Comma 2 2 4 2 2 4 3 5" xfId="43755"/>
    <cellStyle name="Comma 2 2 4 2 2 4 4" xfId="6935"/>
    <cellStyle name="Comma 2 2 4 2 2 4 4 2" xfId="17438"/>
    <cellStyle name="Comma 2 2 4 2 2 4 4 2 2" xfId="38488"/>
    <cellStyle name="Comma 2 2 4 2 2 4 4 3" xfId="32065"/>
    <cellStyle name="Comma 2 2 4 2 2 4 5" xfId="16665"/>
    <cellStyle name="Comma 2 2 4 2 2 4 5 2" xfId="35281"/>
    <cellStyle name="Comma 2 2 4 2 2 4 6" xfId="20600"/>
    <cellStyle name="Comma 2 2 4 2 2 4 7" xfId="28858"/>
    <cellStyle name="Comma 2 2 4 2 2 4 8" xfId="41621"/>
    <cellStyle name="Comma 2 2 4 2 2 5" xfId="4996"/>
    <cellStyle name="Comma 2 2 4 2 2 5 2" xfId="10788"/>
    <cellStyle name="Comma 2 2 4 2 2 5 2 2" xfId="19587"/>
    <cellStyle name="Comma 2 2 4 2 2 5 2 2 2" xfId="40630"/>
    <cellStyle name="Comma 2 2 4 2 2 5 2 2 3" xfId="34207"/>
    <cellStyle name="Comma 2 2 4 2 2 5 2 3" xfId="21786"/>
    <cellStyle name="Comma 2 2 4 2 2 5 2 3 2" xfId="37423"/>
    <cellStyle name="Comma 2 2 4 2 2 5 2 4" xfId="31000"/>
    <cellStyle name="Comma 2 2 4 2 2 5 2 5" xfId="42765"/>
    <cellStyle name="Comma 2 2 4 2 2 5 3" xfId="7975"/>
    <cellStyle name="Comma 2 2 4 2 2 5 3 2" xfId="18435"/>
    <cellStyle name="Comma 2 2 4 2 2 5 3 2 2" xfId="39478"/>
    <cellStyle name="Comma 2 2 4 2 2 5 3 2 3" xfId="33055"/>
    <cellStyle name="Comma 2 2 4 2 2 5 3 3" xfId="22927"/>
    <cellStyle name="Comma 2 2 4 2 2 5 3 3 2" xfId="36271"/>
    <cellStyle name="Comma 2 2 4 2 2 5 3 4" xfId="29848"/>
    <cellStyle name="Comma 2 2 4 2 2 5 3 5" xfId="43756"/>
    <cellStyle name="Comma 2 2 4 2 2 5 4" xfId="6936"/>
    <cellStyle name="Comma 2 2 4 2 2 5 4 2" xfId="17439"/>
    <cellStyle name="Comma 2 2 4 2 2 5 4 2 2" xfId="38489"/>
    <cellStyle name="Comma 2 2 4 2 2 5 4 3" xfId="32066"/>
    <cellStyle name="Comma 2 2 4 2 2 5 5" xfId="16811"/>
    <cellStyle name="Comma 2 2 4 2 2 5 5 2" xfId="35282"/>
    <cellStyle name="Comma 2 2 4 2 2 5 6" xfId="20601"/>
    <cellStyle name="Comma 2 2 4 2 2 5 7" xfId="28859"/>
    <cellStyle name="Comma 2 2 4 2 2 5 8" xfId="41622"/>
    <cellStyle name="Comma 2 2 4 2 2 6" xfId="5715"/>
    <cellStyle name="Comma 2 2 4 2 2 6 2" xfId="10789"/>
    <cellStyle name="Comma 2 2 4 2 2 6 2 2" xfId="19588"/>
    <cellStyle name="Comma 2 2 4 2 2 6 2 2 2" xfId="40631"/>
    <cellStyle name="Comma 2 2 4 2 2 6 2 2 3" xfId="34208"/>
    <cellStyle name="Comma 2 2 4 2 2 6 2 3" xfId="21787"/>
    <cellStyle name="Comma 2 2 4 2 2 6 2 3 2" xfId="37424"/>
    <cellStyle name="Comma 2 2 4 2 2 6 2 4" xfId="31001"/>
    <cellStyle name="Comma 2 2 4 2 2 6 2 5" xfId="42766"/>
    <cellStyle name="Comma 2 2 4 2 2 6 3" xfId="7976"/>
    <cellStyle name="Comma 2 2 4 2 2 6 3 2" xfId="18436"/>
    <cellStyle name="Comma 2 2 4 2 2 6 3 2 2" xfId="39479"/>
    <cellStyle name="Comma 2 2 4 2 2 6 3 2 3" xfId="33056"/>
    <cellStyle name="Comma 2 2 4 2 2 6 3 3" xfId="22928"/>
    <cellStyle name="Comma 2 2 4 2 2 6 3 3 2" xfId="36272"/>
    <cellStyle name="Comma 2 2 4 2 2 6 3 4" xfId="29849"/>
    <cellStyle name="Comma 2 2 4 2 2 6 3 5" xfId="43757"/>
    <cellStyle name="Comma 2 2 4 2 2 6 4" xfId="6937"/>
    <cellStyle name="Comma 2 2 4 2 2 6 4 2" xfId="17440"/>
    <cellStyle name="Comma 2 2 4 2 2 6 4 2 2" xfId="38490"/>
    <cellStyle name="Comma 2 2 4 2 2 6 4 3" xfId="32067"/>
    <cellStyle name="Comma 2 2 4 2 2 6 5" xfId="16953"/>
    <cellStyle name="Comma 2 2 4 2 2 6 5 2" xfId="35283"/>
    <cellStyle name="Comma 2 2 4 2 2 6 6" xfId="20602"/>
    <cellStyle name="Comma 2 2 4 2 2 6 7" xfId="28860"/>
    <cellStyle name="Comma 2 2 4 2 2 6 8" xfId="41623"/>
    <cellStyle name="Comma 2 2 4 2 2 7" xfId="10232"/>
    <cellStyle name="Comma 2 2 4 2 2 7 2" xfId="19285"/>
    <cellStyle name="Comma 2 2 4 2 2 7 2 2" xfId="40328"/>
    <cellStyle name="Comma 2 2 4 2 2 7 2 3" xfId="33905"/>
    <cellStyle name="Comma 2 2 4 2 2 7 3" xfId="21485"/>
    <cellStyle name="Comma 2 2 4 2 2 7 3 2" xfId="37121"/>
    <cellStyle name="Comma 2 2 4 2 2 7 4" xfId="30698"/>
    <cellStyle name="Comma 2 2 4 2 2 7 5" xfId="42464"/>
    <cellStyle name="Comma 2 2 4 2 2 8" xfId="7971"/>
    <cellStyle name="Comma 2 2 4 2 2 8 2" xfId="18431"/>
    <cellStyle name="Comma 2 2 4 2 2 8 2 2" xfId="39474"/>
    <cellStyle name="Comma 2 2 4 2 2 8 2 3" xfId="33051"/>
    <cellStyle name="Comma 2 2 4 2 2 8 3" xfId="22923"/>
    <cellStyle name="Comma 2 2 4 2 2 8 3 2" xfId="36267"/>
    <cellStyle name="Comma 2 2 4 2 2 8 4" xfId="29844"/>
    <cellStyle name="Comma 2 2 4 2 2 8 5" xfId="43752"/>
    <cellStyle name="Comma 2 2 4 2 2 9" xfId="6631"/>
    <cellStyle name="Comma 2 2 4 2 2 9 2" xfId="17138"/>
    <cellStyle name="Comma 2 2 4 2 2 9 2 2" xfId="38191"/>
    <cellStyle name="Comma 2 2 4 2 2 9 3" xfId="31768"/>
    <cellStyle name="Comma 2 2 4 2 3" xfId="2096"/>
    <cellStyle name="Comma 2 2 4 2 3 10" xfId="20603"/>
    <cellStyle name="Comma 2 2 4 2 3 11" xfId="28861"/>
    <cellStyle name="Comma 2 2 4 2 3 12" xfId="41624"/>
    <cellStyle name="Comma 2 2 4 2 3 2" xfId="2966"/>
    <cellStyle name="Comma 2 2 4 2 3 2 2" xfId="10791"/>
    <cellStyle name="Comma 2 2 4 2 3 2 2 2" xfId="19590"/>
    <cellStyle name="Comma 2 2 4 2 3 2 2 2 2" xfId="40633"/>
    <cellStyle name="Comma 2 2 4 2 3 2 2 2 3" xfId="34210"/>
    <cellStyle name="Comma 2 2 4 2 3 2 2 3" xfId="21789"/>
    <cellStyle name="Comma 2 2 4 2 3 2 2 3 2" xfId="37426"/>
    <cellStyle name="Comma 2 2 4 2 3 2 2 4" xfId="31003"/>
    <cellStyle name="Comma 2 2 4 2 3 2 2 5" xfId="42768"/>
    <cellStyle name="Comma 2 2 4 2 3 2 3" xfId="7978"/>
    <cellStyle name="Comma 2 2 4 2 3 2 3 2" xfId="18438"/>
    <cellStyle name="Comma 2 2 4 2 3 2 3 2 2" xfId="39481"/>
    <cellStyle name="Comma 2 2 4 2 3 2 3 2 3" xfId="33058"/>
    <cellStyle name="Comma 2 2 4 2 3 2 3 3" xfId="22930"/>
    <cellStyle name="Comma 2 2 4 2 3 2 3 3 2" xfId="36274"/>
    <cellStyle name="Comma 2 2 4 2 3 2 3 4" xfId="29851"/>
    <cellStyle name="Comma 2 2 4 2 3 2 3 5" xfId="43759"/>
    <cellStyle name="Comma 2 2 4 2 3 2 4" xfId="6939"/>
    <cellStyle name="Comma 2 2 4 2 3 2 4 2" xfId="17442"/>
    <cellStyle name="Comma 2 2 4 2 3 2 4 2 2" xfId="38492"/>
    <cellStyle name="Comma 2 2 4 2 3 2 4 3" xfId="32069"/>
    <cellStyle name="Comma 2 2 4 2 3 2 5" xfId="16344"/>
    <cellStyle name="Comma 2 2 4 2 3 2 5 2" xfId="35285"/>
    <cellStyle name="Comma 2 2 4 2 3 2 6" xfId="20604"/>
    <cellStyle name="Comma 2 2 4 2 3 2 7" xfId="28862"/>
    <cellStyle name="Comma 2 2 4 2 3 2 8" xfId="41625"/>
    <cellStyle name="Comma 2 2 4 2 3 3" xfId="3836"/>
    <cellStyle name="Comma 2 2 4 2 3 3 2" xfId="10792"/>
    <cellStyle name="Comma 2 2 4 2 3 3 2 2" xfId="19591"/>
    <cellStyle name="Comma 2 2 4 2 3 3 2 2 2" xfId="40634"/>
    <cellStyle name="Comma 2 2 4 2 3 3 2 2 3" xfId="34211"/>
    <cellStyle name="Comma 2 2 4 2 3 3 2 3" xfId="21790"/>
    <cellStyle name="Comma 2 2 4 2 3 3 2 3 2" xfId="37427"/>
    <cellStyle name="Comma 2 2 4 2 3 3 2 4" xfId="31004"/>
    <cellStyle name="Comma 2 2 4 2 3 3 2 5" xfId="42769"/>
    <cellStyle name="Comma 2 2 4 2 3 3 3" xfId="7979"/>
    <cellStyle name="Comma 2 2 4 2 3 3 3 2" xfId="18439"/>
    <cellStyle name="Comma 2 2 4 2 3 3 3 2 2" xfId="39482"/>
    <cellStyle name="Comma 2 2 4 2 3 3 3 2 3" xfId="33059"/>
    <cellStyle name="Comma 2 2 4 2 3 3 3 3" xfId="22931"/>
    <cellStyle name="Comma 2 2 4 2 3 3 3 3 2" xfId="36275"/>
    <cellStyle name="Comma 2 2 4 2 3 3 3 4" xfId="29852"/>
    <cellStyle name="Comma 2 2 4 2 3 3 3 5" xfId="43760"/>
    <cellStyle name="Comma 2 2 4 2 3 3 4" xfId="6940"/>
    <cellStyle name="Comma 2 2 4 2 3 3 4 2" xfId="17443"/>
    <cellStyle name="Comma 2 2 4 2 3 3 4 2 2" xfId="38493"/>
    <cellStyle name="Comma 2 2 4 2 3 3 4 3" xfId="32070"/>
    <cellStyle name="Comma 2 2 4 2 3 3 5" xfId="16532"/>
    <cellStyle name="Comma 2 2 4 2 3 3 5 2" xfId="35286"/>
    <cellStyle name="Comma 2 2 4 2 3 3 6" xfId="20605"/>
    <cellStyle name="Comma 2 2 4 2 3 3 7" xfId="28863"/>
    <cellStyle name="Comma 2 2 4 2 3 3 8" xfId="41626"/>
    <cellStyle name="Comma 2 2 4 2 3 4" xfId="4714"/>
    <cellStyle name="Comma 2 2 4 2 3 4 2" xfId="10793"/>
    <cellStyle name="Comma 2 2 4 2 3 4 2 2" xfId="19592"/>
    <cellStyle name="Comma 2 2 4 2 3 4 2 2 2" xfId="40635"/>
    <cellStyle name="Comma 2 2 4 2 3 4 2 2 3" xfId="34212"/>
    <cellStyle name="Comma 2 2 4 2 3 4 2 3" xfId="21791"/>
    <cellStyle name="Comma 2 2 4 2 3 4 2 3 2" xfId="37428"/>
    <cellStyle name="Comma 2 2 4 2 3 4 2 4" xfId="31005"/>
    <cellStyle name="Comma 2 2 4 2 3 4 2 5" xfId="42770"/>
    <cellStyle name="Comma 2 2 4 2 3 4 3" xfId="7980"/>
    <cellStyle name="Comma 2 2 4 2 3 4 3 2" xfId="18440"/>
    <cellStyle name="Comma 2 2 4 2 3 4 3 2 2" xfId="39483"/>
    <cellStyle name="Comma 2 2 4 2 3 4 3 2 3" xfId="33060"/>
    <cellStyle name="Comma 2 2 4 2 3 4 3 3" xfId="22932"/>
    <cellStyle name="Comma 2 2 4 2 3 4 3 3 2" xfId="36276"/>
    <cellStyle name="Comma 2 2 4 2 3 4 3 4" xfId="29853"/>
    <cellStyle name="Comma 2 2 4 2 3 4 3 5" xfId="43761"/>
    <cellStyle name="Comma 2 2 4 2 3 4 4" xfId="6941"/>
    <cellStyle name="Comma 2 2 4 2 3 4 4 2" xfId="17444"/>
    <cellStyle name="Comma 2 2 4 2 3 4 4 2 2" xfId="38494"/>
    <cellStyle name="Comma 2 2 4 2 3 4 4 3" xfId="32071"/>
    <cellStyle name="Comma 2 2 4 2 3 4 5" xfId="16720"/>
    <cellStyle name="Comma 2 2 4 2 3 4 5 2" xfId="35287"/>
    <cellStyle name="Comma 2 2 4 2 3 4 6" xfId="20606"/>
    <cellStyle name="Comma 2 2 4 2 3 4 7" xfId="28864"/>
    <cellStyle name="Comma 2 2 4 2 3 4 8" xfId="41627"/>
    <cellStyle name="Comma 2 2 4 2 3 5" xfId="5979"/>
    <cellStyle name="Comma 2 2 4 2 3 5 2" xfId="10794"/>
    <cellStyle name="Comma 2 2 4 2 3 5 2 2" xfId="19593"/>
    <cellStyle name="Comma 2 2 4 2 3 5 2 2 2" xfId="40636"/>
    <cellStyle name="Comma 2 2 4 2 3 5 2 2 3" xfId="34213"/>
    <cellStyle name="Comma 2 2 4 2 3 5 2 3" xfId="21792"/>
    <cellStyle name="Comma 2 2 4 2 3 5 2 3 2" xfId="37429"/>
    <cellStyle name="Comma 2 2 4 2 3 5 2 4" xfId="31006"/>
    <cellStyle name="Comma 2 2 4 2 3 5 2 5" xfId="42771"/>
    <cellStyle name="Comma 2 2 4 2 3 5 3" xfId="7981"/>
    <cellStyle name="Comma 2 2 4 2 3 5 3 2" xfId="18441"/>
    <cellStyle name="Comma 2 2 4 2 3 5 3 2 2" xfId="39484"/>
    <cellStyle name="Comma 2 2 4 2 3 5 3 2 3" xfId="33061"/>
    <cellStyle name="Comma 2 2 4 2 3 5 3 3" xfId="22933"/>
    <cellStyle name="Comma 2 2 4 2 3 5 3 3 2" xfId="36277"/>
    <cellStyle name="Comma 2 2 4 2 3 5 3 4" xfId="29854"/>
    <cellStyle name="Comma 2 2 4 2 3 5 3 5" xfId="43762"/>
    <cellStyle name="Comma 2 2 4 2 3 5 4" xfId="6942"/>
    <cellStyle name="Comma 2 2 4 2 3 5 4 2" xfId="17445"/>
    <cellStyle name="Comma 2 2 4 2 3 5 4 2 2" xfId="38495"/>
    <cellStyle name="Comma 2 2 4 2 3 5 4 3" xfId="32072"/>
    <cellStyle name="Comma 2 2 4 2 3 5 5" xfId="17008"/>
    <cellStyle name="Comma 2 2 4 2 3 5 5 2" xfId="35288"/>
    <cellStyle name="Comma 2 2 4 2 3 5 6" xfId="20607"/>
    <cellStyle name="Comma 2 2 4 2 3 5 7" xfId="28865"/>
    <cellStyle name="Comma 2 2 4 2 3 5 8" xfId="41628"/>
    <cellStyle name="Comma 2 2 4 2 3 6" xfId="10790"/>
    <cellStyle name="Comma 2 2 4 2 3 6 2" xfId="19589"/>
    <cellStyle name="Comma 2 2 4 2 3 6 2 2" xfId="40632"/>
    <cellStyle name="Comma 2 2 4 2 3 6 2 3" xfId="34209"/>
    <cellStyle name="Comma 2 2 4 2 3 6 3" xfId="21788"/>
    <cellStyle name="Comma 2 2 4 2 3 6 3 2" xfId="37425"/>
    <cellStyle name="Comma 2 2 4 2 3 6 4" xfId="31002"/>
    <cellStyle name="Comma 2 2 4 2 3 6 5" xfId="42767"/>
    <cellStyle name="Comma 2 2 4 2 3 7" xfId="7977"/>
    <cellStyle name="Comma 2 2 4 2 3 7 2" xfId="18437"/>
    <cellStyle name="Comma 2 2 4 2 3 7 2 2" xfId="39480"/>
    <cellStyle name="Comma 2 2 4 2 3 7 2 3" xfId="33057"/>
    <cellStyle name="Comma 2 2 4 2 3 7 3" xfId="22929"/>
    <cellStyle name="Comma 2 2 4 2 3 7 3 2" xfId="36273"/>
    <cellStyle name="Comma 2 2 4 2 3 7 4" xfId="29850"/>
    <cellStyle name="Comma 2 2 4 2 3 7 5" xfId="43758"/>
    <cellStyle name="Comma 2 2 4 2 3 8" xfId="6938"/>
    <cellStyle name="Comma 2 2 4 2 3 8 2" xfId="17441"/>
    <cellStyle name="Comma 2 2 4 2 3 8 2 2" xfId="38491"/>
    <cellStyle name="Comma 2 2 4 2 3 8 3" xfId="32068"/>
    <cellStyle name="Comma 2 2 4 2 3 9" xfId="16155"/>
    <cellStyle name="Comma 2 2 4 2 3 9 2" xfId="35284"/>
    <cellStyle name="Comma 2 2 4 2 4" xfId="2461"/>
    <cellStyle name="Comma 2 2 4 2 4 2" xfId="10795"/>
    <cellStyle name="Comma 2 2 4 2 4 2 2" xfId="19594"/>
    <cellStyle name="Comma 2 2 4 2 4 2 2 2" xfId="40637"/>
    <cellStyle name="Comma 2 2 4 2 4 2 2 3" xfId="34214"/>
    <cellStyle name="Comma 2 2 4 2 4 2 3" xfId="21793"/>
    <cellStyle name="Comma 2 2 4 2 4 2 3 2" xfId="37430"/>
    <cellStyle name="Comma 2 2 4 2 4 2 4" xfId="31007"/>
    <cellStyle name="Comma 2 2 4 2 4 2 5" xfId="42772"/>
    <cellStyle name="Comma 2 2 4 2 4 3" xfId="7982"/>
    <cellStyle name="Comma 2 2 4 2 4 3 2" xfId="18442"/>
    <cellStyle name="Comma 2 2 4 2 4 3 2 2" xfId="39485"/>
    <cellStyle name="Comma 2 2 4 2 4 3 2 3" xfId="33062"/>
    <cellStyle name="Comma 2 2 4 2 4 3 3" xfId="22934"/>
    <cellStyle name="Comma 2 2 4 2 4 3 3 2" xfId="36278"/>
    <cellStyle name="Comma 2 2 4 2 4 3 4" xfId="29855"/>
    <cellStyle name="Comma 2 2 4 2 4 3 5" xfId="43763"/>
    <cellStyle name="Comma 2 2 4 2 4 4" xfId="6943"/>
    <cellStyle name="Comma 2 2 4 2 4 4 2" xfId="17446"/>
    <cellStyle name="Comma 2 2 4 2 4 4 2 2" xfId="38496"/>
    <cellStyle name="Comma 2 2 4 2 4 4 3" xfId="32073"/>
    <cellStyle name="Comma 2 2 4 2 4 5" xfId="16236"/>
    <cellStyle name="Comma 2 2 4 2 4 5 2" xfId="35289"/>
    <cellStyle name="Comma 2 2 4 2 4 6" xfId="20608"/>
    <cellStyle name="Comma 2 2 4 2 4 7" xfId="28866"/>
    <cellStyle name="Comma 2 2 4 2 4 8" xfId="41629"/>
    <cellStyle name="Comma 2 2 4 2 5" xfId="3324"/>
    <cellStyle name="Comma 2 2 4 2 5 2" xfId="10796"/>
    <cellStyle name="Comma 2 2 4 2 5 2 2" xfId="19595"/>
    <cellStyle name="Comma 2 2 4 2 5 2 2 2" xfId="40638"/>
    <cellStyle name="Comma 2 2 4 2 5 2 2 3" xfId="34215"/>
    <cellStyle name="Comma 2 2 4 2 5 2 3" xfId="21794"/>
    <cellStyle name="Comma 2 2 4 2 5 2 3 2" xfId="37431"/>
    <cellStyle name="Comma 2 2 4 2 5 2 4" xfId="31008"/>
    <cellStyle name="Comma 2 2 4 2 5 2 5" xfId="42773"/>
    <cellStyle name="Comma 2 2 4 2 5 3" xfId="7983"/>
    <cellStyle name="Comma 2 2 4 2 5 3 2" xfId="18443"/>
    <cellStyle name="Comma 2 2 4 2 5 3 2 2" xfId="39486"/>
    <cellStyle name="Comma 2 2 4 2 5 3 2 3" xfId="33063"/>
    <cellStyle name="Comma 2 2 4 2 5 3 3" xfId="22935"/>
    <cellStyle name="Comma 2 2 4 2 5 3 3 2" xfId="36279"/>
    <cellStyle name="Comma 2 2 4 2 5 3 4" xfId="29856"/>
    <cellStyle name="Comma 2 2 4 2 5 3 5" xfId="43764"/>
    <cellStyle name="Comma 2 2 4 2 5 4" xfId="6944"/>
    <cellStyle name="Comma 2 2 4 2 5 4 2" xfId="17447"/>
    <cellStyle name="Comma 2 2 4 2 5 4 2 2" xfId="38497"/>
    <cellStyle name="Comma 2 2 4 2 5 4 3" xfId="32074"/>
    <cellStyle name="Comma 2 2 4 2 5 5" xfId="16424"/>
    <cellStyle name="Comma 2 2 4 2 5 5 2" xfId="35290"/>
    <cellStyle name="Comma 2 2 4 2 5 6" xfId="20609"/>
    <cellStyle name="Comma 2 2 4 2 5 7" xfId="28867"/>
    <cellStyle name="Comma 2 2 4 2 5 8" xfId="41630"/>
    <cellStyle name="Comma 2 2 4 2 6" xfId="4192"/>
    <cellStyle name="Comma 2 2 4 2 6 2" xfId="10797"/>
    <cellStyle name="Comma 2 2 4 2 6 2 2" xfId="19596"/>
    <cellStyle name="Comma 2 2 4 2 6 2 2 2" xfId="40639"/>
    <cellStyle name="Comma 2 2 4 2 6 2 2 3" xfId="34216"/>
    <cellStyle name="Comma 2 2 4 2 6 2 3" xfId="21795"/>
    <cellStyle name="Comma 2 2 4 2 6 2 3 2" xfId="37432"/>
    <cellStyle name="Comma 2 2 4 2 6 2 4" xfId="31009"/>
    <cellStyle name="Comma 2 2 4 2 6 2 5" xfId="42774"/>
    <cellStyle name="Comma 2 2 4 2 6 3" xfId="7984"/>
    <cellStyle name="Comma 2 2 4 2 6 3 2" xfId="18444"/>
    <cellStyle name="Comma 2 2 4 2 6 3 2 2" xfId="39487"/>
    <cellStyle name="Comma 2 2 4 2 6 3 2 3" xfId="33064"/>
    <cellStyle name="Comma 2 2 4 2 6 3 3" xfId="22936"/>
    <cellStyle name="Comma 2 2 4 2 6 3 3 2" xfId="36280"/>
    <cellStyle name="Comma 2 2 4 2 6 3 4" xfId="29857"/>
    <cellStyle name="Comma 2 2 4 2 6 3 5" xfId="43765"/>
    <cellStyle name="Comma 2 2 4 2 6 4" xfId="6945"/>
    <cellStyle name="Comma 2 2 4 2 6 4 2" xfId="17448"/>
    <cellStyle name="Comma 2 2 4 2 6 4 2 2" xfId="38498"/>
    <cellStyle name="Comma 2 2 4 2 6 4 3" xfId="32075"/>
    <cellStyle name="Comma 2 2 4 2 6 5" xfId="16612"/>
    <cellStyle name="Comma 2 2 4 2 6 5 2" xfId="35291"/>
    <cellStyle name="Comma 2 2 4 2 6 6" xfId="20610"/>
    <cellStyle name="Comma 2 2 4 2 6 7" xfId="28868"/>
    <cellStyle name="Comma 2 2 4 2 6 8" xfId="41631"/>
    <cellStyle name="Comma 2 2 4 2 7" xfId="4995"/>
    <cellStyle name="Comma 2 2 4 2 7 2" xfId="10798"/>
    <cellStyle name="Comma 2 2 4 2 7 2 2" xfId="19597"/>
    <cellStyle name="Comma 2 2 4 2 7 2 2 2" xfId="40640"/>
    <cellStyle name="Comma 2 2 4 2 7 2 2 3" xfId="34217"/>
    <cellStyle name="Comma 2 2 4 2 7 2 3" xfId="21796"/>
    <cellStyle name="Comma 2 2 4 2 7 2 3 2" xfId="37433"/>
    <cellStyle name="Comma 2 2 4 2 7 2 4" xfId="31010"/>
    <cellStyle name="Comma 2 2 4 2 7 2 5" xfId="42775"/>
    <cellStyle name="Comma 2 2 4 2 7 3" xfId="7985"/>
    <cellStyle name="Comma 2 2 4 2 7 3 2" xfId="18445"/>
    <cellStyle name="Comma 2 2 4 2 7 3 2 2" xfId="39488"/>
    <cellStyle name="Comma 2 2 4 2 7 3 2 3" xfId="33065"/>
    <cellStyle name="Comma 2 2 4 2 7 3 3" xfId="22937"/>
    <cellStyle name="Comma 2 2 4 2 7 3 3 2" xfId="36281"/>
    <cellStyle name="Comma 2 2 4 2 7 3 4" xfId="29858"/>
    <cellStyle name="Comma 2 2 4 2 7 3 5" xfId="43766"/>
    <cellStyle name="Comma 2 2 4 2 7 4" xfId="6946"/>
    <cellStyle name="Comma 2 2 4 2 7 4 2" xfId="17449"/>
    <cellStyle name="Comma 2 2 4 2 7 4 2 2" xfId="38499"/>
    <cellStyle name="Comma 2 2 4 2 7 4 3" xfId="32076"/>
    <cellStyle name="Comma 2 2 4 2 7 5" xfId="16810"/>
    <cellStyle name="Comma 2 2 4 2 7 5 2" xfId="35292"/>
    <cellStyle name="Comma 2 2 4 2 7 6" xfId="20611"/>
    <cellStyle name="Comma 2 2 4 2 7 7" xfId="28869"/>
    <cellStyle name="Comma 2 2 4 2 7 8" xfId="41632"/>
    <cellStyle name="Comma 2 2 4 2 8" xfId="5454"/>
    <cellStyle name="Comma 2 2 4 2 8 2" xfId="10799"/>
    <cellStyle name="Comma 2 2 4 2 8 2 2" xfId="19598"/>
    <cellStyle name="Comma 2 2 4 2 8 2 2 2" xfId="40641"/>
    <cellStyle name="Comma 2 2 4 2 8 2 2 3" xfId="34218"/>
    <cellStyle name="Comma 2 2 4 2 8 2 3" xfId="21797"/>
    <cellStyle name="Comma 2 2 4 2 8 2 3 2" xfId="37434"/>
    <cellStyle name="Comma 2 2 4 2 8 2 4" xfId="31011"/>
    <cellStyle name="Comma 2 2 4 2 8 2 5" xfId="42776"/>
    <cellStyle name="Comma 2 2 4 2 8 3" xfId="7986"/>
    <cellStyle name="Comma 2 2 4 2 8 3 2" xfId="18446"/>
    <cellStyle name="Comma 2 2 4 2 8 3 2 2" xfId="39489"/>
    <cellStyle name="Comma 2 2 4 2 8 3 2 3" xfId="33066"/>
    <cellStyle name="Comma 2 2 4 2 8 3 3" xfId="22938"/>
    <cellStyle name="Comma 2 2 4 2 8 3 3 2" xfId="36282"/>
    <cellStyle name="Comma 2 2 4 2 8 3 4" xfId="29859"/>
    <cellStyle name="Comma 2 2 4 2 8 3 5" xfId="43767"/>
    <cellStyle name="Comma 2 2 4 2 8 4" xfId="6947"/>
    <cellStyle name="Comma 2 2 4 2 8 4 2" xfId="17450"/>
    <cellStyle name="Comma 2 2 4 2 8 4 2 2" xfId="38500"/>
    <cellStyle name="Comma 2 2 4 2 8 4 3" xfId="32077"/>
    <cellStyle name="Comma 2 2 4 2 8 5" xfId="16900"/>
    <cellStyle name="Comma 2 2 4 2 8 5 2" xfId="35293"/>
    <cellStyle name="Comma 2 2 4 2 8 6" xfId="20612"/>
    <cellStyle name="Comma 2 2 4 2 8 7" xfId="28870"/>
    <cellStyle name="Comma 2 2 4 2 8 8" xfId="41633"/>
    <cellStyle name="Comma 2 2 4 2 9" xfId="10254"/>
    <cellStyle name="Comma 2 2 4 2 9 2" xfId="19307"/>
    <cellStyle name="Comma 2 2 4 2 9 2 2" xfId="40350"/>
    <cellStyle name="Comma 2 2 4 2 9 2 3" xfId="33927"/>
    <cellStyle name="Comma 2 2 4 2 9 3" xfId="21507"/>
    <cellStyle name="Comma 2 2 4 2 9 3 2" xfId="37143"/>
    <cellStyle name="Comma 2 2 4 2 9 4" xfId="30720"/>
    <cellStyle name="Comma 2 2 4 2 9 5" xfId="42486"/>
    <cellStyle name="Comma 2 2 4 3" xfId="1820"/>
    <cellStyle name="Comma 2 2 4 3 10" xfId="16098"/>
    <cellStyle name="Comma 2 2 4 3 10 2" xfId="34988"/>
    <cellStyle name="Comma 2 2 4 3 11" xfId="20613"/>
    <cellStyle name="Comma 2 2 4 3 12" xfId="28563"/>
    <cellStyle name="Comma 2 2 4 3 13" xfId="41634"/>
    <cellStyle name="Comma 2 2 4 3 2" xfId="2710"/>
    <cellStyle name="Comma 2 2 4 3 2 2" xfId="10800"/>
    <cellStyle name="Comma 2 2 4 3 2 2 2" xfId="19599"/>
    <cellStyle name="Comma 2 2 4 3 2 2 2 2" xfId="40642"/>
    <cellStyle name="Comma 2 2 4 3 2 2 2 3" xfId="34219"/>
    <cellStyle name="Comma 2 2 4 3 2 2 3" xfId="21798"/>
    <cellStyle name="Comma 2 2 4 3 2 2 3 2" xfId="37435"/>
    <cellStyle name="Comma 2 2 4 3 2 2 4" xfId="31012"/>
    <cellStyle name="Comma 2 2 4 3 2 2 5" xfId="42777"/>
    <cellStyle name="Comma 2 2 4 3 2 3" xfId="7988"/>
    <cellStyle name="Comma 2 2 4 3 2 3 2" xfId="18448"/>
    <cellStyle name="Comma 2 2 4 3 2 3 2 2" xfId="39491"/>
    <cellStyle name="Comma 2 2 4 3 2 3 2 3" xfId="33068"/>
    <cellStyle name="Comma 2 2 4 3 2 3 3" xfId="22940"/>
    <cellStyle name="Comma 2 2 4 3 2 3 3 2" xfId="36284"/>
    <cellStyle name="Comma 2 2 4 3 2 3 4" xfId="29861"/>
    <cellStyle name="Comma 2 2 4 3 2 3 5" xfId="43769"/>
    <cellStyle name="Comma 2 2 4 3 2 4" xfId="6948"/>
    <cellStyle name="Comma 2 2 4 3 2 4 2" xfId="17451"/>
    <cellStyle name="Comma 2 2 4 3 2 4 2 2" xfId="38501"/>
    <cellStyle name="Comma 2 2 4 3 2 4 3" xfId="32078"/>
    <cellStyle name="Comma 2 2 4 3 2 5" xfId="16288"/>
    <cellStyle name="Comma 2 2 4 3 2 5 2" xfId="35294"/>
    <cellStyle name="Comma 2 2 4 3 2 6" xfId="20614"/>
    <cellStyle name="Comma 2 2 4 3 2 7" xfId="28871"/>
    <cellStyle name="Comma 2 2 4 3 2 8" xfId="41635"/>
    <cellStyle name="Comma 2 2 4 3 3" xfId="3574"/>
    <cellStyle name="Comma 2 2 4 3 3 2" xfId="10801"/>
    <cellStyle name="Comma 2 2 4 3 3 2 2" xfId="19600"/>
    <cellStyle name="Comma 2 2 4 3 3 2 2 2" xfId="40643"/>
    <cellStyle name="Comma 2 2 4 3 3 2 2 3" xfId="34220"/>
    <cellStyle name="Comma 2 2 4 3 3 2 3" xfId="21799"/>
    <cellStyle name="Comma 2 2 4 3 3 2 3 2" xfId="37436"/>
    <cellStyle name="Comma 2 2 4 3 3 2 4" xfId="31013"/>
    <cellStyle name="Comma 2 2 4 3 3 2 5" xfId="42778"/>
    <cellStyle name="Comma 2 2 4 3 3 3" xfId="7989"/>
    <cellStyle name="Comma 2 2 4 3 3 3 2" xfId="18449"/>
    <cellStyle name="Comma 2 2 4 3 3 3 2 2" xfId="39492"/>
    <cellStyle name="Comma 2 2 4 3 3 3 2 3" xfId="33069"/>
    <cellStyle name="Comma 2 2 4 3 3 3 3" xfId="22941"/>
    <cellStyle name="Comma 2 2 4 3 3 3 3 2" xfId="36285"/>
    <cellStyle name="Comma 2 2 4 3 3 3 4" xfId="29862"/>
    <cellStyle name="Comma 2 2 4 3 3 3 5" xfId="43770"/>
    <cellStyle name="Comma 2 2 4 3 3 4" xfId="6949"/>
    <cellStyle name="Comma 2 2 4 3 3 4 2" xfId="17452"/>
    <cellStyle name="Comma 2 2 4 3 3 4 2 2" xfId="38502"/>
    <cellStyle name="Comma 2 2 4 3 3 4 3" xfId="32079"/>
    <cellStyle name="Comma 2 2 4 3 3 5" xfId="16476"/>
    <cellStyle name="Comma 2 2 4 3 3 5 2" xfId="35295"/>
    <cellStyle name="Comma 2 2 4 3 3 6" xfId="20615"/>
    <cellStyle name="Comma 2 2 4 3 3 7" xfId="28872"/>
    <cellStyle name="Comma 2 2 4 3 3 8" xfId="41636"/>
    <cellStyle name="Comma 2 2 4 3 4" xfId="4449"/>
    <cellStyle name="Comma 2 2 4 3 4 2" xfId="10802"/>
    <cellStyle name="Comma 2 2 4 3 4 2 2" xfId="19601"/>
    <cellStyle name="Comma 2 2 4 3 4 2 2 2" xfId="40644"/>
    <cellStyle name="Comma 2 2 4 3 4 2 2 3" xfId="34221"/>
    <cellStyle name="Comma 2 2 4 3 4 2 3" xfId="21800"/>
    <cellStyle name="Comma 2 2 4 3 4 2 3 2" xfId="37437"/>
    <cellStyle name="Comma 2 2 4 3 4 2 4" xfId="31014"/>
    <cellStyle name="Comma 2 2 4 3 4 2 5" xfId="42779"/>
    <cellStyle name="Comma 2 2 4 3 4 3" xfId="7990"/>
    <cellStyle name="Comma 2 2 4 3 4 3 2" xfId="18450"/>
    <cellStyle name="Comma 2 2 4 3 4 3 2 2" xfId="39493"/>
    <cellStyle name="Comma 2 2 4 3 4 3 2 3" xfId="33070"/>
    <cellStyle name="Comma 2 2 4 3 4 3 3" xfId="22942"/>
    <cellStyle name="Comma 2 2 4 3 4 3 3 2" xfId="36286"/>
    <cellStyle name="Comma 2 2 4 3 4 3 4" xfId="29863"/>
    <cellStyle name="Comma 2 2 4 3 4 3 5" xfId="43771"/>
    <cellStyle name="Comma 2 2 4 3 4 4" xfId="6950"/>
    <cellStyle name="Comma 2 2 4 3 4 4 2" xfId="17453"/>
    <cellStyle name="Comma 2 2 4 3 4 4 2 2" xfId="38503"/>
    <cellStyle name="Comma 2 2 4 3 4 4 3" xfId="32080"/>
    <cellStyle name="Comma 2 2 4 3 4 5" xfId="16664"/>
    <cellStyle name="Comma 2 2 4 3 4 5 2" xfId="35296"/>
    <cellStyle name="Comma 2 2 4 3 4 6" xfId="20616"/>
    <cellStyle name="Comma 2 2 4 3 4 7" xfId="28873"/>
    <cellStyle name="Comma 2 2 4 3 4 8" xfId="41637"/>
    <cellStyle name="Comma 2 2 4 3 5" xfId="4997"/>
    <cellStyle name="Comma 2 2 4 3 5 2" xfId="10803"/>
    <cellStyle name="Comma 2 2 4 3 5 2 2" xfId="19602"/>
    <cellStyle name="Comma 2 2 4 3 5 2 2 2" xfId="40645"/>
    <cellStyle name="Comma 2 2 4 3 5 2 2 3" xfId="34222"/>
    <cellStyle name="Comma 2 2 4 3 5 2 3" xfId="21801"/>
    <cellStyle name="Comma 2 2 4 3 5 2 3 2" xfId="37438"/>
    <cellStyle name="Comma 2 2 4 3 5 2 4" xfId="31015"/>
    <cellStyle name="Comma 2 2 4 3 5 2 5" xfId="42780"/>
    <cellStyle name="Comma 2 2 4 3 5 3" xfId="7991"/>
    <cellStyle name="Comma 2 2 4 3 5 3 2" xfId="18451"/>
    <cellStyle name="Comma 2 2 4 3 5 3 2 2" xfId="39494"/>
    <cellStyle name="Comma 2 2 4 3 5 3 2 3" xfId="33071"/>
    <cellStyle name="Comma 2 2 4 3 5 3 3" xfId="22943"/>
    <cellStyle name="Comma 2 2 4 3 5 3 3 2" xfId="36287"/>
    <cellStyle name="Comma 2 2 4 3 5 3 4" xfId="29864"/>
    <cellStyle name="Comma 2 2 4 3 5 3 5" xfId="43772"/>
    <cellStyle name="Comma 2 2 4 3 5 4" xfId="6951"/>
    <cellStyle name="Comma 2 2 4 3 5 4 2" xfId="17454"/>
    <cellStyle name="Comma 2 2 4 3 5 4 2 2" xfId="38504"/>
    <cellStyle name="Comma 2 2 4 3 5 4 3" xfId="32081"/>
    <cellStyle name="Comma 2 2 4 3 5 5" xfId="16812"/>
    <cellStyle name="Comma 2 2 4 3 5 5 2" xfId="35297"/>
    <cellStyle name="Comma 2 2 4 3 5 6" xfId="20617"/>
    <cellStyle name="Comma 2 2 4 3 5 7" xfId="28874"/>
    <cellStyle name="Comma 2 2 4 3 5 8" xfId="41638"/>
    <cellStyle name="Comma 2 2 4 3 6" xfId="5714"/>
    <cellStyle name="Comma 2 2 4 3 6 2" xfId="10804"/>
    <cellStyle name="Comma 2 2 4 3 6 2 2" xfId="19603"/>
    <cellStyle name="Comma 2 2 4 3 6 2 2 2" xfId="40646"/>
    <cellStyle name="Comma 2 2 4 3 6 2 2 3" xfId="34223"/>
    <cellStyle name="Comma 2 2 4 3 6 2 3" xfId="21802"/>
    <cellStyle name="Comma 2 2 4 3 6 2 3 2" xfId="37439"/>
    <cellStyle name="Comma 2 2 4 3 6 2 4" xfId="31016"/>
    <cellStyle name="Comma 2 2 4 3 6 2 5" xfId="42781"/>
    <cellStyle name="Comma 2 2 4 3 6 3" xfId="7992"/>
    <cellStyle name="Comma 2 2 4 3 6 3 2" xfId="18452"/>
    <cellStyle name="Comma 2 2 4 3 6 3 2 2" xfId="39495"/>
    <cellStyle name="Comma 2 2 4 3 6 3 2 3" xfId="33072"/>
    <cellStyle name="Comma 2 2 4 3 6 3 3" xfId="22944"/>
    <cellStyle name="Comma 2 2 4 3 6 3 3 2" xfId="36288"/>
    <cellStyle name="Comma 2 2 4 3 6 3 4" xfId="29865"/>
    <cellStyle name="Comma 2 2 4 3 6 3 5" xfId="43773"/>
    <cellStyle name="Comma 2 2 4 3 6 4" xfId="6952"/>
    <cellStyle name="Comma 2 2 4 3 6 4 2" xfId="17455"/>
    <cellStyle name="Comma 2 2 4 3 6 4 2 2" xfId="38505"/>
    <cellStyle name="Comma 2 2 4 3 6 4 3" xfId="32082"/>
    <cellStyle name="Comma 2 2 4 3 6 5" xfId="16952"/>
    <cellStyle name="Comma 2 2 4 3 6 5 2" xfId="35298"/>
    <cellStyle name="Comma 2 2 4 3 6 6" xfId="20618"/>
    <cellStyle name="Comma 2 2 4 3 6 7" xfId="28875"/>
    <cellStyle name="Comma 2 2 4 3 6 8" xfId="41639"/>
    <cellStyle name="Comma 2 2 4 3 7" xfId="10236"/>
    <cellStyle name="Comma 2 2 4 3 7 2" xfId="19289"/>
    <cellStyle name="Comma 2 2 4 3 7 2 2" xfId="40332"/>
    <cellStyle name="Comma 2 2 4 3 7 2 3" xfId="33909"/>
    <cellStyle name="Comma 2 2 4 3 7 3" xfId="21489"/>
    <cellStyle name="Comma 2 2 4 3 7 3 2" xfId="37125"/>
    <cellStyle name="Comma 2 2 4 3 7 4" xfId="30702"/>
    <cellStyle name="Comma 2 2 4 3 7 5" xfId="42468"/>
    <cellStyle name="Comma 2 2 4 3 8" xfId="7987"/>
    <cellStyle name="Comma 2 2 4 3 8 2" xfId="18447"/>
    <cellStyle name="Comma 2 2 4 3 8 2 2" xfId="39490"/>
    <cellStyle name="Comma 2 2 4 3 8 2 3" xfId="33067"/>
    <cellStyle name="Comma 2 2 4 3 8 3" xfId="22939"/>
    <cellStyle name="Comma 2 2 4 3 8 3 2" xfId="36283"/>
    <cellStyle name="Comma 2 2 4 3 8 4" xfId="29860"/>
    <cellStyle name="Comma 2 2 4 3 8 5" xfId="43768"/>
    <cellStyle name="Comma 2 2 4 3 9" xfId="6635"/>
    <cellStyle name="Comma 2 2 4 3 9 2" xfId="17142"/>
    <cellStyle name="Comma 2 2 4 3 9 2 2" xfId="38195"/>
    <cellStyle name="Comma 2 2 4 3 9 3" xfId="31772"/>
    <cellStyle name="Comma 2 2 4 4" xfId="2095"/>
    <cellStyle name="Comma 2 2 4 4 10" xfId="20619"/>
    <cellStyle name="Comma 2 2 4 4 11" xfId="28876"/>
    <cellStyle name="Comma 2 2 4 4 12" xfId="41640"/>
    <cellStyle name="Comma 2 2 4 4 2" xfId="2965"/>
    <cellStyle name="Comma 2 2 4 4 2 2" xfId="10806"/>
    <cellStyle name="Comma 2 2 4 4 2 2 2" xfId="19605"/>
    <cellStyle name="Comma 2 2 4 4 2 2 2 2" xfId="40648"/>
    <cellStyle name="Comma 2 2 4 4 2 2 2 3" xfId="34225"/>
    <cellStyle name="Comma 2 2 4 4 2 2 3" xfId="21804"/>
    <cellStyle name="Comma 2 2 4 4 2 2 3 2" xfId="37441"/>
    <cellStyle name="Comma 2 2 4 4 2 2 4" xfId="31018"/>
    <cellStyle name="Comma 2 2 4 4 2 2 5" xfId="42783"/>
    <cellStyle name="Comma 2 2 4 4 2 3" xfId="7994"/>
    <cellStyle name="Comma 2 2 4 4 2 3 2" xfId="18454"/>
    <cellStyle name="Comma 2 2 4 4 2 3 2 2" xfId="39497"/>
    <cellStyle name="Comma 2 2 4 4 2 3 2 3" xfId="33074"/>
    <cellStyle name="Comma 2 2 4 4 2 3 3" xfId="22946"/>
    <cellStyle name="Comma 2 2 4 4 2 3 3 2" xfId="36290"/>
    <cellStyle name="Comma 2 2 4 4 2 3 4" xfId="29867"/>
    <cellStyle name="Comma 2 2 4 4 2 3 5" xfId="43775"/>
    <cellStyle name="Comma 2 2 4 4 2 4" xfId="6954"/>
    <cellStyle name="Comma 2 2 4 4 2 4 2" xfId="17457"/>
    <cellStyle name="Comma 2 2 4 4 2 4 2 2" xfId="38507"/>
    <cellStyle name="Comma 2 2 4 4 2 4 3" xfId="32084"/>
    <cellStyle name="Comma 2 2 4 4 2 5" xfId="16343"/>
    <cellStyle name="Comma 2 2 4 4 2 5 2" xfId="35300"/>
    <cellStyle name="Comma 2 2 4 4 2 6" xfId="20620"/>
    <cellStyle name="Comma 2 2 4 4 2 7" xfId="28877"/>
    <cellStyle name="Comma 2 2 4 4 2 8" xfId="41641"/>
    <cellStyle name="Comma 2 2 4 4 3" xfId="3835"/>
    <cellStyle name="Comma 2 2 4 4 3 2" xfId="10807"/>
    <cellStyle name="Comma 2 2 4 4 3 2 2" xfId="19606"/>
    <cellStyle name="Comma 2 2 4 4 3 2 2 2" xfId="40649"/>
    <cellStyle name="Comma 2 2 4 4 3 2 2 3" xfId="34226"/>
    <cellStyle name="Comma 2 2 4 4 3 2 3" xfId="21805"/>
    <cellStyle name="Comma 2 2 4 4 3 2 3 2" xfId="37442"/>
    <cellStyle name="Comma 2 2 4 4 3 2 4" xfId="31019"/>
    <cellStyle name="Comma 2 2 4 4 3 2 5" xfId="42784"/>
    <cellStyle name="Comma 2 2 4 4 3 3" xfId="7995"/>
    <cellStyle name="Comma 2 2 4 4 3 3 2" xfId="18455"/>
    <cellStyle name="Comma 2 2 4 4 3 3 2 2" xfId="39498"/>
    <cellStyle name="Comma 2 2 4 4 3 3 2 3" xfId="33075"/>
    <cellStyle name="Comma 2 2 4 4 3 3 3" xfId="22947"/>
    <cellStyle name="Comma 2 2 4 4 3 3 3 2" xfId="36291"/>
    <cellStyle name="Comma 2 2 4 4 3 3 4" xfId="29868"/>
    <cellStyle name="Comma 2 2 4 4 3 3 5" xfId="43776"/>
    <cellStyle name="Comma 2 2 4 4 3 4" xfId="6955"/>
    <cellStyle name="Comma 2 2 4 4 3 4 2" xfId="17458"/>
    <cellStyle name="Comma 2 2 4 4 3 4 2 2" xfId="38508"/>
    <cellStyle name="Comma 2 2 4 4 3 4 3" xfId="32085"/>
    <cellStyle name="Comma 2 2 4 4 3 5" xfId="16531"/>
    <cellStyle name="Comma 2 2 4 4 3 5 2" xfId="35301"/>
    <cellStyle name="Comma 2 2 4 4 3 6" xfId="20621"/>
    <cellStyle name="Comma 2 2 4 4 3 7" xfId="28878"/>
    <cellStyle name="Comma 2 2 4 4 3 8" xfId="41642"/>
    <cellStyle name="Comma 2 2 4 4 4" xfId="4713"/>
    <cellStyle name="Comma 2 2 4 4 4 2" xfId="10808"/>
    <cellStyle name="Comma 2 2 4 4 4 2 2" xfId="19607"/>
    <cellStyle name="Comma 2 2 4 4 4 2 2 2" xfId="40650"/>
    <cellStyle name="Comma 2 2 4 4 4 2 2 3" xfId="34227"/>
    <cellStyle name="Comma 2 2 4 4 4 2 3" xfId="21806"/>
    <cellStyle name="Comma 2 2 4 4 4 2 3 2" xfId="37443"/>
    <cellStyle name="Comma 2 2 4 4 4 2 4" xfId="31020"/>
    <cellStyle name="Comma 2 2 4 4 4 2 5" xfId="42785"/>
    <cellStyle name="Comma 2 2 4 4 4 3" xfId="7996"/>
    <cellStyle name="Comma 2 2 4 4 4 3 2" xfId="18456"/>
    <cellStyle name="Comma 2 2 4 4 4 3 2 2" xfId="39499"/>
    <cellStyle name="Comma 2 2 4 4 4 3 2 3" xfId="33076"/>
    <cellStyle name="Comma 2 2 4 4 4 3 3" xfId="22948"/>
    <cellStyle name="Comma 2 2 4 4 4 3 3 2" xfId="36292"/>
    <cellStyle name="Comma 2 2 4 4 4 3 4" xfId="29869"/>
    <cellStyle name="Comma 2 2 4 4 4 3 5" xfId="43777"/>
    <cellStyle name="Comma 2 2 4 4 4 4" xfId="6956"/>
    <cellStyle name="Comma 2 2 4 4 4 4 2" xfId="17459"/>
    <cellStyle name="Comma 2 2 4 4 4 4 2 2" xfId="38509"/>
    <cellStyle name="Comma 2 2 4 4 4 4 3" xfId="32086"/>
    <cellStyle name="Comma 2 2 4 4 4 5" xfId="16719"/>
    <cellStyle name="Comma 2 2 4 4 4 5 2" xfId="35302"/>
    <cellStyle name="Comma 2 2 4 4 4 6" xfId="20622"/>
    <cellStyle name="Comma 2 2 4 4 4 7" xfId="28879"/>
    <cellStyle name="Comma 2 2 4 4 4 8" xfId="41643"/>
    <cellStyle name="Comma 2 2 4 4 5" xfId="5978"/>
    <cellStyle name="Comma 2 2 4 4 5 2" xfId="10809"/>
    <cellStyle name="Comma 2 2 4 4 5 2 2" xfId="19608"/>
    <cellStyle name="Comma 2 2 4 4 5 2 2 2" xfId="40651"/>
    <cellStyle name="Comma 2 2 4 4 5 2 2 3" xfId="34228"/>
    <cellStyle name="Comma 2 2 4 4 5 2 3" xfId="21807"/>
    <cellStyle name="Comma 2 2 4 4 5 2 3 2" xfId="37444"/>
    <cellStyle name="Comma 2 2 4 4 5 2 4" xfId="31021"/>
    <cellStyle name="Comma 2 2 4 4 5 2 5" xfId="42786"/>
    <cellStyle name="Comma 2 2 4 4 5 3" xfId="7997"/>
    <cellStyle name="Comma 2 2 4 4 5 3 2" xfId="18457"/>
    <cellStyle name="Comma 2 2 4 4 5 3 2 2" xfId="39500"/>
    <cellStyle name="Comma 2 2 4 4 5 3 2 3" xfId="33077"/>
    <cellStyle name="Comma 2 2 4 4 5 3 3" xfId="22949"/>
    <cellStyle name="Comma 2 2 4 4 5 3 3 2" xfId="36293"/>
    <cellStyle name="Comma 2 2 4 4 5 3 4" xfId="29870"/>
    <cellStyle name="Comma 2 2 4 4 5 3 5" xfId="43778"/>
    <cellStyle name="Comma 2 2 4 4 5 4" xfId="6957"/>
    <cellStyle name="Comma 2 2 4 4 5 4 2" xfId="17460"/>
    <cellStyle name="Comma 2 2 4 4 5 4 2 2" xfId="38510"/>
    <cellStyle name="Comma 2 2 4 4 5 4 3" xfId="32087"/>
    <cellStyle name="Comma 2 2 4 4 5 5" xfId="17007"/>
    <cellStyle name="Comma 2 2 4 4 5 5 2" xfId="35303"/>
    <cellStyle name="Comma 2 2 4 4 5 6" xfId="20623"/>
    <cellStyle name="Comma 2 2 4 4 5 7" xfId="28880"/>
    <cellStyle name="Comma 2 2 4 4 5 8" xfId="41644"/>
    <cellStyle name="Comma 2 2 4 4 6" xfId="10805"/>
    <cellStyle name="Comma 2 2 4 4 6 2" xfId="19604"/>
    <cellStyle name="Comma 2 2 4 4 6 2 2" xfId="40647"/>
    <cellStyle name="Comma 2 2 4 4 6 2 3" xfId="34224"/>
    <cellStyle name="Comma 2 2 4 4 6 3" xfId="21803"/>
    <cellStyle name="Comma 2 2 4 4 6 3 2" xfId="37440"/>
    <cellStyle name="Comma 2 2 4 4 6 4" xfId="31017"/>
    <cellStyle name="Comma 2 2 4 4 6 5" xfId="42782"/>
    <cellStyle name="Comma 2 2 4 4 7" xfId="7993"/>
    <cellStyle name="Comma 2 2 4 4 7 2" xfId="18453"/>
    <cellStyle name="Comma 2 2 4 4 7 2 2" xfId="39496"/>
    <cellStyle name="Comma 2 2 4 4 7 2 3" xfId="33073"/>
    <cellStyle name="Comma 2 2 4 4 7 3" xfId="22945"/>
    <cellStyle name="Comma 2 2 4 4 7 3 2" xfId="36289"/>
    <cellStyle name="Comma 2 2 4 4 7 4" xfId="29866"/>
    <cellStyle name="Comma 2 2 4 4 7 5" xfId="43774"/>
    <cellStyle name="Comma 2 2 4 4 8" xfId="6953"/>
    <cellStyle name="Comma 2 2 4 4 8 2" xfId="17456"/>
    <cellStyle name="Comma 2 2 4 4 8 2 2" xfId="38506"/>
    <cellStyle name="Comma 2 2 4 4 8 3" xfId="32083"/>
    <cellStyle name="Comma 2 2 4 4 9" xfId="16154"/>
    <cellStyle name="Comma 2 2 4 4 9 2" xfId="35299"/>
    <cellStyle name="Comma 2 2 4 5" xfId="2317"/>
    <cellStyle name="Comma 2 2 4 5 10" xfId="20624"/>
    <cellStyle name="Comma 2 2 4 5 11" xfId="28881"/>
    <cellStyle name="Comma 2 2 4 5 12" xfId="41645"/>
    <cellStyle name="Comma 2 2 4 5 2" xfId="3176"/>
    <cellStyle name="Comma 2 2 4 5 2 2" xfId="10811"/>
    <cellStyle name="Comma 2 2 4 5 2 2 2" xfId="19610"/>
    <cellStyle name="Comma 2 2 4 5 2 2 2 2" xfId="40653"/>
    <cellStyle name="Comma 2 2 4 5 2 2 2 3" xfId="34230"/>
    <cellStyle name="Comma 2 2 4 5 2 2 3" xfId="21809"/>
    <cellStyle name="Comma 2 2 4 5 2 2 3 2" xfId="37446"/>
    <cellStyle name="Comma 2 2 4 5 2 2 4" xfId="31023"/>
    <cellStyle name="Comma 2 2 4 5 2 2 5" xfId="42788"/>
    <cellStyle name="Comma 2 2 4 5 2 3" xfId="7999"/>
    <cellStyle name="Comma 2 2 4 5 2 3 2" xfId="18459"/>
    <cellStyle name="Comma 2 2 4 5 2 3 2 2" xfId="39502"/>
    <cellStyle name="Comma 2 2 4 5 2 3 2 3" xfId="33079"/>
    <cellStyle name="Comma 2 2 4 5 2 3 3" xfId="22951"/>
    <cellStyle name="Comma 2 2 4 5 2 3 3 2" xfId="36295"/>
    <cellStyle name="Comma 2 2 4 5 2 3 4" xfId="29872"/>
    <cellStyle name="Comma 2 2 4 5 2 3 5" xfId="43780"/>
    <cellStyle name="Comma 2 2 4 5 2 4" xfId="6959"/>
    <cellStyle name="Comma 2 2 4 5 2 4 2" xfId="17462"/>
    <cellStyle name="Comma 2 2 4 5 2 4 2 2" xfId="38512"/>
    <cellStyle name="Comma 2 2 4 5 2 4 3" xfId="32089"/>
    <cellStyle name="Comma 2 2 4 5 2 5" xfId="16395"/>
    <cellStyle name="Comma 2 2 4 5 2 5 2" xfId="35305"/>
    <cellStyle name="Comma 2 2 4 5 2 6" xfId="20625"/>
    <cellStyle name="Comma 2 2 4 5 2 7" xfId="28882"/>
    <cellStyle name="Comma 2 2 4 5 2 8" xfId="41646"/>
    <cellStyle name="Comma 2 2 4 5 3" xfId="4042"/>
    <cellStyle name="Comma 2 2 4 5 3 2" xfId="10812"/>
    <cellStyle name="Comma 2 2 4 5 3 2 2" xfId="19611"/>
    <cellStyle name="Comma 2 2 4 5 3 2 2 2" xfId="40654"/>
    <cellStyle name="Comma 2 2 4 5 3 2 2 3" xfId="34231"/>
    <cellStyle name="Comma 2 2 4 5 3 2 3" xfId="21810"/>
    <cellStyle name="Comma 2 2 4 5 3 2 3 2" xfId="37447"/>
    <cellStyle name="Comma 2 2 4 5 3 2 4" xfId="31024"/>
    <cellStyle name="Comma 2 2 4 5 3 2 5" xfId="42789"/>
    <cellStyle name="Comma 2 2 4 5 3 3" xfId="8000"/>
    <cellStyle name="Comma 2 2 4 5 3 3 2" xfId="18460"/>
    <cellStyle name="Comma 2 2 4 5 3 3 2 2" xfId="39503"/>
    <cellStyle name="Comma 2 2 4 5 3 3 2 3" xfId="33080"/>
    <cellStyle name="Comma 2 2 4 5 3 3 3" xfId="22952"/>
    <cellStyle name="Comma 2 2 4 5 3 3 3 2" xfId="36296"/>
    <cellStyle name="Comma 2 2 4 5 3 3 4" xfId="29873"/>
    <cellStyle name="Comma 2 2 4 5 3 3 5" xfId="43781"/>
    <cellStyle name="Comma 2 2 4 5 3 4" xfId="6960"/>
    <cellStyle name="Comma 2 2 4 5 3 4 2" xfId="17463"/>
    <cellStyle name="Comma 2 2 4 5 3 4 2 2" xfId="38513"/>
    <cellStyle name="Comma 2 2 4 5 3 4 3" xfId="32090"/>
    <cellStyle name="Comma 2 2 4 5 3 5" xfId="16583"/>
    <cellStyle name="Comma 2 2 4 5 3 5 2" xfId="35306"/>
    <cellStyle name="Comma 2 2 4 5 3 6" xfId="20626"/>
    <cellStyle name="Comma 2 2 4 5 3 7" xfId="28883"/>
    <cellStyle name="Comma 2 2 4 5 3 8" xfId="41647"/>
    <cellStyle name="Comma 2 2 4 5 4" xfId="4921"/>
    <cellStyle name="Comma 2 2 4 5 4 2" xfId="10813"/>
    <cellStyle name="Comma 2 2 4 5 4 2 2" xfId="19612"/>
    <cellStyle name="Comma 2 2 4 5 4 2 2 2" xfId="40655"/>
    <cellStyle name="Comma 2 2 4 5 4 2 2 3" xfId="34232"/>
    <cellStyle name="Comma 2 2 4 5 4 2 3" xfId="21811"/>
    <cellStyle name="Comma 2 2 4 5 4 2 3 2" xfId="37448"/>
    <cellStyle name="Comma 2 2 4 5 4 2 4" xfId="31025"/>
    <cellStyle name="Comma 2 2 4 5 4 2 5" xfId="42790"/>
    <cellStyle name="Comma 2 2 4 5 4 3" xfId="8001"/>
    <cellStyle name="Comma 2 2 4 5 4 3 2" xfId="18461"/>
    <cellStyle name="Comma 2 2 4 5 4 3 2 2" xfId="39504"/>
    <cellStyle name="Comma 2 2 4 5 4 3 2 3" xfId="33081"/>
    <cellStyle name="Comma 2 2 4 5 4 3 3" xfId="22953"/>
    <cellStyle name="Comma 2 2 4 5 4 3 3 2" xfId="36297"/>
    <cellStyle name="Comma 2 2 4 5 4 3 4" xfId="29874"/>
    <cellStyle name="Comma 2 2 4 5 4 3 5" xfId="43782"/>
    <cellStyle name="Comma 2 2 4 5 4 4" xfId="6961"/>
    <cellStyle name="Comma 2 2 4 5 4 4 2" xfId="17464"/>
    <cellStyle name="Comma 2 2 4 5 4 4 2 2" xfId="38514"/>
    <cellStyle name="Comma 2 2 4 5 4 4 3" xfId="32091"/>
    <cellStyle name="Comma 2 2 4 5 4 5" xfId="16771"/>
    <cellStyle name="Comma 2 2 4 5 4 5 2" xfId="35307"/>
    <cellStyle name="Comma 2 2 4 5 4 6" xfId="20627"/>
    <cellStyle name="Comma 2 2 4 5 4 7" xfId="28884"/>
    <cellStyle name="Comma 2 2 4 5 4 8" xfId="41648"/>
    <cellStyle name="Comma 2 2 4 5 5" xfId="6186"/>
    <cellStyle name="Comma 2 2 4 5 5 2" xfId="10814"/>
    <cellStyle name="Comma 2 2 4 5 5 2 2" xfId="19613"/>
    <cellStyle name="Comma 2 2 4 5 5 2 2 2" xfId="40656"/>
    <cellStyle name="Comma 2 2 4 5 5 2 2 3" xfId="34233"/>
    <cellStyle name="Comma 2 2 4 5 5 2 3" xfId="21812"/>
    <cellStyle name="Comma 2 2 4 5 5 2 3 2" xfId="37449"/>
    <cellStyle name="Comma 2 2 4 5 5 2 4" xfId="31026"/>
    <cellStyle name="Comma 2 2 4 5 5 2 5" xfId="42791"/>
    <cellStyle name="Comma 2 2 4 5 5 3" xfId="8002"/>
    <cellStyle name="Comma 2 2 4 5 5 3 2" xfId="18462"/>
    <cellStyle name="Comma 2 2 4 5 5 3 2 2" xfId="39505"/>
    <cellStyle name="Comma 2 2 4 5 5 3 2 3" xfId="33082"/>
    <cellStyle name="Comma 2 2 4 5 5 3 3" xfId="22954"/>
    <cellStyle name="Comma 2 2 4 5 5 3 3 2" xfId="36298"/>
    <cellStyle name="Comma 2 2 4 5 5 3 4" xfId="29875"/>
    <cellStyle name="Comma 2 2 4 5 5 3 5" xfId="43783"/>
    <cellStyle name="Comma 2 2 4 5 5 4" xfId="6962"/>
    <cellStyle name="Comma 2 2 4 5 5 4 2" xfId="17465"/>
    <cellStyle name="Comma 2 2 4 5 5 4 2 2" xfId="38515"/>
    <cellStyle name="Comma 2 2 4 5 5 4 3" xfId="32092"/>
    <cellStyle name="Comma 2 2 4 5 5 5" xfId="17059"/>
    <cellStyle name="Comma 2 2 4 5 5 5 2" xfId="35308"/>
    <cellStyle name="Comma 2 2 4 5 5 6" xfId="20628"/>
    <cellStyle name="Comma 2 2 4 5 5 7" xfId="28885"/>
    <cellStyle name="Comma 2 2 4 5 5 8" xfId="41649"/>
    <cellStyle name="Comma 2 2 4 5 6" xfId="10810"/>
    <cellStyle name="Comma 2 2 4 5 6 2" xfId="19609"/>
    <cellStyle name="Comma 2 2 4 5 6 2 2" xfId="40652"/>
    <cellStyle name="Comma 2 2 4 5 6 2 3" xfId="34229"/>
    <cellStyle name="Comma 2 2 4 5 6 3" xfId="21808"/>
    <cellStyle name="Comma 2 2 4 5 6 3 2" xfId="37445"/>
    <cellStyle name="Comma 2 2 4 5 6 4" xfId="31022"/>
    <cellStyle name="Comma 2 2 4 5 6 5" xfId="42787"/>
    <cellStyle name="Comma 2 2 4 5 7" xfId="7998"/>
    <cellStyle name="Comma 2 2 4 5 7 2" xfId="18458"/>
    <cellStyle name="Comma 2 2 4 5 7 2 2" xfId="39501"/>
    <cellStyle name="Comma 2 2 4 5 7 2 3" xfId="33078"/>
    <cellStyle name="Comma 2 2 4 5 7 3" xfId="22950"/>
    <cellStyle name="Comma 2 2 4 5 7 3 2" xfId="36294"/>
    <cellStyle name="Comma 2 2 4 5 7 4" xfId="29871"/>
    <cellStyle name="Comma 2 2 4 5 7 5" xfId="43779"/>
    <cellStyle name="Comma 2 2 4 5 8" xfId="6958"/>
    <cellStyle name="Comma 2 2 4 5 8 2" xfId="17461"/>
    <cellStyle name="Comma 2 2 4 5 8 2 2" xfId="38511"/>
    <cellStyle name="Comma 2 2 4 5 8 3" xfId="32088"/>
    <cellStyle name="Comma 2 2 4 5 9" xfId="16207"/>
    <cellStyle name="Comma 2 2 4 5 9 2" xfId="35304"/>
    <cellStyle name="Comma 2 2 4 6" xfId="2460"/>
    <cellStyle name="Comma 2 2 4 6 2" xfId="10815"/>
    <cellStyle name="Comma 2 2 4 6 2 2" xfId="19614"/>
    <cellStyle name="Comma 2 2 4 6 2 2 2" xfId="40657"/>
    <cellStyle name="Comma 2 2 4 6 2 2 3" xfId="34234"/>
    <cellStyle name="Comma 2 2 4 6 2 3" xfId="21813"/>
    <cellStyle name="Comma 2 2 4 6 2 3 2" xfId="37450"/>
    <cellStyle name="Comma 2 2 4 6 2 4" xfId="31027"/>
    <cellStyle name="Comma 2 2 4 6 2 5" xfId="42792"/>
    <cellStyle name="Comma 2 2 4 6 3" xfId="8003"/>
    <cellStyle name="Comma 2 2 4 6 3 2" xfId="18463"/>
    <cellStyle name="Comma 2 2 4 6 3 2 2" xfId="39506"/>
    <cellStyle name="Comma 2 2 4 6 3 2 3" xfId="33083"/>
    <cellStyle name="Comma 2 2 4 6 3 3" xfId="22955"/>
    <cellStyle name="Comma 2 2 4 6 3 3 2" xfId="36299"/>
    <cellStyle name="Comma 2 2 4 6 3 4" xfId="29876"/>
    <cellStyle name="Comma 2 2 4 6 3 5" xfId="43784"/>
    <cellStyle name="Comma 2 2 4 6 4" xfId="6963"/>
    <cellStyle name="Comma 2 2 4 6 4 2" xfId="17466"/>
    <cellStyle name="Comma 2 2 4 6 4 2 2" xfId="38516"/>
    <cellStyle name="Comma 2 2 4 6 4 3" xfId="32093"/>
    <cellStyle name="Comma 2 2 4 6 5" xfId="16235"/>
    <cellStyle name="Comma 2 2 4 6 5 2" xfId="35309"/>
    <cellStyle name="Comma 2 2 4 6 6" xfId="20629"/>
    <cellStyle name="Comma 2 2 4 6 7" xfId="28886"/>
    <cellStyle name="Comma 2 2 4 6 8" xfId="41650"/>
    <cellStyle name="Comma 2 2 4 7" xfId="3323"/>
    <cellStyle name="Comma 2 2 4 7 2" xfId="10816"/>
    <cellStyle name="Comma 2 2 4 7 2 2" xfId="19615"/>
    <cellStyle name="Comma 2 2 4 7 2 2 2" xfId="40658"/>
    <cellStyle name="Comma 2 2 4 7 2 2 3" xfId="34235"/>
    <cellStyle name="Comma 2 2 4 7 2 3" xfId="21814"/>
    <cellStyle name="Comma 2 2 4 7 2 3 2" xfId="37451"/>
    <cellStyle name="Comma 2 2 4 7 2 4" xfId="31028"/>
    <cellStyle name="Comma 2 2 4 7 2 5" xfId="42793"/>
    <cellStyle name="Comma 2 2 4 7 3" xfId="8004"/>
    <cellStyle name="Comma 2 2 4 7 3 2" xfId="18464"/>
    <cellStyle name="Comma 2 2 4 7 3 2 2" xfId="39507"/>
    <cellStyle name="Comma 2 2 4 7 3 2 3" xfId="33084"/>
    <cellStyle name="Comma 2 2 4 7 3 3" xfId="22956"/>
    <cellStyle name="Comma 2 2 4 7 3 3 2" xfId="36300"/>
    <cellStyle name="Comma 2 2 4 7 3 4" xfId="29877"/>
    <cellStyle name="Comma 2 2 4 7 3 5" xfId="43785"/>
    <cellStyle name="Comma 2 2 4 7 4" xfId="6964"/>
    <cellStyle name="Comma 2 2 4 7 4 2" xfId="17467"/>
    <cellStyle name="Comma 2 2 4 7 4 2 2" xfId="38517"/>
    <cellStyle name="Comma 2 2 4 7 4 3" xfId="32094"/>
    <cellStyle name="Comma 2 2 4 7 5" xfId="16423"/>
    <cellStyle name="Comma 2 2 4 7 5 2" xfId="35310"/>
    <cellStyle name="Comma 2 2 4 7 6" xfId="20630"/>
    <cellStyle name="Comma 2 2 4 7 7" xfId="28887"/>
    <cellStyle name="Comma 2 2 4 7 8" xfId="41651"/>
    <cellStyle name="Comma 2 2 4 8" xfId="4191"/>
    <cellStyle name="Comma 2 2 4 8 2" xfId="10817"/>
    <cellStyle name="Comma 2 2 4 8 2 2" xfId="19616"/>
    <cellStyle name="Comma 2 2 4 8 2 2 2" xfId="40659"/>
    <cellStyle name="Comma 2 2 4 8 2 2 3" xfId="34236"/>
    <cellStyle name="Comma 2 2 4 8 2 3" xfId="21815"/>
    <cellStyle name="Comma 2 2 4 8 2 3 2" xfId="37452"/>
    <cellStyle name="Comma 2 2 4 8 2 4" xfId="31029"/>
    <cellStyle name="Comma 2 2 4 8 2 5" xfId="42794"/>
    <cellStyle name="Comma 2 2 4 8 3" xfId="8005"/>
    <cellStyle name="Comma 2 2 4 8 3 2" xfId="18465"/>
    <cellStyle name="Comma 2 2 4 8 3 2 2" xfId="39508"/>
    <cellStyle name="Comma 2 2 4 8 3 2 3" xfId="33085"/>
    <cellStyle name="Comma 2 2 4 8 3 3" xfId="22957"/>
    <cellStyle name="Comma 2 2 4 8 3 3 2" xfId="36301"/>
    <cellStyle name="Comma 2 2 4 8 3 4" xfId="29878"/>
    <cellStyle name="Comma 2 2 4 8 3 5" xfId="43786"/>
    <cellStyle name="Comma 2 2 4 8 4" xfId="6965"/>
    <cellStyle name="Comma 2 2 4 8 4 2" xfId="17468"/>
    <cellStyle name="Comma 2 2 4 8 4 2 2" xfId="38518"/>
    <cellStyle name="Comma 2 2 4 8 4 3" xfId="32095"/>
    <cellStyle name="Comma 2 2 4 8 5" xfId="16611"/>
    <cellStyle name="Comma 2 2 4 8 5 2" xfId="35311"/>
    <cellStyle name="Comma 2 2 4 8 6" xfId="20631"/>
    <cellStyle name="Comma 2 2 4 8 7" xfId="28888"/>
    <cellStyle name="Comma 2 2 4 8 8" xfId="41652"/>
    <cellStyle name="Comma 2 2 4 9" xfId="4994"/>
    <cellStyle name="Comma 2 2 4 9 2" xfId="10818"/>
    <cellStyle name="Comma 2 2 4 9 2 2" xfId="19617"/>
    <cellStyle name="Comma 2 2 4 9 2 2 2" xfId="40660"/>
    <cellStyle name="Comma 2 2 4 9 2 2 3" xfId="34237"/>
    <cellStyle name="Comma 2 2 4 9 2 3" xfId="21816"/>
    <cellStyle name="Comma 2 2 4 9 2 3 2" xfId="37453"/>
    <cellStyle name="Comma 2 2 4 9 2 4" xfId="31030"/>
    <cellStyle name="Comma 2 2 4 9 2 5" xfId="42795"/>
    <cellStyle name="Comma 2 2 4 9 3" xfId="8006"/>
    <cellStyle name="Comma 2 2 4 9 3 2" xfId="18466"/>
    <cellStyle name="Comma 2 2 4 9 3 2 2" xfId="39509"/>
    <cellStyle name="Comma 2 2 4 9 3 2 3" xfId="33086"/>
    <cellStyle name="Comma 2 2 4 9 3 3" xfId="22958"/>
    <cellStyle name="Comma 2 2 4 9 3 3 2" xfId="36302"/>
    <cellStyle name="Comma 2 2 4 9 3 4" xfId="29879"/>
    <cellStyle name="Comma 2 2 4 9 3 5" xfId="43787"/>
    <cellStyle name="Comma 2 2 4 9 4" xfId="6966"/>
    <cellStyle name="Comma 2 2 4 9 4 2" xfId="17469"/>
    <cellStyle name="Comma 2 2 4 9 4 2 2" xfId="38519"/>
    <cellStyle name="Comma 2 2 4 9 4 3" xfId="32096"/>
    <cellStyle name="Comma 2 2 4 9 5" xfId="16809"/>
    <cellStyle name="Comma 2 2 4 9 5 2" xfId="35312"/>
    <cellStyle name="Comma 2 2 4 9 6" xfId="20632"/>
    <cellStyle name="Comma 2 2 4 9 7" xfId="28889"/>
    <cellStyle name="Comma 2 2 4 9 8" xfId="41653"/>
    <cellStyle name="Comma 2 2 5" xfId="1468"/>
    <cellStyle name="Comma 2 2 5 10" xfId="8007"/>
    <cellStyle name="Comma 2 2 5 10 2" xfId="18467"/>
    <cellStyle name="Comma 2 2 5 10 2 2" xfId="39510"/>
    <cellStyle name="Comma 2 2 5 10 2 3" xfId="33087"/>
    <cellStyle name="Comma 2 2 5 10 3" xfId="22959"/>
    <cellStyle name="Comma 2 2 5 10 3 2" xfId="36303"/>
    <cellStyle name="Comma 2 2 5 10 4" xfId="29880"/>
    <cellStyle name="Comma 2 2 5 10 5" xfId="43788"/>
    <cellStyle name="Comma 2 2 5 11" xfId="6628"/>
    <cellStyle name="Comma 2 2 5 11 2" xfId="17135"/>
    <cellStyle name="Comma 2 2 5 11 2 2" xfId="38188"/>
    <cellStyle name="Comma 2 2 5 11 3" xfId="31765"/>
    <cellStyle name="Comma 2 2 5 12" xfId="16038"/>
    <cellStyle name="Comma 2 2 5 12 2" xfId="34981"/>
    <cellStyle name="Comma 2 2 5 13" xfId="20633"/>
    <cellStyle name="Comma 2 2 5 14" xfId="28556"/>
    <cellStyle name="Comma 2 2 5 15" xfId="41654"/>
    <cellStyle name="Comma 2 2 5 2" xfId="1822"/>
    <cellStyle name="Comma 2 2 5 2 10" xfId="16100"/>
    <cellStyle name="Comma 2 2 5 2 10 2" xfId="34979"/>
    <cellStyle name="Comma 2 2 5 2 11" xfId="20634"/>
    <cellStyle name="Comma 2 2 5 2 12" xfId="28554"/>
    <cellStyle name="Comma 2 2 5 2 13" xfId="41655"/>
    <cellStyle name="Comma 2 2 5 2 2" xfId="2712"/>
    <cellStyle name="Comma 2 2 5 2 2 2" xfId="10819"/>
    <cellStyle name="Comma 2 2 5 2 2 2 2" xfId="19618"/>
    <cellStyle name="Comma 2 2 5 2 2 2 2 2" xfId="40661"/>
    <cellStyle name="Comma 2 2 5 2 2 2 2 3" xfId="34238"/>
    <cellStyle name="Comma 2 2 5 2 2 2 3" xfId="21817"/>
    <cellStyle name="Comma 2 2 5 2 2 2 3 2" xfId="37454"/>
    <cellStyle name="Comma 2 2 5 2 2 2 4" xfId="31031"/>
    <cellStyle name="Comma 2 2 5 2 2 2 5" xfId="42796"/>
    <cellStyle name="Comma 2 2 5 2 2 3" xfId="8009"/>
    <cellStyle name="Comma 2 2 5 2 2 3 2" xfId="18469"/>
    <cellStyle name="Comma 2 2 5 2 2 3 2 2" xfId="39512"/>
    <cellStyle name="Comma 2 2 5 2 2 3 2 3" xfId="33089"/>
    <cellStyle name="Comma 2 2 5 2 2 3 3" xfId="22961"/>
    <cellStyle name="Comma 2 2 5 2 2 3 3 2" xfId="36305"/>
    <cellStyle name="Comma 2 2 5 2 2 3 4" xfId="29882"/>
    <cellStyle name="Comma 2 2 5 2 2 3 5" xfId="43790"/>
    <cellStyle name="Comma 2 2 5 2 2 4" xfId="6967"/>
    <cellStyle name="Comma 2 2 5 2 2 4 2" xfId="17470"/>
    <cellStyle name="Comma 2 2 5 2 2 4 2 2" xfId="38520"/>
    <cellStyle name="Comma 2 2 5 2 2 4 3" xfId="32097"/>
    <cellStyle name="Comma 2 2 5 2 2 5" xfId="16290"/>
    <cellStyle name="Comma 2 2 5 2 2 5 2" xfId="35313"/>
    <cellStyle name="Comma 2 2 5 2 2 6" xfId="20635"/>
    <cellStyle name="Comma 2 2 5 2 2 7" xfId="28890"/>
    <cellStyle name="Comma 2 2 5 2 2 8" xfId="41656"/>
    <cellStyle name="Comma 2 2 5 2 3" xfId="3576"/>
    <cellStyle name="Comma 2 2 5 2 3 2" xfId="10820"/>
    <cellStyle name="Comma 2 2 5 2 3 2 2" xfId="19619"/>
    <cellStyle name="Comma 2 2 5 2 3 2 2 2" xfId="40662"/>
    <cellStyle name="Comma 2 2 5 2 3 2 2 3" xfId="34239"/>
    <cellStyle name="Comma 2 2 5 2 3 2 3" xfId="21818"/>
    <cellStyle name="Comma 2 2 5 2 3 2 3 2" xfId="37455"/>
    <cellStyle name="Comma 2 2 5 2 3 2 4" xfId="31032"/>
    <cellStyle name="Comma 2 2 5 2 3 2 5" xfId="42797"/>
    <cellStyle name="Comma 2 2 5 2 3 3" xfId="8010"/>
    <cellStyle name="Comma 2 2 5 2 3 3 2" xfId="18470"/>
    <cellStyle name="Comma 2 2 5 2 3 3 2 2" xfId="39513"/>
    <cellStyle name="Comma 2 2 5 2 3 3 2 3" xfId="33090"/>
    <cellStyle name="Comma 2 2 5 2 3 3 3" xfId="22962"/>
    <cellStyle name="Comma 2 2 5 2 3 3 3 2" xfId="36306"/>
    <cellStyle name="Comma 2 2 5 2 3 3 4" xfId="29883"/>
    <cellStyle name="Comma 2 2 5 2 3 3 5" xfId="43791"/>
    <cellStyle name="Comma 2 2 5 2 3 4" xfId="6968"/>
    <cellStyle name="Comma 2 2 5 2 3 4 2" xfId="17471"/>
    <cellStyle name="Comma 2 2 5 2 3 4 2 2" xfId="38521"/>
    <cellStyle name="Comma 2 2 5 2 3 4 3" xfId="32098"/>
    <cellStyle name="Comma 2 2 5 2 3 5" xfId="16478"/>
    <cellStyle name="Comma 2 2 5 2 3 5 2" xfId="35314"/>
    <cellStyle name="Comma 2 2 5 2 3 6" xfId="20636"/>
    <cellStyle name="Comma 2 2 5 2 3 7" xfId="28891"/>
    <cellStyle name="Comma 2 2 5 2 3 8" xfId="41657"/>
    <cellStyle name="Comma 2 2 5 2 4" xfId="4451"/>
    <cellStyle name="Comma 2 2 5 2 4 2" xfId="10821"/>
    <cellStyle name="Comma 2 2 5 2 4 2 2" xfId="19620"/>
    <cellStyle name="Comma 2 2 5 2 4 2 2 2" xfId="40663"/>
    <cellStyle name="Comma 2 2 5 2 4 2 2 3" xfId="34240"/>
    <cellStyle name="Comma 2 2 5 2 4 2 3" xfId="21819"/>
    <cellStyle name="Comma 2 2 5 2 4 2 3 2" xfId="37456"/>
    <cellStyle name="Comma 2 2 5 2 4 2 4" xfId="31033"/>
    <cellStyle name="Comma 2 2 5 2 4 2 5" xfId="42798"/>
    <cellStyle name="Comma 2 2 5 2 4 3" xfId="8011"/>
    <cellStyle name="Comma 2 2 5 2 4 3 2" xfId="18471"/>
    <cellStyle name="Comma 2 2 5 2 4 3 2 2" xfId="39514"/>
    <cellStyle name="Comma 2 2 5 2 4 3 2 3" xfId="33091"/>
    <cellStyle name="Comma 2 2 5 2 4 3 3" xfId="22963"/>
    <cellStyle name="Comma 2 2 5 2 4 3 3 2" xfId="36307"/>
    <cellStyle name="Comma 2 2 5 2 4 3 4" xfId="29884"/>
    <cellStyle name="Comma 2 2 5 2 4 3 5" xfId="43792"/>
    <cellStyle name="Comma 2 2 5 2 4 4" xfId="6969"/>
    <cellStyle name="Comma 2 2 5 2 4 4 2" xfId="17472"/>
    <cellStyle name="Comma 2 2 5 2 4 4 2 2" xfId="38522"/>
    <cellStyle name="Comma 2 2 5 2 4 4 3" xfId="32099"/>
    <cellStyle name="Comma 2 2 5 2 4 5" xfId="16666"/>
    <cellStyle name="Comma 2 2 5 2 4 5 2" xfId="35315"/>
    <cellStyle name="Comma 2 2 5 2 4 6" xfId="20637"/>
    <cellStyle name="Comma 2 2 5 2 4 7" xfId="28892"/>
    <cellStyle name="Comma 2 2 5 2 4 8" xfId="41658"/>
    <cellStyle name="Comma 2 2 5 2 5" xfId="4999"/>
    <cellStyle name="Comma 2 2 5 2 5 2" xfId="10822"/>
    <cellStyle name="Comma 2 2 5 2 5 2 2" xfId="19621"/>
    <cellStyle name="Comma 2 2 5 2 5 2 2 2" xfId="40664"/>
    <cellStyle name="Comma 2 2 5 2 5 2 2 3" xfId="34241"/>
    <cellStyle name="Comma 2 2 5 2 5 2 3" xfId="21820"/>
    <cellStyle name="Comma 2 2 5 2 5 2 3 2" xfId="37457"/>
    <cellStyle name="Comma 2 2 5 2 5 2 4" xfId="31034"/>
    <cellStyle name="Comma 2 2 5 2 5 2 5" xfId="42799"/>
    <cellStyle name="Comma 2 2 5 2 5 3" xfId="8012"/>
    <cellStyle name="Comma 2 2 5 2 5 3 2" xfId="18472"/>
    <cellStyle name="Comma 2 2 5 2 5 3 2 2" xfId="39515"/>
    <cellStyle name="Comma 2 2 5 2 5 3 2 3" xfId="33092"/>
    <cellStyle name="Comma 2 2 5 2 5 3 3" xfId="22964"/>
    <cellStyle name="Comma 2 2 5 2 5 3 3 2" xfId="36308"/>
    <cellStyle name="Comma 2 2 5 2 5 3 4" xfId="29885"/>
    <cellStyle name="Comma 2 2 5 2 5 3 5" xfId="43793"/>
    <cellStyle name="Comma 2 2 5 2 5 4" xfId="6970"/>
    <cellStyle name="Comma 2 2 5 2 5 4 2" xfId="17473"/>
    <cellStyle name="Comma 2 2 5 2 5 4 2 2" xfId="38523"/>
    <cellStyle name="Comma 2 2 5 2 5 4 3" xfId="32100"/>
    <cellStyle name="Comma 2 2 5 2 5 5" xfId="16814"/>
    <cellStyle name="Comma 2 2 5 2 5 5 2" xfId="35316"/>
    <cellStyle name="Comma 2 2 5 2 5 6" xfId="20638"/>
    <cellStyle name="Comma 2 2 5 2 5 7" xfId="28893"/>
    <cellStyle name="Comma 2 2 5 2 5 8" xfId="41659"/>
    <cellStyle name="Comma 2 2 5 2 6" xfId="5716"/>
    <cellStyle name="Comma 2 2 5 2 6 2" xfId="10823"/>
    <cellStyle name="Comma 2 2 5 2 6 2 2" xfId="19622"/>
    <cellStyle name="Comma 2 2 5 2 6 2 2 2" xfId="40665"/>
    <cellStyle name="Comma 2 2 5 2 6 2 2 3" xfId="34242"/>
    <cellStyle name="Comma 2 2 5 2 6 2 3" xfId="21821"/>
    <cellStyle name="Comma 2 2 5 2 6 2 3 2" xfId="37458"/>
    <cellStyle name="Comma 2 2 5 2 6 2 4" xfId="31035"/>
    <cellStyle name="Comma 2 2 5 2 6 2 5" xfId="42800"/>
    <cellStyle name="Comma 2 2 5 2 6 3" xfId="8013"/>
    <cellStyle name="Comma 2 2 5 2 6 3 2" xfId="18473"/>
    <cellStyle name="Comma 2 2 5 2 6 3 2 2" xfId="39516"/>
    <cellStyle name="Comma 2 2 5 2 6 3 2 3" xfId="33093"/>
    <cellStyle name="Comma 2 2 5 2 6 3 3" xfId="22965"/>
    <cellStyle name="Comma 2 2 5 2 6 3 3 2" xfId="36309"/>
    <cellStyle name="Comma 2 2 5 2 6 3 4" xfId="29886"/>
    <cellStyle name="Comma 2 2 5 2 6 3 5" xfId="43794"/>
    <cellStyle name="Comma 2 2 5 2 6 4" xfId="6971"/>
    <cellStyle name="Comma 2 2 5 2 6 4 2" xfId="17474"/>
    <cellStyle name="Comma 2 2 5 2 6 4 2 2" xfId="38524"/>
    <cellStyle name="Comma 2 2 5 2 6 4 3" xfId="32101"/>
    <cellStyle name="Comma 2 2 5 2 6 5" xfId="16954"/>
    <cellStyle name="Comma 2 2 5 2 6 5 2" xfId="35317"/>
    <cellStyle name="Comma 2 2 5 2 6 6" xfId="20639"/>
    <cellStyle name="Comma 2 2 5 2 6 7" xfId="28894"/>
    <cellStyle name="Comma 2 2 5 2 6 8" xfId="41660"/>
    <cellStyle name="Comma 2 2 5 2 7" xfId="10226"/>
    <cellStyle name="Comma 2 2 5 2 7 2" xfId="19280"/>
    <cellStyle name="Comma 2 2 5 2 7 2 2" xfId="40323"/>
    <cellStyle name="Comma 2 2 5 2 7 2 3" xfId="33900"/>
    <cellStyle name="Comma 2 2 5 2 7 3" xfId="21480"/>
    <cellStyle name="Comma 2 2 5 2 7 3 2" xfId="37116"/>
    <cellStyle name="Comma 2 2 5 2 7 4" xfId="30693"/>
    <cellStyle name="Comma 2 2 5 2 7 5" xfId="42459"/>
    <cellStyle name="Comma 2 2 5 2 8" xfId="8008"/>
    <cellStyle name="Comma 2 2 5 2 8 2" xfId="18468"/>
    <cellStyle name="Comma 2 2 5 2 8 2 2" xfId="39511"/>
    <cellStyle name="Comma 2 2 5 2 8 2 3" xfId="33088"/>
    <cellStyle name="Comma 2 2 5 2 8 3" xfId="22960"/>
    <cellStyle name="Comma 2 2 5 2 8 3 2" xfId="36304"/>
    <cellStyle name="Comma 2 2 5 2 8 4" xfId="29881"/>
    <cellStyle name="Comma 2 2 5 2 8 5" xfId="43789"/>
    <cellStyle name="Comma 2 2 5 2 9" xfId="6626"/>
    <cellStyle name="Comma 2 2 5 2 9 2" xfId="17133"/>
    <cellStyle name="Comma 2 2 5 2 9 2 2" xfId="38186"/>
    <cellStyle name="Comma 2 2 5 2 9 3" xfId="31763"/>
    <cellStyle name="Comma 2 2 5 3" xfId="2097"/>
    <cellStyle name="Comma 2 2 5 3 10" xfId="20640"/>
    <cellStyle name="Comma 2 2 5 3 11" xfId="28895"/>
    <cellStyle name="Comma 2 2 5 3 12" xfId="41661"/>
    <cellStyle name="Comma 2 2 5 3 2" xfId="2967"/>
    <cellStyle name="Comma 2 2 5 3 2 2" xfId="10825"/>
    <cellStyle name="Comma 2 2 5 3 2 2 2" xfId="19624"/>
    <cellStyle name="Comma 2 2 5 3 2 2 2 2" xfId="40667"/>
    <cellStyle name="Comma 2 2 5 3 2 2 2 3" xfId="34244"/>
    <cellStyle name="Comma 2 2 5 3 2 2 3" xfId="21823"/>
    <cellStyle name="Comma 2 2 5 3 2 2 3 2" xfId="37460"/>
    <cellStyle name="Comma 2 2 5 3 2 2 4" xfId="31037"/>
    <cellStyle name="Comma 2 2 5 3 2 2 5" xfId="42802"/>
    <cellStyle name="Comma 2 2 5 3 2 3" xfId="8015"/>
    <cellStyle name="Comma 2 2 5 3 2 3 2" xfId="18475"/>
    <cellStyle name="Comma 2 2 5 3 2 3 2 2" xfId="39518"/>
    <cellStyle name="Comma 2 2 5 3 2 3 2 3" xfId="33095"/>
    <cellStyle name="Comma 2 2 5 3 2 3 3" xfId="22967"/>
    <cellStyle name="Comma 2 2 5 3 2 3 3 2" xfId="36311"/>
    <cellStyle name="Comma 2 2 5 3 2 3 4" xfId="29888"/>
    <cellStyle name="Comma 2 2 5 3 2 3 5" xfId="43796"/>
    <cellStyle name="Comma 2 2 5 3 2 4" xfId="6973"/>
    <cellStyle name="Comma 2 2 5 3 2 4 2" xfId="17476"/>
    <cellStyle name="Comma 2 2 5 3 2 4 2 2" xfId="38526"/>
    <cellStyle name="Comma 2 2 5 3 2 4 3" xfId="32103"/>
    <cellStyle name="Comma 2 2 5 3 2 5" xfId="16345"/>
    <cellStyle name="Comma 2 2 5 3 2 5 2" xfId="35319"/>
    <cellStyle name="Comma 2 2 5 3 2 6" xfId="20641"/>
    <cellStyle name="Comma 2 2 5 3 2 7" xfId="28896"/>
    <cellStyle name="Comma 2 2 5 3 2 8" xfId="41662"/>
    <cellStyle name="Comma 2 2 5 3 3" xfId="3837"/>
    <cellStyle name="Comma 2 2 5 3 3 2" xfId="10826"/>
    <cellStyle name="Comma 2 2 5 3 3 2 2" xfId="19625"/>
    <cellStyle name="Comma 2 2 5 3 3 2 2 2" xfId="40668"/>
    <cellStyle name="Comma 2 2 5 3 3 2 2 3" xfId="34245"/>
    <cellStyle name="Comma 2 2 5 3 3 2 3" xfId="21824"/>
    <cellStyle name="Comma 2 2 5 3 3 2 3 2" xfId="37461"/>
    <cellStyle name="Comma 2 2 5 3 3 2 4" xfId="31038"/>
    <cellStyle name="Comma 2 2 5 3 3 2 5" xfId="42803"/>
    <cellStyle name="Comma 2 2 5 3 3 3" xfId="8016"/>
    <cellStyle name="Comma 2 2 5 3 3 3 2" xfId="18476"/>
    <cellStyle name="Comma 2 2 5 3 3 3 2 2" xfId="39519"/>
    <cellStyle name="Comma 2 2 5 3 3 3 2 3" xfId="33096"/>
    <cellStyle name="Comma 2 2 5 3 3 3 3" xfId="22968"/>
    <cellStyle name="Comma 2 2 5 3 3 3 3 2" xfId="36312"/>
    <cellStyle name="Comma 2 2 5 3 3 3 4" xfId="29889"/>
    <cellStyle name="Comma 2 2 5 3 3 3 5" xfId="43797"/>
    <cellStyle name="Comma 2 2 5 3 3 4" xfId="6974"/>
    <cellStyle name="Comma 2 2 5 3 3 4 2" xfId="17477"/>
    <cellStyle name="Comma 2 2 5 3 3 4 2 2" xfId="38527"/>
    <cellStyle name="Comma 2 2 5 3 3 4 3" xfId="32104"/>
    <cellStyle name="Comma 2 2 5 3 3 5" xfId="16533"/>
    <cellStyle name="Comma 2 2 5 3 3 5 2" xfId="35320"/>
    <cellStyle name="Comma 2 2 5 3 3 6" xfId="20642"/>
    <cellStyle name="Comma 2 2 5 3 3 7" xfId="28897"/>
    <cellStyle name="Comma 2 2 5 3 3 8" xfId="41663"/>
    <cellStyle name="Comma 2 2 5 3 4" xfId="4715"/>
    <cellStyle name="Comma 2 2 5 3 4 2" xfId="10827"/>
    <cellStyle name="Comma 2 2 5 3 4 2 2" xfId="19626"/>
    <cellStyle name="Comma 2 2 5 3 4 2 2 2" xfId="40669"/>
    <cellStyle name="Comma 2 2 5 3 4 2 2 3" xfId="34246"/>
    <cellStyle name="Comma 2 2 5 3 4 2 3" xfId="21825"/>
    <cellStyle name="Comma 2 2 5 3 4 2 3 2" xfId="37462"/>
    <cellStyle name="Comma 2 2 5 3 4 2 4" xfId="31039"/>
    <cellStyle name="Comma 2 2 5 3 4 2 5" xfId="42804"/>
    <cellStyle name="Comma 2 2 5 3 4 3" xfId="8017"/>
    <cellStyle name="Comma 2 2 5 3 4 3 2" xfId="18477"/>
    <cellStyle name="Comma 2 2 5 3 4 3 2 2" xfId="39520"/>
    <cellStyle name="Comma 2 2 5 3 4 3 2 3" xfId="33097"/>
    <cellStyle name="Comma 2 2 5 3 4 3 3" xfId="22969"/>
    <cellStyle name="Comma 2 2 5 3 4 3 3 2" xfId="36313"/>
    <cellStyle name="Comma 2 2 5 3 4 3 4" xfId="29890"/>
    <cellStyle name="Comma 2 2 5 3 4 3 5" xfId="43798"/>
    <cellStyle name="Comma 2 2 5 3 4 4" xfId="6975"/>
    <cellStyle name="Comma 2 2 5 3 4 4 2" xfId="17478"/>
    <cellStyle name="Comma 2 2 5 3 4 4 2 2" xfId="38528"/>
    <cellStyle name="Comma 2 2 5 3 4 4 3" xfId="32105"/>
    <cellStyle name="Comma 2 2 5 3 4 5" xfId="16721"/>
    <cellStyle name="Comma 2 2 5 3 4 5 2" xfId="35321"/>
    <cellStyle name="Comma 2 2 5 3 4 6" xfId="20643"/>
    <cellStyle name="Comma 2 2 5 3 4 7" xfId="28898"/>
    <cellStyle name="Comma 2 2 5 3 4 8" xfId="41664"/>
    <cellStyle name="Comma 2 2 5 3 5" xfId="5980"/>
    <cellStyle name="Comma 2 2 5 3 5 2" xfId="10828"/>
    <cellStyle name="Comma 2 2 5 3 5 2 2" xfId="19627"/>
    <cellStyle name="Comma 2 2 5 3 5 2 2 2" xfId="40670"/>
    <cellStyle name="Comma 2 2 5 3 5 2 2 3" xfId="34247"/>
    <cellStyle name="Comma 2 2 5 3 5 2 3" xfId="21826"/>
    <cellStyle name="Comma 2 2 5 3 5 2 3 2" xfId="37463"/>
    <cellStyle name="Comma 2 2 5 3 5 2 4" xfId="31040"/>
    <cellStyle name="Comma 2 2 5 3 5 2 5" xfId="42805"/>
    <cellStyle name="Comma 2 2 5 3 5 3" xfId="8018"/>
    <cellStyle name="Comma 2 2 5 3 5 3 2" xfId="18478"/>
    <cellStyle name="Comma 2 2 5 3 5 3 2 2" xfId="39521"/>
    <cellStyle name="Comma 2 2 5 3 5 3 2 3" xfId="33098"/>
    <cellStyle name="Comma 2 2 5 3 5 3 3" xfId="22970"/>
    <cellStyle name="Comma 2 2 5 3 5 3 3 2" xfId="36314"/>
    <cellStyle name="Comma 2 2 5 3 5 3 4" xfId="29891"/>
    <cellStyle name="Comma 2 2 5 3 5 3 5" xfId="43799"/>
    <cellStyle name="Comma 2 2 5 3 5 4" xfId="6976"/>
    <cellStyle name="Comma 2 2 5 3 5 4 2" xfId="17479"/>
    <cellStyle name="Comma 2 2 5 3 5 4 2 2" xfId="38529"/>
    <cellStyle name="Comma 2 2 5 3 5 4 3" xfId="32106"/>
    <cellStyle name="Comma 2 2 5 3 5 5" xfId="17009"/>
    <cellStyle name="Comma 2 2 5 3 5 5 2" xfId="35322"/>
    <cellStyle name="Comma 2 2 5 3 5 6" xfId="20644"/>
    <cellStyle name="Comma 2 2 5 3 5 7" xfId="28899"/>
    <cellStyle name="Comma 2 2 5 3 5 8" xfId="41665"/>
    <cellStyle name="Comma 2 2 5 3 6" xfId="10824"/>
    <cellStyle name="Comma 2 2 5 3 6 2" xfId="19623"/>
    <cellStyle name="Comma 2 2 5 3 6 2 2" xfId="40666"/>
    <cellStyle name="Comma 2 2 5 3 6 2 3" xfId="34243"/>
    <cellStyle name="Comma 2 2 5 3 6 3" xfId="21822"/>
    <cellStyle name="Comma 2 2 5 3 6 3 2" xfId="37459"/>
    <cellStyle name="Comma 2 2 5 3 6 4" xfId="31036"/>
    <cellStyle name="Comma 2 2 5 3 6 5" xfId="42801"/>
    <cellStyle name="Comma 2 2 5 3 7" xfId="8014"/>
    <cellStyle name="Comma 2 2 5 3 7 2" xfId="18474"/>
    <cellStyle name="Comma 2 2 5 3 7 2 2" xfId="39517"/>
    <cellStyle name="Comma 2 2 5 3 7 2 3" xfId="33094"/>
    <cellStyle name="Comma 2 2 5 3 7 3" xfId="22966"/>
    <cellStyle name="Comma 2 2 5 3 7 3 2" xfId="36310"/>
    <cellStyle name="Comma 2 2 5 3 7 4" xfId="29887"/>
    <cellStyle name="Comma 2 2 5 3 7 5" xfId="43795"/>
    <cellStyle name="Comma 2 2 5 3 8" xfId="6972"/>
    <cellStyle name="Comma 2 2 5 3 8 2" xfId="17475"/>
    <cellStyle name="Comma 2 2 5 3 8 2 2" xfId="38525"/>
    <cellStyle name="Comma 2 2 5 3 8 3" xfId="32102"/>
    <cellStyle name="Comma 2 2 5 3 9" xfId="16156"/>
    <cellStyle name="Comma 2 2 5 3 9 2" xfId="35318"/>
    <cellStyle name="Comma 2 2 5 4" xfId="2462"/>
    <cellStyle name="Comma 2 2 5 4 2" xfId="10829"/>
    <cellStyle name="Comma 2 2 5 4 2 2" xfId="19628"/>
    <cellStyle name="Comma 2 2 5 4 2 2 2" xfId="40671"/>
    <cellStyle name="Comma 2 2 5 4 2 2 3" xfId="34248"/>
    <cellStyle name="Comma 2 2 5 4 2 3" xfId="21827"/>
    <cellStyle name="Comma 2 2 5 4 2 3 2" xfId="37464"/>
    <cellStyle name="Comma 2 2 5 4 2 4" xfId="31041"/>
    <cellStyle name="Comma 2 2 5 4 2 5" xfId="42806"/>
    <cellStyle name="Comma 2 2 5 4 3" xfId="8019"/>
    <cellStyle name="Comma 2 2 5 4 3 2" xfId="18479"/>
    <cellStyle name="Comma 2 2 5 4 3 2 2" xfId="39522"/>
    <cellStyle name="Comma 2 2 5 4 3 2 3" xfId="33099"/>
    <cellStyle name="Comma 2 2 5 4 3 3" xfId="22971"/>
    <cellStyle name="Comma 2 2 5 4 3 3 2" xfId="36315"/>
    <cellStyle name="Comma 2 2 5 4 3 4" xfId="29892"/>
    <cellStyle name="Comma 2 2 5 4 3 5" xfId="43800"/>
    <cellStyle name="Comma 2 2 5 4 4" xfId="6977"/>
    <cellStyle name="Comma 2 2 5 4 4 2" xfId="17480"/>
    <cellStyle name="Comma 2 2 5 4 4 2 2" xfId="38530"/>
    <cellStyle name="Comma 2 2 5 4 4 3" xfId="32107"/>
    <cellStyle name="Comma 2 2 5 4 5" xfId="16237"/>
    <cellStyle name="Comma 2 2 5 4 5 2" xfId="35323"/>
    <cellStyle name="Comma 2 2 5 4 6" xfId="20645"/>
    <cellStyle name="Comma 2 2 5 4 7" xfId="28900"/>
    <cellStyle name="Comma 2 2 5 4 8" xfId="41666"/>
    <cellStyle name="Comma 2 2 5 5" xfId="3325"/>
    <cellStyle name="Comma 2 2 5 5 2" xfId="10830"/>
    <cellStyle name="Comma 2 2 5 5 2 2" xfId="19629"/>
    <cellStyle name="Comma 2 2 5 5 2 2 2" xfId="40672"/>
    <cellStyle name="Comma 2 2 5 5 2 2 3" xfId="34249"/>
    <cellStyle name="Comma 2 2 5 5 2 3" xfId="21828"/>
    <cellStyle name="Comma 2 2 5 5 2 3 2" xfId="37465"/>
    <cellStyle name="Comma 2 2 5 5 2 4" xfId="31042"/>
    <cellStyle name="Comma 2 2 5 5 2 5" xfId="42807"/>
    <cellStyle name="Comma 2 2 5 5 3" xfId="8020"/>
    <cellStyle name="Comma 2 2 5 5 3 2" xfId="18480"/>
    <cellStyle name="Comma 2 2 5 5 3 2 2" xfId="39523"/>
    <cellStyle name="Comma 2 2 5 5 3 2 3" xfId="33100"/>
    <cellStyle name="Comma 2 2 5 5 3 3" xfId="22972"/>
    <cellStyle name="Comma 2 2 5 5 3 3 2" xfId="36316"/>
    <cellStyle name="Comma 2 2 5 5 3 4" xfId="29893"/>
    <cellStyle name="Comma 2 2 5 5 3 5" xfId="43801"/>
    <cellStyle name="Comma 2 2 5 5 4" xfId="6978"/>
    <cellStyle name="Comma 2 2 5 5 4 2" xfId="17481"/>
    <cellStyle name="Comma 2 2 5 5 4 2 2" xfId="38531"/>
    <cellStyle name="Comma 2 2 5 5 4 3" xfId="32108"/>
    <cellStyle name="Comma 2 2 5 5 5" xfId="16425"/>
    <cellStyle name="Comma 2 2 5 5 5 2" xfId="35324"/>
    <cellStyle name="Comma 2 2 5 5 6" xfId="20646"/>
    <cellStyle name="Comma 2 2 5 5 7" xfId="28901"/>
    <cellStyle name="Comma 2 2 5 5 8" xfId="41667"/>
    <cellStyle name="Comma 2 2 5 6" xfId="4193"/>
    <cellStyle name="Comma 2 2 5 6 2" xfId="10831"/>
    <cellStyle name="Comma 2 2 5 6 2 2" xfId="19630"/>
    <cellStyle name="Comma 2 2 5 6 2 2 2" xfId="40673"/>
    <cellStyle name="Comma 2 2 5 6 2 2 3" xfId="34250"/>
    <cellStyle name="Comma 2 2 5 6 2 3" xfId="21829"/>
    <cellStyle name="Comma 2 2 5 6 2 3 2" xfId="37466"/>
    <cellStyle name="Comma 2 2 5 6 2 4" xfId="31043"/>
    <cellStyle name="Comma 2 2 5 6 2 5" xfId="42808"/>
    <cellStyle name="Comma 2 2 5 6 3" xfId="8021"/>
    <cellStyle name="Comma 2 2 5 6 3 2" xfId="18481"/>
    <cellStyle name="Comma 2 2 5 6 3 2 2" xfId="39524"/>
    <cellStyle name="Comma 2 2 5 6 3 2 3" xfId="33101"/>
    <cellStyle name="Comma 2 2 5 6 3 3" xfId="22973"/>
    <cellStyle name="Comma 2 2 5 6 3 3 2" xfId="36317"/>
    <cellStyle name="Comma 2 2 5 6 3 4" xfId="29894"/>
    <cellStyle name="Comma 2 2 5 6 3 5" xfId="43802"/>
    <cellStyle name="Comma 2 2 5 6 4" xfId="6979"/>
    <cellStyle name="Comma 2 2 5 6 4 2" xfId="17482"/>
    <cellStyle name="Comma 2 2 5 6 4 2 2" xfId="38532"/>
    <cellStyle name="Comma 2 2 5 6 4 3" xfId="32109"/>
    <cellStyle name="Comma 2 2 5 6 5" xfId="16613"/>
    <cellStyle name="Comma 2 2 5 6 5 2" xfId="35325"/>
    <cellStyle name="Comma 2 2 5 6 6" xfId="20647"/>
    <cellStyle name="Comma 2 2 5 6 7" xfId="28902"/>
    <cellStyle name="Comma 2 2 5 6 8" xfId="41668"/>
    <cellStyle name="Comma 2 2 5 7" xfId="4998"/>
    <cellStyle name="Comma 2 2 5 7 2" xfId="10832"/>
    <cellStyle name="Comma 2 2 5 7 2 2" xfId="19631"/>
    <cellStyle name="Comma 2 2 5 7 2 2 2" xfId="40674"/>
    <cellStyle name="Comma 2 2 5 7 2 2 3" xfId="34251"/>
    <cellStyle name="Comma 2 2 5 7 2 3" xfId="21830"/>
    <cellStyle name="Comma 2 2 5 7 2 3 2" xfId="37467"/>
    <cellStyle name="Comma 2 2 5 7 2 4" xfId="31044"/>
    <cellStyle name="Comma 2 2 5 7 2 5" xfId="42809"/>
    <cellStyle name="Comma 2 2 5 7 3" xfId="8022"/>
    <cellStyle name="Comma 2 2 5 7 3 2" xfId="18482"/>
    <cellStyle name="Comma 2 2 5 7 3 2 2" xfId="39525"/>
    <cellStyle name="Comma 2 2 5 7 3 2 3" xfId="33102"/>
    <cellStyle name="Comma 2 2 5 7 3 3" xfId="22974"/>
    <cellStyle name="Comma 2 2 5 7 3 3 2" xfId="36318"/>
    <cellStyle name="Comma 2 2 5 7 3 4" xfId="29895"/>
    <cellStyle name="Comma 2 2 5 7 3 5" xfId="43803"/>
    <cellStyle name="Comma 2 2 5 7 4" xfId="6980"/>
    <cellStyle name="Comma 2 2 5 7 4 2" xfId="17483"/>
    <cellStyle name="Comma 2 2 5 7 4 2 2" xfId="38533"/>
    <cellStyle name="Comma 2 2 5 7 4 3" xfId="32110"/>
    <cellStyle name="Comma 2 2 5 7 5" xfId="16813"/>
    <cellStyle name="Comma 2 2 5 7 5 2" xfId="35326"/>
    <cellStyle name="Comma 2 2 5 7 6" xfId="20648"/>
    <cellStyle name="Comma 2 2 5 7 7" xfId="28903"/>
    <cellStyle name="Comma 2 2 5 7 8" xfId="41669"/>
    <cellStyle name="Comma 2 2 5 8" xfId="5455"/>
    <cellStyle name="Comma 2 2 5 8 2" xfId="10833"/>
    <cellStyle name="Comma 2 2 5 8 2 2" xfId="19632"/>
    <cellStyle name="Comma 2 2 5 8 2 2 2" xfId="40675"/>
    <cellStyle name="Comma 2 2 5 8 2 2 3" xfId="34252"/>
    <cellStyle name="Comma 2 2 5 8 2 3" xfId="21831"/>
    <cellStyle name="Comma 2 2 5 8 2 3 2" xfId="37468"/>
    <cellStyle name="Comma 2 2 5 8 2 4" xfId="31045"/>
    <cellStyle name="Comma 2 2 5 8 2 5" xfId="42810"/>
    <cellStyle name="Comma 2 2 5 8 3" xfId="8023"/>
    <cellStyle name="Comma 2 2 5 8 3 2" xfId="18483"/>
    <cellStyle name="Comma 2 2 5 8 3 2 2" xfId="39526"/>
    <cellStyle name="Comma 2 2 5 8 3 2 3" xfId="33103"/>
    <cellStyle name="Comma 2 2 5 8 3 3" xfId="22975"/>
    <cellStyle name="Comma 2 2 5 8 3 3 2" xfId="36319"/>
    <cellStyle name="Comma 2 2 5 8 3 4" xfId="29896"/>
    <cellStyle name="Comma 2 2 5 8 3 5" xfId="43804"/>
    <cellStyle name="Comma 2 2 5 8 4" xfId="6981"/>
    <cellStyle name="Comma 2 2 5 8 4 2" xfId="17484"/>
    <cellStyle name="Comma 2 2 5 8 4 2 2" xfId="38534"/>
    <cellStyle name="Comma 2 2 5 8 4 3" xfId="32111"/>
    <cellStyle name="Comma 2 2 5 8 5" xfId="16901"/>
    <cellStyle name="Comma 2 2 5 8 5 2" xfId="35327"/>
    <cellStyle name="Comma 2 2 5 8 6" xfId="20649"/>
    <cellStyle name="Comma 2 2 5 8 7" xfId="28904"/>
    <cellStyle name="Comma 2 2 5 8 8" xfId="41670"/>
    <cellStyle name="Comma 2 2 5 9" xfId="10228"/>
    <cellStyle name="Comma 2 2 5 9 2" xfId="19282"/>
    <cellStyle name="Comma 2 2 5 9 2 2" xfId="40325"/>
    <cellStyle name="Comma 2 2 5 9 2 3" xfId="33902"/>
    <cellStyle name="Comma 2 2 5 9 3" xfId="21482"/>
    <cellStyle name="Comma 2 2 5 9 3 2" xfId="37118"/>
    <cellStyle name="Comma 2 2 5 9 4" xfId="30695"/>
    <cellStyle name="Comma 2 2 5 9 5" xfId="42461"/>
    <cellStyle name="Comma 2 2 6" xfId="2273"/>
    <cellStyle name="Comma 2 2 6 10" xfId="16194"/>
    <cellStyle name="Comma 2 2 6 10 2" xfId="34975"/>
    <cellStyle name="Comma 2 2 6 11" xfId="20650"/>
    <cellStyle name="Comma 2 2 6 12" xfId="28550"/>
    <cellStyle name="Comma 2 2 6 13" xfId="41671"/>
    <cellStyle name="Comma 2 2 6 2" xfId="3135"/>
    <cellStyle name="Comma 2 2 6 2 2" xfId="10834"/>
    <cellStyle name="Comma 2 2 6 2 2 2" xfId="19633"/>
    <cellStyle name="Comma 2 2 6 2 2 2 2" xfId="40676"/>
    <cellStyle name="Comma 2 2 6 2 2 2 3" xfId="34253"/>
    <cellStyle name="Comma 2 2 6 2 2 3" xfId="21832"/>
    <cellStyle name="Comma 2 2 6 2 2 3 2" xfId="37469"/>
    <cellStyle name="Comma 2 2 6 2 2 4" xfId="31046"/>
    <cellStyle name="Comma 2 2 6 2 2 5" xfId="42811"/>
    <cellStyle name="Comma 2 2 6 2 3" xfId="8025"/>
    <cellStyle name="Comma 2 2 6 2 3 2" xfId="18485"/>
    <cellStyle name="Comma 2 2 6 2 3 2 2" xfId="39528"/>
    <cellStyle name="Comma 2 2 6 2 3 2 3" xfId="33105"/>
    <cellStyle name="Comma 2 2 6 2 3 3" xfId="22977"/>
    <cellStyle name="Comma 2 2 6 2 3 3 2" xfId="36321"/>
    <cellStyle name="Comma 2 2 6 2 3 4" xfId="29898"/>
    <cellStyle name="Comma 2 2 6 2 3 5" xfId="43806"/>
    <cellStyle name="Comma 2 2 6 2 4" xfId="6982"/>
    <cellStyle name="Comma 2 2 6 2 4 2" xfId="17485"/>
    <cellStyle name="Comma 2 2 6 2 4 2 2" xfId="38535"/>
    <cellStyle name="Comma 2 2 6 2 4 3" xfId="32112"/>
    <cellStyle name="Comma 2 2 6 2 5" xfId="16383"/>
    <cellStyle name="Comma 2 2 6 2 5 2" xfId="35328"/>
    <cellStyle name="Comma 2 2 6 2 6" xfId="20651"/>
    <cellStyle name="Comma 2 2 6 2 7" xfId="28905"/>
    <cellStyle name="Comma 2 2 6 2 8" xfId="41672"/>
    <cellStyle name="Comma 2 2 6 3" xfId="4002"/>
    <cellStyle name="Comma 2 2 6 3 2" xfId="10835"/>
    <cellStyle name="Comma 2 2 6 3 2 2" xfId="19634"/>
    <cellStyle name="Comma 2 2 6 3 2 2 2" xfId="40677"/>
    <cellStyle name="Comma 2 2 6 3 2 2 3" xfId="34254"/>
    <cellStyle name="Comma 2 2 6 3 2 3" xfId="21833"/>
    <cellStyle name="Comma 2 2 6 3 2 3 2" xfId="37470"/>
    <cellStyle name="Comma 2 2 6 3 2 4" xfId="31047"/>
    <cellStyle name="Comma 2 2 6 3 2 5" xfId="42812"/>
    <cellStyle name="Comma 2 2 6 3 3" xfId="8026"/>
    <cellStyle name="Comma 2 2 6 3 3 2" xfId="18486"/>
    <cellStyle name="Comma 2 2 6 3 3 2 2" xfId="39529"/>
    <cellStyle name="Comma 2 2 6 3 3 2 3" xfId="33106"/>
    <cellStyle name="Comma 2 2 6 3 3 3" xfId="22978"/>
    <cellStyle name="Comma 2 2 6 3 3 3 2" xfId="36322"/>
    <cellStyle name="Comma 2 2 6 3 3 4" xfId="29899"/>
    <cellStyle name="Comma 2 2 6 3 3 5" xfId="43807"/>
    <cellStyle name="Comma 2 2 6 3 4" xfId="6983"/>
    <cellStyle name="Comma 2 2 6 3 4 2" xfId="17486"/>
    <cellStyle name="Comma 2 2 6 3 4 2 2" xfId="38536"/>
    <cellStyle name="Comma 2 2 6 3 4 3" xfId="32113"/>
    <cellStyle name="Comma 2 2 6 3 5" xfId="16571"/>
    <cellStyle name="Comma 2 2 6 3 5 2" xfId="35329"/>
    <cellStyle name="Comma 2 2 6 3 6" xfId="20652"/>
    <cellStyle name="Comma 2 2 6 3 7" xfId="28906"/>
    <cellStyle name="Comma 2 2 6 3 8" xfId="41673"/>
    <cellStyle name="Comma 2 2 6 4" xfId="4881"/>
    <cellStyle name="Comma 2 2 6 4 2" xfId="10836"/>
    <cellStyle name="Comma 2 2 6 4 2 2" xfId="19635"/>
    <cellStyle name="Comma 2 2 6 4 2 2 2" xfId="40678"/>
    <cellStyle name="Comma 2 2 6 4 2 2 3" xfId="34255"/>
    <cellStyle name="Comma 2 2 6 4 2 3" xfId="21834"/>
    <cellStyle name="Comma 2 2 6 4 2 3 2" xfId="37471"/>
    <cellStyle name="Comma 2 2 6 4 2 4" xfId="31048"/>
    <cellStyle name="Comma 2 2 6 4 2 5" xfId="42813"/>
    <cellStyle name="Comma 2 2 6 4 3" xfId="8027"/>
    <cellStyle name="Comma 2 2 6 4 3 2" xfId="18487"/>
    <cellStyle name="Comma 2 2 6 4 3 2 2" xfId="39530"/>
    <cellStyle name="Comma 2 2 6 4 3 2 3" xfId="33107"/>
    <cellStyle name="Comma 2 2 6 4 3 3" xfId="22979"/>
    <cellStyle name="Comma 2 2 6 4 3 3 2" xfId="36323"/>
    <cellStyle name="Comma 2 2 6 4 3 4" xfId="29900"/>
    <cellStyle name="Comma 2 2 6 4 3 5" xfId="43808"/>
    <cellStyle name="Comma 2 2 6 4 4" xfId="6984"/>
    <cellStyle name="Comma 2 2 6 4 4 2" xfId="17487"/>
    <cellStyle name="Comma 2 2 6 4 4 2 2" xfId="38537"/>
    <cellStyle name="Comma 2 2 6 4 4 3" xfId="32114"/>
    <cellStyle name="Comma 2 2 6 4 5" xfId="16759"/>
    <cellStyle name="Comma 2 2 6 4 5 2" xfId="35330"/>
    <cellStyle name="Comma 2 2 6 4 6" xfId="20653"/>
    <cellStyle name="Comma 2 2 6 4 7" xfId="28907"/>
    <cellStyle name="Comma 2 2 6 4 8" xfId="41674"/>
    <cellStyle name="Comma 2 2 6 5" xfId="5000"/>
    <cellStyle name="Comma 2 2 6 5 2" xfId="10837"/>
    <cellStyle name="Comma 2 2 6 5 2 2" xfId="19636"/>
    <cellStyle name="Comma 2 2 6 5 2 2 2" xfId="40679"/>
    <cellStyle name="Comma 2 2 6 5 2 2 3" xfId="34256"/>
    <cellStyle name="Comma 2 2 6 5 2 3" xfId="21835"/>
    <cellStyle name="Comma 2 2 6 5 2 3 2" xfId="37472"/>
    <cellStyle name="Comma 2 2 6 5 2 4" xfId="31049"/>
    <cellStyle name="Comma 2 2 6 5 2 5" xfId="42814"/>
    <cellStyle name="Comma 2 2 6 5 3" xfId="8028"/>
    <cellStyle name="Comma 2 2 6 5 3 2" xfId="18488"/>
    <cellStyle name="Comma 2 2 6 5 3 2 2" xfId="39531"/>
    <cellStyle name="Comma 2 2 6 5 3 2 3" xfId="33108"/>
    <cellStyle name="Comma 2 2 6 5 3 3" xfId="22980"/>
    <cellStyle name="Comma 2 2 6 5 3 3 2" xfId="36324"/>
    <cellStyle name="Comma 2 2 6 5 3 4" xfId="29901"/>
    <cellStyle name="Comma 2 2 6 5 3 5" xfId="43809"/>
    <cellStyle name="Comma 2 2 6 5 4" xfId="6985"/>
    <cellStyle name="Comma 2 2 6 5 4 2" xfId="17488"/>
    <cellStyle name="Comma 2 2 6 5 4 2 2" xfId="38538"/>
    <cellStyle name="Comma 2 2 6 5 4 3" xfId="32115"/>
    <cellStyle name="Comma 2 2 6 5 5" xfId="16815"/>
    <cellStyle name="Comma 2 2 6 5 5 2" xfId="35331"/>
    <cellStyle name="Comma 2 2 6 5 6" xfId="20654"/>
    <cellStyle name="Comma 2 2 6 5 7" xfId="28908"/>
    <cellStyle name="Comma 2 2 6 5 8" xfId="41675"/>
    <cellStyle name="Comma 2 2 6 6" xfId="6146"/>
    <cellStyle name="Comma 2 2 6 6 2" xfId="10838"/>
    <cellStyle name="Comma 2 2 6 6 2 2" xfId="19637"/>
    <cellStyle name="Comma 2 2 6 6 2 2 2" xfId="40680"/>
    <cellStyle name="Comma 2 2 6 6 2 2 3" xfId="34257"/>
    <cellStyle name="Comma 2 2 6 6 2 3" xfId="21836"/>
    <cellStyle name="Comma 2 2 6 6 2 3 2" xfId="37473"/>
    <cellStyle name="Comma 2 2 6 6 2 4" xfId="31050"/>
    <cellStyle name="Comma 2 2 6 6 2 5" xfId="42815"/>
    <cellStyle name="Comma 2 2 6 6 3" xfId="8029"/>
    <cellStyle name="Comma 2 2 6 6 3 2" xfId="18489"/>
    <cellStyle name="Comma 2 2 6 6 3 2 2" xfId="39532"/>
    <cellStyle name="Comma 2 2 6 6 3 2 3" xfId="33109"/>
    <cellStyle name="Comma 2 2 6 6 3 3" xfId="22981"/>
    <cellStyle name="Comma 2 2 6 6 3 3 2" xfId="36325"/>
    <cellStyle name="Comma 2 2 6 6 3 4" xfId="29902"/>
    <cellStyle name="Comma 2 2 6 6 3 5" xfId="43810"/>
    <cellStyle name="Comma 2 2 6 6 4" xfId="6986"/>
    <cellStyle name="Comma 2 2 6 6 4 2" xfId="17489"/>
    <cellStyle name="Comma 2 2 6 6 4 2 2" xfId="38539"/>
    <cellStyle name="Comma 2 2 6 6 4 3" xfId="32116"/>
    <cellStyle name="Comma 2 2 6 6 5" xfId="17047"/>
    <cellStyle name="Comma 2 2 6 6 5 2" xfId="35332"/>
    <cellStyle name="Comma 2 2 6 6 6" xfId="20655"/>
    <cellStyle name="Comma 2 2 6 6 7" xfId="28909"/>
    <cellStyle name="Comma 2 2 6 6 8" xfId="41676"/>
    <cellStyle name="Comma 2 2 6 7" xfId="10222"/>
    <cellStyle name="Comma 2 2 6 7 2" xfId="19276"/>
    <cellStyle name="Comma 2 2 6 7 2 2" xfId="40319"/>
    <cellStyle name="Comma 2 2 6 7 2 3" xfId="33896"/>
    <cellStyle name="Comma 2 2 6 7 3" xfId="21476"/>
    <cellStyle name="Comma 2 2 6 7 3 2" xfId="37112"/>
    <cellStyle name="Comma 2 2 6 7 4" xfId="30689"/>
    <cellStyle name="Comma 2 2 6 7 5" xfId="42455"/>
    <cellStyle name="Comma 2 2 6 8" xfId="8024"/>
    <cellStyle name="Comma 2 2 6 8 2" xfId="18484"/>
    <cellStyle name="Comma 2 2 6 8 2 2" xfId="39527"/>
    <cellStyle name="Comma 2 2 6 8 2 3" xfId="33104"/>
    <cellStyle name="Comma 2 2 6 8 3" xfId="22976"/>
    <cellStyle name="Comma 2 2 6 8 3 2" xfId="36320"/>
    <cellStyle name="Comma 2 2 6 8 4" xfId="29897"/>
    <cellStyle name="Comma 2 2 6 8 5" xfId="43805"/>
    <cellStyle name="Comma 2 2 6 9" xfId="6622"/>
    <cellStyle name="Comma 2 2 6 9 2" xfId="17129"/>
    <cellStyle name="Comma 2 2 6 9 2 2" xfId="38182"/>
    <cellStyle name="Comma 2 2 6 9 3" xfId="31759"/>
    <cellStyle name="Comma 2 2 7" xfId="4969"/>
    <cellStyle name="Comma 2 2 7 2" xfId="10187"/>
    <cellStyle name="Comma 2 2 7 2 2" xfId="19242"/>
    <cellStyle name="Comma 2 2 7 2 2 2" xfId="40285"/>
    <cellStyle name="Comma 2 2 7 2 2 3" xfId="33862"/>
    <cellStyle name="Comma 2 2 7 2 3" xfId="21442"/>
    <cellStyle name="Comma 2 2 7 2 3 2" xfId="37078"/>
    <cellStyle name="Comma 2 2 7 2 4" xfId="30655"/>
    <cellStyle name="Comma 2 2 7 2 5" xfId="42421"/>
    <cellStyle name="Comma 2 2 7 3" xfId="8030"/>
    <cellStyle name="Comma 2 2 7 3 2" xfId="18490"/>
    <cellStyle name="Comma 2 2 7 3 2 2" xfId="39533"/>
    <cellStyle name="Comma 2 2 7 3 2 3" xfId="33110"/>
    <cellStyle name="Comma 2 2 7 3 3" xfId="22982"/>
    <cellStyle name="Comma 2 2 7 3 3 2" xfId="36326"/>
    <cellStyle name="Comma 2 2 7 3 4" xfId="29903"/>
    <cellStyle name="Comma 2 2 7 3 5" xfId="43811"/>
    <cellStyle name="Comma 2 2 7 4" xfId="6587"/>
    <cellStyle name="Comma 2 2 7 4 2" xfId="17095"/>
    <cellStyle name="Comma 2 2 7 4 2 2" xfId="38149"/>
    <cellStyle name="Comma 2 2 7 4 3" xfId="31726"/>
    <cellStyle name="Comma 2 2 7 5" xfId="16784"/>
    <cellStyle name="Comma 2 2 7 5 2" xfId="34942"/>
    <cellStyle name="Comma 2 2 7 6" xfId="20656"/>
    <cellStyle name="Comma 2 2 7 7" xfId="28517"/>
    <cellStyle name="Comma 2 2 7 8" xfId="41677"/>
    <cellStyle name="Comma 2 2 8" xfId="10156"/>
    <cellStyle name="Comma 2 2 8 2" xfId="19239"/>
    <cellStyle name="Comma 2 2 8 2 2" xfId="40282"/>
    <cellStyle name="Comma 2 2 8 2 3" xfId="33859"/>
    <cellStyle name="Comma 2 2 8 3" xfId="21439"/>
    <cellStyle name="Comma 2 2 8 3 2" xfId="37075"/>
    <cellStyle name="Comma 2 2 8 4" xfId="30652"/>
    <cellStyle name="Comma 2 2 8 5" xfId="42418"/>
    <cellStyle name="Comma 2 2 9" xfId="7733"/>
    <cellStyle name="Comma 2 2 9 2" xfId="18193"/>
    <cellStyle name="Comma 2 2 9 2 2" xfId="39236"/>
    <cellStyle name="Comma 2 2 9 2 3" xfId="32813"/>
    <cellStyle name="Comma 2 2 9 3" xfId="22685"/>
    <cellStyle name="Comma 2 2 9 3 2" xfId="36029"/>
    <cellStyle name="Comma 2 2 9 4" xfId="29606"/>
    <cellStyle name="Comma 2 2 9 5" xfId="43514"/>
    <cellStyle name="Comma 2 20" xfId="20319"/>
    <cellStyle name="Comma 2 21" xfId="28510"/>
    <cellStyle name="Comma 2 22" xfId="41349"/>
    <cellStyle name="Comma 2 3" xfId="1365"/>
    <cellStyle name="Comma 2 3 10" xfId="8031"/>
    <cellStyle name="Comma 2 3 10 2" xfId="18491"/>
    <cellStyle name="Comma 2 3 10 2 2" xfId="39534"/>
    <cellStyle name="Comma 2 3 10 2 3" xfId="33111"/>
    <cellStyle name="Comma 2 3 10 3" xfId="36327"/>
    <cellStyle name="Comma 2 3 10 4" xfId="29904"/>
    <cellStyle name="Comma 2 3 11" xfId="6594"/>
    <cellStyle name="Comma 2 3 11 2" xfId="17102"/>
    <cellStyle name="Comma 2 3 12" xfId="16020"/>
    <cellStyle name="Comma 2 3 13" xfId="20657"/>
    <cellStyle name="Comma 2 3 2" xfId="1736"/>
    <cellStyle name="Comma 2 3 2 10" xfId="20658"/>
    <cellStyle name="Comma 2 3 2 11" xfId="28910"/>
    <cellStyle name="Comma 2 3 2 12" xfId="41678"/>
    <cellStyle name="Comma 2 3 2 2" xfId="2641"/>
    <cellStyle name="Comma 2 3 2 2 2" xfId="10840"/>
    <cellStyle name="Comma 2 3 2 2 2 2" xfId="19639"/>
    <cellStyle name="Comma 2 3 2 2 2 2 2" xfId="40682"/>
    <cellStyle name="Comma 2 3 2 2 2 2 3" xfId="34259"/>
    <cellStyle name="Comma 2 3 2 2 2 3" xfId="21838"/>
    <cellStyle name="Comma 2 3 2 2 2 3 2" xfId="37475"/>
    <cellStyle name="Comma 2 3 2 2 2 4" xfId="31052"/>
    <cellStyle name="Comma 2 3 2 2 2 5" xfId="42817"/>
    <cellStyle name="Comma 2 3 2 2 3" xfId="8033"/>
    <cellStyle name="Comma 2 3 2 2 3 2" xfId="18493"/>
    <cellStyle name="Comma 2 3 2 2 3 2 2" xfId="39536"/>
    <cellStyle name="Comma 2 3 2 2 3 2 3" xfId="33113"/>
    <cellStyle name="Comma 2 3 2 2 3 3" xfId="22984"/>
    <cellStyle name="Comma 2 3 2 2 3 3 2" xfId="36329"/>
    <cellStyle name="Comma 2 3 2 2 3 4" xfId="29906"/>
    <cellStyle name="Comma 2 3 2 2 3 5" xfId="43813"/>
    <cellStyle name="Comma 2 3 2 2 4" xfId="6988"/>
    <cellStyle name="Comma 2 3 2 2 4 2" xfId="17491"/>
    <cellStyle name="Comma 2 3 2 2 4 2 2" xfId="38541"/>
    <cellStyle name="Comma 2 3 2 2 4 3" xfId="32118"/>
    <cellStyle name="Comma 2 3 2 2 5" xfId="16273"/>
    <cellStyle name="Comma 2 3 2 2 5 2" xfId="35334"/>
    <cellStyle name="Comma 2 3 2 2 6" xfId="20659"/>
    <cellStyle name="Comma 2 3 2 2 7" xfId="28911"/>
    <cellStyle name="Comma 2 3 2 2 8" xfId="41679"/>
    <cellStyle name="Comma 2 3 2 3" xfId="3505"/>
    <cellStyle name="Comma 2 3 2 3 2" xfId="10841"/>
    <cellStyle name="Comma 2 3 2 3 2 2" xfId="19640"/>
    <cellStyle name="Comma 2 3 2 3 2 2 2" xfId="40683"/>
    <cellStyle name="Comma 2 3 2 3 2 2 3" xfId="34260"/>
    <cellStyle name="Comma 2 3 2 3 2 3" xfId="21839"/>
    <cellStyle name="Comma 2 3 2 3 2 3 2" xfId="37476"/>
    <cellStyle name="Comma 2 3 2 3 2 4" xfId="31053"/>
    <cellStyle name="Comma 2 3 2 3 2 5" xfId="42818"/>
    <cellStyle name="Comma 2 3 2 3 3" xfId="8034"/>
    <cellStyle name="Comma 2 3 2 3 3 2" xfId="18494"/>
    <cellStyle name="Comma 2 3 2 3 3 2 2" xfId="39537"/>
    <cellStyle name="Comma 2 3 2 3 3 2 3" xfId="33114"/>
    <cellStyle name="Comma 2 3 2 3 3 3" xfId="22985"/>
    <cellStyle name="Comma 2 3 2 3 3 3 2" xfId="36330"/>
    <cellStyle name="Comma 2 3 2 3 3 4" xfId="29907"/>
    <cellStyle name="Comma 2 3 2 3 3 5" xfId="43814"/>
    <cellStyle name="Comma 2 3 2 3 4" xfId="6989"/>
    <cellStyle name="Comma 2 3 2 3 4 2" xfId="17492"/>
    <cellStyle name="Comma 2 3 2 3 4 2 2" xfId="38542"/>
    <cellStyle name="Comma 2 3 2 3 4 3" xfId="32119"/>
    <cellStyle name="Comma 2 3 2 3 5" xfId="16461"/>
    <cellStyle name="Comma 2 3 2 3 5 2" xfId="35335"/>
    <cellStyle name="Comma 2 3 2 3 6" xfId="20660"/>
    <cellStyle name="Comma 2 3 2 3 7" xfId="28912"/>
    <cellStyle name="Comma 2 3 2 3 8" xfId="41680"/>
    <cellStyle name="Comma 2 3 2 4" xfId="4377"/>
    <cellStyle name="Comma 2 3 2 4 2" xfId="10842"/>
    <cellStyle name="Comma 2 3 2 4 2 2" xfId="19641"/>
    <cellStyle name="Comma 2 3 2 4 2 2 2" xfId="40684"/>
    <cellStyle name="Comma 2 3 2 4 2 2 3" xfId="34261"/>
    <cellStyle name="Comma 2 3 2 4 2 3" xfId="21840"/>
    <cellStyle name="Comma 2 3 2 4 2 3 2" xfId="37477"/>
    <cellStyle name="Comma 2 3 2 4 2 4" xfId="31054"/>
    <cellStyle name="Comma 2 3 2 4 2 5" xfId="42819"/>
    <cellStyle name="Comma 2 3 2 4 3" xfId="8035"/>
    <cellStyle name="Comma 2 3 2 4 3 2" xfId="18495"/>
    <cellStyle name="Comma 2 3 2 4 3 2 2" xfId="39538"/>
    <cellStyle name="Comma 2 3 2 4 3 2 3" xfId="33115"/>
    <cellStyle name="Comma 2 3 2 4 3 3" xfId="22986"/>
    <cellStyle name="Comma 2 3 2 4 3 3 2" xfId="36331"/>
    <cellStyle name="Comma 2 3 2 4 3 4" xfId="29908"/>
    <cellStyle name="Comma 2 3 2 4 3 5" xfId="43815"/>
    <cellStyle name="Comma 2 3 2 4 4" xfId="6990"/>
    <cellStyle name="Comma 2 3 2 4 4 2" xfId="17493"/>
    <cellStyle name="Comma 2 3 2 4 4 2 2" xfId="38543"/>
    <cellStyle name="Comma 2 3 2 4 4 3" xfId="32120"/>
    <cellStyle name="Comma 2 3 2 4 5" xfId="16649"/>
    <cellStyle name="Comma 2 3 2 4 5 2" xfId="35336"/>
    <cellStyle name="Comma 2 3 2 4 6" xfId="20661"/>
    <cellStyle name="Comma 2 3 2 4 7" xfId="28913"/>
    <cellStyle name="Comma 2 3 2 4 8" xfId="41681"/>
    <cellStyle name="Comma 2 3 2 5" xfId="5642"/>
    <cellStyle name="Comma 2 3 2 5 2" xfId="10843"/>
    <cellStyle name="Comma 2 3 2 5 2 2" xfId="19642"/>
    <cellStyle name="Comma 2 3 2 5 2 2 2" xfId="40685"/>
    <cellStyle name="Comma 2 3 2 5 2 2 3" xfId="34262"/>
    <cellStyle name="Comma 2 3 2 5 2 3" xfId="21841"/>
    <cellStyle name="Comma 2 3 2 5 2 3 2" xfId="37478"/>
    <cellStyle name="Comma 2 3 2 5 2 4" xfId="31055"/>
    <cellStyle name="Comma 2 3 2 5 2 5" xfId="42820"/>
    <cellStyle name="Comma 2 3 2 5 3" xfId="8036"/>
    <cellStyle name="Comma 2 3 2 5 3 2" xfId="18496"/>
    <cellStyle name="Comma 2 3 2 5 3 2 2" xfId="39539"/>
    <cellStyle name="Comma 2 3 2 5 3 2 3" xfId="33116"/>
    <cellStyle name="Comma 2 3 2 5 3 3" xfId="22987"/>
    <cellStyle name="Comma 2 3 2 5 3 3 2" xfId="36332"/>
    <cellStyle name="Comma 2 3 2 5 3 4" xfId="29909"/>
    <cellStyle name="Comma 2 3 2 5 3 5" xfId="43816"/>
    <cellStyle name="Comma 2 3 2 5 4" xfId="6991"/>
    <cellStyle name="Comma 2 3 2 5 4 2" xfId="17494"/>
    <cellStyle name="Comma 2 3 2 5 4 2 2" xfId="38544"/>
    <cellStyle name="Comma 2 3 2 5 4 3" xfId="32121"/>
    <cellStyle name="Comma 2 3 2 5 5" xfId="16937"/>
    <cellStyle name="Comma 2 3 2 5 5 2" xfId="35337"/>
    <cellStyle name="Comma 2 3 2 5 6" xfId="20662"/>
    <cellStyle name="Comma 2 3 2 5 7" xfId="28914"/>
    <cellStyle name="Comma 2 3 2 5 8" xfId="41682"/>
    <cellStyle name="Comma 2 3 2 6" xfId="10839"/>
    <cellStyle name="Comma 2 3 2 6 2" xfId="19638"/>
    <cellStyle name="Comma 2 3 2 6 2 2" xfId="40681"/>
    <cellStyle name="Comma 2 3 2 6 2 3" xfId="34258"/>
    <cellStyle name="Comma 2 3 2 6 3" xfId="21837"/>
    <cellStyle name="Comma 2 3 2 6 3 2" xfId="37474"/>
    <cellStyle name="Comma 2 3 2 6 4" xfId="31051"/>
    <cellStyle name="Comma 2 3 2 6 5" xfId="42816"/>
    <cellStyle name="Comma 2 3 2 7" xfId="8032"/>
    <cellStyle name="Comma 2 3 2 7 2" xfId="18492"/>
    <cellStyle name="Comma 2 3 2 7 2 2" xfId="39535"/>
    <cellStyle name="Comma 2 3 2 7 2 3" xfId="33112"/>
    <cellStyle name="Comma 2 3 2 7 3" xfId="22983"/>
    <cellStyle name="Comma 2 3 2 7 3 2" xfId="36328"/>
    <cellStyle name="Comma 2 3 2 7 4" xfId="29905"/>
    <cellStyle name="Comma 2 3 2 7 5" xfId="43812"/>
    <cellStyle name="Comma 2 3 2 8" xfId="6987"/>
    <cellStyle name="Comma 2 3 2 8 2" xfId="17490"/>
    <cellStyle name="Comma 2 3 2 8 2 2" xfId="38540"/>
    <cellStyle name="Comma 2 3 2 8 3" xfId="32117"/>
    <cellStyle name="Comma 2 3 2 9" xfId="16083"/>
    <cellStyle name="Comma 2 3 2 9 2" xfId="35333"/>
    <cellStyle name="Comma 2 3 3" xfId="2026"/>
    <cellStyle name="Comma 2 3 3 10" xfId="20663"/>
    <cellStyle name="Comma 2 3 3 11" xfId="28915"/>
    <cellStyle name="Comma 2 3 3 12" xfId="41683"/>
    <cellStyle name="Comma 2 3 3 2" xfId="2896"/>
    <cellStyle name="Comma 2 3 3 2 2" xfId="10845"/>
    <cellStyle name="Comma 2 3 3 2 2 2" xfId="19644"/>
    <cellStyle name="Comma 2 3 3 2 2 2 2" xfId="40687"/>
    <cellStyle name="Comma 2 3 3 2 2 2 3" xfId="34264"/>
    <cellStyle name="Comma 2 3 3 2 2 3" xfId="21843"/>
    <cellStyle name="Comma 2 3 3 2 2 3 2" xfId="37480"/>
    <cellStyle name="Comma 2 3 3 2 2 4" xfId="31057"/>
    <cellStyle name="Comma 2 3 3 2 2 5" xfId="42822"/>
    <cellStyle name="Comma 2 3 3 2 3" xfId="8038"/>
    <cellStyle name="Comma 2 3 3 2 3 2" xfId="18498"/>
    <cellStyle name="Comma 2 3 3 2 3 2 2" xfId="39541"/>
    <cellStyle name="Comma 2 3 3 2 3 2 3" xfId="33118"/>
    <cellStyle name="Comma 2 3 3 2 3 3" xfId="22989"/>
    <cellStyle name="Comma 2 3 3 2 3 3 2" xfId="36334"/>
    <cellStyle name="Comma 2 3 3 2 3 4" xfId="29911"/>
    <cellStyle name="Comma 2 3 3 2 3 5" xfId="43818"/>
    <cellStyle name="Comma 2 3 3 2 4" xfId="6993"/>
    <cellStyle name="Comma 2 3 3 2 4 2" xfId="17496"/>
    <cellStyle name="Comma 2 3 3 2 4 2 2" xfId="38546"/>
    <cellStyle name="Comma 2 3 3 2 4 3" xfId="32123"/>
    <cellStyle name="Comma 2 3 3 2 5" xfId="16328"/>
    <cellStyle name="Comma 2 3 3 2 5 2" xfId="35339"/>
    <cellStyle name="Comma 2 3 3 2 6" xfId="20664"/>
    <cellStyle name="Comma 2 3 3 2 7" xfId="28916"/>
    <cellStyle name="Comma 2 3 3 2 8" xfId="41684"/>
    <cellStyle name="Comma 2 3 3 3" xfId="3763"/>
    <cellStyle name="Comma 2 3 3 3 2" xfId="10846"/>
    <cellStyle name="Comma 2 3 3 3 2 2" xfId="19645"/>
    <cellStyle name="Comma 2 3 3 3 2 2 2" xfId="40688"/>
    <cellStyle name="Comma 2 3 3 3 2 2 3" xfId="34265"/>
    <cellStyle name="Comma 2 3 3 3 2 3" xfId="21844"/>
    <cellStyle name="Comma 2 3 3 3 2 3 2" xfId="37481"/>
    <cellStyle name="Comma 2 3 3 3 2 4" xfId="31058"/>
    <cellStyle name="Comma 2 3 3 3 2 5" xfId="42823"/>
    <cellStyle name="Comma 2 3 3 3 3" xfId="8039"/>
    <cellStyle name="Comma 2 3 3 3 3 2" xfId="18499"/>
    <cellStyle name="Comma 2 3 3 3 3 2 2" xfId="39542"/>
    <cellStyle name="Comma 2 3 3 3 3 2 3" xfId="33119"/>
    <cellStyle name="Comma 2 3 3 3 3 3" xfId="22990"/>
    <cellStyle name="Comma 2 3 3 3 3 3 2" xfId="36335"/>
    <cellStyle name="Comma 2 3 3 3 3 4" xfId="29912"/>
    <cellStyle name="Comma 2 3 3 3 3 5" xfId="43819"/>
    <cellStyle name="Comma 2 3 3 3 4" xfId="6994"/>
    <cellStyle name="Comma 2 3 3 3 4 2" xfId="17497"/>
    <cellStyle name="Comma 2 3 3 3 4 2 2" xfId="38547"/>
    <cellStyle name="Comma 2 3 3 3 4 3" xfId="32124"/>
    <cellStyle name="Comma 2 3 3 3 5" xfId="16516"/>
    <cellStyle name="Comma 2 3 3 3 5 2" xfId="35340"/>
    <cellStyle name="Comma 2 3 3 3 6" xfId="20665"/>
    <cellStyle name="Comma 2 3 3 3 7" xfId="28917"/>
    <cellStyle name="Comma 2 3 3 3 8" xfId="41685"/>
    <cellStyle name="Comma 2 3 3 4" xfId="4641"/>
    <cellStyle name="Comma 2 3 3 4 2" xfId="10847"/>
    <cellStyle name="Comma 2 3 3 4 2 2" xfId="19646"/>
    <cellStyle name="Comma 2 3 3 4 2 2 2" xfId="40689"/>
    <cellStyle name="Comma 2 3 3 4 2 2 3" xfId="34266"/>
    <cellStyle name="Comma 2 3 3 4 2 3" xfId="21845"/>
    <cellStyle name="Comma 2 3 3 4 2 3 2" xfId="37482"/>
    <cellStyle name="Comma 2 3 3 4 2 4" xfId="31059"/>
    <cellStyle name="Comma 2 3 3 4 2 5" xfId="42824"/>
    <cellStyle name="Comma 2 3 3 4 3" xfId="8040"/>
    <cellStyle name="Comma 2 3 3 4 3 2" xfId="18500"/>
    <cellStyle name="Comma 2 3 3 4 3 2 2" xfId="39543"/>
    <cellStyle name="Comma 2 3 3 4 3 2 3" xfId="33120"/>
    <cellStyle name="Comma 2 3 3 4 3 3" xfId="22991"/>
    <cellStyle name="Comma 2 3 3 4 3 3 2" xfId="36336"/>
    <cellStyle name="Comma 2 3 3 4 3 4" xfId="29913"/>
    <cellStyle name="Comma 2 3 3 4 3 5" xfId="43820"/>
    <cellStyle name="Comma 2 3 3 4 4" xfId="6995"/>
    <cellStyle name="Comma 2 3 3 4 4 2" xfId="17498"/>
    <cellStyle name="Comma 2 3 3 4 4 2 2" xfId="38548"/>
    <cellStyle name="Comma 2 3 3 4 4 3" xfId="32125"/>
    <cellStyle name="Comma 2 3 3 4 5" xfId="16704"/>
    <cellStyle name="Comma 2 3 3 4 5 2" xfId="35341"/>
    <cellStyle name="Comma 2 3 3 4 6" xfId="20666"/>
    <cellStyle name="Comma 2 3 3 4 7" xfId="28918"/>
    <cellStyle name="Comma 2 3 3 4 8" xfId="41686"/>
    <cellStyle name="Comma 2 3 3 5" xfId="5906"/>
    <cellStyle name="Comma 2 3 3 5 2" xfId="10848"/>
    <cellStyle name="Comma 2 3 3 5 2 2" xfId="19647"/>
    <cellStyle name="Comma 2 3 3 5 2 2 2" xfId="40690"/>
    <cellStyle name="Comma 2 3 3 5 2 2 3" xfId="34267"/>
    <cellStyle name="Comma 2 3 3 5 2 3" xfId="21846"/>
    <cellStyle name="Comma 2 3 3 5 2 3 2" xfId="37483"/>
    <cellStyle name="Comma 2 3 3 5 2 4" xfId="31060"/>
    <cellStyle name="Comma 2 3 3 5 2 5" xfId="42825"/>
    <cellStyle name="Comma 2 3 3 5 3" xfId="8041"/>
    <cellStyle name="Comma 2 3 3 5 3 2" xfId="18501"/>
    <cellStyle name="Comma 2 3 3 5 3 2 2" xfId="39544"/>
    <cellStyle name="Comma 2 3 3 5 3 2 3" xfId="33121"/>
    <cellStyle name="Comma 2 3 3 5 3 3" xfId="22992"/>
    <cellStyle name="Comma 2 3 3 5 3 3 2" xfId="36337"/>
    <cellStyle name="Comma 2 3 3 5 3 4" xfId="29914"/>
    <cellStyle name="Comma 2 3 3 5 3 5" xfId="43821"/>
    <cellStyle name="Comma 2 3 3 5 4" xfId="6996"/>
    <cellStyle name="Comma 2 3 3 5 4 2" xfId="17499"/>
    <cellStyle name="Comma 2 3 3 5 4 2 2" xfId="38549"/>
    <cellStyle name="Comma 2 3 3 5 4 3" xfId="32126"/>
    <cellStyle name="Comma 2 3 3 5 5" xfId="16992"/>
    <cellStyle name="Comma 2 3 3 5 5 2" xfId="35342"/>
    <cellStyle name="Comma 2 3 3 5 6" xfId="20667"/>
    <cellStyle name="Comma 2 3 3 5 7" xfId="28919"/>
    <cellStyle name="Comma 2 3 3 5 8" xfId="41687"/>
    <cellStyle name="Comma 2 3 3 6" xfId="10844"/>
    <cellStyle name="Comma 2 3 3 6 2" xfId="19643"/>
    <cellStyle name="Comma 2 3 3 6 2 2" xfId="40686"/>
    <cellStyle name="Comma 2 3 3 6 2 3" xfId="34263"/>
    <cellStyle name="Comma 2 3 3 6 3" xfId="21842"/>
    <cellStyle name="Comma 2 3 3 6 3 2" xfId="37479"/>
    <cellStyle name="Comma 2 3 3 6 4" xfId="31056"/>
    <cellStyle name="Comma 2 3 3 6 5" xfId="42821"/>
    <cellStyle name="Comma 2 3 3 7" xfId="8037"/>
    <cellStyle name="Comma 2 3 3 7 2" xfId="18497"/>
    <cellStyle name="Comma 2 3 3 7 2 2" xfId="39540"/>
    <cellStyle name="Comma 2 3 3 7 2 3" xfId="33117"/>
    <cellStyle name="Comma 2 3 3 7 3" xfId="22988"/>
    <cellStyle name="Comma 2 3 3 7 3 2" xfId="36333"/>
    <cellStyle name="Comma 2 3 3 7 4" xfId="29910"/>
    <cellStyle name="Comma 2 3 3 7 5" xfId="43817"/>
    <cellStyle name="Comma 2 3 3 8" xfId="6992"/>
    <cellStyle name="Comma 2 3 3 8 2" xfId="17495"/>
    <cellStyle name="Comma 2 3 3 8 2 2" xfId="38545"/>
    <cellStyle name="Comma 2 3 3 8 3" xfId="32122"/>
    <cellStyle name="Comma 2 3 3 9" xfId="16139"/>
    <cellStyle name="Comma 2 3 3 9 2" xfId="35338"/>
    <cellStyle name="Comma 2 3 4" xfId="2275"/>
    <cellStyle name="Comma 2 3 4 2" xfId="10849"/>
    <cellStyle name="Comma 2 3 4 2 2" xfId="19648"/>
    <cellStyle name="Comma 2 3 4 2 2 2" xfId="40691"/>
    <cellStyle name="Comma 2 3 4 2 2 3" xfId="34268"/>
    <cellStyle name="Comma 2 3 4 2 3" xfId="21847"/>
    <cellStyle name="Comma 2 3 4 2 3 2" xfId="37484"/>
    <cellStyle name="Comma 2 3 4 2 4" xfId="31061"/>
    <cellStyle name="Comma 2 3 4 2 5" xfId="42826"/>
    <cellStyle name="Comma 2 3 4 3" xfId="8042"/>
    <cellStyle name="Comma 2 3 4 3 2" xfId="18502"/>
    <cellStyle name="Comma 2 3 4 3 2 2" xfId="39545"/>
    <cellStyle name="Comma 2 3 4 3 2 3" xfId="33122"/>
    <cellStyle name="Comma 2 3 4 3 3" xfId="36338"/>
    <cellStyle name="Comma 2 3 4 3 4" xfId="29915"/>
    <cellStyle name="Comma 2 3 4 4" xfId="6997"/>
    <cellStyle name="Comma 2 3 4 4 2" xfId="17500"/>
    <cellStyle name="Comma 2 3 4 5" xfId="16195"/>
    <cellStyle name="Comma 2 3 4 6" xfId="20668"/>
    <cellStyle name="Comma 2 3 5" xfId="2390"/>
    <cellStyle name="Comma 2 3 5 2" xfId="10850"/>
    <cellStyle name="Comma 2 3 5 2 2" xfId="19649"/>
    <cellStyle name="Comma 2 3 5 2 2 2" xfId="40692"/>
    <cellStyle name="Comma 2 3 5 2 2 3" xfId="34269"/>
    <cellStyle name="Comma 2 3 5 2 3" xfId="21848"/>
    <cellStyle name="Comma 2 3 5 2 3 2" xfId="37485"/>
    <cellStyle name="Comma 2 3 5 2 4" xfId="31062"/>
    <cellStyle name="Comma 2 3 5 2 5" xfId="42827"/>
    <cellStyle name="Comma 2 3 5 3" xfId="8043"/>
    <cellStyle name="Comma 2 3 5 3 2" xfId="18503"/>
    <cellStyle name="Comma 2 3 5 3 2 2" xfId="39546"/>
    <cellStyle name="Comma 2 3 5 3 2 3" xfId="33123"/>
    <cellStyle name="Comma 2 3 5 3 3" xfId="22993"/>
    <cellStyle name="Comma 2 3 5 3 3 2" xfId="36339"/>
    <cellStyle name="Comma 2 3 5 3 4" xfId="29916"/>
    <cellStyle name="Comma 2 3 5 3 5" xfId="43822"/>
    <cellStyle name="Comma 2 3 5 4" xfId="6998"/>
    <cellStyle name="Comma 2 3 5 4 2" xfId="17501"/>
    <cellStyle name="Comma 2 3 5 4 2 2" xfId="38550"/>
    <cellStyle name="Comma 2 3 5 4 3" xfId="32127"/>
    <cellStyle name="Comma 2 3 5 5" xfId="16219"/>
    <cellStyle name="Comma 2 3 5 5 2" xfId="35343"/>
    <cellStyle name="Comma 2 3 5 6" xfId="20669"/>
    <cellStyle name="Comma 2 3 5 7" xfId="28920"/>
    <cellStyle name="Comma 2 3 5 8" xfId="41688"/>
    <cellStyle name="Comma 2 3 6" xfId="3249"/>
    <cellStyle name="Comma 2 3 6 2" xfId="10851"/>
    <cellStyle name="Comma 2 3 6 2 2" xfId="19650"/>
    <cellStyle name="Comma 2 3 6 2 2 2" xfId="40693"/>
    <cellStyle name="Comma 2 3 6 2 2 3" xfId="34270"/>
    <cellStyle name="Comma 2 3 6 2 3" xfId="21849"/>
    <cellStyle name="Comma 2 3 6 2 3 2" xfId="37486"/>
    <cellStyle name="Comma 2 3 6 2 4" xfId="31063"/>
    <cellStyle name="Comma 2 3 6 2 5" xfId="42828"/>
    <cellStyle name="Comma 2 3 6 3" xfId="8044"/>
    <cellStyle name="Comma 2 3 6 3 2" xfId="18504"/>
    <cellStyle name="Comma 2 3 6 3 2 2" xfId="39547"/>
    <cellStyle name="Comma 2 3 6 3 2 3" xfId="33124"/>
    <cellStyle name="Comma 2 3 6 3 3" xfId="22994"/>
    <cellStyle name="Comma 2 3 6 3 3 2" xfId="36340"/>
    <cellStyle name="Comma 2 3 6 3 4" xfId="29917"/>
    <cellStyle name="Comma 2 3 6 3 5" xfId="43823"/>
    <cellStyle name="Comma 2 3 6 4" xfId="6999"/>
    <cellStyle name="Comma 2 3 6 4 2" xfId="17502"/>
    <cellStyle name="Comma 2 3 6 4 2 2" xfId="38551"/>
    <cellStyle name="Comma 2 3 6 4 3" xfId="32128"/>
    <cellStyle name="Comma 2 3 6 5" xfId="16407"/>
    <cellStyle name="Comma 2 3 6 5 2" xfId="35344"/>
    <cellStyle name="Comma 2 3 6 6" xfId="20670"/>
    <cellStyle name="Comma 2 3 6 7" xfId="28921"/>
    <cellStyle name="Comma 2 3 6 8" xfId="41689"/>
    <cellStyle name="Comma 2 3 7" xfId="4117"/>
    <cellStyle name="Comma 2 3 7 2" xfId="10852"/>
    <cellStyle name="Comma 2 3 7 2 2" xfId="19651"/>
    <cellStyle name="Comma 2 3 7 2 2 2" xfId="40694"/>
    <cellStyle name="Comma 2 3 7 2 2 3" xfId="34271"/>
    <cellStyle name="Comma 2 3 7 2 3" xfId="21850"/>
    <cellStyle name="Comma 2 3 7 2 3 2" xfId="37487"/>
    <cellStyle name="Comma 2 3 7 2 4" xfId="31064"/>
    <cellStyle name="Comma 2 3 7 2 5" xfId="42829"/>
    <cellStyle name="Comma 2 3 7 3" xfId="8045"/>
    <cellStyle name="Comma 2 3 7 3 2" xfId="18505"/>
    <cellStyle name="Comma 2 3 7 3 2 2" xfId="39548"/>
    <cellStyle name="Comma 2 3 7 3 2 3" xfId="33125"/>
    <cellStyle name="Comma 2 3 7 3 3" xfId="22995"/>
    <cellStyle name="Comma 2 3 7 3 3 2" xfId="36341"/>
    <cellStyle name="Comma 2 3 7 3 4" xfId="29918"/>
    <cellStyle name="Comma 2 3 7 3 5" xfId="43824"/>
    <cellStyle name="Comma 2 3 7 4" xfId="7000"/>
    <cellStyle name="Comma 2 3 7 4 2" xfId="17503"/>
    <cellStyle name="Comma 2 3 7 4 2 2" xfId="38552"/>
    <cellStyle name="Comma 2 3 7 4 3" xfId="32129"/>
    <cellStyle name="Comma 2 3 7 5" xfId="16595"/>
    <cellStyle name="Comma 2 3 7 5 2" xfId="35345"/>
    <cellStyle name="Comma 2 3 7 6" xfId="20671"/>
    <cellStyle name="Comma 2 3 7 7" xfId="28922"/>
    <cellStyle name="Comma 2 3 7 8" xfId="41690"/>
    <cellStyle name="Comma 2 3 8" xfId="5379"/>
    <cellStyle name="Comma 2 3 8 2" xfId="10853"/>
    <cellStyle name="Comma 2 3 8 2 2" xfId="19652"/>
    <cellStyle name="Comma 2 3 8 2 2 2" xfId="40695"/>
    <cellStyle name="Comma 2 3 8 2 2 3" xfId="34272"/>
    <cellStyle name="Comma 2 3 8 2 3" xfId="21851"/>
    <cellStyle name="Comma 2 3 8 2 3 2" xfId="37488"/>
    <cellStyle name="Comma 2 3 8 2 4" xfId="31065"/>
    <cellStyle name="Comma 2 3 8 2 5" xfId="42830"/>
    <cellStyle name="Comma 2 3 8 3" xfId="8046"/>
    <cellStyle name="Comma 2 3 8 3 2" xfId="18506"/>
    <cellStyle name="Comma 2 3 8 3 2 2" xfId="39549"/>
    <cellStyle name="Comma 2 3 8 3 2 3" xfId="33126"/>
    <cellStyle name="Comma 2 3 8 3 3" xfId="22996"/>
    <cellStyle name="Comma 2 3 8 3 3 2" xfId="36342"/>
    <cellStyle name="Comma 2 3 8 3 4" xfId="29919"/>
    <cellStyle name="Comma 2 3 8 3 5" xfId="43825"/>
    <cellStyle name="Comma 2 3 8 4" xfId="7001"/>
    <cellStyle name="Comma 2 3 8 4 2" xfId="17504"/>
    <cellStyle name="Comma 2 3 8 4 2 2" xfId="38553"/>
    <cellStyle name="Comma 2 3 8 4 3" xfId="32130"/>
    <cellStyle name="Comma 2 3 8 5" xfId="16883"/>
    <cellStyle name="Comma 2 3 8 5 2" xfId="35346"/>
    <cellStyle name="Comma 2 3 8 6" xfId="20672"/>
    <cellStyle name="Comma 2 3 8 7" xfId="28923"/>
    <cellStyle name="Comma 2 3 8 8" xfId="41691"/>
    <cellStyle name="Comma 2 3 9" xfId="10194"/>
    <cellStyle name="Comma 2 3 9 2" xfId="19249"/>
    <cellStyle name="Comma 2 3 9 2 2" xfId="40292"/>
    <cellStyle name="Comma 2 3 9 2 3" xfId="33869"/>
    <cellStyle name="Comma 2 3 9 3" xfId="21449"/>
    <cellStyle name="Comma 2 3 9 3 2" xfId="37085"/>
    <cellStyle name="Comma 2 3 9 4" xfId="30662"/>
    <cellStyle name="Comma 2 3 9 5" xfId="42428"/>
    <cellStyle name="Comma 2 3_Monthly Price Data" xfId="2278"/>
    <cellStyle name="Comma 2 4" xfId="1469"/>
    <cellStyle name="Comma 2 4 10" xfId="3326"/>
    <cellStyle name="Comma 2 4 10 2" xfId="10854"/>
    <cellStyle name="Comma 2 4 10 2 2" xfId="19653"/>
    <cellStyle name="Comma 2 4 10 2 2 2" xfId="40696"/>
    <cellStyle name="Comma 2 4 10 2 2 3" xfId="34273"/>
    <cellStyle name="Comma 2 4 10 2 3" xfId="21852"/>
    <cellStyle name="Comma 2 4 10 2 3 2" xfId="37489"/>
    <cellStyle name="Comma 2 4 10 2 4" xfId="31066"/>
    <cellStyle name="Comma 2 4 10 2 5" xfId="42831"/>
    <cellStyle name="Comma 2 4 10 3" xfId="8048"/>
    <cellStyle name="Comma 2 4 10 3 2" xfId="18508"/>
    <cellStyle name="Comma 2 4 10 3 2 2" xfId="39551"/>
    <cellStyle name="Comma 2 4 10 3 2 3" xfId="33128"/>
    <cellStyle name="Comma 2 4 10 3 3" xfId="22998"/>
    <cellStyle name="Comma 2 4 10 3 3 2" xfId="36344"/>
    <cellStyle name="Comma 2 4 10 3 4" xfId="29921"/>
    <cellStyle name="Comma 2 4 10 3 5" xfId="43827"/>
    <cellStyle name="Comma 2 4 10 4" xfId="7002"/>
    <cellStyle name="Comma 2 4 10 4 2" xfId="17505"/>
    <cellStyle name="Comma 2 4 10 4 2 2" xfId="38554"/>
    <cellStyle name="Comma 2 4 10 4 3" xfId="32131"/>
    <cellStyle name="Comma 2 4 10 5" xfId="16426"/>
    <cellStyle name="Comma 2 4 10 5 2" xfId="35347"/>
    <cellStyle name="Comma 2 4 10 6" xfId="20674"/>
    <cellStyle name="Comma 2 4 10 7" xfId="28924"/>
    <cellStyle name="Comma 2 4 10 8" xfId="41693"/>
    <cellStyle name="Comma 2 4 11" xfId="4194"/>
    <cellStyle name="Comma 2 4 11 2" xfId="10855"/>
    <cellStyle name="Comma 2 4 11 2 2" xfId="19654"/>
    <cellStyle name="Comma 2 4 11 2 2 2" xfId="40697"/>
    <cellStyle name="Comma 2 4 11 2 2 3" xfId="34274"/>
    <cellStyle name="Comma 2 4 11 2 3" xfId="21853"/>
    <cellStyle name="Comma 2 4 11 2 3 2" xfId="37490"/>
    <cellStyle name="Comma 2 4 11 2 4" xfId="31067"/>
    <cellStyle name="Comma 2 4 11 2 5" xfId="42832"/>
    <cellStyle name="Comma 2 4 11 3" xfId="8049"/>
    <cellStyle name="Comma 2 4 11 3 2" xfId="18509"/>
    <cellStyle name="Comma 2 4 11 3 2 2" xfId="39552"/>
    <cellStyle name="Comma 2 4 11 3 2 3" xfId="33129"/>
    <cellStyle name="Comma 2 4 11 3 3" xfId="22999"/>
    <cellStyle name="Comma 2 4 11 3 3 2" xfId="36345"/>
    <cellStyle name="Comma 2 4 11 3 4" xfId="29922"/>
    <cellStyle name="Comma 2 4 11 3 5" xfId="43828"/>
    <cellStyle name="Comma 2 4 11 4" xfId="7003"/>
    <cellStyle name="Comma 2 4 11 4 2" xfId="17506"/>
    <cellStyle name="Comma 2 4 11 4 2 2" xfId="38555"/>
    <cellStyle name="Comma 2 4 11 4 3" xfId="32132"/>
    <cellStyle name="Comma 2 4 11 5" xfId="16614"/>
    <cellStyle name="Comma 2 4 11 5 2" xfId="35348"/>
    <cellStyle name="Comma 2 4 11 6" xfId="20675"/>
    <cellStyle name="Comma 2 4 11 7" xfId="28925"/>
    <cellStyle name="Comma 2 4 11 8" xfId="41694"/>
    <cellStyle name="Comma 2 4 12" xfId="5001"/>
    <cellStyle name="Comma 2 4 12 2" xfId="10856"/>
    <cellStyle name="Comma 2 4 12 2 2" xfId="19655"/>
    <cellStyle name="Comma 2 4 12 2 2 2" xfId="40698"/>
    <cellStyle name="Comma 2 4 12 2 2 3" xfId="34275"/>
    <cellStyle name="Comma 2 4 12 2 3" xfId="21854"/>
    <cellStyle name="Comma 2 4 12 2 3 2" xfId="37491"/>
    <cellStyle name="Comma 2 4 12 2 4" xfId="31068"/>
    <cellStyle name="Comma 2 4 12 2 5" xfId="42833"/>
    <cellStyle name="Comma 2 4 12 3" xfId="8050"/>
    <cellStyle name="Comma 2 4 12 3 2" xfId="18510"/>
    <cellStyle name="Comma 2 4 12 3 2 2" xfId="39553"/>
    <cellStyle name="Comma 2 4 12 3 2 3" xfId="33130"/>
    <cellStyle name="Comma 2 4 12 3 3" xfId="23000"/>
    <cellStyle name="Comma 2 4 12 3 3 2" xfId="36346"/>
    <cellStyle name="Comma 2 4 12 3 4" xfId="29923"/>
    <cellStyle name="Comma 2 4 12 3 5" xfId="43829"/>
    <cellStyle name="Comma 2 4 12 4" xfId="7004"/>
    <cellStyle name="Comma 2 4 12 4 2" xfId="17507"/>
    <cellStyle name="Comma 2 4 12 4 2 2" xfId="38556"/>
    <cellStyle name="Comma 2 4 12 4 3" xfId="32133"/>
    <cellStyle name="Comma 2 4 12 5" xfId="16816"/>
    <cellStyle name="Comma 2 4 12 5 2" xfId="35349"/>
    <cellStyle name="Comma 2 4 12 6" xfId="20676"/>
    <cellStyle name="Comma 2 4 12 7" xfId="28926"/>
    <cellStyle name="Comma 2 4 12 8" xfId="41695"/>
    <cellStyle name="Comma 2 4 13" xfId="5456"/>
    <cellStyle name="Comma 2 4 13 2" xfId="10857"/>
    <cellStyle name="Comma 2 4 13 2 2" xfId="19656"/>
    <cellStyle name="Comma 2 4 13 2 2 2" xfId="40699"/>
    <cellStyle name="Comma 2 4 13 2 2 3" xfId="34276"/>
    <cellStyle name="Comma 2 4 13 2 3" xfId="21855"/>
    <cellStyle name="Comma 2 4 13 2 3 2" xfId="37492"/>
    <cellStyle name="Comma 2 4 13 2 4" xfId="31069"/>
    <cellStyle name="Comma 2 4 13 2 5" xfId="42834"/>
    <cellStyle name="Comma 2 4 13 3" xfId="8051"/>
    <cellStyle name="Comma 2 4 13 3 2" xfId="18511"/>
    <cellStyle name="Comma 2 4 13 3 2 2" xfId="39554"/>
    <cellStyle name="Comma 2 4 13 3 2 3" xfId="33131"/>
    <cellStyle name="Comma 2 4 13 3 3" xfId="23001"/>
    <cellStyle name="Comma 2 4 13 3 3 2" xfId="36347"/>
    <cellStyle name="Comma 2 4 13 3 4" xfId="29924"/>
    <cellStyle name="Comma 2 4 13 3 5" xfId="43830"/>
    <cellStyle name="Comma 2 4 13 4" xfId="7005"/>
    <cellStyle name="Comma 2 4 13 4 2" xfId="17508"/>
    <cellStyle name="Comma 2 4 13 4 2 2" xfId="38557"/>
    <cellStyle name="Comma 2 4 13 4 3" xfId="32134"/>
    <cellStyle name="Comma 2 4 13 5" xfId="16902"/>
    <cellStyle name="Comma 2 4 13 5 2" xfId="35350"/>
    <cellStyle name="Comma 2 4 13 6" xfId="20677"/>
    <cellStyle name="Comma 2 4 13 7" xfId="28927"/>
    <cellStyle name="Comma 2 4 13 8" xfId="41696"/>
    <cellStyle name="Comma 2 4 14" xfId="10201"/>
    <cellStyle name="Comma 2 4 14 2" xfId="19255"/>
    <cellStyle name="Comma 2 4 14 2 2" xfId="40298"/>
    <cellStyle name="Comma 2 4 14 2 3" xfId="33875"/>
    <cellStyle name="Comma 2 4 14 3" xfId="21455"/>
    <cellStyle name="Comma 2 4 14 3 2" xfId="37091"/>
    <cellStyle name="Comma 2 4 14 4" xfId="30668"/>
    <cellStyle name="Comma 2 4 14 5" xfId="42434"/>
    <cellStyle name="Comma 2 4 15" xfId="8047"/>
    <cellStyle name="Comma 2 4 15 2" xfId="18507"/>
    <cellStyle name="Comma 2 4 15 2 2" xfId="39550"/>
    <cellStyle name="Comma 2 4 15 2 3" xfId="33127"/>
    <cellStyle name="Comma 2 4 15 3" xfId="22997"/>
    <cellStyle name="Comma 2 4 15 3 2" xfId="36343"/>
    <cellStyle name="Comma 2 4 15 4" xfId="29920"/>
    <cellStyle name="Comma 2 4 15 5" xfId="43826"/>
    <cellStyle name="Comma 2 4 16" xfId="6601"/>
    <cellStyle name="Comma 2 4 16 2" xfId="17108"/>
    <cellStyle name="Comma 2 4 16 2 2" xfId="38161"/>
    <cellStyle name="Comma 2 4 16 3" xfId="31738"/>
    <cellStyle name="Comma 2 4 17" xfId="16039"/>
    <cellStyle name="Comma 2 4 17 2" xfId="34954"/>
    <cellStyle name="Comma 2 4 18" xfId="20673"/>
    <cellStyle name="Comma 2 4 19" xfId="28529"/>
    <cellStyle name="Comma 2 4 2" xfId="1470"/>
    <cellStyle name="Comma 2 4 2 10" xfId="4195"/>
    <cellStyle name="Comma 2 4 2 10 2" xfId="10858"/>
    <cellStyle name="Comma 2 4 2 10 2 2" xfId="19657"/>
    <cellStyle name="Comma 2 4 2 10 2 2 2" xfId="40700"/>
    <cellStyle name="Comma 2 4 2 10 2 2 3" xfId="34277"/>
    <cellStyle name="Comma 2 4 2 10 2 3" xfId="21856"/>
    <cellStyle name="Comma 2 4 2 10 2 3 2" xfId="37493"/>
    <cellStyle name="Comma 2 4 2 10 2 4" xfId="31070"/>
    <cellStyle name="Comma 2 4 2 10 2 5" xfId="42835"/>
    <cellStyle name="Comma 2 4 2 10 3" xfId="8053"/>
    <cellStyle name="Comma 2 4 2 10 3 2" xfId="18513"/>
    <cellStyle name="Comma 2 4 2 10 3 2 2" xfId="39556"/>
    <cellStyle name="Comma 2 4 2 10 3 2 3" xfId="33133"/>
    <cellStyle name="Comma 2 4 2 10 3 3" xfId="23003"/>
    <cellStyle name="Comma 2 4 2 10 3 3 2" xfId="36349"/>
    <cellStyle name="Comma 2 4 2 10 3 4" xfId="29926"/>
    <cellStyle name="Comma 2 4 2 10 3 5" xfId="43832"/>
    <cellStyle name="Comma 2 4 2 10 4" xfId="7006"/>
    <cellStyle name="Comma 2 4 2 10 4 2" xfId="17509"/>
    <cellStyle name="Comma 2 4 2 10 4 2 2" xfId="38558"/>
    <cellStyle name="Comma 2 4 2 10 4 3" xfId="32135"/>
    <cellStyle name="Comma 2 4 2 10 5" xfId="16615"/>
    <cellStyle name="Comma 2 4 2 10 5 2" xfId="35351"/>
    <cellStyle name="Comma 2 4 2 10 6" xfId="20679"/>
    <cellStyle name="Comma 2 4 2 10 7" xfId="28928"/>
    <cellStyle name="Comma 2 4 2 10 8" xfId="41698"/>
    <cellStyle name="Comma 2 4 2 11" xfId="5002"/>
    <cellStyle name="Comma 2 4 2 11 2" xfId="10859"/>
    <cellStyle name="Comma 2 4 2 11 2 2" xfId="19658"/>
    <cellStyle name="Comma 2 4 2 11 2 2 2" xfId="40701"/>
    <cellStyle name="Comma 2 4 2 11 2 2 3" xfId="34278"/>
    <cellStyle name="Comma 2 4 2 11 2 3" xfId="21857"/>
    <cellStyle name="Comma 2 4 2 11 2 3 2" xfId="37494"/>
    <cellStyle name="Comma 2 4 2 11 2 4" xfId="31071"/>
    <cellStyle name="Comma 2 4 2 11 2 5" xfId="42836"/>
    <cellStyle name="Comma 2 4 2 11 3" xfId="8054"/>
    <cellStyle name="Comma 2 4 2 11 3 2" xfId="18514"/>
    <cellStyle name="Comma 2 4 2 11 3 2 2" xfId="39557"/>
    <cellStyle name="Comma 2 4 2 11 3 2 3" xfId="33134"/>
    <cellStyle name="Comma 2 4 2 11 3 3" xfId="23004"/>
    <cellStyle name="Comma 2 4 2 11 3 3 2" xfId="36350"/>
    <cellStyle name="Comma 2 4 2 11 3 4" xfId="29927"/>
    <cellStyle name="Comma 2 4 2 11 3 5" xfId="43833"/>
    <cellStyle name="Comma 2 4 2 11 4" xfId="7007"/>
    <cellStyle name="Comma 2 4 2 11 4 2" xfId="17510"/>
    <cellStyle name="Comma 2 4 2 11 4 2 2" xfId="38559"/>
    <cellStyle name="Comma 2 4 2 11 4 3" xfId="32136"/>
    <cellStyle name="Comma 2 4 2 11 5" xfId="16817"/>
    <cellStyle name="Comma 2 4 2 11 5 2" xfId="35352"/>
    <cellStyle name="Comma 2 4 2 11 6" xfId="20680"/>
    <cellStyle name="Comma 2 4 2 11 7" xfId="28929"/>
    <cellStyle name="Comma 2 4 2 11 8" xfId="41699"/>
    <cellStyle name="Comma 2 4 2 12" xfId="5457"/>
    <cellStyle name="Comma 2 4 2 12 2" xfId="10860"/>
    <cellStyle name="Comma 2 4 2 12 2 2" xfId="19659"/>
    <cellStyle name="Comma 2 4 2 12 2 2 2" xfId="40702"/>
    <cellStyle name="Comma 2 4 2 12 2 2 3" xfId="34279"/>
    <cellStyle name="Comma 2 4 2 12 2 3" xfId="21858"/>
    <cellStyle name="Comma 2 4 2 12 2 3 2" xfId="37495"/>
    <cellStyle name="Comma 2 4 2 12 2 4" xfId="31072"/>
    <cellStyle name="Comma 2 4 2 12 2 5" xfId="42837"/>
    <cellStyle name="Comma 2 4 2 12 3" xfId="8055"/>
    <cellStyle name="Comma 2 4 2 12 3 2" xfId="18515"/>
    <cellStyle name="Comma 2 4 2 12 3 2 2" xfId="39558"/>
    <cellStyle name="Comma 2 4 2 12 3 2 3" xfId="33135"/>
    <cellStyle name="Comma 2 4 2 12 3 3" xfId="23005"/>
    <cellStyle name="Comma 2 4 2 12 3 3 2" xfId="36351"/>
    <cellStyle name="Comma 2 4 2 12 3 4" xfId="29928"/>
    <cellStyle name="Comma 2 4 2 12 3 5" xfId="43834"/>
    <cellStyle name="Comma 2 4 2 12 4" xfId="7008"/>
    <cellStyle name="Comma 2 4 2 12 4 2" xfId="17511"/>
    <cellStyle name="Comma 2 4 2 12 4 2 2" xfId="38560"/>
    <cellStyle name="Comma 2 4 2 12 4 3" xfId="32137"/>
    <cellStyle name="Comma 2 4 2 12 5" xfId="16903"/>
    <cellStyle name="Comma 2 4 2 12 5 2" xfId="35353"/>
    <cellStyle name="Comma 2 4 2 12 6" xfId="20681"/>
    <cellStyle name="Comma 2 4 2 12 7" xfId="28930"/>
    <cellStyle name="Comma 2 4 2 12 8" xfId="41700"/>
    <cellStyle name="Comma 2 4 2 13" xfId="10253"/>
    <cellStyle name="Comma 2 4 2 13 2" xfId="19306"/>
    <cellStyle name="Comma 2 4 2 13 2 2" xfId="40349"/>
    <cellStyle name="Comma 2 4 2 13 2 3" xfId="33926"/>
    <cellStyle name="Comma 2 4 2 13 3" xfId="21506"/>
    <cellStyle name="Comma 2 4 2 13 3 2" xfId="37142"/>
    <cellStyle name="Comma 2 4 2 13 4" xfId="30719"/>
    <cellStyle name="Comma 2 4 2 13 5" xfId="42485"/>
    <cellStyle name="Comma 2 4 2 14" xfId="8052"/>
    <cellStyle name="Comma 2 4 2 14 2" xfId="18512"/>
    <cellStyle name="Comma 2 4 2 14 2 2" xfId="39555"/>
    <cellStyle name="Comma 2 4 2 14 2 3" xfId="33132"/>
    <cellStyle name="Comma 2 4 2 14 3" xfId="23002"/>
    <cellStyle name="Comma 2 4 2 14 3 2" xfId="36348"/>
    <cellStyle name="Comma 2 4 2 14 4" xfId="29925"/>
    <cellStyle name="Comma 2 4 2 14 5" xfId="43831"/>
    <cellStyle name="Comma 2 4 2 15" xfId="6652"/>
    <cellStyle name="Comma 2 4 2 15 2" xfId="17159"/>
    <cellStyle name="Comma 2 4 2 15 2 2" xfId="38212"/>
    <cellStyle name="Comma 2 4 2 15 3" xfId="31789"/>
    <cellStyle name="Comma 2 4 2 16" xfId="16040"/>
    <cellStyle name="Comma 2 4 2 16 2" xfId="35005"/>
    <cellStyle name="Comma 2 4 2 17" xfId="20678"/>
    <cellStyle name="Comma 2 4 2 18" xfId="28580"/>
    <cellStyle name="Comma 2 4 2 19" xfId="41697"/>
    <cellStyle name="Comma 2 4 2 2" xfId="1471"/>
    <cellStyle name="Comma 2 4 2 2 10" xfId="5003"/>
    <cellStyle name="Comma 2 4 2 2 10 2" xfId="10861"/>
    <cellStyle name="Comma 2 4 2 2 10 2 2" xfId="19660"/>
    <cellStyle name="Comma 2 4 2 2 10 2 2 2" xfId="40703"/>
    <cellStyle name="Comma 2 4 2 2 10 2 2 3" xfId="34280"/>
    <cellStyle name="Comma 2 4 2 2 10 2 3" xfId="21859"/>
    <cellStyle name="Comma 2 4 2 2 10 2 3 2" xfId="37496"/>
    <cellStyle name="Comma 2 4 2 2 10 2 4" xfId="31073"/>
    <cellStyle name="Comma 2 4 2 2 10 2 5" xfId="42838"/>
    <cellStyle name="Comma 2 4 2 2 10 3" xfId="8057"/>
    <cellStyle name="Comma 2 4 2 2 10 3 2" xfId="18517"/>
    <cellStyle name="Comma 2 4 2 2 10 3 2 2" xfId="39560"/>
    <cellStyle name="Comma 2 4 2 2 10 3 2 3" xfId="33137"/>
    <cellStyle name="Comma 2 4 2 2 10 3 3" xfId="23007"/>
    <cellStyle name="Comma 2 4 2 2 10 3 3 2" xfId="36353"/>
    <cellStyle name="Comma 2 4 2 2 10 3 4" xfId="29930"/>
    <cellStyle name="Comma 2 4 2 2 10 3 5" xfId="43836"/>
    <cellStyle name="Comma 2 4 2 2 10 4" xfId="7009"/>
    <cellStyle name="Comma 2 4 2 2 10 4 2" xfId="17512"/>
    <cellStyle name="Comma 2 4 2 2 10 4 2 2" xfId="38561"/>
    <cellStyle name="Comma 2 4 2 2 10 4 3" xfId="32138"/>
    <cellStyle name="Comma 2 4 2 2 10 5" xfId="16818"/>
    <cellStyle name="Comma 2 4 2 2 10 5 2" xfId="35354"/>
    <cellStyle name="Comma 2 4 2 2 10 6" xfId="20683"/>
    <cellStyle name="Comma 2 4 2 2 10 7" xfId="28931"/>
    <cellStyle name="Comma 2 4 2 2 10 8" xfId="41702"/>
    <cellStyle name="Comma 2 4 2 2 11" xfId="5458"/>
    <cellStyle name="Comma 2 4 2 2 11 2" xfId="10862"/>
    <cellStyle name="Comma 2 4 2 2 11 2 2" xfId="19661"/>
    <cellStyle name="Comma 2 4 2 2 11 2 2 2" xfId="40704"/>
    <cellStyle name="Comma 2 4 2 2 11 2 2 3" xfId="34281"/>
    <cellStyle name="Comma 2 4 2 2 11 2 3" xfId="21860"/>
    <cellStyle name="Comma 2 4 2 2 11 2 3 2" xfId="37497"/>
    <cellStyle name="Comma 2 4 2 2 11 2 4" xfId="31074"/>
    <cellStyle name="Comma 2 4 2 2 11 2 5" xfId="42839"/>
    <cellStyle name="Comma 2 4 2 2 11 3" xfId="8058"/>
    <cellStyle name="Comma 2 4 2 2 11 3 2" xfId="18518"/>
    <cellStyle name="Comma 2 4 2 2 11 3 2 2" xfId="39561"/>
    <cellStyle name="Comma 2 4 2 2 11 3 2 3" xfId="33138"/>
    <cellStyle name="Comma 2 4 2 2 11 3 3" xfId="23008"/>
    <cellStyle name="Comma 2 4 2 2 11 3 3 2" xfId="36354"/>
    <cellStyle name="Comma 2 4 2 2 11 3 4" xfId="29931"/>
    <cellStyle name="Comma 2 4 2 2 11 3 5" xfId="43837"/>
    <cellStyle name="Comma 2 4 2 2 11 4" xfId="7010"/>
    <cellStyle name="Comma 2 4 2 2 11 4 2" xfId="17513"/>
    <cellStyle name="Comma 2 4 2 2 11 4 2 2" xfId="38562"/>
    <cellStyle name="Comma 2 4 2 2 11 4 3" xfId="32139"/>
    <cellStyle name="Comma 2 4 2 2 11 5" xfId="16904"/>
    <cellStyle name="Comma 2 4 2 2 11 5 2" xfId="35355"/>
    <cellStyle name="Comma 2 4 2 2 11 6" xfId="20684"/>
    <cellStyle name="Comma 2 4 2 2 11 7" xfId="28932"/>
    <cellStyle name="Comma 2 4 2 2 11 8" xfId="41703"/>
    <cellStyle name="Comma 2 4 2 2 12" xfId="10250"/>
    <cellStyle name="Comma 2 4 2 2 12 2" xfId="19303"/>
    <cellStyle name="Comma 2 4 2 2 12 2 2" xfId="40346"/>
    <cellStyle name="Comma 2 4 2 2 12 2 3" xfId="33923"/>
    <cellStyle name="Comma 2 4 2 2 12 3" xfId="21503"/>
    <cellStyle name="Comma 2 4 2 2 12 3 2" xfId="37139"/>
    <cellStyle name="Comma 2 4 2 2 12 4" xfId="30716"/>
    <cellStyle name="Comma 2 4 2 2 12 5" xfId="42482"/>
    <cellStyle name="Comma 2 4 2 2 13" xfId="8056"/>
    <cellStyle name="Comma 2 4 2 2 13 2" xfId="18516"/>
    <cellStyle name="Comma 2 4 2 2 13 2 2" xfId="39559"/>
    <cellStyle name="Comma 2 4 2 2 13 2 3" xfId="33136"/>
    <cellStyle name="Comma 2 4 2 2 13 3" xfId="23006"/>
    <cellStyle name="Comma 2 4 2 2 13 3 2" xfId="36352"/>
    <cellStyle name="Comma 2 4 2 2 13 4" xfId="29929"/>
    <cellStyle name="Comma 2 4 2 2 13 5" xfId="43835"/>
    <cellStyle name="Comma 2 4 2 2 14" xfId="6649"/>
    <cellStyle name="Comma 2 4 2 2 14 2" xfId="17156"/>
    <cellStyle name="Comma 2 4 2 2 14 2 2" xfId="38209"/>
    <cellStyle name="Comma 2 4 2 2 14 3" xfId="31786"/>
    <cellStyle name="Comma 2 4 2 2 15" xfId="16041"/>
    <cellStyle name="Comma 2 4 2 2 15 2" xfId="35002"/>
    <cellStyle name="Comma 2 4 2 2 16" xfId="20682"/>
    <cellStyle name="Comma 2 4 2 2 17" xfId="28577"/>
    <cellStyle name="Comma 2 4 2 2 18" xfId="41701"/>
    <cellStyle name="Comma 2 4 2 2 2" xfId="1472"/>
    <cellStyle name="Comma 2 4 2 2 2 10" xfId="5459"/>
    <cellStyle name="Comma 2 4 2 2 2 10 2" xfId="10863"/>
    <cellStyle name="Comma 2 4 2 2 2 10 2 2" xfId="19662"/>
    <cellStyle name="Comma 2 4 2 2 2 10 2 2 2" xfId="40705"/>
    <cellStyle name="Comma 2 4 2 2 2 10 2 2 3" xfId="34282"/>
    <cellStyle name="Comma 2 4 2 2 2 10 2 3" xfId="21861"/>
    <cellStyle name="Comma 2 4 2 2 2 10 2 3 2" xfId="37498"/>
    <cellStyle name="Comma 2 4 2 2 2 10 2 4" xfId="31075"/>
    <cellStyle name="Comma 2 4 2 2 2 10 2 5" xfId="42840"/>
    <cellStyle name="Comma 2 4 2 2 2 10 3" xfId="8060"/>
    <cellStyle name="Comma 2 4 2 2 2 10 3 2" xfId="18520"/>
    <cellStyle name="Comma 2 4 2 2 2 10 3 2 2" xfId="39563"/>
    <cellStyle name="Comma 2 4 2 2 2 10 3 2 3" xfId="33140"/>
    <cellStyle name="Comma 2 4 2 2 2 10 3 3" xfId="23010"/>
    <cellStyle name="Comma 2 4 2 2 2 10 3 3 2" xfId="36356"/>
    <cellStyle name="Comma 2 4 2 2 2 10 3 4" xfId="29933"/>
    <cellStyle name="Comma 2 4 2 2 2 10 3 5" xfId="43839"/>
    <cellStyle name="Comma 2 4 2 2 2 10 4" xfId="7011"/>
    <cellStyle name="Comma 2 4 2 2 2 10 4 2" xfId="17514"/>
    <cellStyle name="Comma 2 4 2 2 2 10 4 2 2" xfId="38563"/>
    <cellStyle name="Comma 2 4 2 2 2 10 4 3" xfId="32140"/>
    <cellStyle name="Comma 2 4 2 2 2 10 5" xfId="16905"/>
    <cellStyle name="Comma 2 4 2 2 2 10 5 2" xfId="35356"/>
    <cellStyle name="Comma 2 4 2 2 2 10 6" xfId="20686"/>
    <cellStyle name="Comma 2 4 2 2 2 10 7" xfId="28933"/>
    <cellStyle name="Comma 2 4 2 2 2 10 8" xfId="41705"/>
    <cellStyle name="Comma 2 4 2 2 2 11" xfId="10244"/>
    <cellStyle name="Comma 2 4 2 2 2 11 2" xfId="19297"/>
    <cellStyle name="Comma 2 4 2 2 2 11 2 2" xfId="40340"/>
    <cellStyle name="Comma 2 4 2 2 2 11 2 3" xfId="33917"/>
    <cellStyle name="Comma 2 4 2 2 2 11 3" xfId="21497"/>
    <cellStyle name="Comma 2 4 2 2 2 11 3 2" xfId="37133"/>
    <cellStyle name="Comma 2 4 2 2 2 11 4" xfId="30710"/>
    <cellStyle name="Comma 2 4 2 2 2 11 5" xfId="42476"/>
    <cellStyle name="Comma 2 4 2 2 2 12" xfId="8059"/>
    <cellStyle name="Comma 2 4 2 2 2 12 2" xfId="18519"/>
    <cellStyle name="Comma 2 4 2 2 2 12 2 2" xfId="39562"/>
    <cellStyle name="Comma 2 4 2 2 2 12 2 3" xfId="33139"/>
    <cellStyle name="Comma 2 4 2 2 2 12 3" xfId="23009"/>
    <cellStyle name="Comma 2 4 2 2 2 12 3 2" xfId="36355"/>
    <cellStyle name="Comma 2 4 2 2 2 12 4" xfId="29932"/>
    <cellStyle name="Comma 2 4 2 2 2 12 5" xfId="43838"/>
    <cellStyle name="Comma 2 4 2 2 2 13" xfId="6643"/>
    <cellStyle name="Comma 2 4 2 2 2 13 2" xfId="17150"/>
    <cellStyle name="Comma 2 4 2 2 2 13 2 2" xfId="38203"/>
    <cellStyle name="Comma 2 4 2 2 2 13 3" xfId="31780"/>
    <cellStyle name="Comma 2 4 2 2 2 14" xfId="16042"/>
    <cellStyle name="Comma 2 4 2 2 2 14 2" xfId="34996"/>
    <cellStyle name="Comma 2 4 2 2 2 15" xfId="20685"/>
    <cellStyle name="Comma 2 4 2 2 2 16" xfId="28571"/>
    <cellStyle name="Comma 2 4 2 2 2 17" xfId="41704"/>
    <cellStyle name="Comma 2 4 2 2 2 2" xfId="1473"/>
    <cellStyle name="Comma 2 4 2 2 2 2 10" xfId="8061"/>
    <cellStyle name="Comma 2 4 2 2 2 2 10 2" xfId="18521"/>
    <cellStyle name="Comma 2 4 2 2 2 2 10 2 2" xfId="39564"/>
    <cellStyle name="Comma 2 4 2 2 2 2 10 2 3" xfId="33141"/>
    <cellStyle name="Comma 2 4 2 2 2 2 10 3" xfId="23011"/>
    <cellStyle name="Comma 2 4 2 2 2 2 10 3 2" xfId="36357"/>
    <cellStyle name="Comma 2 4 2 2 2 2 10 4" xfId="29934"/>
    <cellStyle name="Comma 2 4 2 2 2 2 10 5" xfId="43840"/>
    <cellStyle name="Comma 2 4 2 2 2 2 11" xfId="6589"/>
    <cellStyle name="Comma 2 4 2 2 2 2 11 2" xfId="17097"/>
    <cellStyle name="Comma 2 4 2 2 2 2 11 2 2" xfId="38151"/>
    <cellStyle name="Comma 2 4 2 2 2 2 11 3" xfId="31728"/>
    <cellStyle name="Comma 2 4 2 2 2 2 12" xfId="16043"/>
    <cellStyle name="Comma 2 4 2 2 2 2 12 2" xfId="34944"/>
    <cellStyle name="Comma 2 4 2 2 2 2 13" xfId="20687"/>
    <cellStyle name="Comma 2 4 2 2 2 2 14" xfId="28519"/>
    <cellStyle name="Comma 2 4 2 2 2 2 15" xfId="41706"/>
    <cellStyle name="Comma 2 4 2 2 2 2 2" xfId="1827"/>
    <cellStyle name="Comma 2 4 2 2 2 2 2 10" xfId="16105"/>
    <cellStyle name="Comma 2 4 2 2 2 2 2 10 2" xfId="34967"/>
    <cellStyle name="Comma 2 4 2 2 2 2 2 11" xfId="20688"/>
    <cellStyle name="Comma 2 4 2 2 2 2 2 12" xfId="28542"/>
    <cellStyle name="Comma 2 4 2 2 2 2 2 13" xfId="41707"/>
    <cellStyle name="Comma 2 4 2 2 2 2 2 2" xfId="2717"/>
    <cellStyle name="Comma 2 4 2 2 2 2 2 2 2" xfId="10864"/>
    <cellStyle name="Comma 2 4 2 2 2 2 2 2 2 2" xfId="19663"/>
    <cellStyle name="Comma 2 4 2 2 2 2 2 2 2 2 2" xfId="40706"/>
    <cellStyle name="Comma 2 4 2 2 2 2 2 2 2 2 3" xfId="34283"/>
    <cellStyle name="Comma 2 4 2 2 2 2 2 2 2 3" xfId="21862"/>
    <cellStyle name="Comma 2 4 2 2 2 2 2 2 2 3 2" xfId="37499"/>
    <cellStyle name="Comma 2 4 2 2 2 2 2 2 2 4" xfId="31076"/>
    <cellStyle name="Comma 2 4 2 2 2 2 2 2 2 5" xfId="42841"/>
    <cellStyle name="Comma 2 4 2 2 2 2 2 2 3" xfId="8063"/>
    <cellStyle name="Comma 2 4 2 2 2 2 2 2 3 2" xfId="18523"/>
    <cellStyle name="Comma 2 4 2 2 2 2 2 2 3 2 2" xfId="39566"/>
    <cellStyle name="Comma 2 4 2 2 2 2 2 2 3 2 3" xfId="33143"/>
    <cellStyle name="Comma 2 4 2 2 2 2 2 2 3 3" xfId="23013"/>
    <cellStyle name="Comma 2 4 2 2 2 2 2 2 3 3 2" xfId="36359"/>
    <cellStyle name="Comma 2 4 2 2 2 2 2 2 3 4" xfId="29936"/>
    <cellStyle name="Comma 2 4 2 2 2 2 2 2 3 5" xfId="43842"/>
    <cellStyle name="Comma 2 4 2 2 2 2 2 2 4" xfId="7012"/>
    <cellStyle name="Comma 2 4 2 2 2 2 2 2 4 2" xfId="17515"/>
    <cellStyle name="Comma 2 4 2 2 2 2 2 2 4 2 2" xfId="38564"/>
    <cellStyle name="Comma 2 4 2 2 2 2 2 2 4 3" xfId="32141"/>
    <cellStyle name="Comma 2 4 2 2 2 2 2 2 5" xfId="16295"/>
    <cellStyle name="Comma 2 4 2 2 2 2 2 2 5 2" xfId="35357"/>
    <cellStyle name="Comma 2 4 2 2 2 2 2 2 6" xfId="20689"/>
    <cellStyle name="Comma 2 4 2 2 2 2 2 2 7" xfId="28934"/>
    <cellStyle name="Comma 2 4 2 2 2 2 2 2 8" xfId="41708"/>
    <cellStyle name="Comma 2 4 2 2 2 2 2 3" xfId="3581"/>
    <cellStyle name="Comma 2 4 2 2 2 2 2 3 2" xfId="10865"/>
    <cellStyle name="Comma 2 4 2 2 2 2 2 3 2 2" xfId="19664"/>
    <cellStyle name="Comma 2 4 2 2 2 2 2 3 2 2 2" xfId="40707"/>
    <cellStyle name="Comma 2 4 2 2 2 2 2 3 2 2 3" xfId="34284"/>
    <cellStyle name="Comma 2 4 2 2 2 2 2 3 2 3" xfId="21863"/>
    <cellStyle name="Comma 2 4 2 2 2 2 2 3 2 3 2" xfId="37500"/>
    <cellStyle name="Comma 2 4 2 2 2 2 2 3 2 4" xfId="31077"/>
    <cellStyle name="Comma 2 4 2 2 2 2 2 3 2 5" xfId="42842"/>
    <cellStyle name="Comma 2 4 2 2 2 2 2 3 3" xfId="8064"/>
    <cellStyle name="Comma 2 4 2 2 2 2 2 3 3 2" xfId="18524"/>
    <cellStyle name="Comma 2 4 2 2 2 2 2 3 3 2 2" xfId="39567"/>
    <cellStyle name="Comma 2 4 2 2 2 2 2 3 3 2 3" xfId="33144"/>
    <cellStyle name="Comma 2 4 2 2 2 2 2 3 3 3" xfId="23014"/>
    <cellStyle name="Comma 2 4 2 2 2 2 2 3 3 3 2" xfId="36360"/>
    <cellStyle name="Comma 2 4 2 2 2 2 2 3 3 4" xfId="29937"/>
    <cellStyle name="Comma 2 4 2 2 2 2 2 3 3 5" xfId="43843"/>
    <cellStyle name="Comma 2 4 2 2 2 2 2 3 4" xfId="7013"/>
    <cellStyle name="Comma 2 4 2 2 2 2 2 3 4 2" xfId="17516"/>
    <cellStyle name="Comma 2 4 2 2 2 2 2 3 4 2 2" xfId="38565"/>
    <cellStyle name="Comma 2 4 2 2 2 2 2 3 4 3" xfId="32142"/>
    <cellStyle name="Comma 2 4 2 2 2 2 2 3 5" xfId="16483"/>
    <cellStyle name="Comma 2 4 2 2 2 2 2 3 5 2" xfId="35358"/>
    <cellStyle name="Comma 2 4 2 2 2 2 2 3 6" xfId="20690"/>
    <cellStyle name="Comma 2 4 2 2 2 2 2 3 7" xfId="28935"/>
    <cellStyle name="Comma 2 4 2 2 2 2 2 3 8" xfId="41709"/>
    <cellStyle name="Comma 2 4 2 2 2 2 2 4" xfId="4456"/>
    <cellStyle name="Comma 2 4 2 2 2 2 2 4 2" xfId="10866"/>
    <cellStyle name="Comma 2 4 2 2 2 2 2 4 2 2" xfId="19665"/>
    <cellStyle name="Comma 2 4 2 2 2 2 2 4 2 2 2" xfId="40708"/>
    <cellStyle name="Comma 2 4 2 2 2 2 2 4 2 2 3" xfId="34285"/>
    <cellStyle name="Comma 2 4 2 2 2 2 2 4 2 3" xfId="21864"/>
    <cellStyle name="Comma 2 4 2 2 2 2 2 4 2 3 2" xfId="37501"/>
    <cellStyle name="Comma 2 4 2 2 2 2 2 4 2 4" xfId="31078"/>
    <cellStyle name="Comma 2 4 2 2 2 2 2 4 2 5" xfId="42843"/>
    <cellStyle name="Comma 2 4 2 2 2 2 2 4 3" xfId="8065"/>
    <cellStyle name="Comma 2 4 2 2 2 2 2 4 3 2" xfId="18525"/>
    <cellStyle name="Comma 2 4 2 2 2 2 2 4 3 2 2" xfId="39568"/>
    <cellStyle name="Comma 2 4 2 2 2 2 2 4 3 2 3" xfId="33145"/>
    <cellStyle name="Comma 2 4 2 2 2 2 2 4 3 3" xfId="23015"/>
    <cellStyle name="Comma 2 4 2 2 2 2 2 4 3 3 2" xfId="36361"/>
    <cellStyle name="Comma 2 4 2 2 2 2 2 4 3 4" xfId="29938"/>
    <cellStyle name="Comma 2 4 2 2 2 2 2 4 3 5" xfId="43844"/>
    <cellStyle name="Comma 2 4 2 2 2 2 2 4 4" xfId="7014"/>
    <cellStyle name="Comma 2 4 2 2 2 2 2 4 4 2" xfId="17517"/>
    <cellStyle name="Comma 2 4 2 2 2 2 2 4 4 2 2" xfId="38566"/>
    <cellStyle name="Comma 2 4 2 2 2 2 2 4 4 3" xfId="32143"/>
    <cellStyle name="Comma 2 4 2 2 2 2 2 4 5" xfId="16671"/>
    <cellStyle name="Comma 2 4 2 2 2 2 2 4 5 2" xfId="35359"/>
    <cellStyle name="Comma 2 4 2 2 2 2 2 4 6" xfId="20691"/>
    <cellStyle name="Comma 2 4 2 2 2 2 2 4 7" xfId="28936"/>
    <cellStyle name="Comma 2 4 2 2 2 2 2 4 8" xfId="41710"/>
    <cellStyle name="Comma 2 4 2 2 2 2 2 5" xfId="5006"/>
    <cellStyle name="Comma 2 4 2 2 2 2 2 5 2" xfId="10867"/>
    <cellStyle name="Comma 2 4 2 2 2 2 2 5 2 2" xfId="19666"/>
    <cellStyle name="Comma 2 4 2 2 2 2 2 5 2 2 2" xfId="40709"/>
    <cellStyle name="Comma 2 4 2 2 2 2 2 5 2 2 3" xfId="34286"/>
    <cellStyle name="Comma 2 4 2 2 2 2 2 5 2 3" xfId="21865"/>
    <cellStyle name="Comma 2 4 2 2 2 2 2 5 2 3 2" xfId="37502"/>
    <cellStyle name="Comma 2 4 2 2 2 2 2 5 2 4" xfId="31079"/>
    <cellStyle name="Comma 2 4 2 2 2 2 2 5 2 5" xfId="42844"/>
    <cellStyle name="Comma 2 4 2 2 2 2 2 5 3" xfId="8066"/>
    <cellStyle name="Comma 2 4 2 2 2 2 2 5 3 2" xfId="18526"/>
    <cellStyle name="Comma 2 4 2 2 2 2 2 5 3 2 2" xfId="39569"/>
    <cellStyle name="Comma 2 4 2 2 2 2 2 5 3 2 3" xfId="33146"/>
    <cellStyle name="Comma 2 4 2 2 2 2 2 5 3 3" xfId="23016"/>
    <cellStyle name="Comma 2 4 2 2 2 2 2 5 3 3 2" xfId="36362"/>
    <cellStyle name="Comma 2 4 2 2 2 2 2 5 3 4" xfId="29939"/>
    <cellStyle name="Comma 2 4 2 2 2 2 2 5 3 5" xfId="43845"/>
    <cellStyle name="Comma 2 4 2 2 2 2 2 5 4" xfId="7015"/>
    <cellStyle name="Comma 2 4 2 2 2 2 2 5 4 2" xfId="17518"/>
    <cellStyle name="Comma 2 4 2 2 2 2 2 5 4 2 2" xfId="38567"/>
    <cellStyle name="Comma 2 4 2 2 2 2 2 5 4 3" xfId="32144"/>
    <cellStyle name="Comma 2 4 2 2 2 2 2 5 5" xfId="16821"/>
    <cellStyle name="Comma 2 4 2 2 2 2 2 5 5 2" xfId="35360"/>
    <cellStyle name="Comma 2 4 2 2 2 2 2 5 6" xfId="20692"/>
    <cellStyle name="Comma 2 4 2 2 2 2 2 5 7" xfId="28937"/>
    <cellStyle name="Comma 2 4 2 2 2 2 2 5 8" xfId="41711"/>
    <cellStyle name="Comma 2 4 2 2 2 2 2 6" xfId="5721"/>
    <cellStyle name="Comma 2 4 2 2 2 2 2 6 2" xfId="10868"/>
    <cellStyle name="Comma 2 4 2 2 2 2 2 6 2 2" xfId="19667"/>
    <cellStyle name="Comma 2 4 2 2 2 2 2 6 2 2 2" xfId="40710"/>
    <cellStyle name="Comma 2 4 2 2 2 2 2 6 2 2 3" xfId="34287"/>
    <cellStyle name="Comma 2 4 2 2 2 2 2 6 2 3" xfId="21866"/>
    <cellStyle name="Comma 2 4 2 2 2 2 2 6 2 3 2" xfId="37503"/>
    <cellStyle name="Comma 2 4 2 2 2 2 2 6 2 4" xfId="31080"/>
    <cellStyle name="Comma 2 4 2 2 2 2 2 6 2 5" xfId="42845"/>
    <cellStyle name="Comma 2 4 2 2 2 2 2 6 3" xfId="8067"/>
    <cellStyle name="Comma 2 4 2 2 2 2 2 6 3 2" xfId="18527"/>
    <cellStyle name="Comma 2 4 2 2 2 2 2 6 3 2 2" xfId="39570"/>
    <cellStyle name="Comma 2 4 2 2 2 2 2 6 3 2 3" xfId="33147"/>
    <cellStyle name="Comma 2 4 2 2 2 2 2 6 3 3" xfId="23017"/>
    <cellStyle name="Comma 2 4 2 2 2 2 2 6 3 3 2" xfId="36363"/>
    <cellStyle name="Comma 2 4 2 2 2 2 2 6 3 4" xfId="29940"/>
    <cellStyle name="Comma 2 4 2 2 2 2 2 6 3 5" xfId="43846"/>
    <cellStyle name="Comma 2 4 2 2 2 2 2 6 4" xfId="7016"/>
    <cellStyle name="Comma 2 4 2 2 2 2 2 6 4 2" xfId="17519"/>
    <cellStyle name="Comma 2 4 2 2 2 2 2 6 4 2 2" xfId="38568"/>
    <cellStyle name="Comma 2 4 2 2 2 2 2 6 4 3" xfId="32145"/>
    <cellStyle name="Comma 2 4 2 2 2 2 2 6 5" xfId="16959"/>
    <cellStyle name="Comma 2 4 2 2 2 2 2 6 5 2" xfId="35361"/>
    <cellStyle name="Comma 2 4 2 2 2 2 2 6 6" xfId="20693"/>
    <cellStyle name="Comma 2 4 2 2 2 2 2 6 7" xfId="28938"/>
    <cellStyle name="Comma 2 4 2 2 2 2 2 6 8" xfId="41712"/>
    <cellStyle name="Comma 2 4 2 2 2 2 2 7" xfId="10214"/>
    <cellStyle name="Comma 2 4 2 2 2 2 2 7 2" xfId="19268"/>
    <cellStyle name="Comma 2 4 2 2 2 2 2 7 2 2" xfId="40311"/>
    <cellStyle name="Comma 2 4 2 2 2 2 2 7 2 3" xfId="33888"/>
    <cellStyle name="Comma 2 4 2 2 2 2 2 7 3" xfId="21468"/>
    <cellStyle name="Comma 2 4 2 2 2 2 2 7 3 2" xfId="37104"/>
    <cellStyle name="Comma 2 4 2 2 2 2 2 7 4" xfId="30681"/>
    <cellStyle name="Comma 2 4 2 2 2 2 2 7 5" xfId="42447"/>
    <cellStyle name="Comma 2 4 2 2 2 2 2 8" xfId="8062"/>
    <cellStyle name="Comma 2 4 2 2 2 2 2 8 2" xfId="18522"/>
    <cellStyle name="Comma 2 4 2 2 2 2 2 8 2 2" xfId="39565"/>
    <cellStyle name="Comma 2 4 2 2 2 2 2 8 2 3" xfId="33142"/>
    <cellStyle name="Comma 2 4 2 2 2 2 2 8 3" xfId="23012"/>
    <cellStyle name="Comma 2 4 2 2 2 2 2 8 3 2" xfId="36358"/>
    <cellStyle name="Comma 2 4 2 2 2 2 2 8 4" xfId="29935"/>
    <cellStyle name="Comma 2 4 2 2 2 2 2 8 5" xfId="43841"/>
    <cellStyle name="Comma 2 4 2 2 2 2 2 9" xfId="6614"/>
    <cellStyle name="Comma 2 4 2 2 2 2 2 9 2" xfId="17121"/>
    <cellStyle name="Comma 2 4 2 2 2 2 2 9 2 2" xfId="38174"/>
    <cellStyle name="Comma 2 4 2 2 2 2 2 9 3" xfId="31751"/>
    <cellStyle name="Comma 2 4 2 2 2 2 3" xfId="2102"/>
    <cellStyle name="Comma 2 4 2 2 2 2 3 10" xfId="20694"/>
    <cellStyle name="Comma 2 4 2 2 2 2 3 11" xfId="28939"/>
    <cellStyle name="Comma 2 4 2 2 2 2 3 12" xfId="41713"/>
    <cellStyle name="Comma 2 4 2 2 2 2 3 2" xfId="2972"/>
    <cellStyle name="Comma 2 4 2 2 2 2 3 2 2" xfId="10870"/>
    <cellStyle name="Comma 2 4 2 2 2 2 3 2 2 2" xfId="19669"/>
    <cellStyle name="Comma 2 4 2 2 2 2 3 2 2 2 2" xfId="40712"/>
    <cellStyle name="Comma 2 4 2 2 2 2 3 2 2 2 3" xfId="34289"/>
    <cellStyle name="Comma 2 4 2 2 2 2 3 2 2 3" xfId="21868"/>
    <cellStyle name="Comma 2 4 2 2 2 2 3 2 2 3 2" xfId="37505"/>
    <cellStyle name="Comma 2 4 2 2 2 2 3 2 2 4" xfId="31082"/>
    <cellStyle name="Comma 2 4 2 2 2 2 3 2 2 5" xfId="42847"/>
    <cellStyle name="Comma 2 4 2 2 2 2 3 2 3" xfId="8069"/>
    <cellStyle name="Comma 2 4 2 2 2 2 3 2 3 2" xfId="18529"/>
    <cellStyle name="Comma 2 4 2 2 2 2 3 2 3 2 2" xfId="39572"/>
    <cellStyle name="Comma 2 4 2 2 2 2 3 2 3 2 3" xfId="33149"/>
    <cellStyle name="Comma 2 4 2 2 2 2 3 2 3 3" xfId="23019"/>
    <cellStyle name="Comma 2 4 2 2 2 2 3 2 3 3 2" xfId="36365"/>
    <cellStyle name="Comma 2 4 2 2 2 2 3 2 3 4" xfId="29942"/>
    <cellStyle name="Comma 2 4 2 2 2 2 3 2 3 5" xfId="43848"/>
    <cellStyle name="Comma 2 4 2 2 2 2 3 2 4" xfId="7018"/>
    <cellStyle name="Comma 2 4 2 2 2 2 3 2 4 2" xfId="17521"/>
    <cellStyle name="Comma 2 4 2 2 2 2 3 2 4 2 2" xfId="38570"/>
    <cellStyle name="Comma 2 4 2 2 2 2 3 2 4 3" xfId="32147"/>
    <cellStyle name="Comma 2 4 2 2 2 2 3 2 5" xfId="16350"/>
    <cellStyle name="Comma 2 4 2 2 2 2 3 2 5 2" xfId="35363"/>
    <cellStyle name="Comma 2 4 2 2 2 2 3 2 6" xfId="20695"/>
    <cellStyle name="Comma 2 4 2 2 2 2 3 2 7" xfId="28940"/>
    <cellStyle name="Comma 2 4 2 2 2 2 3 2 8" xfId="41714"/>
    <cellStyle name="Comma 2 4 2 2 2 2 3 3" xfId="3842"/>
    <cellStyle name="Comma 2 4 2 2 2 2 3 3 2" xfId="10871"/>
    <cellStyle name="Comma 2 4 2 2 2 2 3 3 2 2" xfId="19670"/>
    <cellStyle name="Comma 2 4 2 2 2 2 3 3 2 2 2" xfId="40713"/>
    <cellStyle name="Comma 2 4 2 2 2 2 3 3 2 2 3" xfId="34290"/>
    <cellStyle name="Comma 2 4 2 2 2 2 3 3 2 3" xfId="21869"/>
    <cellStyle name="Comma 2 4 2 2 2 2 3 3 2 3 2" xfId="37506"/>
    <cellStyle name="Comma 2 4 2 2 2 2 3 3 2 4" xfId="31083"/>
    <cellStyle name="Comma 2 4 2 2 2 2 3 3 2 5" xfId="42848"/>
    <cellStyle name="Comma 2 4 2 2 2 2 3 3 3" xfId="8070"/>
    <cellStyle name="Comma 2 4 2 2 2 2 3 3 3 2" xfId="18530"/>
    <cellStyle name="Comma 2 4 2 2 2 2 3 3 3 2 2" xfId="39573"/>
    <cellStyle name="Comma 2 4 2 2 2 2 3 3 3 2 3" xfId="33150"/>
    <cellStyle name="Comma 2 4 2 2 2 2 3 3 3 3" xfId="23020"/>
    <cellStyle name="Comma 2 4 2 2 2 2 3 3 3 3 2" xfId="36366"/>
    <cellStyle name="Comma 2 4 2 2 2 2 3 3 3 4" xfId="29943"/>
    <cellStyle name="Comma 2 4 2 2 2 2 3 3 3 5" xfId="43849"/>
    <cellStyle name="Comma 2 4 2 2 2 2 3 3 4" xfId="7019"/>
    <cellStyle name="Comma 2 4 2 2 2 2 3 3 4 2" xfId="17522"/>
    <cellStyle name="Comma 2 4 2 2 2 2 3 3 4 2 2" xfId="38571"/>
    <cellStyle name="Comma 2 4 2 2 2 2 3 3 4 3" xfId="32148"/>
    <cellStyle name="Comma 2 4 2 2 2 2 3 3 5" xfId="16538"/>
    <cellStyle name="Comma 2 4 2 2 2 2 3 3 5 2" xfId="35364"/>
    <cellStyle name="Comma 2 4 2 2 2 2 3 3 6" xfId="20696"/>
    <cellStyle name="Comma 2 4 2 2 2 2 3 3 7" xfId="28941"/>
    <cellStyle name="Comma 2 4 2 2 2 2 3 3 8" xfId="41715"/>
    <cellStyle name="Comma 2 4 2 2 2 2 3 4" xfId="4720"/>
    <cellStyle name="Comma 2 4 2 2 2 2 3 4 2" xfId="10872"/>
    <cellStyle name="Comma 2 4 2 2 2 2 3 4 2 2" xfId="19671"/>
    <cellStyle name="Comma 2 4 2 2 2 2 3 4 2 2 2" xfId="40714"/>
    <cellStyle name="Comma 2 4 2 2 2 2 3 4 2 2 3" xfId="34291"/>
    <cellStyle name="Comma 2 4 2 2 2 2 3 4 2 3" xfId="21870"/>
    <cellStyle name="Comma 2 4 2 2 2 2 3 4 2 3 2" xfId="37507"/>
    <cellStyle name="Comma 2 4 2 2 2 2 3 4 2 4" xfId="31084"/>
    <cellStyle name="Comma 2 4 2 2 2 2 3 4 2 5" xfId="42849"/>
    <cellStyle name="Comma 2 4 2 2 2 2 3 4 3" xfId="8071"/>
    <cellStyle name="Comma 2 4 2 2 2 2 3 4 3 2" xfId="18531"/>
    <cellStyle name="Comma 2 4 2 2 2 2 3 4 3 2 2" xfId="39574"/>
    <cellStyle name="Comma 2 4 2 2 2 2 3 4 3 2 3" xfId="33151"/>
    <cellStyle name="Comma 2 4 2 2 2 2 3 4 3 3" xfId="23021"/>
    <cellStyle name="Comma 2 4 2 2 2 2 3 4 3 3 2" xfId="36367"/>
    <cellStyle name="Comma 2 4 2 2 2 2 3 4 3 4" xfId="29944"/>
    <cellStyle name="Comma 2 4 2 2 2 2 3 4 3 5" xfId="43850"/>
    <cellStyle name="Comma 2 4 2 2 2 2 3 4 4" xfId="7020"/>
    <cellStyle name="Comma 2 4 2 2 2 2 3 4 4 2" xfId="17523"/>
    <cellStyle name="Comma 2 4 2 2 2 2 3 4 4 2 2" xfId="38572"/>
    <cellStyle name="Comma 2 4 2 2 2 2 3 4 4 3" xfId="32149"/>
    <cellStyle name="Comma 2 4 2 2 2 2 3 4 5" xfId="16726"/>
    <cellStyle name="Comma 2 4 2 2 2 2 3 4 5 2" xfId="35365"/>
    <cellStyle name="Comma 2 4 2 2 2 2 3 4 6" xfId="20697"/>
    <cellStyle name="Comma 2 4 2 2 2 2 3 4 7" xfId="28942"/>
    <cellStyle name="Comma 2 4 2 2 2 2 3 4 8" xfId="41716"/>
    <cellStyle name="Comma 2 4 2 2 2 2 3 5" xfId="5985"/>
    <cellStyle name="Comma 2 4 2 2 2 2 3 5 2" xfId="10873"/>
    <cellStyle name="Comma 2 4 2 2 2 2 3 5 2 2" xfId="19672"/>
    <cellStyle name="Comma 2 4 2 2 2 2 3 5 2 2 2" xfId="40715"/>
    <cellStyle name="Comma 2 4 2 2 2 2 3 5 2 2 3" xfId="34292"/>
    <cellStyle name="Comma 2 4 2 2 2 2 3 5 2 3" xfId="21871"/>
    <cellStyle name="Comma 2 4 2 2 2 2 3 5 2 3 2" xfId="37508"/>
    <cellStyle name="Comma 2 4 2 2 2 2 3 5 2 4" xfId="31085"/>
    <cellStyle name="Comma 2 4 2 2 2 2 3 5 2 5" xfId="42850"/>
    <cellStyle name="Comma 2 4 2 2 2 2 3 5 3" xfId="8072"/>
    <cellStyle name="Comma 2 4 2 2 2 2 3 5 3 2" xfId="18532"/>
    <cellStyle name="Comma 2 4 2 2 2 2 3 5 3 2 2" xfId="39575"/>
    <cellStyle name="Comma 2 4 2 2 2 2 3 5 3 2 3" xfId="33152"/>
    <cellStyle name="Comma 2 4 2 2 2 2 3 5 3 3" xfId="23022"/>
    <cellStyle name="Comma 2 4 2 2 2 2 3 5 3 3 2" xfId="36368"/>
    <cellStyle name="Comma 2 4 2 2 2 2 3 5 3 4" xfId="29945"/>
    <cellStyle name="Comma 2 4 2 2 2 2 3 5 3 5" xfId="43851"/>
    <cellStyle name="Comma 2 4 2 2 2 2 3 5 4" xfId="7021"/>
    <cellStyle name="Comma 2 4 2 2 2 2 3 5 4 2" xfId="17524"/>
    <cellStyle name="Comma 2 4 2 2 2 2 3 5 4 2 2" xfId="38573"/>
    <cellStyle name="Comma 2 4 2 2 2 2 3 5 4 3" xfId="32150"/>
    <cellStyle name="Comma 2 4 2 2 2 2 3 5 5" xfId="17014"/>
    <cellStyle name="Comma 2 4 2 2 2 2 3 5 5 2" xfId="35366"/>
    <cellStyle name="Comma 2 4 2 2 2 2 3 5 6" xfId="20698"/>
    <cellStyle name="Comma 2 4 2 2 2 2 3 5 7" xfId="28943"/>
    <cellStyle name="Comma 2 4 2 2 2 2 3 5 8" xfId="41717"/>
    <cellStyle name="Comma 2 4 2 2 2 2 3 6" xfId="10869"/>
    <cellStyle name="Comma 2 4 2 2 2 2 3 6 2" xfId="19668"/>
    <cellStyle name="Comma 2 4 2 2 2 2 3 6 2 2" xfId="40711"/>
    <cellStyle name="Comma 2 4 2 2 2 2 3 6 2 3" xfId="34288"/>
    <cellStyle name="Comma 2 4 2 2 2 2 3 6 3" xfId="21867"/>
    <cellStyle name="Comma 2 4 2 2 2 2 3 6 3 2" xfId="37504"/>
    <cellStyle name="Comma 2 4 2 2 2 2 3 6 4" xfId="31081"/>
    <cellStyle name="Comma 2 4 2 2 2 2 3 6 5" xfId="42846"/>
    <cellStyle name="Comma 2 4 2 2 2 2 3 7" xfId="8068"/>
    <cellStyle name="Comma 2 4 2 2 2 2 3 7 2" xfId="18528"/>
    <cellStyle name="Comma 2 4 2 2 2 2 3 7 2 2" xfId="39571"/>
    <cellStyle name="Comma 2 4 2 2 2 2 3 7 2 3" xfId="33148"/>
    <cellStyle name="Comma 2 4 2 2 2 2 3 7 3" xfId="23018"/>
    <cellStyle name="Comma 2 4 2 2 2 2 3 7 3 2" xfId="36364"/>
    <cellStyle name="Comma 2 4 2 2 2 2 3 7 4" xfId="29941"/>
    <cellStyle name="Comma 2 4 2 2 2 2 3 7 5" xfId="43847"/>
    <cellStyle name="Comma 2 4 2 2 2 2 3 8" xfId="7017"/>
    <cellStyle name="Comma 2 4 2 2 2 2 3 8 2" xfId="17520"/>
    <cellStyle name="Comma 2 4 2 2 2 2 3 8 2 2" xfId="38569"/>
    <cellStyle name="Comma 2 4 2 2 2 2 3 8 3" xfId="32146"/>
    <cellStyle name="Comma 2 4 2 2 2 2 3 9" xfId="16161"/>
    <cellStyle name="Comma 2 4 2 2 2 2 3 9 2" xfId="35362"/>
    <cellStyle name="Comma 2 4 2 2 2 2 4" xfId="2467"/>
    <cellStyle name="Comma 2 4 2 2 2 2 4 2" xfId="10874"/>
    <cellStyle name="Comma 2 4 2 2 2 2 4 2 2" xfId="19673"/>
    <cellStyle name="Comma 2 4 2 2 2 2 4 2 2 2" xfId="40716"/>
    <cellStyle name="Comma 2 4 2 2 2 2 4 2 2 3" xfId="34293"/>
    <cellStyle name="Comma 2 4 2 2 2 2 4 2 3" xfId="21872"/>
    <cellStyle name="Comma 2 4 2 2 2 2 4 2 3 2" xfId="37509"/>
    <cellStyle name="Comma 2 4 2 2 2 2 4 2 4" xfId="31086"/>
    <cellStyle name="Comma 2 4 2 2 2 2 4 2 5" xfId="42851"/>
    <cellStyle name="Comma 2 4 2 2 2 2 4 3" xfId="8073"/>
    <cellStyle name="Comma 2 4 2 2 2 2 4 3 2" xfId="18533"/>
    <cellStyle name="Comma 2 4 2 2 2 2 4 3 2 2" xfId="39576"/>
    <cellStyle name="Comma 2 4 2 2 2 2 4 3 2 3" xfId="33153"/>
    <cellStyle name="Comma 2 4 2 2 2 2 4 3 3" xfId="23023"/>
    <cellStyle name="Comma 2 4 2 2 2 2 4 3 3 2" xfId="36369"/>
    <cellStyle name="Comma 2 4 2 2 2 2 4 3 4" xfId="29946"/>
    <cellStyle name="Comma 2 4 2 2 2 2 4 3 5" xfId="43852"/>
    <cellStyle name="Comma 2 4 2 2 2 2 4 4" xfId="7022"/>
    <cellStyle name="Comma 2 4 2 2 2 2 4 4 2" xfId="17525"/>
    <cellStyle name="Comma 2 4 2 2 2 2 4 4 2 2" xfId="38574"/>
    <cellStyle name="Comma 2 4 2 2 2 2 4 4 3" xfId="32151"/>
    <cellStyle name="Comma 2 4 2 2 2 2 4 5" xfId="16242"/>
    <cellStyle name="Comma 2 4 2 2 2 2 4 5 2" xfId="35367"/>
    <cellStyle name="Comma 2 4 2 2 2 2 4 6" xfId="20699"/>
    <cellStyle name="Comma 2 4 2 2 2 2 4 7" xfId="28944"/>
    <cellStyle name="Comma 2 4 2 2 2 2 4 8" xfId="41718"/>
    <cellStyle name="Comma 2 4 2 2 2 2 5" xfId="3330"/>
    <cellStyle name="Comma 2 4 2 2 2 2 5 2" xfId="10875"/>
    <cellStyle name="Comma 2 4 2 2 2 2 5 2 2" xfId="19674"/>
    <cellStyle name="Comma 2 4 2 2 2 2 5 2 2 2" xfId="40717"/>
    <cellStyle name="Comma 2 4 2 2 2 2 5 2 2 3" xfId="34294"/>
    <cellStyle name="Comma 2 4 2 2 2 2 5 2 3" xfId="21873"/>
    <cellStyle name="Comma 2 4 2 2 2 2 5 2 3 2" xfId="37510"/>
    <cellStyle name="Comma 2 4 2 2 2 2 5 2 4" xfId="31087"/>
    <cellStyle name="Comma 2 4 2 2 2 2 5 2 5" xfId="42852"/>
    <cellStyle name="Comma 2 4 2 2 2 2 5 3" xfId="8074"/>
    <cellStyle name="Comma 2 4 2 2 2 2 5 3 2" xfId="18534"/>
    <cellStyle name="Comma 2 4 2 2 2 2 5 3 2 2" xfId="39577"/>
    <cellStyle name="Comma 2 4 2 2 2 2 5 3 2 3" xfId="33154"/>
    <cellStyle name="Comma 2 4 2 2 2 2 5 3 3" xfId="23024"/>
    <cellStyle name="Comma 2 4 2 2 2 2 5 3 3 2" xfId="36370"/>
    <cellStyle name="Comma 2 4 2 2 2 2 5 3 4" xfId="29947"/>
    <cellStyle name="Comma 2 4 2 2 2 2 5 3 5" xfId="43853"/>
    <cellStyle name="Comma 2 4 2 2 2 2 5 4" xfId="7023"/>
    <cellStyle name="Comma 2 4 2 2 2 2 5 4 2" xfId="17526"/>
    <cellStyle name="Comma 2 4 2 2 2 2 5 4 2 2" xfId="38575"/>
    <cellStyle name="Comma 2 4 2 2 2 2 5 4 3" xfId="32152"/>
    <cellStyle name="Comma 2 4 2 2 2 2 5 5" xfId="16430"/>
    <cellStyle name="Comma 2 4 2 2 2 2 5 5 2" xfId="35368"/>
    <cellStyle name="Comma 2 4 2 2 2 2 5 6" xfId="20700"/>
    <cellStyle name="Comma 2 4 2 2 2 2 5 7" xfId="28945"/>
    <cellStyle name="Comma 2 4 2 2 2 2 5 8" xfId="41719"/>
    <cellStyle name="Comma 2 4 2 2 2 2 6" xfId="4198"/>
    <cellStyle name="Comma 2 4 2 2 2 2 6 2" xfId="10876"/>
    <cellStyle name="Comma 2 4 2 2 2 2 6 2 2" xfId="19675"/>
    <cellStyle name="Comma 2 4 2 2 2 2 6 2 2 2" xfId="40718"/>
    <cellStyle name="Comma 2 4 2 2 2 2 6 2 2 3" xfId="34295"/>
    <cellStyle name="Comma 2 4 2 2 2 2 6 2 3" xfId="21874"/>
    <cellStyle name="Comma 2 4 2 2 2 2 6 2 3 2" xfId="37511"/>
    <cellStyle name="Comma 2 4 2 2 2 2 6 2 4" xfId="31088"/>
    <cellStyle name="Comma 2 4 2 2 2 2 6 2 5" xfId="42853"/>
    <cellStyle name="Comma 2 4 2 2 2 2 6 3" xfId="8075"/>
    <cellStyle name="Comma 2 4 2 2 2 2 6 3 2" xfId="18535"/>
    <cellStyle name="Comma 2 4 2 2 2 2 6 3 2 2" xfId="39578"/>
    <cellStyle name="Comma 2 4 2 2 2 2 6 3 2 3" xfId="33155"/>
    <cellStyle name="Comma 2 4 2 2 2 2 6 3 3" xfId="23025"/>
    <cellStyle name="Comma 2 4 2 2 2 2 6 3 3 2" xfId="36371"/>
    <cellStyle name="Comma 2 4 2 2 2 2 6 3 4" xfId="29948"/>
    <cellStyle name="Comma 2 4 2 2 2 2 6 3 5" xfId="43854"/>
    <cellStyle name="Comma 2 4 2 2 2 2 6 4" xfId="7024"/>
    <cellStyle name="Comma 2 4 2 2 2 2 6 4 2" xfId="17527"/>
    <cellStyle name="Comma 2 4 2 2 2 2 6 4 2 2" xfId="38576"/>
    <cellStyle name="Comma 2 4 2 2 2 2 6 4 3" xfId="32153"/>
    <cellStyle name="Comma 2 4 2 2 2 2 6 5" xfId="16618"/>
    <cellStyle name="Comma 2 4 2 2 2 2 6 5 2" xfId="35369"/>
    <cellStyle name="Comma 2 4 2 2 2 2 6 6" xfId="20701"/>
    <cellStyle name="Comma 2 4 2 2 2 2 6 7" xfId="28946"/>
    <cellStyle name="Comma 2 4 2 2 2 2 6 8" xfId="41720"/>
    <cellStyle name="Comma 2 4 2 2 2 2 7" xfId="5005"/>
    <cellStyle name="Comma 2 4 2 2 2 2 7 2" xfId="10877"/>
    <cellStyle name="Comma 2 4 2 2 2 2 7 2 2" xfId="19676"/>
    <cellStyle name="Comma 2 4 2 2 2 2 7 2 2 2" xfId="40719"/>
    <cellStyle name="Comma 2 4 2 2 2 2 7 2 2 3" xfId="34296"/>
    <cellStyle name="Comma 2 4 2 2 2 2 7 2 3" xfId="21875"/>
    <cellStyle name="Comma 2 4 2 2 2 2 7 2 3 2" xfId="37512"/>
    <cellStyle name="Comma 2 4 2 2 2 2 7 2 4" xfId="31089"/>
    <cellStyle name="Comma 2 4 2 2 2 2 7 2 5" xfId="42854"/>
    <cellStyle name="Comma 2 4 2 2 2 2 7 3" xfId="8076"/>
    <cellStyle name="Comma 2 4 2 2 2 2 7 3 2" xfId="18536"/>
    <cellStyle name="Comma 2 4 2 2 2 2 7 3 2 2" xfId="39579"/>
    <cellStyle name="Comma 2 4 2 2 2 2 7 3 2 3" xfId="33156"/>
    <cellStyle name="Comma 2 4 2 2 2 2 7 3 3" xfId="23026"/>
    <cellStyle name="Comma 2 4 2 2 2 2 7 3 3 2" xfId="36372"/>
    <cellStyle name="Comma 2 4 2 2 2 2 7 3 4" xfId="29949"/>
    <cellStyle name="Comma 2 4 2 2 2 2 7 3 5" xfId="43855"/>
    <cellStyle name="Comma 2 4 2 2 2 2 7 4" xfId="7025"/>
    <cellStyle name="Comma 2 4 2 2 2 2 7 4 2" xfId="17528"/>
    <cellStyle name="Comma 2 4 2 2 2 2 7 4 2 2" xfId="38577"/>
    <cellStyle name="Comma 2 4 2 2 2 2 7 4 3" xfId="32154"/>
    <cellStyle name="Comma 2 4 2 2 2 2 7 5" xfId="16820"/>
    <cellStyle name="Comma 2 4 2 2 2 2 7 5 2" xfId="35370"/>
    <cellStyle name="Comma 2 4 2 2 2 2 7 6" xfId="20702"/>
    <cellStyle name="Comma 2 4 2 2 2 2 7 7" xfId="28947"/>
    <cellStyle name="Comma 2 4 2 2 2 2 7 8" xfId="41721"/>
    <cellStyle name="Comma 2 4 2 2 2 2 8" xfId="5460"/>
    <cellStyle name="Comma 2 4 2 2 2 2 8 2" xfId="10878"/>
    <cellStyle name="Comma 2 4 2 2 2 2 8 2 2" xfId="19677"/>
    <cellStyle name="Comma 2 4 2 2 2 2 8 2 2 2" xfId="40720"/>
    <cellStyle name="Comma 2 4 2 2 2 2 8 2 2 3" xfId="34297"/>
    <cellStyle name="Comma 2 4 2 2 2 2 8 2 3" xfId="21876"/>
    <cellStyle name="Comma 2 4 2 2 2 2 8 2 3 2" xfId="37513"/>
    <cellStyle name="Comma 2 4 2 2 2 2 8 2 4" xfId="31090"/>
    <cellStyle name="Comma 2 4 2 2 2 2 8 2 5" xfId="42855"/>
    <cellStyle name="Comma 2 4 2 2 2 2 8 3" xfId="8077"/>
    <cellStyle name="Comma 2 4 2 2 2 2 8 3 2" xfId="18537"/>
    <cellStyle name="Comma 2 4 2 2 2 2 8 3 2 2" xfId="39580"/>
    <cellStyle name="Comma 2 4 2 2 2 2 8 3 2 3" xfId="33157"/>
    <cellStyle name="Comma 2 4 2 2 2 2 8 3 3" xfId="23027"/>
    <cellStyle name="Comma 2 4 2 2 2 2 8 3 3 2" xfId="36373"/>
    <cellStyle name="Comma 2 4 2 2 2 2 8 3 4" xfId="29950"/>
    <cellStyle name="Comma 2 4 2 2 2 2 8 3 5" xfId="43856"/>
    <cellStyle name="Comma 2 4 2 2 2 2 8 4" xfId="7026"/>
    <cellStyle name="Comma 2 4 2 2 2 2 8 4 2" xfId="17529"/>
    <cellStyle name="Comma 2 4 2 2 2 2 8 4 2 2" xfId="38578"/>
    <cellStyle name="Comma 2 4 2 2 2 2 8 4 3" xfId="32155"/>
    <cellStyle name="Comma 2 4 2 2 2 2 8 5" xfId="16906"/>
    <cellStyle name="Comma 2 4 2 2 2 2 8 5 2" xfId="35371"/>
    <cellStyle name="Comma 2 4 2 2 2 2 8 6" xfId="20703"/>
    <cellStyle name="Comma 2 4 2 2 2 2 8 7" xfId="28948"/>
    <cellStyle name="Comma 2 4 2 2 2 2 8 8" xfId="41722"/>
    <cellStyle name="Comma 2 4 2 2 2 2 9" xfId="10189"/>
    <cellStyle name="Comma 2 4 2 2 2 2 9 2" xfId="19244"/>
    <cellStyle name="Comma 2 4 2 2 2 2 9 2 2" xfId="40287"/>
    <cellStyle name="Comma 2 4 2 2 2 2 9 2 3" xfId="33864"/>
    <cellStyle name="Comma 2 4 2 2 2 2 9 3" xfId="21444"/>
    <cellStyle name="Comma 2 4 2 2 2 2 9 3 2" xfId="37080"/>
    <cellStyle name="Comma 2 4 2 2 2 2 9 4" xfId="30657"/>
    <cellStyle name="Comma 2 4 2 2 2 2 9 5" xfId="42423"/>
    <cellStyle name="Comma 2 4 2 2 2 3" xfId="1826"/>
    <cellStyle name="Comma 2 4 2 2 2 3 10" xfId="16104"/>
    <cellStyle name="Comma 2 4 2 2 2 3 10 2" xfId="34957"/>
    <cellStyle name="Comma 2 4 2 2 2 3 11" xfId="20704"/>
    <cellStyle name="Comma 2 4 2 2 2 3 12" xfId="28532"/>
    <cellStyle name="Comma 2 4 2 2 2 3 13" xfId="41723"/>
    <cellStyle name="Comma 2 4 2 2 2 3 2" xfId="2716"/>
    <cellStyle name="Comma 2 4 2 2 2 3 2 2" xfId="10879"/>
    <cellStyle name="Comma 2 4 2 2 2 3 2 2 2" xfId="19678"/>
    <cellStyle name="Comma 2 4 2 2 2 3 2 2 2 2" xfId="40721"/>
    <cellStyle name="Comma 2 4 2 2 2 3 2 2 2 3" xfId="34298"/>
    <cellStyle name="Comma 2 4 2 2 2 3 2 2 3" xfId="21877"/>
    <cellStyle name="Comma 2 4 2 2 2 3 2 2 3 2" xfId="37514"/>
    <cellStyle name="Comma 2 4 2 2 2 3 2 2 4" xfId="31091"/>
    <cellStyle name="Comma 2 4 2 2 2 3 2 2 5" xfId="42856"/>
    <cellStyle name="Comma 2 4 2 2 2 3 2 3" xfId="8079"/>
    <cellStyle name="Comma 2 4 2 2 2 3 2 3 2" xfId="18539"/>
    <cellStyle name="Comma 2 4 2 2 2 3 2 3 2 2" xfId="39582"/>
    <cellStyle name="Comma 2 4 2 2 2 3 2 3 2 3" xfId="33159"/>
    <cellStyle name="Comma 2 4 2 2 2 3 2 3 3" xfId="23029"/>
    <cellStyle name="Comma 2 4 2 2 2 3 2 3 3 2" xfId="36375"/>
    <cellStyle name="Comma 2 4 2 2 2 3 2 3 4" xfId="29952"/>
    <cellStyle name="Comma 2 4 2 2 2 3 2 3 5" xfId="43858"/>
    <cellStyle name="Comma 2 4 2 2 2 3 2 4" xfId="7027"/>
    <cellStyle name="Comma 2 4 2 2 2 3 2 4 2" xfId="17530"/>
    <cellStyle name="Comma 2 4 2 2 2 3 2 4 2 2" xfId="38579"/>
    <cellStyle name="Comma 2 4 2 2 2 3 2 4 3" xfId="32156"/>
    <cellStyle name="Comma 2 4 2 2 2 3 2 5" xfId="16294"/>
    <cellStyle name="Comma 2 4 2 2 2 3 2 5 2" xfId="35372"/>
    <cellStyle name="Comma 2 4 2 2 2 3 2 6" xfId="20705"/>
    <cellStyle name="Comma 2 4 2 2 2 3 2 7" xfId="28949"/>
    <cellStyle name="Comma 2 4 2 2 2 3 2 8" xfId="41724"/>
    <cellStyle name="Comma 2 4 2 2 2 3 3" xfId="3580"/>
    <cellStyle name="Comma 2 4 2 2 2 3 3 2" xfId="10880"/>
    <cellStyle name="Comma 2 4 2 2 2 3 3 2 2" xfId="19679"/>
    <cellStyle name="Comma 2 4 2 2 2 3 3 2 2 2" xfId="40722"/>
    <cellStyle name="Comma 2 4 2 2 2 3 3 2 2 3" xfId="34299"/>
    <cellStyle name="Comma 2 4 2 2 2 3 3 2 3" xfId="21878"/>
    <cellStyle name="Comma 2 4 2 2 2 3 3 2 3 2" xfId="37515"/>
    <cellStyle name="Comma 2 4 2 2 2 3 3 2 4" xfId="31092"/>
    <cellStyle name="Comma 2 4 2 2 2 3 3 2 5" xfId="42857"/>
    <cellStyle name="Comma 2 4 2 2 2 3 3 3" xfId="8080"/>
    <cellStyle name="Comma 2 4 2 2 2 3 3 3 2" xfId="18540"/>
    <cellStyle name="Comma 2 4 2 2 2 3 3 3 2 2" xfId="39583"/>
    <cellStyle name="Comma 2 4 2 2 2 3 3 3 2 3" xfId="33160"/>
    <cellStyle name="Comma 2 4 2 2 2 3 3 3 3" xfId="23030"/>
    <cellStyle name="Comma 2 4 2 2 2 3 3 3 3 2" xfId="36376"/>
    <cellStyle name="Comma 2 4 2 2 2 3 3 3 4" xfId="29953"/>
    <cellStyle name="Comma 2 4 2 2 2 3 3 3 5" xfId="43859"/>
    <cellStyle name="Comma 2 4 2 2 2 3 3 4" xfId="7028"/>
    <cellStyle name="Comma 2 4 2 2 2 3 3 4 2" xfId="17531"/>
    <cellStyle name="Comma 2 4 2 2 2 3 3 4 2 2" xfId="38580"/>
    <cellStyle name="Comma 2 4 2 2 2 3 3 4 3" xfId="32157"/>
    <cellStyle name="Comma 2 4 2 2 2 3 3 5" xfId="16482"/>
    <cellStyle name="Comma 2 4 2 2 2 3 3 5 2" xfId="35373"/>
    <cellStyle name="Comma 2 4 2 2 2 3 3 6" xfId="20706"/>
    <cellStyle name="Comma 2 4 2 2 2 3 3 7" xfId="28950"/>
    <cellStyle name="Comma 2 4 2 2 2 3 3 8" xfId="41725"/>
    <cellStyle name="Comma 2 4 2 2 2 3 4" xfId="4455"/>
    <cellStyle name="Comma 2 4 2 2 2 3 4 2" xfId="10881"/>
    <cellStyle name="Comma 2 4 2 2 2 3 4 2 2" xfId="19680"/>
    <cellStyle name="Comma 2 4 2 2 2 3 4 2 2 2" xfId="40723"/>
    <cellStyle name="Comma 2 4 2 2 2 3 4 2 2 3" xfId="34300"/>
    <cellStyle name="Comma 2 4 2 2 2 3 4 2 3" xfId="21879"/>
    <cellStyle name="Comma 2 4 2 2 2 3 4 2 3 2" xfId="37516"/>
    <cellStyle name="Comma 2 4 2 2 2 3 4 2 4" xfId="31093"/>
    <cellStyle name="Comma 2 4 2 2 2 3 4 2 5" xfId="42858"/>
    <cellStyle name="Comma 2 4 2 2 2 3 4 3" xfId="8081"/>
    <cellStyle name="Comma 2 4 2 2 2 3 4 3 2" xfId="18541"/>
    <cellStyle name="Comma 2 4 2 2 2 3 4 3 2 2" xfId="39584"/>
    <cellStyle name="Comma 2 4 2 2 2 3 4 3 2 3" xfId="33161"/>
    <cellStyle name="Comma 2 4 2 2 2 3 4 3 3" xfId="23031"/>
    <cellStyle name="Comma 2 4 2 2 2 3 4 3 3 2" xfId="36377"/>
    <cellStyle name="Comma 2 4 2 2 2 3 4 3 4" xfId="29954"/>
    <cellStyle name="Comma 2 4 2 2 2 3 4 3 5" xfId="43860"/>
    <cellStyle name="Comma 2 4 2 2 2 3 4 4" xfId="7029"/>
    <cellStyle name="Comma 2 4 2 2 2 3 4 4 2" xfId="17532"/>
    <cellStyle name="Comma 2 4 2 2 2 3 4 4 2 2" xfId="38581"/>
    <cellStyle name="Comma 2 4 2 2 2 3 4 4 3" xfId="32158"/>
    <cellStyle name="Comma 2 4 2 2 2 3 4 5" xfId="16670"/>
    <cellStyle name="Comma 2 4 2 2 2 3 4 5 2" xfId="35374"/>
    <cellStyle name="Comma 2 4 2 2 2 3 4 6" xfId="20707"/>
    <cellStyle name="Comma 2 4 2 2 2 3 4 7" xfId="28951"/>
    <cellStyle name="Comma 2 4 2 2 2 3 4 8" xfId="41726"/>
    <cellStyle name="Comma 2 4 2 2 2 3 5" xfId="5007"/>
    <cellStyle name="Comma 2 4 2 2 2 3 5 2" xfId="10882"/>
    <cellStyle name="Comma 2 4 2 2 2 3 5 2 2" xfId="19681"/>
    <cellStyle name="Comma 2 4 2 2 2 3 5 2 2 2" xfId="40724"/>
    <cellStyle name="Comma 2 4 2 2 2 3 5 2 2 3" xfId="34301"/>
    <cellStyle name="Comma 2 4 2 2 2 3 5 2 3" xfId="21880"/>
    <cellStyle name="Comma 2 4 2 2 2 3 5 2 3 2" xfId="37517"/>
    <cellStyle name="Comma 2 4 2 2 2 3 5 2 4" xfId="31094"/>
    <cellStyle name="Comma 2 4 2 2 2 3 5 2 5" xfId="42859"/>
    <cellStyle name="Comma 2 4 2 2 2 3 5 3" xfId="8082"/>
    <cellStyle name="Comma 2 4 2 2 2 3 5 3 2" xfId="18542"/>
    <cellStyle name="Comma 2 4 2 2 2 3 5 3 2 2" xfId="39585"/>
    <cellStyle name="Comma 2 4 2 2 2 3 5 3 2 3" xfId="33162"/>
    <cellStyle name="Comma 2 4 2 2 2 3 5 3 3" xfId="23032"/>
    <cellStyle name="Comma 2 4 2 2 2 3 5 3 3 2" xfId="36378"/>
    <cellStyle name="Comma 2 4 2 2 2 3 5 3 4" xfId="29955"/>
    <cellStyle name="Comma 2 4 2 2 2 3 5 3 5" xfId="43861"/>
    <cellStyle name="Comma 2 4 2 2 2 3 5 4" xfId="7030"/>
    <cellStyle name="Comma 2 4 2 2 2 3 5 4 2" xfId="17533"/>
    <cellStyle name="Comma 2 4 2 2 2 3 5 4 2 2" xfId="38582"/>
    <cellStyle name="Comma 2 4 2 2 2 3 5 4 3" xfId="32159"/>
    <cellStyle name="Comma 2 4 2 2 2 3 5 5" xfId="16822"/>
    <cellStyle name="Comma 2 4 2 2 2 3 5 5 2" xfId="35375"/>
    <cellStyle name="Comma 2 4 2 2 2 3 5 6" xfId="20708"/>
    <cellStyle name="Comma 2 4 2 2 2 3 5 7" xfId="28952"/>
    <cellStyle name="Comma 2 4 2 2 2 3 5 8" xfId="41727"/>
    <cellStyle name="Comma 2 4 2 2 2 3 6" xfId="5720"/>
    <cellStyle name="Comma 2 4 2 2 2 3 6 2" xfId="10883"/>
    <cellStyle name="Comma 2 4 2 2 2 3 6 2 2" xfId="19682"/>
    <cellStyle name="Comma 2 4 2 2 2 3 6 2 2 2" xfId="40725"/>
    <cellStyle name="Comma 2 4 2 2 2 3 6 2 2 3" xfId="34302"/>
    <cellStyle name="Comma 2 4 2 2 2 3 6 2 3" xfId="21881"/>
    <cellStyle name="Comma 2 4 2 2 2 3 6 2 3 2" xfId="37518"/>
    <cellStyle name="Comma 2 4 2 2 2 3 6 2 4" xfId="31095"/>
    <cellStyle name="Comma 2 4 2 2 2 3 6 2 5" xfId="42860"/>
    <cellStyle name="Comma 2 4 2 2 2 3 6 3" xfId="8083"/>
    <cellStyle name="Comma 2 4 2 2 2 3 6 3 2" xfId="18543"/>
    <cellStyle name="Comma 2 4 2 2 2 3 6 3 2 2" xfId="39586"/>
    <cellStyle name="Comma 2 4 2 2 2 3 6 3 2 3" xfId="33163"/>
    <cellStyle name="Comma 2 4 2 2 2 3 6 3 3" xfId="23033"/>
    <cellStyle name="Comma 2 4 2 2 2 3 6 3 3 2" xfId="36379"/>
    <cellStyle name="Comma 2 4 2 2 2 3 6 3 4" xfId="29956"/>
    <cellStyle name="Comma 2 4 2 2 2 3 6 3 5" xfId="43862"/>
    <cellStyle name="Comma 2 4 2 2 2 3 6 4" xfId="7031"/>
    <cellStyle name="Comma 2 4 2 2 2 3 6 4 2" xfId="17534"/>
    <cellStyle name="Comma 2 4 2 2 2 3 6 4 2 2" xfId="38583"/>
    <cellStyle name="Comma 2 4 2 2 2 3 6 4 3" xfId="32160"/>
    <cellStyle name="Comma 2 4 2 2 2 3 6 5" xfId="16958"/>
    <cellStyle name="Comma 2 4 2 2 2 3 6 5 2" xfId="35376"/>
    <cellStyle name="Comma 2 4 2 2 2 3 6 6" xfId="20709"/>
    <cellStyle name="Comma 2 4 2 2 2 3 6 7" xfId="28953"/>
    <cellStyle name="Comma 2 4 2 2 2 3 6 8" xfId="41728"/>
    <cellStyle name="Comma 2 4 2 2 2 3 7" xfId="10204"/>
    <cellStyle name="Comma 2 4 2 2 2 3 7 2" xfId="19258"/>
    <cellStyle name="Comma 2 4 2 2 2 3 7 2 2" xfId="40301"/>
    <cellStyle name="Comma 2 4 2 2 2 3 7 2 3" xfId="33878"/>
    <cellStyle name="Comma 2 4 2 2 2 3 7 3" xfId="21458"/>
    <cellStyle name="Comma 2 4 2 2 2 3 7 3 2" xfId="37094"/>
    <cellStyle name="Comma 2 4 2 2 2 3 7 4" xfId="30671"/>
    <cellStyle name="Comma 2 4 2 2 2 3 7 5" xfId="42437"/>
    <cellStyle name="Comma 2 4 2 2 2 3 8" xfId="8078"/>
    <cellStyle name="Comma 2 4 2 2 2 3 8 2" xfId="18538"/>
    <cellStyle name="Comma 2 4 2 2 2 3 8 2 2" xfId="39581"/>
    <cellStyle name="Comma 2 4 2 2 2 3 8 2 3" xfId="33158"/>
    <cellStyle name="Comma 2 4 2 2 2 3 8 3" xfId="23028"/>
    <cellStyle name="Comma 2 4 2 2 2 3 8 3 2" xfId="36374"/>
    <cellStyle name="Comma 2 4 2 2 2 3 8 4" xfId="29951"/>
    <cellStyle name="Comma 2 4 2 2 2 3 8 5" xfId="43857"/>
    <cellStyle name="Comma 2 4 2 2 2 3 9" xfId="6604"/>
    <cellStyle name="Comma 2 4 2 2 2 3 9 2" xfId="17111"/>
    <cellStyle name="Comma 2 4 2 2 2 3 9 2 2" xfId="38164"/>
    <cellStyle name="Comma 2 4 2 2 2 3 9 3" xfId="31741"/>
    <cellStyle name="Comma 2 4 2 2 2 4" xfId="2101"/>
    <cellStyle name="Comma 2 4 2 2 2 4 10" xfId="20710"/>
    <cellStyle name="Comma 2 4 2 2 2 4 11" xfId="28954"/>
    <cellStyle name="Comma 2 4 2 2 2 4 12" xfId="41729"/>
    <cellStyle name="Comma 2 4 2 2 2 4 2" xfId="2971"/>
    <cellStyle name="Comma 2 4 2 2 2 4 2 2" xfId="10885"/>
    <cellStyle name="Comma 2 4 2 2 2 4 2 2 2" xfId="19684"/>
    <cellStyle name="Comma 2 4 2 2 2 4 2 2 2 2" xfId="40727"/>
    <cellStyle name="Comma 2 4 2 2 2 4 2 2 2 3" xfId="34304"/>
    <cellStyle name="Comma 2 4 2 2 2 4 2 2 3" xfId="21883"/>
    <cellStyle name="Comma 2 4 2 2 2 4 2 2 3 2" xfId="37520"/>
    <cellStyle name="Comma 2 4 2 2 2 4 2 2 4" xfId="31097"/>
    <cellStyle name="Comma 2 4 2 2 2 4 2 2 5" xfId="42862"/>
    <cellStyle name="Comma 2 4 2 2 2 4 2 3" xfId="8085"/>
    <cellStyle name="Comma 2 4 2 2 2 4 2 3 2" xfId="18545"/>
    <cellStyle name="Comma 2 4 2 2 2 4 2 3 2 2" xfId="39588"/>
    <cellStyle name="Comma 2 4 2 2 2 4 2 3 2 3" xfId="33165"/>
    <cellStyle name="Comma 2 4 2 2 2 4 2 3 3" xfId="23035"/>
    <cellStyle name="Comma 2 4 2 2 2 4 2 3 3 2" xfId="36381"/>
    <cellStyle name="Comma 2 4 2 2 2 4 2 3 4" xfId="29958"/>
    <cellStyle name="Comma 2 4 2 2 2 4 2 3 5" xfId="43864"/>
    <cellStyle name="Comma 2 4 2 2 2 4 2 4" xfId="7033"/>
    <cellStyle name="Comma 2 4 2 2 2 4 2 4 2" xfId="17536"/>
    <cellStyle name="Comma 2 4 2 2 2 4 2 4 2 2" xfId="38585"/>
    <cellStyle name="Comma 2 4 2 2 2 4 2 4 3" xfId="32162"/>
    <cellStyle name="Comma 2 4 2 2 2 4 2 5" xfId="16349"/>
    <cellStyle name="Comma 2 4 2 2 2 4 2 5 2" xfId="35378"/>
    <cellStyle name="Comma 2 4 2 2 2 4 2 6" xfId="20711"/>
    <cellStyle name="Comma 2 4 2 2 2 4 2 7" xfId="28955"/>
    <cellStyle name="Comma 2 4 2 2 2 4 2 8" xfId="41730"/>
    <cellStyle name="Comma 2 4 2 2 2 4 3" xfId="3841"/>
    <cellStyle name="Comma 2 4 2 2 2 4 3 2" xfId="10886"/>
    <cellStyle name="Comma 2 4 2 2 2 4 3 2 2" xfId="19685"/>
    <cellStyle name="Comma 2 4 2 2 2 4 3 2 2 2" xfId="40728"/>
    <cellStyle name="Comma 2 4 2 2 2 4 3 2 2 3" xfId="34305"/>
    <cellStyle name="Comma 2 4 2 2 2 4 3 2 3" xfId="21884"/>
    <cellStyle name="Comma 2 4 2 2 2 4 3 2 3 2" xfId="37521"/>
    <cellStyle name="Comma 2 4 2 2 2 4 3 2 4" xfId="31098"/>
    <cellStyle name="Comma 2 4 2 2 2 4 3 2 5" xfId="42863"/>
    <cellStyle name="Comma 2 4 2 2 2 4 3 3" xfId="8086"/>
    <cellStyle name="Comma 2 4 2 2 2 4 3 3 2" xfId="18546"/>
    <cellStyle name="Comma 2 4 2 2 2 4 3 3 2 2" xfId="39589"/>
    <cellStyle name="Comma 2 4 2 2 2 4 3 3 2 3" xfId="33166"/>
    <cellStyle name="Comma 2 4 2 2 2 4 3 3 3" xfId="23036"/>
    <cellStyle name="Comma 2 4 2 2 2 4 3 3 3 2" xfId="36382"/>
    <cellStyle name="Comma 2 4 2 2 2 4 3 3 4" xfId="29959"/>
    <cellStyle name="Comma 2 4 2 2 2 4 3 3 5" xfId="43865"/>
    <cellStyle name="Comma 2 4 2 2 2 4 3 4" xfId="7034"/>
    <cellStyle name="Comma 2 4 2 2 2 4 3 4 2" xfId="17537"/>
    <cellStyle name="Comma 2 4 2 2 2 4 3 4 2 2" xfId="38586"/>
    <cellStyle name="Comma 2 4 2 2 2 4 3 4 3" xfId="32163"/>
    <cellStyle name="Comma 2 4 2 2 2 4 3 5" xfId="16537"/>
    <cellStyle name="Comma 2 4 2 2 2 4 3 5 2" xfId="35379"/>
    <cellStyle name="Comma 2 4 2 2 2 4 3 6" xfId="20712"/>
    <cellStyle name="Comma 2 4 2 2 2 4 3 7" xfId="28956"/>
    <cellStyle name="Comma 2 4 2 2 2 4 3 8" xfId="41731"/>
    <cellStyle name="Comma 2 4 2 2 2 4 4" xfId="4719"/>
    <cellStyle name="Comma 2 4 2 2 2 4 4 2" xfId="10887"/>
    <cellStyle name="Comma 2 4 2 2 2 4 4 2 2" xfId="19686"/>
    <cellStyle name="Comma 2 4 2 2 2 4 4 2 2 2" xfId="40729"/>
    <cellStyle name="Comma 2 4 2 2 2 4 4 2 2 3" xfId="34306"/>
    <cellStyle name="Comma 2 4 2 2 2 4 4 2 3" xfId="21885"/>
    <cellStyle name="Comma 2 4 2 2 2 4 4 2 3 2" xfId="37522"/>
    <cellStyle name="Comma 2 4 2 2 2 4 4 2 4" xfId="31099"/>
    <cellStyle name="Comma 2 4 2 2 2 4 4 2 5" xfId="42864"/>
    <cellStyle name="Comma 2 4 2 2 2 4 4 3" xfId="8087"/>
    <cellStyle name="Comma 2 4 2 2 2 4 4 3 2" xfId="18547"/>
    <cellStyle name="Comma 2 4 2 2 2 4 4 3 2 2" xfId="39590"/>
    <cellStyle name="Comma 2 4 2 2 2 4 4 3 2 3" xfId="33167"/>
    <cellStyle name="Comma 2 4 2 2 2 4 4 3 3" xfId="23037"/>
    <cellStyle name="Comma 2 4 2 2 2 4 4 3 3 2" xfId="36383"/>
    <cellStyle name="Comma 2 4 2 2 2 4 4 3 4" xfId="29960"/>
    <cellStyle name="Comma 2 4 2 2 2 4 4 3 5" xfId="43866"/>
    <cellStyle name="Comma 2 4 2 2 2 4 4 4" xfId="7035"/>
    <cellStyle name="Comma 2 4 2 2 2 4 4 4 2" xfId="17538"/>
    <cellStyle name="Comma 2 4 2 2 2 4 4 4 2 2" xfId="38587"/>
    <cellStyle name="Comma 2 4 2 2 2 4 4 4 3" xfId="32164"/>
    <cellStyle name="Comma 2 4 2 2 2 4 4 5" xfId="16725"/>
    <cellStyle name="Comma 2 4 2 2 2 4 4 5 2" xfId="35380"/>
    <cellStyle name="Comma 2 4 2 2 2 4 4 6" xfId="20713"/>
    <cellStyle name="Comma 2 4 2 2 2 4 4 7" xfId="28957"/>
    <cellStyle name="Comma 2 4 2 2 2 4 4 8" xfId="41732"/>
    <cellStyle name="Comma 2 4 2 2 2 4 5" xfId="5984"/>
    <cellStyle name="Comma 2 4 2 2 2 4 5 2" xfId="10888"/>
    <cellStyle name="Comma 2 4 2 2 2 4 5 2 2" xfId="19687"/>
    <cellStyle name="Comma 2 4 2 2 2 4 5 2 2 2" xfId="40730"/>
    <cellStyle name="Comma 2 4 2 2 2 4 5 2 2 3" xfId="34307"/>
    <cellStyle name="Comma 2 4 2 2 2 4 5 2 3" xfId="21886"/>
    <cellStyle name="Comma 2 4 2 2 2 4 5 2 3 2" xfId="37523"/>
    <cellStyle name="Comma 2 4 2 2 2 4 5 2 4" xfId="31100"/>
    <cellStyle name="Comma 2 4 2 2 2 4 5 2 5" xfId="42865"/>
    <cellStyle name="Comma 2 4 2 2 2 4 5 3" xfId="8088"/>
    <cellStyle name="Comma 2 4 2 2 2 4 5 3 2" xfId="18548"/>
    <cellStyle name="Comma 2 4 2 2 2 4 5 3 2 2" xfId="39591"/>
    <cellStyle name="Comma 2 4 2 2 2 4 5 3 2 3" xfId="33168"/>
    <cellStyle name="Comma 2 4 2 2 2 4 5 3 3" xfId="23038"/>
    <cellStyle name="Comma 2 4 2 2 2 4 5 3 3 2" xfId="36384"/>
    <cellStyle name="Comma 2 4 2 2 2 4 5 3 4" xfId="29961"/>
    <cellStyle name="Comma 2 4 2 2 2 4 5 3 5" xfId="43867"/>
    <cellStyle name="Comma 2 4 2 2 2 4 5 4" xfId="7036"/>
    <cellStyle name="Comma 2 4 2 2 2 4 5 4 2" xfId="17539"/>
    <cellStyle name="Comma 2 4 2 2 2 4 5 4 2 2" xfId="38588"/>
    <cellStyle name="Comma 2 4 2 2 2 4 5 4 3" xfId="32165"/>
    <cellStyle name="Comma 2 4 2 2 2 4 5 5" xfId="17013"/>
    <cellStyle name="Comma 2 4 2 2 2 4 5 5 2" xfId="35381"/>
    <cellStyle name="Comma 2 4 2 2 2 4 5 6" xfId="20714"/>
    <cellStyle name="Comma 2 4 2 2 2 4 5 7" xfId="28958"/>
    <cellStyle name="Comma 2 4 2 2 2 4 5 8" xfId="41733"/>
    <cellStyle name="Comma 2 4 2 2 2 4 6" xfId="10884"/>
    <cellStyle name="Comma 2 4 2 2 2 4 6 2" xfId="19683"/>
    <cellStyle name="Comma 2 4 2 2 2 4 6 2 2" xfId="40726"/>
    <cellStyle name="Comma 2 4 2 2 2 4 6 2 3" xfId="34303"/>
    <cellStyle name="Comma 2 4 2 2 2 4 6 3" xfId="21882"/>
    <cellStyle name="Comma 2 4 2 2 2 4 6 3 2" xfId="37519"/>
    <cellStyle name="Comma 2 4 2 2 2 4 6 4" xfId="31096"/>
    <cellStyle name="Comma 2 4 2 2 2 4 6 5" xfId="42861"/>
    <cellStyle name="Comma 2 4 2 2 2 4 7" xfId="8084"/>
    <cellStyle name="Comma 2 4 2 2 2 4 7 2" xfId="18544"/>
    <cellStyle name="Comma 2 4 2 2 2 4 7 2 2" xfId="39587"/>
    <cellStyle name="Comma 2 4 2 2 2 4 7 2 3" xfId="33164"/>
    <cellStyle name="Comma 2 4 2 2 2 4 7 3" xfId="23034"/>
    <cellStyle name="Comma 2 4 2 2 2 4 7 3 2" xfId="36380"/>
    <cellStyle name="Comma 2 4 2 2 2 4 7 4" xfId="29957"/>
    <cellStyle name="Comma 2 4 2 2 2 4 7 5" xfId="43863"/>
    <cellStyle name="Comma 2 4 2 2 2 4 8" xfId="7032"/>
    <cellStyle name="Comma 2 4 2 2 2 4 8 2" xfId="17535"/>
    <cellStyle name="Comma 2 4 2 2 2 4 8 2 2" xfId="38584"/>
    <cellStyle name="Comma 2 4 2 2 2 4 8 3" xfId="32161"/>
    <cellStyle name="Comma 2 4 2 2 2 4 9" xfId="16160"/>
    <cellStyle name="Comma 2 4 2 2 2 4 9 2" xfId="35377"/>
    <cellStyle name="Comma 2 4 2 2 2 5" xfId="2356"/>
    <cellStyle name="Comma 2 4 2 2 2 5 10" xfId="20715"/>
    <cellStyle name="Comma 2 4 2 2 2 5 11" xfId="28959"/>
    <cellStyle name="Comma 2 4 2 2 2 5 12" xfId="41734"/>
    <cellStyle name="Comma 2 4 2 2 2 5 2" xfId="3215"/>
    <cellStyle name="Comma 2 4 2 2 2 5 2 2" xfId="10890"/>
    <cellStyle name="Comma 2 4 2 2 2 5 2 2 2" xfId="19689"/>
    <cellStyle name="Comma 2 4 2 2 2 5 2 2 2 2" xfId="40732"/>
    <cellStyle name="Comma 2 4 2 2 2 5 2 2 2 3" xfId="34309"/>
    <cellStyle name="Comma 2 4 2 2 2 5 2 2 3" xfId="21888"/>
    <cellStyle name="Comma 2 4 2 2 2 5 2 2 3 2" xfId="37525"/>
    <cellStyle name="Comma 2 4 2 2 2 5 2 2 4" xfId="31102"/>
    <cellStyle name="Comma 2 4 2 2 2 5 2 2 5" xfId="42867"/>
    <cellStyle name="Comma 2 4 2 2 2 5 2 3" xfId="8090"/>
    <cellStyle name="Comma 2 4 2 2 2 5 2 3 2" xfId="18550"/>
    <cellStyle name="Comma 2 4 2 2 2 5 2 3 2 2" xfId="39593"/>
    <cellStyle name="Comma 2 4 2 2 2 5 2 3 2 3" xfId="33170"/>
    <cellStyle name="Comma 2 4 2 2 2 5 2 3 3" xfId="23040"/>
    <cellStyle name="Comma 2 4 2 2 2 5 2 3 3 2" xfId="36386"/>
    <cellStyle name="Comma 2 4 2 2 2 5 2 3 4" xfId="29963"/>
    <cellStyle name="Comma 2 4 2 2 2 5 2 3 5" xfId="43869"/>
    <cellStyle name="Comma 2 4 2 2 2 5 2 4" xfId="7038"/>
    <cellStyle name="Comma 2 4 2 2 2 5 2 4 2" xfId="17541"/>
    <cellStyle name="Comma 2 4 2 2 2 5 2 4 2 2" xfId="38590"/>
    <cellStyle name="Comma 2 4 2 2 2 5 2 4 3" xfId="32167"/>
    <cellStyle name="Comma 2 4 2 2 2 5 2 5" xfId="16405"/>
    <cellStyle name="Comma 2 4 2 2 2 5 2 5 2" xfId="35383"/>
    <cellStyle name="Comma 2 4 2 2 2 5 2 6" xfId="20716"/>
    <cellStyle name="Comma 2 4 2 2 2 5 2 7" xfId="28960"/>
    <cellStyle name="Comma 2 4 2 2 2 5 2 8" xfId="41735"/>
    <cellStyle name="Comma 2 4 2 2 2 5 3" xfId="4081"/>
    <cellStyle name="Comma 2 4 2 2 2 5 3 2" xfId="10891"/>
    <cellStyle name="Comma 2 4 2 2 2 5 3 2 2" xfId="19690"/>
    <cellStyle name="Comma 2 4 2 2 2 5 3 2 2 2" xfId="40733"/>
    <cellStyle name="Comma 2 4 2 2 2 5 3 2 2 3" xfId="34310"/>
    <cellStyle name="Comma 2 4 2 2 2 5 3 2 3" xfId="21889"/>
    <cellStyle name="Comma 2 4 2 2 2 5 3 2 3 2" xfId="37526"/>
    <cellStyle name="Comma 2 4 2 2 2 5 3 2 4" xfId="31103"/>
    <cellStyle name="Comma 2 4 2 2 2 5 3 2 5" xfId="42868"/>
    <cellStyle name="Comma 2 4 2 2 2 5 3 3" xfId="8091"/>
    <cellStyle name="Comma 2 4 2 2 2 5 3 3 2" xfId="18551"/>
    <cellStyle name="Comma 2 4 2 2 2 5 3 3 2 2" xfId="39594"/>
    <cellStyle name="Comma 2 4 2 2 2 5 3 3 2 3" xfId="33171"/>
    <cellStyle name="Comma 2 4 2 2 2 5 3 3 3" xfId="23041"/>
    <cellStyle name="Comma 2 4 2 2 2 5 3 3 3 2" xfId="36387"/>
    <cellStyle name="Comma 2 4 2 2 2 5 3 3 4" xfId="29964"/>
    <cellStyle name="Comma 2 4 2 2 2 5 3 3 5" xfId="43870"/>
    <cellStyle name="Comma 2 4 2 2 2 5 3 4" xfId="7039"/>
    <cellStyle name="Comma 2 4 2 2 2 5 3 4 2" xfId="17542"/>
    <cellStyle name="Comma 2 4 2 2 2 5 3 4 2 2" xfId="38591"/>
    <cellStyle name="Comma 2 4 2 2 2 5 3 4 3" xfId="32168"/>
    <cellStyle name="Comma 2 4 2 2 2 5 3 5" xfId="16593"/>
    <cellStyle name="Comma 2 4 2 2 2 5 3 5 2" xfId="35384"/>
    <cellStyle name="Comma 2 4 2 2 2 5 3 6" xfId="20717"/>
    <cellStyle name="Comma 2 4 2 2 2 5 3 7" xfId="28961"/>
    <cellStyle name="Comma 2 4 2 2 2 5 3 8" xfId="41736"/>
    <cellStyle name="Comma 2 4 2 2 2 5 4" xfId="4960"/>
    <cellStyle name="Comma 2 4 2 2 2 5 4 2" xfId="10892"/>
    <cellStyle name="Comma 2 4 2 2 2 5 4 2 2" xfId="19691"/>
    <cellStyle name="Comma 2 4 2 2 2 5 4 2 2 2" xfId="40734"/>
    <cellStyle name="Comma 2 4 2 2 2 5 4 2 2 3" xfId="34311"/>
    <cellStyle name="Comma 2 4 2 2 2 5 4 2 3" xfId="21890"/>
    <cellStyle name="Comma 2 4 2 2 2 5 4 2 3 2" xfId="37527"/>
    <cellStyle name="Comma 2 4 2 2 2 5 4 2 4" xfId="31104"/>
    <cellStyle name="Comma 2 4 2 2 2 5 4 2 5" xfId="42869"/>
    <cellStyle name="Comma 2 4 2 2 2 5 4 3" xfId="8092"/>
    <cellStyle name="Comma 2 4 2 2 2 5 4 3 2" xfId="18552"/>
    <cellStyle name="Comma 2 4 2 2 2 5 4 3 2 2" xfId="39595"/>
    <cellStyle name="Comma 2 4 2 2 2 5 4 3 2 3" xfId="33172"/>
    <cellStyle name="Comma 2 4 2 2 2 5 4 3 3" xfId="23042"/>
    <cellStyle name="Comma 2 4 2 2 2 5 4 3 3 2" xfId="36388"/>
    <cellStyle name="Comma 2 4 2 2 2 5 4 3 4" xfId="29965"/>
    <cellStyle name="Comma 2 4 2 2 2 5 4 3 5" xfId="43871"/>
    <cellStyle name="Comma 2 4 2 2 2 5 4 4" xfId="7040"/>
    <cellStyle name="Comma 2 4 2 2 2 5 4 4 2" xfId="17543"/>
    <cellStyle name="Comma 2 4 2 2 2 5 4 4 2 2" xfId="38592"/>
    <cellStyle name="Comma 2 4 2 2 2 5 4 4 3" xfId="32169"/>
    <cellStyle name="Comma 2 4 2 2 2 5 4 5" xfId="16781"/>
    <cellStyle name="Comma 2 4 2 2 2 5 4 5 2" xfId="35385"/>
    <cellStyle name="Comma 2 4 2 2 2 5 4 6" xfId="20718"/>
    <cellStyle name="Comma 2 4 2 2 2 5 4 7" xfId="28962"/>
    <cellStyle name="Comma 2 4 2 2 2 5 4 8" xfId="41737"/>
    <cellStyle name="Comma 2 4 2 2 2 5 5" xfId="6225"/>
    <cellStyle name="Comma 2 4 2 2 2 5 5 2" xfId="10893"/>
    <cellStyle name="Comma 2 4 2 2 2 5 5 2 2" xfId="19692"/>
    <cellStyle name="Comma 2 4 2 2 2 5 5 2 2 2" xfId="40735"/>
    <cellStyle name="Comma 2 4 2 2 2 5 5 2 2 3" xfId="34312"/>
    <cellStyle name="Comma 2 4 2 2 2 5 5 2 3" xfId="21891"/>
    <cellStyle name="Comma 2 4 2 2 2 5 5 2 3 2" xfId="37528"/>
    <cellStyle name="Comma 2 4 2 2 2 5 5 2 4" xfId="31105"/>
    <cellStyle name="Comma 2 4 2 2 2 5 5 2 5" xfId="42870"/>
    <cellStyle name="Comma 2 4 2 2 2 5 5 3" xfId="8093"/>
    <cellStyle name="Comma 2 4 2 2 2 5 5 3 2" xfId="18553"/>
    <cellStyle name="Comma 2 4 2 2 2 5 5 3 2 2" xfId="39596"/>
    <cellStyle name="Comma 2 4 2 2 2 5 5 3 2 3" xfId="33173"/>
    <cellStyle name="Comma 2 4 2 2 2 5 5 3 3" xfId="23043"/>
    <cellStyle name="Comma 2 4 2 2 2 5 5 3 3 2" xfId="36389"/>
    <cellStyle name="Comma 2 4 2 2 2 5 5 3 4" xfId="29966"/>
    <cellStyle name="Comma 2 4 2 2 2 5 5 3 5" xfId="43872"/>
    <cellStyle name="Comma 2 4 2 2 2 5 5 4" xfId="7041"/>
    <cellStyle name="Comma 2 4 2 2 2 5 5 4 2" xfId="17544"/>
    <cellStyle name="Comma 2 4 2 2 2 5 5 4 2 2" xfId="38593"/>
    <cellStyle name="Comma 2 4 2 2 2 5 5 4 3" xfId="32170"/>
    <cellStyle name="Comma 2 4 2 2 2 5 5 5" xfId="17069"/>
    <cellStyle name="Comma 2 4 2 2 2 5 5 5 2" xfId="35386"/>
    <cellStyle name="Comma 2 4 2 2 2 5 5 6" xfId="20719"/>
    <cellStyle name="Comma 2 4 2 2 2 5 5 7" xfId="28963"/>
    <cellStyle name="Comma 2 4 2 2 2 5 5 8" xfId="41738"/>
    <cellStyle name="Comma 2 4 2 2 2 5 6" xfId="10889"/>
    <cellStyle name="Comma 2 4 2 2 2 5 6 2" xfId="19688"/>
    <cellStyle name="Comma 2 4 2 2 2 5 6 2 2" xfId="40731"/>
    <cellStyle name="Comma 2 4 2 2 2 5 6 2 3" xfId="34308"/>
    <cellStyle name="Comma 2 4 2 2 2 5 6 3" xfId="21887"/>
    <cellStyle name="Comma 2 4 2 2 2 5 6 3 2" xfId="37524"/>
    <cellStyle name="Comma 2 4 2 2 2 5 6 4" xfId="31101"/>
    <cellStyle name="Comma 2 4 2 2 2 5 6 5" xfId="42866"/>
    <cellStyle name="Comma 2 4 2 2 2 5 7" xfId="8089"/>
    <cellStyle name="Comma 2 4 2 2 2 5 7 2" xfId="18549"/>
    <cellStyle name="Comma 2 4 2 2 2 5 7 2 2" xfId="39592"/>
    <cellStyle name="Comma 2 4 2 2 2 5 7 2 3" xfId="33169"/>
    <cellStyle name="Comma 2 4 2 2 2 5 7 3" xfId="23039"/>
    <cellStyle name="Comma 2 4 2 2 2 5 7 3 2" xfId="36385"/>
    <cellStyle name="Comma 2 4 2 2 2 5 7 4" xfId="29962"/>
    <cellStyle name="Comma 2 4 2 2 2 5 7 5" xfId="43868"/>
    <cellStyle name="Comma 2 4 2 2 2 5 8" xfId="7037"/>
    <cellStyle name="Comma 2 4 2 2 2 5 8 2" xfId="17540"/>
    <cellStyle name="Comma 2 4 2 2 2 5 8 2 2" xfId="38589"/>
    <cellStyle name="Comma 2 4 2 2 2 5 8 3" xfId="32166"/>
    <cellStyle name="Comma 2 4 2 2 2 5 9" xfId="16217"/>
    <cellStyle name="Comma 2 4 2 2 2 5 9 2" xfId="35382"/>
    <cellStyle name="Comma 2 4 2 2 2 6" xfId="2466"/>
    <cellStyle name="Comma 2 4 2 2 2 6 2" xfId="10894"/>
    <cellStyle name="Comma 2 4 2 2 2 6 2 2" xfId="19693"/>
    <cellStyle name="Comma 2 4 2 2 2 6 2 2 2" xfId="40736"/>
    <cellStyle name="Comma 2 4 2 2 2 6 2 2 3" xfId="34313"/>
    <cellStyle name="Comma 2 4 2 2 2 6 2 3" xfId="21892"/>
    <cellStyle name="Comma 2 4 2 2 2 6 2 3 2" xfId="37529"/>
    <cellStyle name="Comma 2 4 2 2 2 6 2 4" xfId="31106"/>
    <cellStyle name="Comma 2 4 2 2 2 6 2 5" xfId="42871"/>
    <cellStyle name="Comma 2 4 2 2 2 6 3" xfId="8094"/>
    <cellStyle name="Comma 2 4 2 2 2 6 3 2" xfId="18554"/>
    <cellStyle name="Comma 2 4 2 2 2 6 3 2 2" xfId="39597"/>
    <cellStyle name="Comma 2 4 2 2 2 6 3 2 3" xfId="33174"/>
    <cellStyle name="Comma 2 4 2 2 2 6 3 3" xfId="23044"/>
    <cellStyle name="Comma 2 4 2 2 2 6 3 3 2" xfId="36390"/>
    <cellStyle name="Comma 2 4 2 2 2 6 3 4" xfId="29967"/>
    <cellStyle name="Comma 2 4 2 2 2 6 3 5" xfId="43873"/>
    <cellStyle name="Comma 2 4 2 2 2 6 4" xfId="7042"/>
    <cellStyle name="Comma 2 4 2 2 2 6 4 2" xfId="17545"/>
    <cellStyle name="Comma 2 4 2 2 2 6 4 2 2" xfId="38594"/>
    <cellStyle name="Comma 2 4 2 2 2 6 4 3" xfId="32171"/>
    <cellStyle name="Comma 2 4 2 2 2 6 5" xfId="16241"/>
    <cellStyle name="Comma 2 4 2 2 2 6 5 2" xfId="35387"/>
    <cellStyle name="Comma 2 4 2 2 2 6 6" xfId="20720"/>
    <cellStyle name="Comma 2 4 2 2 2 6 7" xfId="28964"/>
    <cellStyle name="Comma 2 4 2 2 2 6 8" xfId="41739"/>
    <cellStyle name="Comma 2 4 2 2 2 7" xfId="3329"/>
    <cellStyle name="Comma 2 4 2 2 2 7 2" xfId="10895"/>
    <cellStyle name="Comma 2 4 2 2 2 7 2 2" xfId="19694"/>
    <cellStyle name="Comma 2 4 2 2 2 7 2 2 2" xfId="40737"/>
    <cellStyle name="Comma 2 4 2 2 2 7 2 2 3" xfId="34314"/>
    <cellStyle name="Comma 2 4 2 2 2 7 2 3" xfId="21893"/>
    <cellStyle name="Comma 2 4 2 2 2 7 2 3 2" xfId="37530"/>
    <cellStyle name="Comma 2 4 2 2 2 7 2 4" xfId="31107"/>
    <cellStyle name="Comma 2 4 2 2 2 7 2 5" xfId="42872"/>
    <cellStyle name="Comma 2 4 2 2 2 7 3" xfId="8095"/>
    <cellStyle name="Comma 2 4 2 2 2 7 3 2" xfId="18555"/>
    <cellStyle name="Comma 2 4 2 2 2 7 3 2 2" xfId="39598"/>
    <cellStyle name="Comma 2 4 2 2 2 7 3 2 3" xfId="33175"/>
    <cellStyle name="Comma 2 4 2 2 2 7 3 3" xfId="23045"/>
    <cellStyle name="Comma 2 4 2 2 2 7 3 3 2" xfId="36391"/>
    <cellStyle name="Comma 2 4 2 2 2 7 3 4" xfId="29968"/>
    <cellStyle name="Comma 2 4 2 2 2 7 3 5" xfId="43874"/>
    <cellStyle name="Comma 2 4 2 2 2 7 4" xfId="7043"/>
    <cellStyle name="Comma 2 4 2 2 2 7 4 2" xfId="17546"/>
    <cellStyle name="Comma 2 4 2 2 2 7 4 2 2" xfId="38595"/>
    <cellStyle name="Comma 2 4 2 2 2 7 4 3" xfId="32172"/>
    <cellStyle name="Comma 2 4 2 2 2 7 5" xfId="16429"/>
    <cellStyle name="Comma 2 4 2 2 2 7 5 2" xfId="35388"/>
    <cellStyle name="Comma 2 4 2 2 2 7 6" xfId="20721"/>
    <cellStyle name="Comma 2 4 2 2 2 7 7" xfId="28965"/>
    <cellStyle name="Comma 2 4 2 2 2 7 8" xfId="41740"/>
    <cellStyle name="Comma 2 4 2 2 2 8" xfId="4197"/>
    <cellStyle name="Comma 2 4 2 2 2 8 2" xfId="10896"/>
    <cellStyle name="Comma 2 4 2 2 2 8 2 2" xfId="19695"/>
    <cellStyle name="Comma 2 4 2 2 2 8 2 2 2" xfId="40738"/>
    <cellStyle name="Comma 2 4 2 2 2 8 2 2 3" xfId="34315"/>
    <cellStyle name="Comma 2 4 2 2 2 8 2 3" xfId="21894"/>
    <cellStyle name="Comma 2 4 2 2 2 8 2 3 2" xfId="37531"/>
    <cellStyle name="Comma 2 4 2 2 2 8 2 4" xfId="31108"/>
    <cellStyle name="Comma 2 4 2 2 2 8 2 5" xfId="42873"/>
    <cellStyle name="Comma 2 4 2 2 2 8 3" xfId="8096"/>
    <cellStyle name="Comma 2 4 2 2 2 8 3 2" xfId="18556"/>
    <cellStyle name="Comma 2 4 2 2 2 8 3 2 2" xfId="39599"/>
    <cellStyle name="Comma 2 4 2 2 2 8 3 2 3" xfId="33176"/>
    <cellStyle name="Comma 2 4 2 2 2 8 3 3" xfId="23046"/>
    <cellStyle name="Comma 2 4 2 2 2 8 3 3 2" xfId="36392"/>
    <cellStyle name="Comma 2 4 2 2 2 8 3 4" xfId="29969"/>
    <cellStyle name="Comma 2 4 2 2 2 8 3 5" xfId="43875"/>
    <cellStyle name="Comma 2 4 2 2 2 8 4" xfId="7044"/>
    <cellStyle name="Comma 2 4 2 2 2 8 4 2" xfId="17547"/>
    <cellStyle name="Comma 2 4 2 2 2 8 4 2 2" xfId="38596"/>
    <cellStyle name="Comma 2 4 2 2 2 8 4 3" xfId="32173"/>
    <cellStyle name="Comma 2 4 2 2 2 8 5" xfId="16617"/>
    <cellStyle name="Comma 2 4 2 2 2 8 5 2" xfId="35389"/>
    <cellStyle name="Comma 2 4 2 2 2 8 6" xfId="20722"/>
    <cellStyle name="Comma 2 4 2 2 2 8 7" xfId="28966"/>
    <cellStyle name="Comma 2 4 2 2 2 8 8" xfId="41741"/>
    <cellStyle name="Comma 2 4 2 2 2 9" xfId="5004"/>
    <cellStyle name="Comma 2 4 2 2 2 9 2" xfId="10897"/>
    <cellStyle name="Comma 2 4 2 2 2 9 2 2" xfId="19696"/>
    <cellStyle name="Comma 2 4 2 2 2 9 2 2 2" xfId="40739"/>
    <cellStyle name="Comma 2 4 2 2 2 9 2 2 3" xfId="34316"/>
    <cellStyle name="Comma 2 4 2 2 2 9 2 3" xfId="21895"/>
    <cellStyle name="Comma 2 4 2 2 2 9 2 3 2" xfId="37532"/>
    <cellStyle name="Comma 2 4 2 2 2 9 2 4" xfId="31109"/>
    <cellStyle name="Comma 2 4 2 2 2 9 2 5" xfId="42874"/>
    <cellStyle name="Comma 2 4 2 2 2 9 3" xfId="8097"/>
    <cellStyle name="Comma 2 4 2 2 2 9 3 2" xfId="18557"/>
    <cellStyle name="Comma 2 4 2 2 2 9 3 2 2" xfId="39600"/>
    <cellStyle name="Comma 2 4 2 2 2 9 3 2 3" xfId="33177"/>
    <cellStyle name="Comma 2 4 2 2 2 9 3 3" xfId="23047"/>
    <cellStyle name="Comma 2 4 2 2 2 9 3 3 2" xfId="36393"/>
    <cellStyle name="Comma 2 4 2 2 2 9 3 4" xfId="29970"/>
    <cellStyle name="Comma 2 4 2 2 2 9 3 5" xfId="43876"/>
    <cellStyle name="Comma 2 4 2 2 2 9 4" xfId="7045"/>
    <cellStyle name="Comma 2 4 2 2 2 9 4 2" xfId="17548"/>
    <cellStyle name="Comma 2 4 2 2 2 9 4 2 2" xfId="38597"/>
    <cellStyle name="Comma 2 4 2 2 2 9 4 3" xfId="32174"/>
    <cellStyle name="Comma 2 4 2 2 2 9 5" xfId="16819"/>
    <cellStyle name="Comma 2 4 2 2 2 9 5 2" xfId="35390"/>
    <cellStyle name="Comma 2 4 2 2 2 9 6" xfId="20723"/>
    <cellStyle name="Comma 2 4 2 2 2 9 7" xfId="28967"/>
    <cellStyle name="Comma 2 4 2 2 2 9 8" xfId="41742"/>
    <cellStyle name="Comma 2 4 2 2 3" xfId="1474"/>
    <cellStyle name="Comma 2 4 2 2 3 10" xfId="8098"/>
    <cellStyle name="Comma 2 4 2 2 3 10 2" xfId="18558"/>
    <cellStyle name="Comma 2 4 2 2 3 10 2 2" xfId="39601"/>
    <cellStyle name="Comma 2 4 2 2 3 10 2 3" xfId="33178"/>
    <cellStyle name="Comma 2 4 2 2 3 10 3" xfId="23048"/>
    <cellStyle name="Comma 2 4 2 2 3 10 3 2" xfId="36394"/>
    <cellStyle name="Comma 2 4 2 2 3 10 4" xfId="29971"/>
    <cellStyle name="Comma 2 4 2 2 3 10 5" xfId="43877"/>
    <cellStyle name="Comma 2 4 2 2 3 11" xfId="6599"/>
    <cellStyle name="Comma 2 4 2 2 3 11 2" xfId="17106"/>
    <cellStyle name="Comma 2 4 2 2 3 11 2 2" xfId="38159"/>
    <cellStyle name="Comma 2 4 2 2 3 11 3" xfId="31736"/>
    <cellStyle name="Comma 2 4 2 2 3 12" xfId="16044"/>
    <cellStyle name="Comma 2 4 2 2 3 12 2" xfId="34952"/>
    <cellStyle name="Comma 2 4 2 2 3 13" xfId="20724"/>
    <cellStyle name="Comma 2 4 2 2 3 14" xfId="28527"/>
    <cellStyle name="Comma 2 4 2 2 3 15" xfId="41743"/>
    <cellStyle name="Comma 2 4 2 2 3 2" xfId="1828"/>
    <cellStyle name="Comma 2 4 2 2 3 2 10" xfId="16106"/>
    <cellStyle name="Comma 2 4 2 2 3 2 10 2" xfId="35004"/>
    <cellStyle name="Comma 2 4 2 2 3 2 11" xfId="20725"/>
    <cellStyle name="Comma 2 4 2 2 3 2 12" xfId="28579"/>
    <cellStyle name="Comma 2 4 2 2 3 2 13" xfId="41744"/>
    <cellStyle name="Comma 2 4 2 2 3 2 2" xfId="2718"/>
    <cellStyle name="Comma 2 4 2 2 3 2 2 2" xfId="10898"/>
    <cellStyle name="Comma 2 4 2 2 3 2 2 2 2" xfId="19697"/>
    <cellStyle name="Comma 2 4 2 2 3 2 2 2 2 2" xfId="40740"/>
    <cellStyle name="Comma 2 4 2 2 3 2 2 2 2 3" xfId="34317"/>
    <cellStyle name="Comma 2 4 2 2 3 2 2 2 3" xfId="21896"/>
    <cellStyle name="Comma 2 4 2 2 3 2 2 2 3 2" xfId="37533"/>
    <cellStyle name="Comma 2 4 2 2 3 2 2 2 4" xfId="31110"/>
    <cellStyle name="Comma 2 4 2 2 3 2 2 2 5" xfId="42875"/>
    <cellStyle name="Comma 2 4 2 2 3 2 2 3" xfId="8100"/>
    <cellStyle name="Comma 2 4 2 2 3 2 2 3 2" xfId="18560"/>
    <cellStyle name="Comma 2 4 2 2 3 2 2 3 2 2" xfId="39603"/>
    <cellStyle name="Comma 2 4 2 2 3 2 2 3 2 3" xfId="33180"/>
    <cellStyle name="Comma 2 4 2 2 3 2 2 3 3" xfId="23050"/>
    <cellStyle name="Comma 2 4 2 2 3 2 2 3 3 2" xfId="36396"/>
    <cellStyle name="Comma 2 4 2 2 3 2 2 3 4" xfId="29973"/>
    <cellStyle name="Comma 2 4 2 2 3 2 2 3 5" xfId="43879"/>
    <cellStyle name="Comma 2 4 2 2 3 2 2 4" xfId="7046"/>
    <cellStyle name="Comma 2 4 2 2 3 2 2 4 2" xfId="17549"/>
    <cellStyle name="Comma 2 4 2 2 3 2 2 4 2 2" xfId="38598"/>
    <cellStyle name="Comma 2 4 2 2 3 2 2 4 3" xfId="32175"/>
    <cellStyle name="Comma 2 4 2 2 3 2 2 5" xfId="16296"/>
    <cellStyle name="Comma 2 4 2 2 3 2 2 5 2" xfId="35391"/>
    <cellStyle name="Comma 2 4 2 2 3 2 2 6" xfId="20726"/>
    <cellStyle name="Comma 2 4 2 2 3 2 2 7" xfId="28968"/>
    <cellStyle name="Comma 2 4 2 2 3 2 2 8" xfId="41745"/>
    <cellStyle name="Comma 2 4 2 2 3 2 3" xfId="3582"/>
    <cellStyle name="Comma 2 4 2 2 3 2 3 2" xfId="10899"/>
    <cellStyle name="Comma 2 4 2 2 3 2 3 2 2" xfId="19698"/>
    <cellStyle name="Comma 2 4 2 2 3 2 3 2 2 2" xfId="40741"/>
    <cellStyle name="Comma 2 4 2 2 3 2 3 2 2 3" xfId="34318"/>
    <cellStyle name="Comma 2 4 2 2 3 2 3 2 3" xfId="21897"/>
    <cellStyle name="Comma 2 4 2 2 3 2 3 2 3 2" xfId="37534"/>
    <cellStyle name="Comma 2 4 2 2 3 2 3 2 4" xfId="31111"/>
    <cellStyle name="Comma 2 4 2 2 3 2 3 2 5" xfId="42876"/>
    <cellStyle name="Comma 2 4 2 2 3 2 3 3" xfId="8101"/>
    <cellStyle name="Comma 2 4 2 2 3 2 3 3 2" xfId="18561"/>
    <cellStyle name="Comma 2 4 2 2 3 2 3 3 2 2" xfId="39604"/>
    <cellStyle name="Comma 2 4 2 2 3 2 3 3 2 3" xfId="33181"/>
    <cellStyle name="Comma 2 4 2 2 3 2 3 3 3" xfId="23051"/>
    <cellStyle name="Comma 2 4 2 2 3 2 3 3 3 2" xfId="36397"/>
    <cellStyle name="Comma 2 4 2 2 3 2 3 3 4" xfId="29974"/>
    <cellStyle name="Comma 2 4 2 2 3 2 3 3 5" xfId="43880"/>
    <cellStyle name="Comma 2 4 2 2 3 2 3 4" xfId="7047"/>
    <cellStyle name="Comma 2 4 2 2 3 2 3 4 2" xfId="17550"/>
    <cellStyle name="Comma 2 4 2 2 3 2 3 4 2 2" xfId="38599"/>
    <cellStyle name="Comma 2 4 2 2 3 2 3 4 3" xfId="32176"/>
    <cellStyle name="Comma 2 4 2 2 3 2 3 5" xfId="16484"/>
    <cellStyle name="Comma 2 4 2 2 3 2 3 5 2" xfId="35392"/>
    <cellStyle name="Comma 2 4 2 2 3 2 3 6" xfId="20727"/>
    <cellStyle name="Comma 2 4 2 2 3 2 3 7" xfId="28969"/>
    <cellStyle name="Comma 2 4 2 2 3 2 3 8" xfId="41746"/>
    <cellStyle name="Comma 2 4 2 2 3 2 4" xfId="4457"/>
    <cellStyle name="Comma 2 4 2 2 3 2 4 2" xfId="10900"/>
    <cellStyle name="Comma 2 4 2 2 3 2 4 2 2" xfId="19699"/>
    <cellStyle name="Comma 2 4 2 2 3 2 4 2 2 2" xfId="40742"/>
    <cellStyle name="Comma 2 4 2 2 3 2 4 2 2 3" xfId="34319"/>
    <cellStyle name="Comma 2 4 2 2 3 2 4 2 3" xfId="21898"/>
    <cellStyle name="Comma 2 4 2 2 3 2 4 2 3 2" xfId="37535"/>
    <cellStyle name="Comma 2 4 2 2 3 2 4 2 4" xfId="31112"/>
    <cellStyle name="Comma 2 4 2 2 3 2 4 2 5" xfId="42877"/>
    <cellStyle name="Comma 2 4 2 2 3 2 4 3" xfId="8102"/>
    <cellStyle name="Comma 2 4 2 2 3 2 4 3 2" xfId="18562"/>
    <cellStyle name="Comma 2 4 2 2 3 2 4 3 2 2" xfId="39605"/>
    <cellStyle name="Comma 2 4 2 2 3 2 4 3 2 3" xfId="33182"/>
    <cellStyle name="Comma 2 4 2 2 3 2 4 3 3" xfId="23052"/>
    <cellStyle name="Comma 2 4 2 2 3 2 4 3 3 2" xfId="36398"/>
    <cellStyle name="Comma 2 4 2 2 3 2 4 3 4" xfId="29975"/>
    <cellStyle name="Comma 2 4 2 2 3 2 4 3 5" xfId="43881"/>
    <cellStyle name="Comma 2 4 2 2 3 2 4 4" xfId="7048"/>
    <cellStyle name="Comma 2 4 2 2 3 2 4 4 2" xfId="17551"/>
    <cellStyle name="Comma 2 4 2 2 3 2 4 4 2 2" xfId="38600"/>
    <cellStyle name="Comma 2 4 2 2 3 2 4 4 3" xfId="32177"/>
    <cellStyle name="Comma 2 4 2 2 3 2 4 5" xfId="16672"/>
    <cellStyle name="Comma 2 4 2 2 3 2 4 5 2" xfId="35393"/>
    <cellStyle name="Comma 2 4 2 2 3 2 4 6" xfId="20728"/>
    <cellStyle name="Comma 2 4 2 2 3 2 4 7" xfId="28970"/>
    <cellStyle name="Comma 2 4 2 2 3 2 4 8" xfId="41747"/>
    <cellStyle name="Comma 2 4 2 2 3 2 5" xfId="5009"/>
    <cellStyle name="Comma 2 4 2 2 3 2 5 2" xfId="10901"/>
    <cellStyle name="Comma 2 4 2 2 3 2 5 2 2" xfId="19700"/>
    <cellStyle name="Comma 2 4 2 2 3 2 5 2 2 2" xfId="40743"/>
    <cellStyle name="Comma 2 4 2 2 3 2 5 2 2 3" xfId="34320"/>
    <cellStyle name="Comma 2 4 2 2 3 2 5 2 3" xfId="21899"/>
    <cellStyle name="Comma 2 4 2 2 3 2 5 2 3 2" xfId="37536"/>
    <cellStyle name="Comma 2 4 2 2 3 2 5 2 4" xfId="31113"/>
    <cellStyle name="Comma 2 4 2 2 3 2 5 2 5" xfId="42878"/>
    <cellStyle name="Comma 2 4 2 2 3 2 5 3" xfId="8103"/>
    <cellStyle name="Comma 2 4 2 2 3 2 5 3 2" xfId="18563"/>
    <cellStyle name="Comma 2 4 2 2 3 2 5 3 2 2" xfId="39606"/>
    <cellStyle name="Comma 2 4 2 2 3 2 5 3 2 3" xfId="33183"/>
    <cellStyle name="Comma 2 4 2 2 3 2 5 3 3" xfId="23053"/>
    <cellStyle name="Comma 2 4 2 2 3 2 5 3 3 2" xfId="36399"/>
    <cellStyle name="Comma 2 4 2 2 3 2 5 3 4" xfId="29976"/>
    <cellStyle name="Comma 2 4 2 2 3 2 5 3 5" xfId="43882"/>
    <cellStyle name="Comma 2 4 2 2 3 2 5 4" xfId="7049"/>
    <cellStyle name="Comma 2 4 2 2 3 2 5 4 2" xfId="17552"/>
    <cellStyle name="Comma 2 4 2 2 3 2 5 4 2 2" xfId="38601"/>
    <cellStyle name="Comma 2 4 2 2 3 2 5 4 3" xfId="32178"/>
    <cellStyle name="Comma 2 4 2 2 3 2 5 5" xfId="16824"/>
    <cellStyle name="Comma 2 4 2 2 3 2 5 5 2" xfId="35394"/>
    <cellStyle name="Comma 2 4 2 2 3 2 5 6" xfId="20729"/>
    <cellStyle name="Comma 2 4 2 2 3 2 5 7" xfId="28971"/>
    <cellStyle name="Comma 2 4 2 2 3 2 5 8" xfId="41748"/>
    <cellStyle name="Comma 2 4 2 2 3 2 6" xfId="5722"/>
    <cellStyle name="Comma 2 4 2 2 3 2 6 2" xfId="10902"/>
    <cellStyle name="Comma 2 4 2 2 3 2 6 2 2" xfId="19701"/>
    <cellStyle name="Comma 2 4 2 2 3 2 6 2 2 2" xfId="40744"/>
    <cellStyle name="Comma 2 4 2 2 3 2 6 2 2 3" xfId="34321"/>
    <cellStyle name="Comma 2 4 2 2 3 2 6 2 3" xfId="21900"/>
    <cellStyle name="Comma 2 4 2 2 3 2 6 2 3 2" xfId="37537"/>
    <cellStyle name="Comma 2 4 2 2 3 2 6 2 4" xfId="31114"/>
    <cellStyle name="Comma 2 4 2 2 3 2 6 2 5" xfId="42879"/>
    <cellStyle name="Comma 2 4 2 2 3 2 6 3" xfId="8104"/>
    <cellStyle name="Comma 2 4 2 2 3 2 6 3 2" xfId="18564"/>
    <cellStyle name="Comma 2 4 2 2 3 2 6 3 2 2" xfId="39607"/>
    <cellStyle name="Comma 2 4 2 2 3 2 6 3 2 3" xfId="33184"/>
    <cellStyle name="Comma 2 4 2 2 3 2 6 3 3" xfId="23054"/>
    <cellStyle name="Comma 2 4 2 2 3 2 6 3 3 2" xfId="36400"/>
    <cellStyle name="Comma 2 4 2 2 3 2 6 3 4" xfId="29977"/>
    <cellStyle name="Comma 2 4 2 2 3 2 6 3 5" xfId="43883"/>
    <cellStyle name="Comma 2 4 2 2 3 2 6 4" xfId="7050"/>
    <cellStyle name="Comma 2 4 2 2 3 2 6 4 2" xfId="17553"/>
    <cellStyle name="Comma 2 4 2 2 3 2 6 4 2 2" xfId="38602"/>
    <cellStyle name="Comma 2 4 2 2 3 2 6 4 3" xfId="32179"/>
    <cellStyle name="Comma 2 4 2 2 3 2 6 5" xfId="16960"/>
    <cellStyle name="Comma 2 4 2 2 3 2 6 5 2" xfId="35395"/>
    <cellStyle name="Comma 2 4 2 2 3 2 6 6" xfId="20730"/>
    <cellStyle name="Comma 2 4 2 2 3 2 6 7" xfId="28972"/>
    <cellStyle name="Comma 2 4 2 2 3 2 6 8" xfId="41749"/>
    <cellStyle name="Comma 2 4 2 2 3 2 7" xfId="10252"/>
    <cellStyle name="Comma 2 4 2 2 3 2 7 2" xfId="19305"/>
    <cellStyle name="Comma 2 4 2 2 3 2 7 2 2" xfId="40348"/>
    <cellStyle name="Comma 2 4 2 2 3 2 7 2 3" xfId="33925"/>
    <cellStyle name="Comma 2 4 2 2 3 2 7 3" xfId="21505"/>
    <cellStyle name="Comma 2 4 2 2 3 2 7 3 2" xfId="37141"/>
    <cellStyle name="Comma 2 4 2 2 3 2 7 4" xfId="30718"/>
    <cellStyle name="Comma 2 4 2 2 3 2 7 5" xfId="42484"/>
    <cellStyle name="Comma 2 4 2 2 3 2 8" xfId="8099"/>
    <cellStyle name="Comma 2 4 2 2 3 2 8 2" xfId="18559"/>
    <cellStyle name="Comma 2 4 2 2 3 2 8 2 2" xfId="39602"/>
    <cellStyle name="Comma 2 4 2 2 3 2 8 2 3" xfId="33179"/>
    <cellStyle name="Comma 2 4 2 2 3 2 8 3" xfId="23049"/>
    <cellStyle name="Comma 2 4 2 2 3 2 8 3 2" xfId="36395"/>
    <cellStyle name="Comma 2 4 2 2 3 2 8 4" xfId="29972"/>
    <cellStyle name="Comma 2 4 2 2 3 2 8 5" xfId="43878"/>
    <cellStyle name="Comma 2 4 2 2 3 2 9" xfId="6651"/>
    <cellStyle name="Comma 2 4 2 2 3 2 9 2" xfId="17158"/>
    <cellStyle name="Comma 2 4 2 2 3 2 9 2 2" xfId="38211"/>
    <cellStyle name="Comma 2 4 2 2 3 2 9 3" xfId="31788"/>
    <cellStyle name="Comma 2 4 2 2 3 3" xfId="2103"/>
    <cellStyle name="Comma 2 4 2 2 3 3 10" xfId="20731"/>
    <cellStyle name="Comma 2 4 2 2 3 3 11" xfId="28973"/>
    <cellStyle name="Comma 2 4 2 2 3 3 12" xfId="41750"/>
    <cellStyle name="Comma 2 4 2 2 3 3 2" xfId="2973"/>
    <cellStyle name="Comma 2 4 2 2 3 3 2 2" xfId="10904"/>
    <cellStyle name="Comma 2 4 2 2 3 3 2 2 2" xfId="19703"/>
    <cellStyle name="Comma 2 4 2 2 3 3 2 2 2 2" xfId="40746"/>
    <cellStyle name="Comma 2 4 2 2 3 3 2 2 2 3" xfId="34323"/>
    <cellStyle name="Comma 2 4 2 2 3 3 2 2 3" xfId="21902"/>
    <cellStyle name="Comma 2 4 2 2 3 3 2 2 3 2" xfId="37539"/>
    <cellStyle name="Comma 2 4 2 2 3 3 2 2 4" xfId="31116"/>
    <cellStyle name="Comma 2 4 2 2 3 3 2 2 5" xfId="42881"/>
    <cellStyle name="Comma 2 4 2 2 3 3 2 3" xfId="8106"/>
    <cellStyle name="Comma 2 4 2 2 3 3 2 3 2" xfId="18566"/>
    <cellStyle name="Comma 2 4 2 2 3 3 2 3 2 2" xfId="39609"/>
    <cellStyle name="Comma 2 4 2 2 3 3 2 3 2 3" xfId="33186"/>
    <cellStyle name="Comma 2 4 2 2 3 3 2 3 3" xfId="23056"/>
    <cellStyle name="Comma 2 4 2 2 3 3 2 3 3 2" xfId="36402"/>
    <cellStyle name="Comma 2 4 2 2 3 3 2 3 4" xfId="29979"/>
    <cellStyle name="Comma 2 4 2 2 3 3 2 3 5" xfId="43885"/>
    <cellStyle name="Comma 2 4 2 2 3 3 2 4" xfId="7052"/>
    <cellStyle name="Comma 2 4 2 2 3 3 2 4 2" xfId="17555"/>
    <cellStyle name="Comma 2 4 2 2 3 3 2 4 2 2" xfId="38604"/>
    <cellStyle name="Comma 2 4 2 2 3 3 2 4 3" xfId="32181"/>
    <cellStyle name="Comma 2 4 2 2 3 3 2 5" xfId="16351"/>
    <cellStyle name="Comma 2 4 2 2 3 3 2 5 2" xfId="35397"/>
    <cellStyle name="Comma 2 4 2 2 3 3 2 6" xfId="20732"/>
    <cellStyle name="Comma 2 4 2 2 3 3 2 7" xfId="28974"/>
    <cellStyle name="Comma 2 4 2 2 3 3 2 8" xfId="41751"/>
    <cellStyle name="Comma 2 4 2 2 3 3 3" xfId="3843"/>
    <cellStyle name="Comma 2 4 2 2 3 3 3 2" xfId="10905"/>
    <cellStyle name="Comma 2 4 2 2 3 3 3 2 2" xfId="19704"/>
    <cellStyle name="Comma 2 4 2 2 3 3 3 2 2 2" xfId="40747"/>
    <cellStyle name="Comma 2 4 2 2 3 3 3 2 2 3" xfId="34324"/>
    <cellStyle name="Comma 2 4 2 2 3 3 3 2 3" xfId="21903"/>
    <cellStyle name="Comma 2 4 2 2 3 3 3 2 3 2" xfId="37540"/>
    <cellStyle name="Comma 2 4 2 2 3 3 3 2 4" xfId="31117"/>
    <cellStyle name="Comma 2 4 2 2 3 3 3 2 5" xfId="42882"/>
    <cellStyle name="Comma 2 4 2 2 3 3 3 3" xfId="8107"/>
    <cellStyle name="Comma 2 4 2 2 3 3 3 3 2" xfId="18567"/>
    <cellStyle name="Comma 2 4 2 2 3 3 3 3 2 2" xfId="39610"/>
    <cellStyle name="Comma 2 4 2 2 3 3 3 3 2 3" xfId="33187"/>
    <cellStyle name="Comma 2 4 2 2 3 3 3 3 3" xfId="23057"/>
    <cellStyle name="Comma 2 4 2 2 3 3 3 3 3 2" xfId="36403"/>
    <cellStyle name="Comma 2 4 2 2 3 3 3 3 4" xfId="29980"/>
    <cellStyle name="Comma 2 4 2 2 3 3 3 3 5" xfId="43886"/>
    <cellStyle name="Comma 2 4 2 2 3 3 3 4" xfId="7053"/>
    <cellStyle name="Comma 2 4 2 2 3 3 3 4 2" xfId="17556"/>
    <cellStyle name="Comma 2 4 2 2 3 3 3 4 2 2" xfId="38605"/>
    <cellStyle name="Comma 2 4 2 2 3 3 3 4 3" xfId="32182"/>
    <cellStyle name="Comma 2 4 2 2 3 3 3 5" xfId="16539"/>
    <cellStyle name="Comma 2 4 2 2 3 3 3 5 2" xfId="35398"/>
    <cellStyle name="Comma 2 4 2 2 3 3 3 6" xfId="20733"/>
    <cellStyle name="Comma 2 4 2 2 3 3 3 7" xfId="28975"/>
    <cellStyle name="Comma 2 4 2 2 3 3 3 8" xfId="41752"/>
    <cellStyle name="Comma 2 4 2 2 3 3 4" xfId="4721"/>
    <cellStyle name="Comma 2 4 2 2 3 3 4 2" xfId="10906"/>
    <cellStyle name="Comma 2 4 2 2 3 3 4 2 2" xfId="19705"/>
    <cellStyle name="Comma 2 4 2 2 3 3 4 2 2 2" xfId="40748"/>
    <cellStyle name="Comma 2 4 2 2 3 3 4 2 2 3" xfId="34325"/>
    <cellStyle name="Comma 2 4 2 2 3 3 4 2 3" xfId="21904"/>
    <cellStyle name="Comma 2 4 2 2 3 3 4 2 3 2" xfId="37541"/>
    <cellStyle name="Comma 2 4 2 2 3 3 4 2 4" xfId="31118"/>
    <cellStyle name="Comma 2 4 2 2 3 3 4 2 5" xfId="42883"/>
    <cellStyle name="Comma 2 4 2 2 3 3 4 3" xfId="8108"/>
    <cellStyle name="Comma 2 4 2 2 3 3 4 3 2" xfId="18568"/>
    <cellStyle name="Comma 2 4 2 2 3 3 4 3 2 2" xfId="39611"/>
    <cellStyle name="Comma 2 4 2 2 3 3 4 3 2 3" xfId="33188"/>
    <cellStyle name="Comma 2 4 2 2 3 3 4 3 3" xfId="23058"/>
    <cellStyle name="Comma 2 4 2 2 3 3 4 3 3 2" xfId="36404"/>
    <cellStyle name="Comma 2 4 2 2 3 3 4 3 4" xfId="29981"/>
    <cellStyle name="Comma 2 4 2 2 3 3 4 3 5" xfId="43887"/>
    <cellStyle name="Comma 2 4 2 2 3 3 4 4" xfId="7054"/>
    <cellStyle name="Comma 2 4 2 2 3 3 4 4 2" xfId="17557"/>
    <cellStyle name="Comma 2 4 2 2 3 3 4 4 2 2" xfId="38606"/>
    <cellStyle name="Comma 2 4 2 2 3 3 4 4 3" xfId="32183"/>
    <cellStyle name="Comma 2 4 2 2 3 3 4 5" xfId="16727"/>
    <cellStyle name="Comma 2 4 2 2 3 3 4 5 2" xfId="35399"/>
    <cellStyle name="Comma 2 4 2 2 3 3 4 6" xfId="20734"/>
    <cellStyle name="Comma 2 4 2 2 3 3 4 7" xfId="28976"/>
    <cellStyle name="Comma 2 4 2 2 3 3 4 8" xfId="41753"/>
    <cellStyle name="Comma 2 4 2 2 3 3 5" xfId="5986"/>
    <cellStyle name="Comma 2 4 2 2 3 3 5 2" xfId="10907"/>
    <cellStyle name="Comma 2 4 2 2 3 3 5 2 2" xfId="19706"/>
    <cellStyle name="Comma 2 4 2 2 3 3 5 2 2 2" xfId="40749"/>
    <cellStyle name="Comma 2 4 2 2 3 3 5 2 2 3" xfId="34326"/>
    <cellStyle name="Comma 2 4 2 2 3 3 5 2 3" xfId="21905"/>
    <cellStyle name="Comma 2 4 2 2 3 3 5 2 3 2" xfId="37542"/>
    <cellStyle name="Comma 2 4 2 2 3 3 5 2 4" xfId="31119"/>
    <cellStyle name="Comma 2 4 2 2 3 3 5 2 5" xfId="42884"/>
    <cellStyle name="Comma 2 4 2 2 3 3 5 3" xfId="8109"/>
    <cellStyle name="Comma 2 4 2 2 3 3 5 3 2" xfId="18569"/>
    <cellStyle name="Comma 2 4 2 2 3 3 5 3 2 2" xfId="39612"/>
    <cellStyle name="Comma 2 4 2 2 3 3 5 3 2 3" xfId="33189"/>
    <cellStyle name="Comma 2 4 2 2 3 3 5 3 3" xfId="23059"/>
    <cellStyle name="Comma 2 4 2 2 3 3 5 3 3 2" xfId="36405"/>
    <cellStyle name="Comma 2 4 2 2 3 3 5 3 4" xfId="29982"/>
    <cellStyle name="Comma 2 4 2 2 3 3 5 3 5" xfId="43888"/>
    <cellStyle name="Comma 2 4 2 2 3 3 5 4" xfId="7055"/>
    <cellStyle name="Comma 2 4 2 2 3 3 5 4 2" xfId="17558"/>
    <cellStyle name="Comma 2 4 2 2 3 3 5 4 2 2" xfId="38607"/>
    <cellStyle name="Comma 2 4 2 2 3 3 5 4 3" xfId="32184"/>
    <cellStyle name="Comma 2 4 2 2 3 3 5 5" xfId="17015"/>
    <cellStyle name="Comma 2 4 2 2 3 3 5 5 2" xfId="35400"/>
    <cellStyle name="Comma 2 4 2 2 3 3 5 6" xfId="20735"/>
    <cellStyle name="Comma 2 4 2 2 3 3 5 7" xfId="28977"/>
    <cellStyle name="Comma 2 4 2 2 3 3 5 8" xfId="41754"/>
    <cellStyle name="Comma 2 4 2 2 3 3 6" xfId="10903"/>
    <cellStyle name="Comma 2 4 2 2 3 3 6 2" xfId="19702"/>
    <cellStyle name="Comma 2 4 2 2 3 3 6 2 2" xfId="40745"/>
    <cellStyle name="Comma 2 4 2 2 3 3 6 2 3" xfId="34322"/>
    <cellStyle name="Comma 2 4 2 2 3 3 6 3" xfId="21901"/>
    <cellStyle name="Comma 2 4 2 2 3 3 6 3 2" xfId="37538"/>
    <cellStyle name="Comma 2 4 2 2 3 3 6 4" xfId="31115"/>
    <cellStyle name="Comma 2 4 2 2 3 3 6 5" xfId="42880"/>
    <cellStyle name="Comma 2 4 2 2 3 3 7" xfId="8105"/>
    <cellStyle name="Comma 2 4 2 2 3 3 7 2" xfId="18565"/>
    <cellStyle name="Comma 2 4 2 2 3 3 7 2 2" xfId="39608"/>
    <cellStyle name="Comma 2 4 2 2 3 3 7 2 3" xfId="33185"/>
    <cellStyle name="Comma 2 4 2 2 3 3 7 3" xfId="23055"/>
    <cellStyle name="Comma 2 4 2 2 3 3 7 3 2" xfId="36401"/>
    <cellStyle name="Comma 2 4 2 2 3 3 7 4" xfId="29978"/>
    <cellStyle name="Comma 2 4 2 2 3 3 7 5" xfId="43884"/>
    <cellStyle name="Comma 2 4 2 2 3 3 8" xfId="7051"/>
    <cellStyle name="Comma 2 4 2 2 3 3 8 2" xfId="17554"/>
    <cellStyle name="Comma 2 4 2 2 3 3 8 2 2" xfId="38603"/>
    <cellStyle name="Comma 2 4 2 2 3 3 8 3" xfId="32180"/>
    <cellStyle name="Comma 2 4 2 2 3 3 9" xfId="16162"/>
    <cellStyle name="Comma 2 4 2 2 3 3 9 2" xfId="35396"/>
    <cellStyle name="Comma 2 4 2 2 3 4" xfId="2468"/>
    <cellStyle name="Comma 2 4 2 2 3 4 2" xfId="10908"/>
    <cellStyle name="Comma 2 4 2 2 3 4 2 2" xfId="19707"/>
    <cellStyle name="Comma 2 4 2 2 3 4 2 2 2" xfId="40750"/>
    <cellStyle name="Comma 2 4 2 2 3 4 2 2 3" xfId="34327"/>
    <cellStyle name="Comma 2 4 2 2 3 4 2 3" xfId="21906"/>
    <cellStyle name="Comma 2 4 2 2 3 4 2 3 2" xfId="37543"/>
    <cellStyle name="Comma 2 4 2 2 3 4 2 4" xfId="31120"/>
    <cellStyle name="Comma 2 4 2 2 3 4 2 5" xfId="42885"/>
    <cellStyle name="Comma 2 4 2 2 3 4 3" xfId="8110"/>
    <cellStyle name="Comma 2 4 2 2 3 4 3 2" xfId="18570"/>
    <cellStyle name="Comma 2 4 2 2 3 4 3 2 2" xfId="39613"/>
    <cellStyle name="Comma 2 4 2 2 3 4 3 2 3" xfId="33190"/>
    <cellStyle name="Comma 2 4 2 2 3 4 3 3" xfId="23060"/>
    <cellStyle name="Comma 2 4 2 2 3 4 3 3 2" xfId="36406"/>
    <cellStyle name="Comma 2 4 2 2 3 4 3 4" xfId="29983"/>
    <cellStyle name="Comma 2 4 2 2 3 4 3 5" xfId="43889"/>
    <cellStyle name="Comma 2 4 2 2 3 4 4" xfId="7056"/>
    <cellStyle name="Comma 2 4 2 2 3 4 4 2" xfId="17559"/>
    <cellStyle name="Comma 2 4 2 2 3 4 4 2 2" xfId="38608"/>
    <cellStyle name="Comma 2 4 2 2 3 4 4 3" xfId="32185"/>
    <cellStyle name="Comma 2 4 2 2 3 4 5" xfId="16243"/>
    <cellStyle name="Comma 2 4 2 2 3 4 5 2" xfId="35401"/>
    <cellStyle name="Comma 2 4 2 2 3 4 6" xfId="20736"/>
    <cellStyle name="Comma 2 4 2 2 3 4 7" xfId="28978"/>
    <cellStyle name="Comma 2 4 2 2 3 4 8" xfId="41755"/>
    <cellStyle name="Comma 2 4 2 2 3 5" xfId="3331"/>
    <cellStyle name="Comma 2 4 2 2 3 5 2" xfId="10909"/>
    <cellStyle name="Comma 2 4 2 2 3 5 2 2" xfId="19708"/>
    <cellStyle name="Comma 2 4 2 2 3 5 2 2 2" xfId="40751"/>
    <cellStyle name="Comma 2 4 2 2 3 5 2 2 3" xfId="34328"/>
    <cellStyle name="Comma 2 4 2 2 3 5 2 3" xfId="21907"/>
    <cellStyle name="Comma 2 4 2 2 3 5 2 3 2" xfId="37544"/>
    <cellStyle name="Comma 2 4 2 2 3 5 2 4" xfId="31121"/>
    <cellStyle name="Comma 2 4 2 2 3 5 2 5" xfId="42886"/>
    <cellStyle name="Comma 2 4 2 2 3 5 3" xfId="8111"/>
    <cellStyle name="Comma 2 4 2 2 3 5 3 2" xfId="18571"/>
    <cellStyle name="Comma 2 4 2 2 3 5 3 2 2" xfId="39614"/>
    <cellStyle name="Comma 2 4 2 2 3 5 3 2 3" xfId="33191"/>
    <cellStyle name="Comma 2 4 2 2 3 5 3 3" xfId="23061"/>
    <cellStyle name="Comma 2 4 2 2 3 5 3 3 2" xfId="36407"/>
    <cellStyle name="Comma 2 4 2 2 3 5 3 4" xfId="29984"/>
    <cellStyle name="Comma 2 4 2 2 3 5 3 5" xfId="43890"/>
    <cellStyle name="Comma 2 4 2 2 3 5 4" xfId="7057"/>
    <cellStyle name="Comma 2 4 2 2 3 5 4 2" xfId="17560"/>
    <cellStyle name="Comma 2 4 2 2 3 5 4 2 2" xfId="38609"/>
    <cellStyle name="Comma 2 4 2 2 3 5 4 3" xfId="32186"/>
    <cellStyle name="Comma 2 4 2 2 3 5 5" xfId="16431"/>
    <cellStyle name="Comma 2 4 2 2 3 5 5 2" xfId="35402"/>
    <cellStyle name="Comma 2 4 2 2 3 5 6" xfId="20737"/>
    <cellStyle name="Comma 2 4 2 2 3 5 7" xfId="28979"/>
    <cellStyle name="Comma 2 4 2 2 3 5 8" xfId="41756"/>
    <cellStyle name="Comma 2 4 2 2 3 6" xfId="4199"/>
    <cellStyle name="Comma 2 4 2 2 3 6 2" xfId="10910"/>
    <cellStyle name="Comma 2 4 2 2 3 6 2 2" xfId="19709"/>
    <cellStyle name="Comma 2 4 2 2 3 6 2 2 2" xfId="40752"/>
    <cellStyle name="Comma 2 4 2 2 3 6 2 2 3" xfId="34329"/>
    <cellStyle name="Comma 2 4 2 2 3 6 2 3" xfId="21908"/>
    <cellStyle name="Comma 2 4 2 2 3 6 2 3 2" xfId="37545"/>
    <cellStyle name="Comma 2 4 2 2 3 6 2 4" xfId="31122"/>
    <cellStyle name="Comma 2 4 2 2 3 6 2 5" xfId="42887"/>
    <cellStyle name="Comma 2 4 2 2 3 6 3" xfId="8112"/>
    <cellStyle name="Comma 2 4 2 2 3 6 3 2" xfId="18572"/>
    <cellStyle name="Comma 2 4 2 2 3 6 3 2 2" xfId="39615"/>
    <cellStyle name="Comma 2 4 2 2 3 6 3 2 3" xfId="33192"/>
    <cellStyle name="Comma 2 4 2 2 3 6 3 3" xfId="23062"/>
    <cellStyle name="Comma 2 4 2 2 3 6 3 3 2" xfId="36408"/>
    <cellStyle name="Comma 2 4 2 2 3 6 3 4" xfId="29985"/>
    <cellStyle name="Comma 2 4 2 2 3 6 3 5" xfId="43891"/>
    <cellStyle name="Comma 2 4 2 2 3 6 4" xfId="7058"/>
    <cellStyle name="Comma 2 4 2 2 3 6 4 2" xfId="17561"/>
    <cellStyle name="Comma 2 4 2 2 3 6 4 2 2" xfId="38610"/>
    <cellStyle name="Comma 2 4 2 2 3 6 4 3" xfId="32187"/>
    <cellStyle name="Comma 2 4 2 2 3 6 5" xfId="16619"/>
    <cellStyle name="Comma 2 4 2 2 3 6 5 2" xfId="35403"/>
    <cellStyle name="Comma 2 4 2 2 3 6 6" xfId="20738"/>
    <cellStyle name="Comma 2 4 2 2 3 6 7" xfId="28980"/>
    <cellStyle name="Comma 2 4 2 2 3 6 8" xfId="41757"/>
    <cellStyle name="Comma 2 4 2 2 3 7" xfId="5008"/>
    <cellStyle name="Comma 2 4 2 2 3 7 2" xfId="10911"/>
    <cellStyle name="Comma 2 4 2 2 3 7 2 2" xfId="19710"/>
    <cellStyle name="Comma 2 4 2 2 3 7 2 2 2" xfId="40753"/>
    <cellStyle name="Comma 2 4 2 2 3 7 2 2 3" xfId="34330"/>
    <cellStyle name="Comma 2 4 2 2 3 7 2 3" xfId="21909"/>
    <cellStyle name="Comma 2 4 2 2 3 7 2 3 2" xfId="37546"/>
    <cellStyle name="Comma 2 4 2 2 3 7 2 4" xfId="31123"/>
    <cellStyle name="Comma 2 4 2 2 3 7 2 5" xfId="42888"/>
    <cellStyle name="Comma 2 4 2 2 3 7 3" xfId="8113"/>
    <cellStyle name="Comma 2 4 2 2 3 7 3 2" xfId="18573"/>
    <cellStyle name="Comma 2 4 2 2 3 7 3 2 2" xfId="39616"/>
    <cellStyle name="Comma 2 4 2 2 3 7 3 2 3" xfId="33193"/>
    <cellStyle name="Comma 2 4 2 2 3 7 3 3" xfId="23063"/>
    <cellStyle name="Comma 2 4 2 2 3 7 3 3 2" xfId="36409"/>
    <cellStyle name="Comma 2 4 2 2 3 7 3 4" xfId="29986"/>
    <cellStyle name="Comma 2 4 2 2 3 7 3 5" xfId="43892"/>
    <cellStyle name="Comma 2 4 2 2 3 7 4" xfId="7059"/>
    <cellStyle name="Comma 2 4 2 2 3 7 4 2" xfId="17562"/>
    <cellStyle name="Comma 2 4 2 2 3 7 4 2 2" xfId="38611"/>
    <cellStyle name="Comma 2 4 2 2 3 7 4 3" xfId="32188"/>
    <cellStyle name="Comma 2 4 2 2 3 7 5" xfId="16823"/>
    <cellStyle name="Comma 2 4 2 2 3 7 5 2" xfId="35404"/>
    <cellStyle name="Comma 2 4 2 2 3 7 6" xfId="20739"/>
    <cellStyle name="Comma 2 4 2 2 3 7 7" xfId="28981"/>
    <cellStyle name="Comma 2 4 2 2 3 7 8" xfId="41758"/>
    <cellStyle name="Comma 2 4 2 2 3 8" xfId="5461"/>
    <cellStyle name="Comma 2 4 2 2 3 8 2" xfId="10912"/>
    <cellStyle name="Comma 2 4 2 2 3 8 2 2" xfId="19711"/>
    <cellStyle name="Comma 2 4 2 2 3 8 2 2 2" xfId="40754"/>
    <cellStyle name="Comma 2 4 2 2 3 8 2 2 3" xfId="34331"/>
    <cellStyle name="Comma 2 4 2 2 3 8 2 3" xfId="21910"/>
    <cellStyle name="Comma 2 4 2 2 3 8 2 3 2" xfId="37547"/>
    <cellStyle name="Comma 2 4 2 2 3 8 2 4" xfId="31124"/>
    <cellStyle name="Comma 2 4 2 2 3 8 2 5" xfId="42889"/>
    <cellStyle name="Comma 2 4 2 2 3 8 3" xfId="8114"/>
    <cellStyle name="Comma 2 4 2 2 3 8 3 2" xfId="18574"/>
    <cellStyle name="Comma 2 4 2 2 3 8 3 2 2" xfId="39617"/>
    <cellStyle name="Comma 2 4 2 2 3 8 3 2 3" xfId="33194"/>
    <cellStyle name="Comma 2 4 2 2 3 8 3 3" xfId="23064"/>
    <cellStyle name="Comma 2 4 2 2 3 8 3 3 2" xfId="36410"/>
    <cellStyle name="Comma 2 4 2 2 3 8 3 4" xfId="29987"/>
    <cellStyle name="Comma 2 4 2 2 3 8 3 5" xfId="43893"/>
    <cellStyle name="Comma 2 4 2 2 3 8 4" xfId="7060"/>
    <cellStyle name="Comma 2 4 2 2 3 8 4 2" xfId="17563"/>
    <cellStyle name="Comma 2 4 2 2 3 8 4 2 2" xfId="38612"/>
    <cellStyle name="Comma 2 4 2 2 3 8 4 3" xfId="32189"/>
    <cellStyle name="Comma 2 4 2 2 3 8 5" xfId="16907"/>
    <cellStyle name="Comma 2 4 2 2 3 8 5 2" xfId="35405"/>
    <cellStyle name="Comma 2 4 2 2 3 8 6" xfId="20740"/>
    <cellStyle name="Comma 2 4 2 2 3 8 7" xfId="28982"/>
    <cellStyle name="Comma 2 4 2 2 3 8 8" xfId="41759"/>
    <cellStyle name="Comma 2 4 2 2 3 9" xfId="10199"/>
    <cellStyle name="Comma 2 4 2 2 3 9 2" xfId="19253"/>
    <cellStyle name="Comma 2 4 2 2 3 9 2 2" xfId="40296"/>
    <cellStyle name="Comma 2 4 2 2 3 9 2 3" xfId="33873"/>
    <cellStyle name="Comma 2 4 2 2 3 9 3" xfId="21453"/>
    <cellStyle name="Comma 2 4 2 2 3 9 3 2" xfId="37089"/>
    <cellStyle name="Comma 2 4 2 2 3 9 4" xfId="30666"/>
    <cellStyle name="Comma 2 4 2 2 3 9 5" xfId="42432"/>
    <cellStyle name="Comma 2 4 2 2 4" xfId="1825"/>
    <cellStyle name="Comma 2 4 2 2 4 10" xfId="16103"/>
    <cellStyle name="Comma 2 4 2 2 4 10 2" xfId="34966"/>
    <cellStyle name="Comma 2 4 2 2 4 11" xfId="20741"/>
    <cellStyle name="Comma 2 4 2 2 4 12" xfId="28541"/>
    <cellStyle name="Comma 2 4 2 2 4 13" xfId="41760"/>
    <cellStyle name="Comma 2 4 2 2 4 2" xfId="2715"/>
    <cellStyle name="Comma 2 4 2 2 4 2 2" xfId="10913"/>
    <cellStyle name="Comma 2 4 2 2 4 2 2 2" xfId="19712"/>
    <cellStyle name="Comma 2 4 2 2 4 2 2 2 2" xfId="40755"/>
    <cellStyle name="Comma 2 4 2 2 4 2 2 2 3" xfId="34332"/>
    <cellStyle name="Comma 2 4 2 2 4 2 2 3" xfId="21911"/>
    <cellStyle name="Comma 2 4 2 2 4 2 2 3 2" xfId="37548"/>
    <cellStyle name="Comma 2 4 2 2 4 2 2 4" xfId="31125"/>
    <cellStyle name="Comma 2 4 2 2 4 2 2 5" xfId="42890"/>
    <cellStyle name="Comma 2 4 2 2 4 2 3" xfId="8116"/>
    <cellStyle name="Comma 2 4 2 2 4 2 3 2" xfId="18576"/>
    <cellStyle name="Comma 2 4 2 2 4 2 3 2 2" xfId="39619"/>
    <cellStyle name="Comma 2 4 2 2 4 2 3 2 3" xfId="33196"/>
    <cellStyle name="Comma 2 4 2 2 4 2 3 3" xfId="23066"/>
    <cellStyle name="Comma 2 4 2 2 4 2 3 3 2" xfId="36412"/>
    <cellStyle name="Comma 2 4 2 2 4 2 3 4" xfId="29989"/>
    <cellStyle name="Comma 2 4 2 2 4 2 3 5" xfId="43895"/>
    <cellStyle name="Comma 2 4 2 2 4 2 4" xfId="7061"/>
    <cellStyle name="Comma 2 4 2 2 4 2 4 2" xfId="17564"/>
    <cellStyle name="Comma 2 4 2 2 4 2 4 2 2" xfId="38613"/>
    <cellStyle name="Comma 2 4 2 2 4 2 4 3" xfId="32190"/>
    <cellStyle name="Comma 2 4 2 2 4 2 5" xfId="16293"/>
    <cellStyle name="Comma 2 4 2 2 4 2 5 2" xfId="35406"/>
    <cellStyle name="Comma 2 4 2 2 4 2 6" xfId="20742"/>
    <cellStyle name="Comma 2 4 2 2 4 2 7" xfId="28983"/>
    <cellStyle name="Comma 2 4 2 2 4 2 8" xfId="41761"/>
    <cellStyle name="Comma 2 4 2 2 4 3" xfId="3579"/>
    <cellStyle name="Comma 2 4 2 2 4 3 2" xfId="10914"/>
    <cellStyle name="Comma 2 4 2 2 4 3 2 2" xfId="19713"/>
    <cellStyle name="Comma 2 4 2 2 4 3 2 2 2" xfId="40756"/>
    <cellStyle name="Comma 2 4 2 2 4 3 2 2 3" xfId="34333"/>
    <cellStyle name="Comma 2 4 2 2 4 3 2 3" xfId="21912"/>
    <cellStyle name="Comma 2 4 2 2 4 3 2 3 2" xfId="37549"/>
    <cellStyle name="Comma 2 4 2 2 4 3 2 4" xfId="31126"/>
    <cellStyle name="Comma 2 4 2 2 4 3 2 5" xfId="42891"/>
    <cellStyle name="Comma 2 4 2 2 4 3 3" xfId="8117"/>
    <cellStyle name="Comma 2 4 2 2 4 3 3 2" xfId="18577"/>
    <cellStyle name="Comma 2 4 2 2 4 3 3 2 2" xfId="39620"/>
    <cellStyle name="Comma 2 4 2 2 4 3 3 2 3" xfId="33197"/>
    <cellStyle name="Comma 2 4 2 2 4 3 3 3" xfId="23067"/>
    <cellStyle name="Comma 2 4 2 2 4 3 3 3 2" xfId="36413"/>
    <cellStyle name="Comma 2 4 2 2 4 3 3 4" xfId="29990"/>
    <cellStyle name="Comma 2 4 2 2 4 3 3 5" xfId="43896"/>
    <cellStyle name="Comma 2 4 2 2 4 3 4" xfId="7062"/>
    <cellStyle name="Comma 2 4 2 2 4 3 4 2" xfId="17565"/>
    <cellStyle name="Comma 2 4 2 2 4 3 4 2 2" xfId="38614"/>
    <cellStyle name="Comma 2 4 2 2 4 3 4 3" xfId="32191"/>
    <cellStyle name="Comma 2 4 2 2 4 3 5" xfId="16481"/>
    <cellStyle name="Comma 2 4 2 2 4 3 5 2" xfId="35407"/>
    <cellStyle name="Comma 2 4 2 2 4 3 6" xfId="20743"/>
    <cellStyle name="Comma 2 4 2 2 4 3 7" xfId="28984"/>
    <cellStyle name="Comma 2 4 2 2 4 3 8" xfId="41762"/>
    <cellStyle name="Comma 2 4 2 2 4 4" xfId="4454"/>
    <cellStyle name="Comma 2 4 2 2 4 4 2" xfId="10915"/>
    <cellStyle name="Comma 2 4 2 2 4 4 2 2" xfId="19714"/>
    <cellStyle name="Comma 2 4 2 2 4 4 2 2 2" xfId="40757"/>
    <cellStyle name="Comma 2 4 2 2 4 4 2 2 3" xfId="34334"/>
    <cellStyle name="Comma 2 4 2 2 4 4 2 3" xfId="21913"/>
    <cellStyle name="Comma 2 4 2 2 4 4 2 3 2" xfId="37550"/>
    <cellStyle name="Comma 2 4 2 2 4 4 2 4" xfId="31127"/>
    <cellStyle name="Comma 2 4 2 2 4 4 2 5" xfId="42892"/>
    <cellStyle name="Comma 2 4 2 2 4 4 3" xfId="8118"/>
    <cellStyle name="Comma 2 4 2 2 4 4 3 2" xfId="18578"/>
    <cellStyle name="Comma 2 4 2 2 4 4 3 2 2" xfId="39621"/>
    <cellStyle name="Comma 2 4 2 2 4 4 3 2 3" xfId="33198"/>
    <cellStyle name="Comma 2 4 2 2 4 4 3 3" xfId="23068"/>
    <cellStyle name="Comma 2 4 2 2 4 4 3 3 2" xfId="36414"/>
    <cellStyle name="Comma 2 4 2 2 4 4 3 4" xfId="29991"/>
    <cellStyle name="Comma 2 4 2 2 4 4 3 5" xfId="43897"/>
    <cellStyle name="Comma 2 4 2 2 4 4 4" xfId="7063"/>
    <cellStyle name="Comma 2 4 2 2 4 4 4 2" xfId="17566"/>
    <cellStyle name="Comma 2 4 2 2 4 4 4 2 2" xfId="38615"/>
    <cellStyle name="Comma 2 4 2 2 4 4 4 3" xfId="32192"/>
    <cellStyle name="Comma 2 4 2 2 4 4 5" xfId="16669"/>
    <cellStyle name="Comma 2 4 2 2 4 4 5 2" xfId="35408"/>
    <cellStyle name="Comma 2 4 2 2 4 4 6" xfId="20744"/>
    <cellStyle name="Comma 2 4 2 2 4 4 7" xfId="28985"/>
    <cellStyle name="Comma 2 4 2 2 4 4 8" xfId="41763"/>
    <cellStyle name="Comma 2 4 2 2 4 5" xfId="5010"/>
    <cellStyle name="Comma 2 4 2 2 4 5 2" xfId="10916"/>
    <cellStyle name="Comma 2 4 2 2 4 5 2 2" xfId="19715"/>
    <cellStyle name="Comma 2 4 2 2 4 5 2 2 2" xfId="40758"/>
    <cellStyle name="Comma 2 4 2 2 4 5 2 2 3" xfId="34335"/>
    <cellStyle name="Comma 2 4 2 2 4 5 2 3" xfId="21914"/>
    <cellStyle name="Comma 2 4 2 2 4 5 2 3 2" xfId="37551"/>
    <cellStyle name="Comma 2 4 2 2 4 5 2 4" xfId="31128"/>
    <cellStyle name="Comma 2 4 2 2 4 5 2 5" xfId="42893"/>
    <cellStyle name="Comma 2 4 2 2 4 5 3" xfId="8119"/>
    <cellStyle name="Comma 2 4 2 2 4 5 3 2" xfId="18579"/>
    <cellStyle name="Comma 2 4 2 2 4 5 3 2 2" xfId="39622"/>
    <cellStyle name="Comma 2 4 2 2 4 5 3 2 3" xfId="33199"/>
    <cellStyle name="Comma 2 4 2 2 4 5 3 3" xfId="23069"/>
    <cellStyle name="Comma 2 4 2 2 4 5 3 3 2" xfId="36415"/>
    <cellStyle name="Comma 2 4 2 2 4 5 3 4" xfId="29992"/>
    <cellStyle name="Comma 2 4 2 2 4 5 3 5" xfId="43898"/>
    <cellStyle name="Comma 2 4 2 2 4 5 4" xfId="7064"/>
    <cellStyle name="Comma 2 4 2 2 4 5 4 2" xfId="17567"/>
    <cellStyle name="Comma 2 4 2 2 4 5 4 2 2" xfId="38616"/>
    <cellStyle name="Comma 2 4 2 2 4 5 4 3" xfId="32193"/>
    <cellStyle name="Comma 2 4 2 2 4 5 5" xfId="16825"/>
    <cellStyle name="Comma 2 4 2 2 4 5 5 2" xfId="35409"/>
    <cellStyle name="Comma 2 4 2 2 4 5 6" xfId="20745"/>
    <cellStyle name="Comma 2 4 2 2 4 5 7" xfId="28986"/>
    <cellStyle name="Comma 2 4 2 2 4 5 8" xfId="41764"/>
    <cellStyle name="Comma 2 4 2 2 4 6" xfId="5719"/>
    <cellStyle name="Comma 2 4 2 2 4 6 2" xfId="10917"/>
    <cellStyle name="Comma 2 4 2 2 4 6 2 2" xfId="19716"/>
    <cellStyle name="Comma 2 4 2 2 4 6 2 2 2" xfId="40759"/>
    <cellStyle name="Comma 2 4 2 2 4 6 2 2 3" xfId="34336"/>
    <cellStyle name="Comma 2 4 2 2 4 6 2 3" xfId="21915"/>
    <cellStyle name="Comma 2 4 2 2 4 6 2 3 2" xfId="37552"/>
    <cellStyle name="Comma 2 4 2 2 4 6 2 4" xfId="31129"/>
    <cellStyle name="Comma 2 4 2 2 4 6 2 5" xfId="42894"/>
    <cellStyle name="Comma 2 4 2 2 4 6 3" xfId="8120"/>
    <cellStyle name="Comma 2 4 2 2 4 6 3 2" xfId="18580"/>
    <cellStyle name="Comma 2 4 2 2 4 6 3 2 2" xfId="39623"/>
    <cellStyle name="Comma 2 4 2 2 4 6 3 2 3" xfId="33200"/>
    <cellStyle name="Comma 2 4 2 2 4 6 3 3" xfId="23070"/>
    <cellStyle name="Comma 2 4 2 2 4 6 3 3 2" xfId="36416"/>
    <cellStyle name="Comma 2 4 2 2 4 6 3 4" xfId="29993"/>
    <cellStyle name="Comma 2 4 2 2 4 6 3 5" xfId="43899"/>
    <cellStyle name="Comma 2 4 2 2 4 6 4" xfId="7065"/>
    <cellStyle name="Comma 2 4 2 2 4 6 4 2" xfId="17568"/>
    <cellStyle name="Comma 2 4 2 2 4 6 4 2 2" xfId="38617"/>
    <cellStyle name="Comma 2 4 2 2 4 6 4 3" xfId="32194"/>
    <cellStyle name="Comma 2 4 2 2 4 6 5" xfId="16957"/>
    <cellStyle name="Comma 2 4 2 2 4 6 5 2" xfId="35410"/>
    <cellStyle name="Comma 2 4 2 2 4 6 6" xfId="20746"/>
    <cellStyle name="Comma 2 4 2 2 4 6 7" xfId="28987"/>
    <cellStyle name="Comma 2 4 2 2 4 6 8" xfId="41765"/>
    <cellStyle name="Comma 2 4 2 2 4 7" xfId="10213"/>
    <cellStyle name="Comma 2 4 2 2 4 7 2" xfId="19267"/>
    <cellStyle name="Comma 2 4 2 2 4 7 2 2" xfId="40310"/>
    <cellStyle name="Comma 2 4 2 2 4 7 2 3" xfId="33887"/>
    <cellStyle name="Comma 2 4 2 2 4 7 3" xfId="21467"/>
    <cellStyle name="Comma 2 4 2 2 4 7 3 2" xfId="37103"/>
    <cellStyle name="Comma 2 4 2 2 4 7 4" xfId="30680"/>
    <cellStyle name="Comma 2 4 2 2 4 7 5" xfId="42446"/>
    <cellStyle name="Comma 2 4 2 2 4 8" xfId="8115"/>
    <cellStyle name="Comma 2 4 2 2 4 8 2" xfId="18575"/>
    <cellStyle name="Comma 2 4 2 2 4 8 2 2" xfId="39618"/>
    <cellStyle name="Comma 2 4 2 2 4 8 2 3" xfId="33195"/>
    <cellStyle name="Comma 2 4 2 2 4 8 3" xfId="23065"/>
    <cellStyle name="Comma 2 4 2 2 4 8 3 2" xfId="36411"/>
    <cellStyle name="Comma 2 4 2 2 4 8 4" xfId="29988"/>
    <cellStyle name="Comma 2 4 2 2 4 8 5" xfId="43894"/>
    <cellStyle name="Comma 2 4 2 2 4 9" xfId="6613"/>
    <cellStyle name="Comma 2 4 2 2 4 9 2" xfId="17120"/>
    <cellStyle name="Comma 2 4 2 2 4 9 2 2" xfId="38173"/>
    <cellStyle name="Comma 2 4 2 2 4 9 3" xfId="31750"/>
    <cellStyle name="Comma 2 4 2 2 5" xfId="2100"/>
    <cellStyle name="Comma 2 4 2 2 5 10" xfId="20747"/>
    <cellStyle name="Comma 2 4 2 2 5 11" xfId="28988"/>
    <cellStyle name="Comma 2 4 2 2 5 12" xfId="41766"/>
    <cellStyle name="Comma 2 4 2 2 5 2" xfId="2970"/>
    <cellStyle name="Comma 2 4 2 2 5 2 2" xfId="10919"/>
    <cellStyle name="Comma 2 4 2 2 5 2 2 2" xfId="19718"/>
    <cellStyle name="Comma 2 4 2 2 5 2 2 2 2" xfId="40761"/>
    <cellStyle name="Comma 2 4 2 2 5 2 2 2 3" xfId="34338"/>
    <cellStyle name="Comma 2 4 2 2 5 2 2 3" xfId="21917"/>
    <cellStyle name="Comma 2 4 2 2 5 2 2 3 2" xfId="37554"/>
    <cellStyle name="Comma 2 4 2 2 5 2 2 4" xfId="31131"/>
    <cellStyle name="Comma 2 4 2 2 5 2 2 5" xfId="42896"/>
    <cellStyle name="Comma 2 4 2 2 5 2 3" xfId="8122"/>
    <cellStyle name="Comma 2 4 2 2 5 2 3 2" xfId="18582"/>
    <cellStyle name="Comma 2 4 2 2 5 2 3 2 2" xfId="39625"/>
    <cellStyle name="Comma 2 4 2 2 5 2 3 2 3" xfId="33202"/>
    <cellStyle name="Comma 2 4 2 2 5 2 3 3" xfId="23072"/>
    <cellStyle name="Comma 2 4 2 2 5 2 3 3 2" xfId="36418"/>
    <cellStyle name="Comma 2 4 2 2 5 2 3 4" xfId="29995"/>
    <cellStyle name="Comma 2 4 2 2 5 2 3 5" xfId="43901"/>
    <cellStyle name="Comma 2 4 2 2 5 2 4" xfId="7067"/>
    <cellStyle name="Comma 2 4 2 2 5 2 4 2" xfId="17570"/>
    <cellStyle name="Comma 2 4 2 2 5 2 4 2 2" xfId="38619"/>
    <cellStyle name="Comma 2 4 2 2 5 2 4 3" xfId="32196"/>
    <cellStyle name="Comma 2 4 2 2 5 2 5" xfId="16348"/>
    <cellStyle name="Comma 2 4 2 2 5 2 5 2" xfId="35412"/>
    <cellStyle name="Comma 2 4 2 2 5 2 6" xfId="20748"/>
    <cellStyle name="Comma 2 4 2 2 5 2 7" xfId="28989"/>
    <cellStyle name="Comma 2 4 2 2 5 2 8" xfId="41767"/>
    <cellStyle name="Comma 2 4 2 2 5 3" xfId="3840"/>
    <cellStyle name="Comma 2 4 2 2 5 3 2" xfId="10920"/>
    <cellStyle name="Comma 2 4 2 2 5 3 2 2" xfId="19719"/>
    <cellStyle name="Comma 2 4 2 2 5 3 2 2 2" xfId="40762"/>
    <cellStyle name="Comma 2 4 2 2 5 3 2 2 3" xfId="34339"/>
    <cellStyle name="Comma 2 4 2 2 5 3 2 3" xfId="21918"/>
    <cellStyle name="Comma 2 4 2 2 5 3 2 3 2" xfId="37555"/>
    <cellStyle name="Comma 2 4 2 2 5 3 2 4" xfId="31132"/>
    <cellStyle name="Comma 2 4 2 2 5 3 2 5" xfId="42897"/>
    <cellStyle name="Comma 2 4 2 2 5 3 3" xfId="8123"/>
    <cellStyle name="Comma 2 4 2 2 5 3 3 2" xfId="18583"/>
    <cellStyle name="Comma 2 4 2 2 5 3 3 2 2" xfId="39626"/>
    <cellStyle name="Comma 2 4 2 2 5 3 3 2 3" xfId="33203"/>
    <cellStyle name="Comma 2 4 2 2 5 3 3 3" xfId="23073"/>
    <cellStyle name="Comma 2 4 2 2 5 3 3 3 2" xfId="36419"/>
    <cellStyle name="Comma 2 4 2 2 5 3 3 4" xfId="29996"/>
    <cellStyle name="Comma 2 4 2 2 5 3 3 5" xfId="43902"/>
    <cellStyle name="Comma 2 4 2 2 5 3 4" xfId="7068"/>
    <cellStyle name="Comma 2 4 2 2 5 3 4 2" xfId="17571"/>
    <cellStyle name="Comma 2 4 2 2 5 3 4 2 2" xfId="38620"/>
    <cellStyle name="Comma 2 4 2 2 5 3 4 3" xfId="32197"/>
    <cellStyle name="Comma 2 4 2 2 5 3 5" xfId="16536"/>
    <cellStyle name="Comma 2 4 2 2 5 3 5 2" xfId="35413"/>
    <cellStyle name="Comma 2 4 2 2 5 3 6" xfId="20749"/>
    <cellStyle name="Comma 2 4 2 2 5 3 7" xfId="28990"/>
    <cellStyle name="Comma 2 4 2 2 5 3 8" xfId="41768"/>
    <cellStyle name="Comma 2 4 2 2 5 4" xfId="4718"/>
    <cellStyle name="Comma 2 4 2 2 5 4 2" xfId="10921"/>
    <cellStyle name="Comma 2 4 2 2 5 4 2 2" xfId="19720"/>
    <cellStyle name="Comma 2 4 2 2 5 4 2 2 2" xfId="40763"/>
    <cellStyle name="Comma 2 4 2 2 5 4 2 2 3" xfId="34340"/>
    <cellStyle name="Comma 2 4 2 2 5 4 2 3" xfId="21919"/>
    <cellStyle name="Comma 2 4 2 2 5 4 2 3 2" xfId="37556"/>
    <cellStyle name="Comma 2 4 2 2 5 4 2 4" xfId="31133"/>
    <cellStyle name="Comma 2 4 2 2 5 4 2 5" xfId="42898"/>
    <cellStyle name="Comma 2 4 2 2 5 4 3" xfId="8124"/>
    <cellStyle name="Comma 2 4 2 2 5 4 3 2" xfId="18584"/>
    <cellStyle name="Comma 2 4 2 2 5 4 3 2 2" xfId="39627"/>
    <cellStyle name="Comma 2 4 2 2 5 4 3 2 3" xfId="33204"/>
    <cellStyle name="Comma 2 4 2 2 5 4 3 3" xfId="23074"/>
    <cellStyle name="Comma 2 4 2 2 5 4 3 3 2" xfId="36420"/>
    <cellStyle name="Comma 2 4 2 2 5 4 3 4" xfId="29997"/>
    <cellStyle name="Comma 2 4 2 2 5 4 3 5" xfId="43903"/>
    <cellStyle name="Comma 2 4 2 2 5 4 4" xfId="7069"/>
    <cellStyle name="Comma 2 4 2 2 5 4 4 2" xfId="17572"/>
    <cellStyle name="Comma 2 4 2 2 5 4 4 2 2" xfId="38621"/>
    <cellStyle name="Comma 2 4 2 2 5 4 4 3" xfId="32198"/>
    <cellStyle name="Comma 2 4 2 2 5 4 5" xfId="16724"/>
    <cellStyle name="Comma 2 4 2 2 5 4 5 2" xfId="35414"/>
    <cellStyle name="Comma 2 4 2 2 5 4 6" xfId="20750"/>
    <cellStyle name="Comma 2 4 2 2 5 4 7" xfId="28991"/>
    <cellStyle name="Comma 2 4 2 2 5 4 8" xfId="41769"/>
    <cellStyle name="Comma 2 4 2 2 5 5" xfId="5983"/>
    <cellStyle name="Comma 2 4 2 2 5 5 2" xfId="10922"/>
    <cellStyle name="Comma 2 4 2 2 5 5 2 2" xfId="19721"/>
    <cellStyle name="Comma 2 4 2 2 5 5 2 2 2" xfId="40764"/>
    <cellStyle name="Comma 2 4 2 2 5 5 2 2 3" xfId="34341"/>
    <cellStyle name="Comma 2 4 2 2 5 5 2 3" xfId="21920"/>
    <cellStyle name="Comma 2 4 2 2 5 5 2 3 2" xfId="37557"/>
    <cellStyle name="Comma 2 4 2 2 5 5 2 4" xfId="31134"/>
    <cellStyle name="Comma 2 4 2 2 5 5 2 5" xfId="42899"/>
    <cellStyle name="Comma 2 4 2 2 5 5 3" xfId="8125"/>
    <cellStyle name="Comma 2 4 2 2 5 5 3 2" xfId="18585"/>
    <cellStyle name="Comma 2 4 2 2 5 5 3 2 2" xfId="39628"/>
    <cellStyle name="Comma 2 4 2 2 5 5 3 2 3" xfId="33205"/>
    <cellStyle name="Comma 2 4 2 2 5 5 3 3" xfId="23075"/>
    <cellStyle name="Comma 2 4 2 2 5 5 3 3 2" xfId="36421"/>
    <cellStyle name="Comma 2 4 2 2 5 5 3 4" xfId="29998"/>
    <cellStyle name="Comma 2 4 2 2 5 5 3 5" xfId="43904"/>
    <cellStyle name="Comma 2 4 2 2 5 5 4" xfId="7070"/>
    <cellStyle name="Comma 2 4 2 2 5 5 4 2" xfId="17573"/>
    <cellStyle name="Comma 2 4 2 2 5 5 4 2 2" xfId="38622"/>
    <cellStyle name="Comma 2 4 2 2 5 5 4 3" xfId="32199"/>
    <cellStyle name="Comma 2 4 2 2 5 5 5" xfId="17012"/>
    <cellStyle name="Comma 2 4 2 2 5 5 5 2" xfId="35415"/>
    <cellStyle name="Comma 2 4 2 2 5 5 6" xfId="20751"/>
    <cellStyle name="Comma 2 4 2 2 5 5 7" xfId="28992"/>
    <cellStyle name="Comma 2 4 2 2 5 5 8" xfId="41770"/>
    <cellStyle name="Comma 2 4 2 2 5 6" xfId="10918"/>
    <cellStyle name="Comma 2 4 2 2 5 6 2" xfId="19717"/>
    <cellStyle name="Comma 2 4 2 2 5 6 2 2" xfId="40760"/>
    <cellStyle name="Comma 2 4 2 2 5 6 2 3" xfId="34337"/>
    <cellStyle name="Comma 2 4 2 2 5 6 3" xfId="21916"/>
    <cellStyle name="Comma 2 4 2 2 5 6 3 2" xfId="37553"/>
    <cellStyle name="Comma 2 4 2 2 5 6 4" xfId="31130"/>
    <cellStyle name="Comma 2 4 2 2 5 6 5" xfId="42895"/>
    <cellStyle name="Comma 2 4 2 2 5 7" xfId="8121"/>
    <cellStyle name="Comma 2 4 2 2 5 7 2" xfId="18581"/>
    <cellStyle name="Comma 2 4 2 2 5 7 2 2" xfId="39624"/>
    <cellStyle name="Comma 2 4 2 2 5 7 2 3" xfId="33201"/>
    <cellStyle name="Comma 2 4 2 2 5 7 3" xfId="23071"/>
    <cellStyle name="Comma 2 4 2 2 5 7 3 2" xfId="36417"/>
    <cellStyle name="Comma 2 4 2 2 5 7 4" xfId="29994"/>
    <cellStyle name="Comma 2 4 2 2 5 7 5" xfId="43900"/>
    <cellStyle name="Comma 2 4 2 2 5 8" xfId="7066"/>
    <cellStyle name="Comma 2 4 2 2 5 8 2" xfId="17569"/>
    <cellStyle name="Comma 2 4 2 2 5 8 2 2" xfId="38618"/>
    <cellStyle name="Comma 2 4 2 2 5 8 3" xfId="32195"/>
    <cellStyle name="Comma 2 4 2 2 5 9" xfId="16159"/>
    <cellStyle name="Comma 2 4 2 2 5 9 2" xfId="35411"/>
    <cellStyle name="Comma 2 4 2 2 6" xfId="2312"/>
    <cellStyle name="Comma 2 4 2 2 6 10" xfId="20752"/>
    <cellStyle name="Comma 2 4 2 2 6 11" xfId="28993"/>
    <cellStyle name="Comma 2 4 2 2 6 12" xfId="41771"/>
    <cellStyle name="Comma 2 4 2 2 6 2" xfId="3171"/>
    <cellStyle name="Comma 2 4 2 2 6 2 2" xfId="10924"/>
    <cellStyle name="Comma 2 4 2 2 6 2 2 2" xfId="19723"/>
    <cellStyle name="Comma 2 4 2 2 6 2 2 2 2" xfId="40766"/>
    <cellStyle name="Comma 2 4 2 2 6 2 2 2 3" xfId="34343"/>
    <cellStyle name="Comma 2 4 2 2 6 2 2 3" xfId="21922"/>
    <cellStyle name="Comma 2 4 2 2 6 2 2 3 2" xfId="37559"/>
    <cellStyle name="Comma 2 4 2 2 6 2 2 4" xfId="31136"/>
    <cellStyle name="Comma 2 4 2 2 6 2 2 5" xfId="42901"/>
    <cellStyle name="Comma 2 4 2 2 6 2 3" xfId="8127"/>
    <cellStyle name="Comma 2 4 2 2 6 2 3 2" xfId="18587"/>
    <cellStyle name="Comma 2 4 2 2 6 2 3 2 2" xfId="39630"/>
    <cellStyle name="Comma 2 4 2 2 6 2 3 2 3" xfId="33207"/>
    <cellStyle name="Comma 2 4 2 2 6 2 3 3" xfId="23077"/>
    <cellStyle name="Comma 2 4 2 2 6 2 3 3 2" xfId="36423"/>
    <cellStyle name="Comma 2 4 2 2 6 2 3 4" xfId="30000"/>
    <cellStyle name="Comma 2 4 2 2 6 2 3 5" xfId="43906"/>
    <cellStyle name="Comma 2 4 2 2 6 2 4" xfId="7072"/>
    <cellStyle name="Comma 2 4 2 2 6 2 4 2" xfId="17575"/>
    <cellStyle name="Comma 2 4 2 2 6 2 4 2 2" xfId="38624"/>
    <cellStyle name="Comma 2 4 2 2 6 2 4 3" xfId="32201"/>
    <cellStyle name="Comma 2 4 2 2 6 2 5" xfId="16393"/>
    <cellStyle name="Comma 2 4 2 2 6 2 5 2" xfId="35417"/>
    <cellStyle name="Comma 2 4 2 2 6 2 6" xfId="20753"/>
    <cellStyle name="Comma 2 4 2 2 6 2 7" xfId="28994"/>
    <cellStyle name="Comma 2 4 2 2 6 2 8" xfId="41772"/>
    <cellStyle name="Comma 2 4 2 2 6 3" xfId="4037"/>
    <cellStyle name="Comma 2 4 2 2 6 3 2" xfId="10925"/>
    <cellStyle name="Comma 2 4 2 2 6 3 2 2" xfId="19724"/>
    <cellStyle name="Comma 2 4 2 2 6 3 2 2 2" xfId="40767"/>
    <cellStyle name="Comma 2 4 2 2 6 3 2 2 3" xfId="34344"/>
    <cellStyle name="Comma 2 4 2 2 6 3 2 3" xfId="21923"/>
    <cellStyle name="Comma 2 4 2 2 6 3 2 3 2" xfId="37560"/>
    <cellStyle name="Comma 2 4 2 2 6 3 2 4" xfId="31137"/>
    <cellStyle name="Comma 2 4 2 2 6 3 2 5" xfId="42902"/>
    <cellStyle name="Comma 2 4 2 2 6 3 3" xfId="8128"/>
    <cellStyle name="Comma 2 4 2 2 6 3 3 2" xfId="18588"/>
    <cellStyle name="Comma 2 4 2 2 6 3 3 2 2" xfId="39631"/>
    <cellStyle name="Comma 2 4 2 2 6 3 3 2 3" xfId="33208"/>
    <cellStyle name="Comma 2 4 2 2 6 3 3 3" xfId="23078"/>
    <cellStyle name="Comma 2 4 2 2 6 3 3 3 2" xfId="36424"/>
    <cellStyle name="Comma 2 4 2 2 6 3 3 4" xfId="30001"/>
    <cellStyle name="Comma 2 4 2 2 6 3 3 5" xfId="43907"/>
    <cellStyle name="Comma 2 4 2 2 6 3 4" xfId="7073"/>
    <cellStyle name="Comma 2 4 2 2 6 3 4 2" xfId="17576"/>
    <cellStyle name="Comma 2 4 2 2 6 3 4 2 2" xfId="38625"/>
    <cellStyle name="Comma 2 4 2 2 6 3 4 3" xfId="32202"/>
    <cellStyle name="Comma 2 4 2 2 6 3 5" xfId="16581"/>
    <cellStyle name="Comma 2 4 2 2 6 3 5 2" xfId="35418"/>
    <cellStyle name="Comma 2 4 2 2 6 3 6" xfId="20754"/>
    <cellStyle name="Comma 2 4 2 2 6 3 7" xfId="28995"/>
    <cellStyle name="Comma 2 4 2 2 6 3 8" xfId="41773"/>
    <cellStyle name="Comma 2 4 2 2 6 4" xfId="4916"/>
    <cellStyle name="Comma 2 4 2 2 6 4 2" xfId="10926"/>
    <cellStyle name="Comma 2 4 2 2 6 4 2 2" xfId="19725"/>
    <cellStyle name="Comma 2 4 2 2 6 4 2 2 2" xfId="40768"/>
    <cellStyle name="Comma 2 4 2 2 6 4 2 2 3" xfId="34345"/>
    <cellStyle name="Comma 2 4 2 2 6 4 2 3" xfId="21924"/>
    <cellStyle name="Comma 2 4 2 2 6 4 2 3 2" xfId="37561"/>
    <cellStyle name="Comma 2 4 2 2 6 4 2 4" xfId="31138"/>
    <cellStyle name="Comma 2 4 2 2 6 4 2 5" xfId="42903"/>
    <cellStyle name="Comma 2 4 2 2 6 4 3" xfId="8129"/>
    <cellStyle name="Comma 2 4 2 2 6 4 3 2" xfId="18589"/>
    <cellStyle name="Comma 2 4 2 2 6 4 3 2 2" xfId="39632"/>
    <cellStyle name="Comma 2 4 2 2 6 4 3 2 3" xfId="33209"/>
    <cellStyle name="Comma 2 4 2 2 6 4 3 3" xfId="23079"/>
    <cellStyle name="Comma 2 4 2 2 6 4 3 3 2" xfId="36425"/>
    <cellStyle name="Comma 2 4 2 2 6 4 3 4" xfId="30002"/>
    <cellStyle name="Comma 2 4 2 2 6 4 3 5" xfId="43908"/>
    <cellStyle name="Comma 2 4 2 2 6 4 4" xfId="7074"/>
    <cellStyle name="Comma 2 4 2 2 6 4 4 2" xfId="17577"/>
    <cellStyle name="Comma 2 4 2 2 6 4 4 2 2" xfId="38626"/>
    <cellStyle name="Comma 2 4 2 2 6 4 4 3" xfId="32203"/>
    <cellStyle name="Comma 2 4 2 2 6 4 5" xfId="16769"/>
    <cellStyle name="Comma 2 4 2 2 6 4 5 2" xfId="35419"/>
    <cellStyle name="Comma 2 4 2 2 6 4 6" xfId="20755"/>
    <cellStyle name="Comma 2 4 2 2 6 4 7" xfId="28996"/>
    <cellStyle name="Comma 2 4 2 2 6 4 8" xfId="41774"/>
    <cellStyle name="Comma 2 4 2 2 6 5" xfId="6181"/>
    <cellStyle name="Comma 2 4 2 2 6 5 2" xfId="10927"/>
    <cellStyle name="Comma 2 4 2 2 6 5 2 2" xfId="19726"/>
    <cellStyle name="Comma 2 4 2 2 6 5 2 2 2" xfId="40769"/>
    <cellStyle name="Comma 2 4 2 2 6 5 2 2 3" xfId="34346"/>
    <cellStyle name="Comma 2 4 2 2 6 5 2 3" xfId="21925"/>
    <cellStyle name="Comma 2 4 2 2 6 5 2 3 2" xfId="37562"/>
    <cellStyle name="Comma 2 4 2 2 6 5 2 4" xfId="31139"/>
    <cellStyle name="Comma 2 4 2 2 6 5 2 5" xfId="42904"/>
    <cellStyle name="Comma 2 4 2 2 6 5 3" xfId="8130"/>
    <cellStyle name="Comma 2 4 2 2 6 5 3 2" xfId="18590"/>
    <cellStyle name="Comma 2 4 2 2 6 5 3 2 2" xfId="39633"/>
    <cellStyle name="Comma 2 4 2 2 6 5 3 2 3" xfId="33210"/>
    <cellStyle name="Comma 2 4 2 2 6 5 3 3" xfId="23080"/>
    <cellStyle name="Comma 2 4 2 2 6 5 3 3 2" xfId="36426"/>
    <cellStyle name="Comma 2 4 2 2 6 5 3 4" xfId="30003"/>
    <cellStyle name="Comma 2 4 2 2 6 5 3 5" xfId="43909"/>
    <cellStyle name="Comma 2 4 2 2 6 5 4" xfId="7075"/>
    <cellStyle name="Comma 2 4 2 2 6 5 4 2" xfId="17578"/>
    <cellStyle name="Comma 2 4 2 2 6 5 4 2 2" xfId="38627"/>
    <cellStyle name="Comma 2 4 2 2 6 5 4 3" xfId="32204"/>
    <cellStyle name="Comma 2 4 2 2 6 5 5" xfId="17057"/>
    <cellStyle name="Comma 2 4 2 2 6 5 5 2" xfId="35420"/>
    <cellStyle name="Comma 2 4 2 2 6 5 6" xfId="20756"/>
    <cellStyle name="Comma 2 4 2 2 6 5 7" xfId="28997"/>
    <cellStyle name="Comma 2 4 2 2 6 5 8" xfId="41775"/>
    <cellStyle name="Comma 2 4 2 2 6 6" xfId="10923"/>
    <cellStyle name="Comma 2 4 2 2 6 6 2" xfId="19722"/>
    <cellStyle name="Comma 2 4 2 2 6 6 2 2" xfId="40765"/>
    <cellStyle name="Comma 2 4 2 2 6 6 2 3" xfId="34342"/>
    <cellStyle name="Comma 2 4 2 2 6 6 3" xfId="21921"/>
    <cellStyle name="Comma 2 4 2 2 6 6 3 2" xfId="37558"/>
    <cellStyle name="Comma 2 4 2 2 6 6 4" xfId="31135"/>
    <cellStyle name="Comma 2 4 2 2 6 6 5" xfId="42900"/>
    <cellStyle name="Comma 2 4 2 2 6 7" xfId="8126"/>
    <cellStyle name="Comma 2 4 2 2 6 7 2" xfId="18586"/>
    <cellStyle name="Comma 2 4 2 2 6 7 2 2" xfId="39629"/>
    <cellStyle name="Comma 2 4 2 2 6 7 2 3" xfId="33206"/>
    <cellStyle name="Comma 2 4 2 2 6 7 3" xfId="23076"/>
    <cellStyle name="Comma 2 4 2 2 6 7 3 2" xfId="36422"/>
    <cellStyle name="Comma 2 4 2 2 6 7 4" xfId="29999"/>
    <cellStyle name="Comma 2 4 2 2 6 7 5" xfId="43905"/>
    <cellStyle name="Comma 2 4 2 2 6 8" xfId="7071"/>
    <cellStyle name="Comma 2 4 2 2 6 8 2" xfId="17574"/>
    <cellStyle name="Comma 2 4 2 2 6 8 2 2" xfId="38623"/>
    <cellStyle name="Comma 2 4 2 2 6 8 3" xfId="32200"/>
    <cellStyle name="Comma 2 4 2 2 6 9" xfId="16205"/>
    <cellStyle name="Comma 2 4 2 2 6 9 2" xfId="35416"/>
    <cellStyle name="Comma 2 4 2 2 7" xfId="2465"/>
    <cellStyle name="Comma 2 4 2 2 7 2" xfId="10928"/>
    <cellStyle name="Comma 2 4 2 2 7 2 2" xfId="19727"/>
    <cellStyle name="Comma 2 4 2 2 7 2 2 2" xfId="40770"/>
    <cellStyle name="Comma 2 4 2 2 7 2 2 3" xfId="34347"/>
    <cellStyle name="Comma 2 4 2 2 7 2 3" xfId="21926"/>
    <cellStyle name="Comma 2 4 2 2 7 2 3 2" xfId="37563"/>
    <cellStyle name="Comma 2 4 2 2 7 2 4" xfId="31140"/>
    <cellStyle name="Comma 2 4 2 2 7 2 5" xfId="42905"/>
    <cellStyle name="Comma 2 4 2 2 7 3" xfId="8131"/>
    <cellStyle name="Comma 2 4 2 2 7 3 2" xfId="18591"/>
    <cellStyle name="Comma 2 4 2 2 7 3 2 2" xfId="39634"/>
    <cellStyle name="Comma 2 4 2 2 7 3 2 3" xfId="33211"/>
    <cellStyle name="Comma 2 4 2 2 7 3 3" xfId="23081"/>
    <cellStyle name="Comma 2 4 2 2 7 3 3 2" xfId="36427"/>
    <cellStyle name="Comma 2 4 2 2 7 3 4" xfId="30004"/>
    <cellStyle name="Comma 2 4 2 2 7 3 5" xfId="43910"/>
    <cellStyle name="Comma 2 4 2 2 7 4" xfId="7076"/>
    <cellStyle name="Comma 2 4 2 2 7 4 2" xfId="17579"/>
    <cellStyle name="Comma 2 4 2 2 7 4 2 2" xfId="38628"/>
    <cellStyle name="Comma 2 4 2 2 7 4 3" xfId="32205"/>
    <cellStyle name="Comma 2 4 2 2 7 5" xfId="16240"/>
    <cellStyle name="Comma 2 4 2 2 7 5 2" xfId="35421"/>
    <cellStyle name="Comma 2 4 2 2 7 6" xfId="20757"/>
    <cellStyle name="Comma 2 4 2 2 7 7" xfId="28998"/>
    <cellStyle name="Comma 2 4 2 2 7 8" xfId="41776"/>
    <cellStyle name="Comma 2 4 2 2 8" xfId="3328"/>
    <cellStyle name="Comma 2 4 2 2 8 2" xfId="10929"/>
    <cellStyle name="Comma 2 4 2 2 8 2 2" xfId="19728"/>
    <cellStyle name="Comma 2 4 2 2 8 2 2 2" xfId="40771"/>
    <cellStyle name="Comma 2 4 2 2 8 2 2 3" xfId="34348"/>
    <cellStyle name="Comma 2 4 2 2 8 2 3" xfId="21927"/>
    <cellStyle name="Comma 2 4 2 2 8 2 3 2" xfId="37564"/>
    <cellStyle name="Comma 2 4 2 2 8 2 4" xfId="31141"/>
    <cellStyle name="Comma 2 4 2 2 8 2 5" xfId="42906"/>
    <cellStyle name="Comma 2 4 2 2 8 3" xfId="8132"/>
    <cellStyle name="Comma 2 4 2 2 8 3 2" xfId="18592"/>
    <cellStyle name="Comma 2 4 2 2 8 3 2 2" xfId="39635"/>
    <cellStyle name="Comma 2 4 2 2 8 3 2 3" xfId="33212"/>
    <cellStyle name="Comma 2 4 2 2 8 3 3" xfId="23082"/>
    <cellStyle name="Comma 2 4 2 2 8 3 3 2" xfId="36428"/>
    <cellStyle name="Comma 2 4 2 2 8 3 4" xfId="30005"/>
    <cellStyle name="Comma 2 4 2 2 8 3 5" xfId="43911"/>
    <cellStyle name="Comma 2 4 2 2 8 4" xfId="7077"/>
    <cellStyle name="Comma 2 4 2 2 8 4 2" xfId="17580"/>
    <cellStyle name="Comma 2 4 2 2 8 4 2 2" xfId="38629"/>
    <cellStyle name="Comma 2 4 2 2 8 4 3" xfId="32206"/>
    <cellStyle name="Comma 2 4 2 2 8 5" xfId="16428"/>
    <cellStyle name="Comma 2 4 2 2 8 5 2" xfId="35422"/>
    <cellStyle name="Comma 2 4 2 2 8 6" xfId="20758"/>
    <cellStyle name="Comma 2 4 2 2 8 7" xfId="28999"/>
    <cellStyle name="Comma 2 4 2 2 8 8" xfId="41777"/>
    <cellStyle name="Comma 2 4 2 2 9" xfId="4196"/>
    <cellStyle name="Comma 2 4 2 2 9 2" xfId="10930"/>
    <cellStyle name="Comma 2 4 2 2 9 2 2" xfId="19729"/>
    <cellStyle name="Comma 2 4 2 2 9 2 2 2" xfId="40772"/>
    <cellStyle name="Comma 2 4 2 2 9 2 2 3" xfId="34349"/>
    <cellStyle name="Comma 2 4 2 2 9 2 3" xfId="21928"/>
    <cellStyle name="Comma 2 4 2 2 9 2 3 2" xfId="37565"/>
    <cellStyle name="Comma 2 4 2 2 9 2 4" xfId="31142"/>
    <cellStyle name="Comma 2 4 2 2 9 2 5" xfId="42907"/>
    <cellStyle name="Comma 2 4 2 2 9 3" xfId="8133"/>
    <cellStyle name="Comma 2 4 2 2 9 3 2" xfId="18593"/>
    <cellStyle name="Comma 2 4 2 2 9 3 2 2" xfId="39636"/>
    <cellStyle name="Comma 2 4 2 2 9 3 2 3" xfId="33213"/>
    <cellStyle name="Comma 2 4 2 2 9 3 3" xfId="23083"/>
    <cellStyle name="Comma 2 4 2 2 9 3 3 2" xfId="36429"/>
    <cellStyle name="Comma 2 4 2 2 9 3 4" xfId="30006"/>
    <cellStyle name="Comma 2 4 2 2 9 3 5" xfId="43912"/>
    <cellStyle name="Comma 2 4 2 2 9 4" xfId="7078"/>
    <cellStyle name="Comma 2 4 2 2 9 4 2" xfId="17581"/>
    <cellStyle name="Comma 2 4 2 2 9 4 2 2" xfId="38630"/>
    <cellStyle name="Comma 2 4 2 2 9 4 3" xfId="32207"/>
    <cellStyle name="Comma 2 4 2 2 9 5" xfId="16616"/>
    <cellStyle name="Comma 2 4 2 2 9 5 2" xfId="35423"/>
    <cellStyle name="Comma 2 4 2 2 9 6" xfId="20759"/>
    <cellStyle name="Comma 2 4 2 2 9 7" xfId="29000"/>
    <cellStyle name="Comma 2 4 2 2 9 8" xfId="41778"/>
    <cellStyle name="Comma 2 4 2 3" xfId="1475"/>
    <cellStyle name="Comma 2 4 2 3 10" xfId="5462"/>
    <cellStyle name="Comma 2 4 2 3 10 2" xfId="10931"/>
    <cellStyle name="Comma 2 4 2 3 10 2 2" xfId="19730"/>
    <cellStyle name="Comma 2 4 2 3 10 2 2 2" xfId="40773"/>
    <cellStyle name="Comma 2 4 2 3 10 2 2 3" xfId="34350"/>
    <cellStyle name="Comma 2 4 2 3 10 2 3" xfId="21929"/>
    <cellStyle name="Comma 2 4 2 3 10 2 3 2" xfId="37566"/>
    <cellStyle name="Comma 2 4 2 3 10 2 4" xfId="31143"/>
    <cellStyle name="Comma 2 4 2 3 10 2 5" xfId="42908"/>
    <cellStyle name="Comma 2 4 2 3 10 3" xfId="8135"/>
    <cellStyle name="Comma 2 4 2 3 10 3 2" xfId="18595"/>
    <cellStyle name="Comma 2 4 2 3 10 3 2 2" xfId="39638"/>
    <cellStyle name="Comma 2 4 2 3 10 3 2 3" xfId="33215"/>
    <cellStyle name="Comma 2 4 2 3 10 3 3" xfId="23085"/>
    <cellStyle name="Comma 2 4 2 3 10 3 3 2" xfId="36431"/>
    <cellStyle name="Comma 2 4 2 3 10 3 4" xfId="30008"/>
    <cellStyle name="Comma 2 4 2 3 10 3 5" xfId="43914"/>
    <cellStyle name="Comma 2 4 2 3 10 4" xfId="7079"/>
    <cellStyle name="Comma 2 4 2 3 10 4 2" xfId="17582"/>
    <cellStyle name="Comma 2 4 2 3 10 4 2 2" xfId="38631"/>
    <cellStyle name="Comma 2 4 2 3 10 4 3" xfId="32208"/>
    <cellStyle name="Comma 2 4 2 3 10 5" xfId="16908"/>
    <cellStyle name="Comma 2 4 2 3 10 5 2" xfId="35424"/>
    <cellStyle name="Comma 2 4 2 3 10 6" xfId="20761"/>
    <cellStyle name="Comma 2 4 2 3 10 7" xfId="29001"/>
    <cellStyle name="Comma 2 4 2 3 10 8" xfId="41780"/>
    <cellStyle name="Comma 2 4 2 3 11" xfId="10235"/>
    <cellStyle name="Comma 2 4 2 3 11 2" xfId="19288"/>
    <cellStyle name="Comma 2 4 2 3 11 2 2" xfId="40331"/>
    <cellStyle name="Comma 2 4 2 3 11 2 3" xfId="33908"/>
    <cellStyle name="Comma 2 4 2 3 11 3" xfId="21488"/>
    <cellStyle name="Comma 2 4 2 3 11 3 2" xfId="37124"/>
    <cellStyle name="Comma 2 4 2 3 11 4" xfId="30701"/>
    <cellStyle name="Comma 2 4 2 3 11 5" xfId="42467"/>
    <cellStyle name="Comma 2 4 2 3 12" xfId="8134"/>
    <cellStyle name="Comma 2 4 2 3 12 2" xfId="18594"/>
    <cellStyle name="Comma 2 4 2 3 12 2 2" xfId="39637"/>
    <cellStyle name="Comma 2 4 2 3 12 2 3" xfId="33214"/>
    <cellStyle name="Comma 2 4 2 3 12 3" xfId="23084"/>
    <cellStyle name="Comma 2 4 2 3 12 3 2" xfId="36430"/>
    <cellStyle name="Comma 2 4 2 3 12 4" xfId="30007"/>
    <cellStyle name="Comma 2 4 2 3 12 5" xfId="43913"/>
    <cellStyle name="Comma 2 4 2 3 13" xfId="6634"/>
    <cellStyle name="Comma 2 4 2 3 13 2" xfId="17141"/>
    <cellStyle name="Comma 2 4 2 3 13 2 2" xfId="38194"/>
    <cellStyle name="Comma 2 4 2 3 13 3" xfId="31771"/>
    <cellStyle name="Comma 2 4 2 3 14" xfId="16045"/>
    <cellStyle name="Comma 2 4 2 3 14 2" xfId="34987"/>
    <cellStyle name="Comma 2 4 2 3 15" xfId="20760"/>
    <cellStyle name="Comma 2 4 2 3 16" xfId="28562"/>
    <cellStyle name="Comma 2 4 2 3 17" xfId="41779"/>
    <cellStyle name="Comma 2 4 2 3 2" xfId="1476"/>
    <cellStyle name="Comma 2 4 2 3 2 10" xfId="8136"/>
    <cellStyle name="Comma 2 4 2 3 2 10 2" xfId="18596"/>
    <cellStyle name="Comma 2 4 2 3 2 10 2 2" xfId="39639"/>
    <cellStyle name="Comma 2 4 2 3 2 10 2 3" xfId="33216"/>
    <cellStyle name="Comma 2 4 2 3 2 10 3" xfId="23086"/>
    <cellStyle name="Comma 2 4 2 3 2 10 3 2" xfId="36432"/>
    <cellStyle name="Comma 2 4 2 3 2 10 4" xfId="30009"/>
    <cellStyle name="Comma 2 4 2 3 2 10 5" xfId="43915"/>
    <cellStyle name="Comma 2 4 2 3 2 11" xfId="6627"/>
    <cellStyle name="Comma 2 4 2 3 2 11 2" xfId="17134"/>
    <cellStyle name="Comma 2 4 2 3 2 11 2 2" xfId="38187"/>
    <cellStyle name="Comma 2 4 2 3 2 11 3" xfId="31764"/>
    <cellStyle name="Comma 2 4 2 3 2 12" xfId="16046"/>
    <cellStyle name="Comma 2 4 2 3 2 12 2" xfId="34980"/>
    <cellStyle name="Comma 2 4 2 3 2 13" xfId="20762"/>
    <cellStyle name="Comma 2 4 2 3 2 14" xfId="28555"/>
    <cellStyle name="Comma 2 4 2 3 2 15" xfId="41781"/>
    <cellStyle name="Comma 2 4 2 3 2 2" xfId="1830"/>
    <cellStyle name="Comma 2 4 2 3 2 2 10" xfId="16108"/>
    <cellStyle name="Comma 2 4 2 3 2 2 10 2" xfId="34978"/>
    <cellStyle name="Comma 2 4 2 3 2 2 11" xfId="20763"/>
    <cellStyle name="Comma 2 4 2 3 2 2 12" xfId="28553"/>
    <cellStyle name="Comma 2 4 2 3 2 2 13" xfId="41782"/>
    <cellStyle name="Comma 2 4 2 3 2 2 2" xfId="2720"/>
    <cellStyle name="Comma 2 4 2 3 2 2 2 2" xfId="10932"/>
    <cellStyle name="Comma 2 4 2 3 2 2 2 2 2" xfId="19731"/>
    <cellStyle name="Comma 2 4 2 3 2 2 2 2 2 2" xfId="40774"/>
    <cellStyle name="Comma 2 4 2 3 2 2 2 2 2 3" xfId="34351"/>
    <cellStyle name="Comma 2 4 2 3 2 2 2 2 3" xfId="21930"/>
    <cellStyle name="Comma 2 4 2 3 2 2 2 2 3 2" xfId="37567"/>
    <cellStyle name="Comma 2 4 2 3 2 2 2 2 4" xfId="31144"/>
    <cellStyle name="Comma 2 4 2 3 2 2 2 2 5" xfId="42909"/>
    <cellStyle name="Comma 2 4 2 3 2 2 2 3" xfId="8138"/>
    <cellStyle name="Comma 2 4 2 3 2 2 2 3 2" xfId="18598"/>
    <cellStyle name="Comma 2 4 2 3 2 2 2 3 2 2" xfId="39641"/>
    <cellStyle name="Comma 2 4 2 3 2 2 2 3 2 3" xfId="33218"/>
    <cellStyle name="Comma 2 4 2 3 2 2 2 3 3" xfId="23088"/>
    <cellStyle name="Comma 2 4 2 3 2 2 2 3 3 2" xfId="36434"/>
    <cellStyle name="Comma 2 4 2 3 2 2 2 3 4" xfId="30011"/>
    <cellStyle name="Comma 2 4 2 3 2 2 2 3 5" xfId="43917"/>
    <cellStyle name="Comma 2 4 2 3 2 2 2 4" xfId="7080"/>
    <cellStyle name="Comma 2 4 2 3 2 2 2 4 2" xfId="17583"/>
    <cellStyle name="Comma 2 4 2 3 2 2 2 4 2 2" xfId="38632"/>
    <cellStyle name="Comma 2 4 2 3 2 2 2 4 3" xfId="32209"/>
    <cellStyle name="Comma 2 4 2 3 2 2 2 5" xfId="16298"/>
    <cellStyle name="Comma 2 4 2 3 2 2 2 5 2" xfId="35425"/>
    <cellStyle name="Comma 2 4 2 3 2 2 2 6" xfId="20764"/>
    <cellStyle name="Comma 2 4 2 3 2 2 2 7" xfId="29002"/>
    <cellStyle name="Comma 2 4 2 3 2 2 2 8" xfId="41783"/>
    <cellStyle name="Comma 2 4 2 3 2 2 3" xfId="3584"/>
    <cellStyle name="Comma 2 4 2 3 2 2 3 2" xfId="10933"/>
    <cellStyle name="Comma 2 4 2 3 2 2 3 2 2" xfId="19732"/>
    <cellStyle name="Comma 2 4 2 3 2 2 3 2 2 2" xfId="40775"/>
    <cellStyle name="Comma 2 4 2 3 2 2 3 2 2 3" xfId="34352"/>
    <cellStyle name="Comma 2 4 2 3 2 2 3 2 3" xfId="21931"/>
    <cellStyle name="Comma 2 4 2 3 2 2 3 2 3 2" xfId="37568"/>
    <cellStyle name="Comma 2 4 2 3 2 2 3 2 4" xfId="31145"/>
    <cellStyle name="Comma 2 4 2 3 2 2 3 2 5" xfId="42910"/>
    <cellStyle name="Comma 2 4 2 3 2 2 3 3" xfId="8139"/>
    <cellStyle name="Comma 2 4 2 3 2 2 3 3 2" xfId="18599"/>
    <cellStyle name="Comma 2 4 2 3 2 2 3 3 2 2" xfId="39642"/>
    <cellStyle name="Comma 2 4 2 3 2 2 3 3 2 3" xfId="33219"/>
    <cellStyle name="Comma 2 4 2 3 2 2 3 3 3" xfId="23089"/>
    <cellStyle name="Comma 2 4 2 3 2 2 3 3 3 2" xfId="36435"/>
    <cellStyle name="Comma 2 4 2 3 2 2 3 3 4" xfId="30012"/>
    <cellStyle name="Comma 2 4 2 3 2 2 3 3 5" xfId="43918"/>
    <cellStyle name="Comma 2 4 2 3 2 2 3 4" xfId="7081"/>
    <cellStyle name="Comma 2 4 2 3 2 2 3 4 2" xfId="17584"/>
    <cellStyle name="Comma 2 4 2 3 2 2 3 4 2 2" xfId="38633"/>
    <cellStyle name="Comma 2 4 2 3 2 2 3 4 3" xfId="32210"/>
    <cellStyle name="Comma 2 4 2 3 2 2 3 5" xfId="16486"/>
    <cellStyle name="Comma 2 4 2 3 2 2 3 5 2" xfId="35426"/>
    <cellStyle name="Comma 2 4 2 3 2 2 3 6" xfId="20765"/>
    <cellStyle name="Comma 2 4 2 3 2 2 3 7" xfId="29003"/>
    <cellStyle name="Comma 2 4 2 3 2 2 3 8" xfId="41784"/>
    <cellStyle name="Comma 2 4 2 3 2 2 4" xfId="4459"/>
    <cellStyle name="Comma 2 4 2 3 2 2 4 2" xfId="10934"/>
    <cellStyle name="Comma 2 4 2 3 2 2 4 2 2" xfId="19733"/>
    <cellStyle name="Comma 2 4 2 3 2 2 4 2 2 2" xfId="40776"/>
    <cellStyle name="Comma 2 4 2 3 2 2 4 2 2 3" xfId="34353"/>
    <cellStyle name="Comma 2 4 2 3 2 2 4 2 3" xfId="21932"/>
    <cellStyle name="Comma 2 4 2 3 2 2 4 2 3 2" xfId="37569"/>
    <cellStyle name="Comma 2 4 2 3 2 2 4 2 4" xfId="31146"/>
    <cellStyle name="Comma 2 4 2 3 2 2 4 2 5" xfId="42911"/>
    <cellStyle name="Comma 2 4 2 3 2 2 4 3" xfId="8140"/>
    <cellStyle name="Comma 2 4 2 3 2 2 4 3 2" xfId="18600"/>
    <cellStyle name="Comma 2 4 2 3 2 2 4 3 2 2" xfId="39643"/>
    <cellStyle name="Comma 2 4 2 3 2 2 4 3 2 3" xfId="33220"/>
    <cellStyle name="Comma 2 4 2 3 2 2 4 3 3" xfId="23090"/>
    <cellStyle name="Comma 2 4 2 3 2 2 4 3 3 2" xfId="36436"/>
    <cellStyle name="Comma 2 4 2 3 2 2 4 3 4" xfId="30013"/>
    <cellStyle name="Comma 2 4 2 3 2 2 4 3 5" xfId="43919"/>
    <cellStyle name="Comma 2 4 2 3 2 2 4 4" xfId="7082"/>
    <cellStyle name="Comma 2 4 2 3 2 2 4 4 2" xfId="17585"/>
    <cellStyle name="Comma 2 4 2 3 2 2 4 4 2 2" xfId="38634"/>
    <cellStyle name="Comma 2 4 2 3 2 2 4 4 3" xfId="32211"/>
    <cellStyle name="Comma 2 4 2 3 2 2 4 5" xfId="16674"/>
    <cellStyle name="Comma 2 4 2 3 2 2 4 5 2" xfId="35427"/>
    <cellStyle name="Comma 2 4 2 3 2 2 4 6" xfId="20766"/>
    <cellStyle name="Comma 2 4 2 3 2 2 4 7" xfId="29004"/>
    <cellStyle name="Comma 2 4 2 3 2 2 4 8" xfId="41785"/>
    <cellStyle name="Comma 2 4 2 3 2 2 5" xfId="5013"/>
    <cellStyle name="Comma 2 4 2 3 2 2 5 2" xfId="10935"/>
    <cellStyle name="Comma 2 4 2 3 2 2 5 2 2" xfId="19734"/>
    <cellStyle name="Comma 2 4 2 3 2 2 5 2 2 2" xfId="40777"/>
    <cellStyle name="Comma 2 4 2 3 2 2 5 2 2 3" xfId="34354"/>
    <cellStyle name="Comma 2 4 2 3 2 2 5 2 3" xfId="21933"/>
    <cellStyle name="Comma 2 4 2 3 2 2 5 2 3 2" xfId="37570"/>
    <cellStyle name="Comma 2 4 2 3 2 2 5 2 4" xfId="31147"/>
    <cellStyle name="Comma 2 4 2 3 2 2 5 2 5" xfId="42912"/>
    <cellStyle name="Comma 2 4 2 3 2 2 5 3" xfId="8141"/>
    <cellStyle name="Comma 2 4 2 3 2 2 5 3 2" xfId="18601"/>
    <cellStyle name="Comma 2 4 2 3 2 2 5 3 2 2" xfId="39644"/>
    <cellStyle name="Comma 2 4 2 3 2 2 5 3 2 3" xfId="33221"/>
    <cellStyle name="Comma 2 4 2 3 2 2 5 3 3" xfId="23091"/>
    <cellStyle name="Comma 2 4 2 3 2 2 5 3 3 2" xfId="36437"/>
    <cellStyle name="Comma 2 4 2 3 2 2 5 3 4" xfId="30014"/>
    <cellStyle name="Comma 2 4 2 3 2 2 5 3 5" xfId="43920"/>
    <cellStyle name="Comma 2 4 2 3 2 2 5 4" xfId="7083"/>
    <cellStyle name="Comma 2 4 2 3 2 2 5 4 2" xfId="17586"/>
    <cellStyle name="Comma 2 4 2 3 2 2 5 4 2 2" xfId="38635"/>
    <cellStyle name="Comma 2 4 2 3 2 2 5 4 3" xfId="32212"/>
    <cellStyle name="Comma 2 4 2 3 2 2 5 5" xfId="16828"/>
    <cellStyle name="Comma 2 4 2 3 2 2 5 5 2" xfId="35428"/>
    <cellStyle name="Comma 2 4 2 3 2 2 5 6" xfId="20767"/>
    <cellStyle name="Comma 2 4 2 3 2 2 5 7" xfId="29005"/>
    <cellStyle name="Comma 2 4 2 3 2 2 5 8" xfId="41786"/>
    <cellStyle name="Comma 2 4 2 3 2 2 6" xfId="5724"/>
    <cellStyle name="Comma 2 4 2 3 2 2 6 2" xfId="10936"/>
    <cellStyle name="Comma 2 4 2 3 2 2 6 2 2" xfId="19735"/>
    <cellStyle name="Comma 2 4 2 3 2 2 6 2 2 2" xfId="40778"/>
    <cellStyle name="Comma 2 4 2 3 2 2 6 2 2 3" xfId="34355"/>
    <cellStyle name="Comma 2 4 2 3 2 2 6 2 3" xfId="21934"/>
    <cellStyle name="Comma 2 4 2 3 2 2 6 2 3 2" xfId="37571"/>
    <cellStyle name="Comma 2 4 2 3 2 2 6 2 4" xfId="31148"/>
    <cellStyle name="Comma 2 4 2 3 2 2 6 2 5" xfId="42913"/>
    <cellStyle name="Comma 2 4 2 3 2 2 6 3" xfId="8142"/>
    <cellStyle name="Comma 2 4 2 3 2 2 6 3 2" xfId="18602"/>
    <cellStyle name="Comma 2 4 2 3 2 2 6 3 2 2" xfId="39645"/>
    <cellStyle name="Comma 2 4 2 3 2 2 6 3 2 3" xfId="33222"/>
    <cellStyle name="Comma 2 4 2 3 2 2 6 3 3" xfId="23092"/>
    <cellStyle name="Comma 2 4 2 3 2 2 6 3 3 2" xfId="36438"/>
    <cellStyle name="Comma 2 4 2 3 2 2 6 3 4" xfId="30015"/>
    <cellStyle name="Comma 2 4 2 3 2 2 6 3 5" xfId="43921"/>
    <cellStyle name="Comma 2 4 2 3 2 2 6 4" xfId="7084"/>
    <cellStyle name="Comma 2 4 2 3 2 2 6 4 2" xfId="17587"/>
    <cellStyle name="Comma 2 4 2 3 2 2 6 4 2 2" xfId="38636"/>
    <cellStyle name="Comma 2 4 2 3 2 2 6 4 3" xfId="32213"/>
    <cellStyle name="Comma 2 4 2 3 2 2 6 5" xfId="16962"/>
    <cellStyle name="Comma 2 4 2 3 2 2 6 5 2" xfId="35429"/>
    <cellStyle name="Comma 2 4 2 3 2 2 6 6" xfId="20768"/>
    <cellStyle name="Comma 2 4 2 3 2 2 6 7" xfId="29006"/>
    <cellStyle name="Comma 2 4 2 3 2 2 6 8" xfId="41787"/>
    <cellStyle name="Comma 2 4 2 3 2 2 7" xfId="10225"/>
    <cellStyle name="Comma 2 4 2 3 2 2 7 2" xfId="19279"/>
    <cellStyle name="Comma 2 4 2 3 2 2 7 2 2" xfId="40322"/>
    <cellStyle name="Comma 2 4 2 3 2 2 7 2 3" xfId="33899"/>
    <cellStyle name="Comma 2 4 2 3 2 2 7 3" xfId="21479"/>
    <cellStyle name="Comma 2 4 2 3 2 2 7 3 2" xfId="37115"/>
    <cellStyle name="Comma 2 4 2 3 2 2 7 4" xfId="30692"/>
    <cellStyle name="Comma 2 4 2 3 2 2 7 5" xfId="42458"/>
    <cellStyle name="Comma 2 4 2 3 2 2 8" xfId="8137"/>
    <cellStyle name="Comma 2 4 2 3 2 2 8 2" xfId="18597"/>
    <cellStyle name="Comma 2 4 2 3 2 2 8 2 2" xfId="39640"/>
    <cellStyle name="Comma 2 4 2 3 2 2 8 2 3" xfId="33217"/>
    <cellStyle name="Comma 2 4 2 3 2 2 8 3" xfId="23087"/>
    <cellStyle name="Comma 2 4 2 3 2 2 8 3 2" xfId="36433"/>
    <cellStyle name="Comma 2 4 2 3 2 2 8 4" xfId="30010"/>
    <cellStyle name="Comma 2 4 2 3 2 2 8 5" xfId="43916"/>
    <cellStyle name="Comma 2 4 2 3 2 2 9" xfId="6625"/>
    <cellStyle name="Comma 2 4 2 3 2 2 9 2" xfId="17132"/>
    <cellStyle name="Comma 2 4 2 3 2 2 9 2 2" xfId="38185"/>
    <cellStyle name="Comma 2 4 2 3 2 2 9 3" xfId="31762"/>
    <cellStyle name="Comma 2 4 2 3 2 3" xfId="2105"/>
    <cellStyle name="Comma 2 4 2 3 2 3 10" xfId="20769"/>
    <cellStyle name="Comma 2 4 2 3 2 3 11" xfId="29007"/>
    <cellStyle name="Comma 2 4 2 3 2 3 12" xfId="41788"/>
    <cellStyle name="Comma 2 4 2 3 2 3 2" xfId="2975"/>
    <cellStyle name="Comma 2 4 2 3 2 3 2 2" xfId="10938"/>
    <cellStyle name="Comma 2 4 2 3 2 3 2 2 2" xfId="19737"/>
    <cellStyle name="Comma 2 4 2 3 2 3 2 2 2 2" xfId="40780"/>
    <cellStyle name="Comma 2 4 2 3 2 3 2 2 2 3" xfId="34357"/>
    <cellStyle name="Comma 2 4 2 3 2 3 2 2 3" xfId="21936"/>
    <cellStyle name="Comma 2 4 2 3 2 3 2 2 3 2" xfId="37573"/>
    <cellStyle name="Comma 2 4 2 3 2 3 2 2 4" xfId="31150"/>
    <cellStyle name="Comma 2 4 2 3 2 3 2 2 5" xfId="42915"/>
    <cellStyle name="Comma 2 4 2 3 2 3 2 3" xfId="8144"/>
    <cellStyle name="Comma 2 4 2 3 2 3 2 3 2" xfId="18604"/>
    <cellStyle name="Comma 2 4 2 3 2 3 2 3 2 2" xfId="39647"/>
    <cellStyle name="Comma 2 4 2 3 2 3 2 3 2 3" xfId="33224"/>
    <cellStyle name="Comma 2 4 2 3 2 3 2 3 3" xfId="23094"/>
    <cellStyle name="Comma 2 4 2 3 2 3 2 3 3 2" xfId="36440"/>
    <cellStyle name="Comma 2 4 2 3 2 3 2 3 4" xfId="30017"/>
    <cellStyle name="Comma 2 4 2 3 2 3 2 3 5" xfId="43923"/>
    <cellStyle name="Comma 2 4 2 3 2 3 2 4" xfId="7086"/>
    <cellStyle name="Comma 2 4 2 3 2 3 2 4 2" xfId="17589"/>
    <cellStyle name="Comma 2 4 2 3 2 3 2 4 2 2" xfId="38638"/>
    <cellStyle name="Comma 2 4 2 3 2 3 2 4 3" xfId="32215"/>
    <cellStyle name="Comma 2 4 2 3 2 3 2 5" xfId="16353"/>
    <cellStyle name="Comma 2 4 2 3 2 3 2 5 2" xfId="35431"/>
    <cellStyle name="Comma 2 4 2 3 2 3 2 6" xfId="20770"/>
    <cellStyle name="Comma 2 4 2 3 2 3 2 7" xfId="29008"/>
    <cellStyle name="Comma 2 4 2 3 2 3 2 8" xfId="41789"/>
    <cellStyle name="Comma 2 4 2 3 2 3 3" xfId="3845"/>
    <cellStyle name="Comma 2 4 2 3 2 3 3 2" xfId="10939"/>
    <cellStyle name="Comma 2 4 2 3 2 3 3 2 2" xfId="19738"/>
    <cellStyle name="Comma 2 4 2 3 2 3 3 2 2 2" xfId="40781"/>
    <cellStyle name="Comma 2 4 2 3 2 3 3 2 2 3" xfId="34358"/>
    <cellStyle name="Comma 2 4 2 3 2 3 3 2 3" xfId="21937"/>
    <cellStyle name="Comma 2 4 2 3 2 3 3 2 3 2" xfId="37574"/>
    <cellStyle name="Comma 2 4 2 3 2 3 3 2 4" xfId="31151"/>
    <cellStyle name="Comma 2 4 2 3 2 3 3 2 5" xfId="42916"/>
    <cellStyle name="Comma 2 4 2 3 2 3 3 3" xfId="8145"/>
    <cellStyle name="Comma 2 4 2 3 2 3 3 3 2" xfId="18605"/>
    <cellStyle name="Comma 2 4 2 3 2 3 3 3 2 2" xfId="39648"/>
    <cellStyle name="Comma 2 4 2 3 2 3 3 3 2 3" xfId="33225"/>
    <cellStyle name="Comma 2 4 2 3 2 3 3 3 3" xfId="23095"/>
    <cellStyle name="Comma 2 4 2 3 2 3 3 3 3 2" xfId="36441"/>
    <cellStyle name="Comma 2 4 2 3 2 3 3 3 4" xfId="30018"/>
    <cellStyle name="Comma 2 4 2 3 2 3 3 3 5" xfId="43924"/>
    <cellStyle name="Comma 2 4 2 3 2 3 3 4" xfId="7087"/>
    <cellStyle name="Comma 2 4 2 3 2 3 3 4 2" xfId="17590"/>
    <cellStyle name="Comma 2 4 2 3 2 3 3 4 2 2" xfId="38639"/>
    <cellStyle name="Comma 2 4 2 3 2 3 3 4 3" xfId="32216"/>
    <cellStyle name="Comma 2 4 2 3 2 3 3 5" xfId="16541"/>
    <cellStyle name="Comma 2 4 2 3 2 3 3 5 2" xfId="35432"/>
    <cellStyle name="Comma 2 4 2 3 2 3 3 6" xfId="20771"/>
    <cellStyle name="Comma 2 4 2 3 2 3 3 7" xfId="29009"/>
    <cellStyle name="Comma 2 4 2 3 2 3 3 8" xfId="41790"/>
    <cellStyle name="Comma 2 4 2 3 2 3 4" xfId="4723"/>
    <cellStyle name="Comma 2 4 2 3 2 3 4 2" xfId="10940"/>
    <cellStyle name="Comma 2 4 2 3 2 3 4 2 2" xfId="19739"/>
    <cellStyle name="Comma 2 4 2 3 2 3 4 2 2 2" xfId="40782"/>
    <cellStyle name="Comma 2 4 2 3 2 3 4 2 2 3" xfId="34359"/>
    <cellStyle name="Comma 2 4 2 3 2 3 4 2 3" xfId="21938"/>
    <cellStyle name="Comma 2 4 2 3 2 3 4 2 3 2" xfId="37575"/>
    <cellStyle name="Comma 2 4 2 3 2 3 4 2 4" xfId="31152"/>
    <cellStyle name="Comma 2 4 2 3 2 3 4 2 5" xfId="42917"/>
    <cellStyle name="Comma 2 4 2 3 2 3 4 3" xfId="8146"/>
    <cellStyle name="Comma 2 4 2 3 2 3 4 3 2" xfId="18606"/>
    <cellStyle name="Comma 2 4 2 3 2 3 4 3 2 2" xfId="39649"/>
    <cellStyle name="Comma 2 4 2 3 2 3 4 3 2 3" xfId="33226"/>
    <cellStyle name="Comma 2 4 2 3 2 3 4 3 3" xfId="23096"/>
    <cellStyle name="Comma 2 4 2 3 2 3 4 3 3 2" xfId="36442"/>
    <cellStyle name="Comma 2 4 2 3 2 3 4 3 4" xfId="30019"/>
    <cellStyle name="Comma 2 4 2 3 2 3 4 3 5" xfId="43925"/>
    <cellStyle name="Comma 2 4 2 3 2 3 4 4" xfId="7088"/>
    <cellStyle name="Comma 2 4 2 3 2 3 4 4 2" xfId="17591"/>
    <cellStyle name="Comma 2 4 2 3 2 3 4 4 2 2" xfId="38640"/>
    <cellStyle name="Comma 2 4 2 3 2 3 4 4 3" xfId="32217"/>
    <cellStyle name="Comma 2 4 2 3 2 3 4 5" xfId="16729"/>
    <cellStyle name="Comma 2 4 2 3 2 3 4 5 2" xfId="35433"/>
    <cellStyle name="Comma 2 4 2 3 2 3 4 6" xfId="20772"/>
    <cellStyle name="Comma 2 4 2 3 2 3 4 7" xfId="29010"/>
    <cellStyle name="Comma 2 4 2 3 2 3 4 8" xfId="41791"/>
    <cellStyle name="Comma 2 4 2 3 2 3 5" xfId="5988"/>
    <cellStyle name="Comma 2 4 2 3 2 3 5 2" xfId="10941"/>
    <cellStyle name="Comma 2 4 2 3 2 3 5 2 2" xfId="19740"/>
    <cellStyle name="Comma 2 4 2 3 2 3 5 2 2 2" xfId="40783"/>
    <cellStyle name="Comma 2 4 2 3 2 3 5 2 2 3" xfId="34360"/>
    <cellStyle name="Comma 2 4 2 3 2 3 5 2 3" xfId="21939"/>
    <cellStyle name="Comma 2 4 2 3 2 3 5 2 3 2" xfId="37576"/>
    <cellStyle name="Comma 2 4 2 3 2 3 5 2 4" xfId="31153"/>
    <cellStyle name="Comma 2 4 2 3 2 3 5 2 5" xfId="42918"/>
    <cellStyle name="Comma 2 4 2 3 2 3 5 3" xfId="8147"/>
    <cellStyle name="Comma 2 4 2 3 2 3 5 3 2" xfId="18607"/>
    <cellStyle name="Comma 2 4 2 3 2 3 5 3 2 2" xfId="39650"/>
    <cellStyle name="Comma 2 4 2 3 2 3 5 3 2 3" xfId="33227"/>
    <cellStyle name="Comma 2 4 2 3 2 3 5 3 3" xfId="23097"/>
    <cellStyle name="Comma 2 4 2 3 2 3 5 3 3 2" xfId="36443"/>
    <cellStyle name="Comma 2 4 2 3 2 3 5 3 4" xfId="30020"/>
    <cellStyle name="Comma 2 4 2 3 2 3 5 3 5" xfId="43926"/>
    <cellStyle name="Comma 2 4 2 3 2 3 5 4" xfId="7089"/>
    <cellStyle name="Comma 2 4 2 3 2 3 5 4 2" xfId="17592"/>
    <cellStyle name="Comma 2 4 2 3 2 3 5 4 2 2" xfId="38641"/>
    <cellStyle name="Comma 2 4 2 3 2 3 5 4 3" xfId="32218"/>
    <cellStyle name="Comma 2 4 2 3 2 3 5 5" xfId="17017"/>
    <cellStyle name="Comma 2 4 2 3 2 3 5 5 2" xfId="35434"/>
    <cellStyle name="Comma 2 4 2 3 2 3 5 6" xfId="20773"/>
    <cellStyle name="Comma 2 4 2 3 2 3 5 7" xfId="29011"/>
    <cellStyle name="Comma 2 4 2 3 2 3 5 8" xfId="41792"/>
    <cellStyle name="Comma 2 4 2 3 2 3 6" xfId="10937"/>
    <cellStyle name="Comma 2 4 2 3 2 3 6 2" xfId="19736"/>
    <cellStyle name="Comma 2 4 2 3 2 3 6 2 2" xfId="40779"/>
    <cellStyle name="Comma 2 4 2 3 2 3 6 2 3" xfId="34356"/>
    <cellStyle name="Comma 2 4 2 3 2 3 6 3" xfId="21935"/>
    <cellStyle name="Comma 2 4 2 3 2 3 6 3 2" xfId="37572"/>
    <cellStyle name="Comma 2 4 2 3 2 3 6 4" xfId="31149"/>
    <cellStyle name="Comma 2 4 2 3 2 3 6 5" xfId="42914"/>
    <cellStyle name="Comma 2 4 2 3 2 3 7" xfId="8143"/>
    <cellStyle name="Comma 2 4 2 3 2 3 7 2" xfId="18603"/>
    <cellStyle name="Comma 2 4 2 3 2 3 7 2 2" xfId="39646"/>
    <cellStyle name="Comma 2 4 2 3 2 3 7 2 3" xfId="33223"/>
    <cellStyle name="Comma 2 4 2 3 2 3 7 3" xfId="23093"/>
    <cellStyle name="Comma 2 4 2 3 2 3 7 3 2" xfId="36439"/>
    <cellStyle name="Comma 2 4 2 3 2 3 7 4" xfId="30016"/>
    <cellStyle name="Comma 2 4 2 3 2 3 7 5" xfId="43922"/>
    <cellStyle name="Comma 2 4 2 3 2 3 8" xfId="7085"/>
    <cellStyle name="Comma 2 4 2 3 2 3 8 2" xfId="17588"/>
    <cellStyle name="Comma 2 4 2 3 2 3 8 2 2" xfId="38637"/>
    <cellStyle name="Comma 2 4 2 3 2 3 8 3" xfId="32214"/>
    <cellStyle name="Comma 2 4 2 3 2 3 9" xfId="16164"/>
    <cellStyle name="Comma 2 4 2 3 2 3 9 2" xfId="35430"/>
    <cellStyle name="Comma 2 4 2 3 2 4" xfId="2470"/>
    <cellStyle name="Comma 2 4 2 3 2 4 2" xfId="10942"/>
    <cellStyle name="Comma 2 4 2 3 2 4 2 2" xfId="19741"/>
    <cellStyle name="Comma 2 4 2 3 2 4 2 2 2" xfId="40784"/>
    <cellStyle name="Comma 2 4 2 3 2 4 2 2 3" xfId="34361"/>
    <cellStyle name="Comma 2 4 2 3 2 4 2 3" xfId="21940"/>
    <cellStyle name="Comma 2 4 2 3 2 4 2 3 2" xfId="37577"/>
    <cellStyle name="Comma 2 4 2 3 2 4 2 4" xfId="31154"/>
    <cellStyle name="Comma 2 4 2 3 2 4 2 5" xfId="42919"/>
    <cellStyle name="Comma 2 4 2 3 2 4 3" xfId="8148"/>
    <cellStyle name="Comma 2 4 2 3 2 4 3 2" xfId="18608"/>
    <cellStyle name="Comma 2 4 2 3 2 4 3 2 2" xfId="39651"/>
    <cellStyle name="Comma 2 4 2 3 2 4 3 2 3" xfId="33228"/>
    <cellStyle name="Comma 2 4 2 3 2 4 3 3" xfId="23098"/>
    <cellStyle name="Comma 2 4 2 3 2 4 3 3 2" xfId="36444"/>
    <cellStyle name="Comma 2 4 2 3 2 4 3 4" xfId="30021"/>
    <cellStyle name="Comma 2 4 2 3 2 4 3 5" xfId="43927"/>
    <cellStyle name="Comma 2 4 2 3 2 4 4" xfId="7090"/>
    <cellStyle name="Comma 2 4 2 3 2 4 4 2" xfId="17593"/>
    <cellStyle name="Comma 2 4 2 3 2 4 4 2 2" xfId="38642"/>
    <cellStyle name="Comma 2 4 2 3 2 4 4 3" xfId="32219"/>
    <cellStyle name="Comma 2 4 2 3 2 4 5" xfId="16245"/>
    <cellStyle name="Comma 2 4 2 3 2 4 5 2" xfId="35435"/>
    <cellStyle name="Comma 2 4 2 3 2 4 6" xfId="20774"/>
    <cellStyle name="Comma 2 4 2 3 2 4 7" xfId="29012"/>
    <cellStyle name="Comma 2 4 2 3 2 4 8" xfId="41793"/>
    <cellStyle name="Comma 2 4 2 3 2 5" xfId="3333"/>
    <cellStyle name="Comma 2 4 2 3 2 5 2" xfId="10943"/>
    <cellStyle name="Comma 2 4 2 3 2 5 2 2" xfId="19742"/>
    <cellStyle name="Comma 2 4 2 3 2 5 2 2 2" xfId="40785"/>
    <cellStyle name="Comma 2 4 2 3 2 5 2 2 3" xfId="34362"/>
    <cellStyle name="Comma 2 4 2 3 2 5 2 3" xfId="21941"/>
    <cellStyle name="Comma 2 4 2 3 2 5 2 3 2" xfId="37578"/>
    <cellStyle name="Comma 2 4 2 3 2 5 2 4" xfId="31155"/>
    <cellStyle name="Comma 2 4 2 3 2 5 2 5" xfId="42920"/>
    <cellStyle name="Comma 2 4 2 3 2 5 3" xfId="8149"/>
    <cellStyle name="Comma 2 4 2 3 2 5 3 2" xfId="18609"/>
    <cellStyle name="Comma 2 4 2 3 2 5 3 2 2" xfId="39652"/>
    <cellStyle name="Comma 2 4 2 3 2 5 3 2 3" xfId="33229"/>
    <cellStyle name="Comma 2 4 2 3 2 5 3 3" xfId="23099"/>
    <cellStyle name="Comma 2 4 2 3 2 5 3 3 2" xfId="36445"/>
    <cellStyle name="Comma 2 4 2 3 2 5 3 4" xfId="30022"/>
    <cellStyle name="Comma 2 4 2 3 2 5 3 5" xfId="43928"/>
    <cellStyle name="Comma 2 4 2 3 2 5 4" xfId="7091"/>
    <cellStyle name="Comma 2 4 2 3 2 5 4 2" xfId="17594"/>
    <cellStyle name="Comma 2 4 2 3 2 5 4 2 2" xfId="38643"/>
    <cellStyle name="Comma 2 4 2 3 2 5 4 3" xfId="32220"/>
    <cellStyle name="Comma 2 4 2 3 2 5 5" xfId="16433"/>
    <cellStyle name="Comma 2 4 2 3 2 5 5 2" xfId="35436"/>
    <cellStyle name="Comma 2 4 2 3 2 5 6" xfId="20775"/>
    <cellStyle name="Comma 2 4 2 3 2 5 7" xfId="29013"/>
    <cellStyle name="Comma 2 4 2 3 2 5 8" xfId="41794"/>
    <cellStyle name="Comma 2 4 2 3 2 6" xfId="4201"/>
    <cellStyle name="Comma 2 4 2 3 2 6 2" xfId="10944"/>
    <cellStyle name="Comma 2 4 2 3 2 6 2 2" xfId="19743"/>
    <cellStyle name="Comma 2 4 2 3 2 6 2 2 2" xfId="40786"/>
    <cellStyle name="Comma 2 4 2 3 2 6 2 2 3" xfId="34363"/>
    <cellStyle name="Comma 2 4 2 3 2 6 2 3" xfId="21942"/>
    <cellStyle name="Comma 2 4 2 3 2 6 2 3 2" xfId="37579"/>
    <cellStyle name="Comma 2 4 2 3 2 6 2 4" xfId="31156"/>
    <cellStyle name="Comma 2 4 2 3 2 6 2 5" xfId="42921"/>
    <cellStyle name="Comma 2 4 2 3 2 6 3" xfId="8150"/>
    <cellStyle name="Comma 2 4 2 3 2 6 3 2" xfId="18610"/>
    <cellStyle name="Comma 2 4 2 3 2 6 3 2 2" xfId="39653"/>
    <cellStyle name="Comma 2 4 2 3 2 6 3 2 3" xfId="33230"/>
    <cellStyle name="Comma 2 4 2 3 2 6 3 3" xfId="23100"/>
    <cellStyle name="Comma 2 4 2 3 2 6 3 3 2" xfId="36446"/>
    <cellStyle name="Comma 2 4 2 3 2 6 3 4" xfId="30023"/>
    <cellStyle name="Comma 2 4 2 3 2 6 3 5" xfId="43929"/>
    <cellStyle name="Comma 2 4 2 3 2 6 4" xfId="7092"/>
    <cellStyle name="Comma 2 4 2 3 2 6 4 2" xfId="17595"/>
    <cellStyle name="Comma 2 4 2 3 2 6 4 2 2" xfId="38644"/>
    <cellStyle name="Comma 2 4 2 3 2 6 4 3" xfId="32221"/>
    <cellStyle name="Comma 2 4 2 3 2 6 5" xfId="16621"/>
    <cellStyle name="Comma 2 4 2 3 2 6 5 2" xfId="35437"/>
    <cellStyle name="Comma 2 4 2 3 2 6 6" xfId="20776"/>
    <cellStyle name="Comma 2 4 2 3 2 6 7" xfId="29014"/>
    <cellStyle name="Comma 2 4 2 3 2 6 8" xfId="41795"/>
    <cellStyle name="Comma 2 4 2 3 2 7" xfId="5012"/>
    <cellStyle name="Comma 2 4 2 3 2 7 2" xfId="10945"/>
    <cellStyle name="Comma 2 4 2 3 2 7 2 2" xfId="19744"/>
    <cellStyle name="Comma 2 4 2 3 2 7 2 2 2" xfId="40787"/>
    <cellStyle name="Comma 2 4 2 3 2 7 2 2 3" xfId="34364"/>
    <cellStyle name="Comma 2 4 2 3 2 7 2 3" xfId="21943"/>
    <cellStyle name="Comma 2 4 2 3 2 7 2 3 2" xfId="37580"/>
    <cellStyle name="Comma 2 4 2 3 2 7 2 4" xfId="31157"/>
    <cellStyle name="Comma 2 4 2 3 2 7 2 5" xfId="42922"/>
    <cellStyle name="Comma 2 4 2 3 2 7 3" xfId="8151"/>
    <cellStyle name="Comma 2 4 2 3 2 7 3 2" xfId="18611"/>
    <cellStyle name="Comma 2 4 2 3 2 7 3 2 2" xfId="39654"/>
    <cellStyle name="Comma 2 4 2 3 2 7 3 2 3" xfId="33231"/>
    <cellStyle name="Comma 2 4 2 3 2 7 3 3" xfId="23101"/>
    <cellStyle name="Comma 2 4 2 3 2 7 3 3 2" xfId="36447"/>
    <cellStyle name="Comma 2 4 2 3 2 7 3 4" xfId="30024"/>
    <cellStyle name="Comma 2 4 2 3 2 7 3 5" xfId="43930"/>
    <cellStyle name="Comma 2 4 2 3 2 7 4" xfId="7093"/>
    <cellStyle name="Comma 2 4 2 3 2 7 4 2" xfId="17596"/>
    <cellStyle name="Comma 2 4 2 3 2 7 4 2 2" xfId="38645"/>
    <cellStyle name="Comma 2 4 2 3 2 7 4 3" xfId="32222"/>
    <cellStyle name="Comma 2 4 2 3 2 7 5" xfId="16827"/>
    <cellStyle name="Comma 2 4 2 3 2 7 5 2" xfId="35438"/>
    <cellStyle name="Comma 2 4 2 3 2 7 6" xfId="20777"/>
    <cellStyle name="Comma 2 4 2 3 2 7 7" xfId="29015"/>
    <cellStyle name="Comma 2 4 2 3 2 7 8" xfId="41796"/>
    <cellStyle name="Comma 2 4 2 3 2 8" xfId="5463"/>
    <cellStyle name="Comma 2 4 2 3 2 8 2" xfId="10946"/>
    <cellStyle name="Comma 2 4 2 3 2 8 2 2" xfId="19745"/>
    <cellStyle name="Comma 2 4 2 3 2 8 2 2 2" xfId="40788"/>
    <cellStyle name="Comma 2 4 2 3 2 8 2 2 3" xfId="34365"/>
    <cellStyle name="Comma 2 4 2 3 2 8 2 3" xfId="21944"/>
    <cellStyle name="Comma 2 4 2 3 2 8 2 3 2" xfId="37581"/>
    <cellStyle name="Comma 2 4 2 3 2 8 2 4" xfId="31158"/>
    <cellStyle name="Comma 2 4 2 3 2 8 2 5" xfId="42923"/>
    <cellStyle name="Comma 2 4 2 3 2 8 3" xfId="8152"/>
    <cellStyle name="Comma 2 4 2 3 2 8 3 2" xfId="18612"/>
    <cellStyle name="Comma 2 4 2 3 2 8 3 2 2" xfId="39655"/>
    <cellStyle name="Comma 2 4 2 3 2 8 3 2 3" xfId="33232"/>
    <cellStyle name="Comma 2 4 2 3 2 8 3 3" xfId="23102"/>
    <cellStyle name="Comma 2 4 2 3 2 8 3 3 2" xfId="36448"/>
    <cellStyle name="Comma 2 4 2 3 2 8 3 4" xfId="30025"/>
    <cellStyle name="Comma 2 4 2 3 2 8 3 5" xfId="43931"/>
    <cellStyle name="Comma 2 4 2 3 2 8 4" xfId="7094"/>
    <cellStyle name="Comma 2 4 2 3 2 8 4 2" xfId="17597"/>
    <cellStyle name="Comma 2 4 2 3 2 8 4 2 2" xfId="38646"/>
    <cellStyle name="Comma 2 4 2 3 2 8 4 3" xfId="32223"/>
    <cellStyle name="Comma 2 4 2 3 2 8 5" xfId="16909"/>
    <cellStyle name="Comma 2 4 2 3 2 8 5 2" xfId="35439"/>
    <cellStyle name="Comma 2 4 2 3 2 8 6" xfId="20778"/>
    <cellStyle name="Comma 2 4 2 3 2 8 7" xfId="29016"/>
    <cellStyle name="Comma 2 4 2 3 2 8 8" xfId="41797"/>
    <cellStyle name="Comma 2 4 2 3 2 9" xfId="10227"/>
    <cellStyle name="Comma 2 4 2 3 2 9 2" xfId="19281"/>
    <cellStyle name="Comma 2 4 2 3 2 9 2 2" xfId="40324"/>
    <cellStyle name="Comma 2 4 2 3 2 9 2 3" xfId="33901"/>
    <cellStyle name="Comma 2 4 2 3 2 9 3" xfId="21481"/>
    <cellStyle name="Comma 2 4 2 3 2 9 3 2" xfId="37117"/>
    <cellStyle name="Comma 2 4 2 3 2 9 4" xfId="30694"/>
    <cellStyle name="Comma 2 4 2 3 2 9 5" xfId="42460"/>
    <cellStyle name="Comma 2 4 2 3 3" xfId="1829"/>
    <cellStyle name="Comma 2 4 2 3 3 10" xfId="16107"/>
    <cellStyle name="Comma 2 4 2 3 3 10 2" xfId="34974"/>
    <cellStyle name="Comma 2 4 2 3 3 11" xfId="20779"/>
    <cellStyle name="Comma 2 4 2 3 3 12" xfId="28549"/>
    <cellStyle name="Comma 2 4 2 3 3 13" xfId="41798"/>
    <cellStyle name="Comma 2 4 2 3 3 2" xfId="2719"/>
    <cellStyle name="Comma 2 4 2 3 3 2 2" xfId="10947"/>
    <cellStyle name="Comma 2 4 2 3 3 2 2 2" xfId="19746"/>
    <cellStyle name="Comma 2 4 2 3 3 2 2 2 2" xfId="40789"/>
    <cellStyle name="Comma 2 4 2 3 3 2 2 2 3" xfId="34366"/>
    <cellStyle name="Comma 2 4 2 3 3 2 2 3" xfId="21945"/>
    <cellStyle name="Comma 2 4 2 3 3 2 2 3 2" xfId="37582"/>
    <cellStyle name="Comma 2 4 2 3 3 2 2 4" xfId="31159"/>
    <cellStyle name="Comma 2 4 2 3 3 2 2 5" xfId="42924"/>
    <cellStyle name="Comma 2 4 2 3 3 2 3" xfId="8154"/>
    <cellStyle name="Comma 2 4 2 3 3 2 3 2" xfId="18614"/>
    <cellStyle name="Comma 2 4 2 3 3 2 3 2 2" xfId="39657"/>
    <cellStyle name="Comma 2 4 2 3 3 2 3 2 3" xfId="33234"/>
    <cellStyle name="Comma 2 4 2 3 3 2 3 3" xfId="23104"/>
    <cellStyle name="Comma 2 4 2 3 3 2 3 3 2" xfId="36450"/>
    <cellStyle name="Comma 2 4 2 3 3 2 3 4" xfId="30027"/>
    <cellStyle name="Comma 2 4 2 3 3 2 3 5" xfId="43933"/>
    <cellStyle name="Comma 2 4 2 3 3 2 4" xfId="7095"/>
    <cellStyle name="Comma 2 4 2 3 3 2 4 2" xfId="17598"/>
    <cellStyle name="Comma 2 4 2 3 3 2 4 2 2" xfId="38647"/>
    <cellStyle name="Comma 2 4 2 3 3 2 4 3" xfId="32224"/>
    <cellStyle name="Comma 2 4 2 3 3 2 5" xfId="16297"/>
    <cellStyle name="Comma 2 4 2 3 3 2 5 2" xfId="35440"/>
    <cellStyle name="Comma 2 4 2 3 3 2 6" xfId="20780"/>
    <cellStyle name="Comma 2 4 2 3 3 2 7" xfId="29017"/>
    <cellStyle name="Comma 2 4 2 3 3 2 8" xfId="41799"/>
    <cellStyle name="Comma 2 4 2 3 3 3" xfId="3583"/>
    <cellStyle name="Comma 2 4 2 3 3 3 2" xfId="10948"/>
    <cellStyle name="Comma 2 4 2 3 3 3 2 2" xfId="19747"/>
    <cellStyle name="Comma 2 4 2 3 3 3 2 2 2" xfId="40790"/>
    <cellStyle name="Comma 2 4 2 3 3 3 2 2 3" xfId="34367"/>
    <cellStyle name="Comma 2 4 2 3 3 3 2 3" xfId="21946"/>
    <cellStyle name="Comma 2 4 2 3 3 3 2 3 2" xfId="37583"/>
    <cellStyle name="Comma 2 4 2 3 3 3 2 4" xfId="31160"/>
    <cellStyle name="Comma 2 4 2 3 3 3 2 5" xfId="42925"/>
    <cellStyle name="Comma 2 4 2 3 3 3 3" xfId="8155"/>
    <cellStyle name="Comma 2 4 2 3 3 3 3 2" xfId="18615"/>
    <cellStyle name="Comma 2 4 2 3 3 3 3 2 2" xfId="39658"/>
    <cellStyle name="Comma 2 4 2 3 3 3 3 2 3" xfId="33235"/>
    <cellStyle name="Comma 2 4 2 3 3 3 3 3" xfId="23105"/>
    <cellStyle name="Comma 2 4 2 3 3 3 3 3 2" xfId="36451"/>
    <cellStyle name="Comma 2 4 2 3 3 3 3 4" xfId="30028"/>
    <cellStyle name="Comma 2 4 2 3 3 3 3 5" xfId="43934"/>
    <cellStyle name="Comma 2 4 2 3 3 3 4" xfId="7096"/>
    <cellStyle name="Comma 2 4 2 3 3 3 4 2" xfId="17599"/>
    <cellStyle name="Comma 2 4 2 3 3 3 4 2 2" xfId="38648"/>
    <cellStyle name="Comma 2 4 2 3 3 3 4 3" xfId="32225"/>
    <cellStyle name="Comma 2 4 2 3 3 3 5" xfId="16485"/>
    <cellStyle name="Comma 2 4 2 3 3 3 5 2" xfId="35441"/>
    <cellStyle name="Comma 2 4 2 3 3 3 6" xfId="20781"/>
    <cellStyle name="Comma 2 4 2 3 3 3 7" xfId="29018"/>
    <cellStyle name="Comma 2 4 2 3 3 3 8" xfId="41800"/>
    <cellStyle name="Comma 2 4 2 3 3 4" xfId="4458"/>
    <cellStyle name="Comma 2 4 2 3 3 4 2" xfId="10949"/>
    <cellStyle name="Comma 2 4 2 3 3 4 2 2" xfId="19748"/>
    <cellStyle name="Comma 2 4 2 3 3 4 2 2 2" xfId="40791"/>
    <cellStyle name="Comma 2 4 2 3 3 4 2 2 3" xfId="34368"/>
    <cellStyle name="Comma 2 4 2 3 3 4 2 3" xfId="21947"/>
    <cellStyle name="Comma 2 4 2 3 3 4 2 3 2" xfId="37584"/>
    <cellStyle name="Comma 2 4 2 3 3 4 2 4" xfId="31161"/>
    <cellStyle name="Comma 2 4 2 3 3 4 2 5" xfId="42926"/>
    <cellStyle name="Comma 2 4 2 3 3 4 3" xfId="8156"/>
    <cellStyle name="Comma 2 4 2 3 3 4 3 2" xfId="18616"/>
    <cellStyle name="Comma 2 4 2 3 3 4 3 2 2" xfId="39659"/>
    <cellStyle name="Comma 2 4 2 3 3 4 3 2 3" xfId="33236"/>
    <cellStyle name="Comma 2 4 2 3 3 4 3 3" xfId="23106"/>
    <cellStyle name="Comma 2 4 2 3 3 4 3 3 2" xfId="36452"/>
    <cellStyle name="Comma 2 4 2 3 3 4 3 4" xfId="30029"/>
    <cellStyle name="Comma 2 4 2 3 3 4 3 5" xfId="43935"/>
    <cellStyle name="Comma 2 4 2 3 3 4 4" xfId="7097"/>
    <cellStyle name="Comma 2 4 2 3 3 4 4 2" xfId="17600"/>
    <cellStyle name="Comma 2 4 2 3 3 4 4 2 2" xfId="38649"/>
    <cellStyle name="Comma 2 4 2 3 3 4 4 3" xfId="32226"/>
    <cellStyle name="Comma 2 4 2 3 3 4 5" xfId="16673"/>
    <cellStyle name="Comma 2 4 2 3 3 4 5 2" xfId="35442"/>
    <cellStyle name="Comma 2 4 2 3 3 4 6" xfId="20782"/>
    <cellStyle name="Comma 2 4 2 3 3 4 7" xfId="29019"/>
    <cellStyle name="Comma 2 4 2 3 3 4 8" xfId="41801"/>
    <cellStyle name="Comma 2 4 2 3 3 5" xfId="5014"/>
    <cellStyle name="Comma 2 4 2 3 3 5 2" xfId="10950"/>
    <cellStyle name="Comma 2 4 2 3 3 5 2 2" xfId="19749"/>
    <cellStyle name="Comma 2 4 2 3 3 5 2 2 2" xfId="40792"/>
    <cellStyle name="Comma 2 4 2 3 3 5 2 2 3" xfId="34369"/>
    <cellStyle name="Comma 2 4 2 3 3 5 2 3" xfId="21948"/>
    <cellStyle name="Comma 2 4 2 3 3 5 2 3 2" xfId="37585"/>
    <cellStyle name="Comma 2 4 2 3 3 5 2 4" xfId="31162"/>
    <cellStyle name="Comma 2 4 2 3 3 5 2 5" xfId="42927"/>
    <cellStyle name="Comma 2 4 2 3 3 5 3" xfId="8157"/>
    <cellStyle name="Comma 2 4 2 3 3 5 3 2" xfId="18617"/>
    <cellStyle name="Comma 2 4 2 3 3 5 3 2 2" xfId="39660"/>
    <cellStyle name="Comma 2 4 2 3 3 5 3 2 3" xfId="33237"/>
    <cellStyle name="Comma 2 4 2 3 3 5 3 3" xfId="23107"/>
    <cellStyle name="Comma 2 4 2 3 3 5 3 3 2" xfId="36453"/>
    <cellStyle name="Comma 2 4 2 3 3 5 3 4" xfId="30030"/>
    <cellStyle name="Comma 2 4 2 3 3 5 3 5" xfId="43936"/>
    <cellStyle name="Comma 2 4 2 3 3 5 4" xfId="7098"/>
    <cellStyle name="Comma 2 4 2 3 3 5 4 2" xfId="17601"/>
    <cellStyle name="Comma 2 4 2 3 3 5 4 2 2" xfId="38650"/>
    <cellStyle name="Comma 2 4 2 3 3 5 4 3" xfId="32227"/>
    <cellStyle name="Comma 2 4 2 3 3 5 5" xfId="16829"/>
    <cellStyle name="Comma 2 4 2 3 3 5 5 2" xfId="35443"/>
    <cellStyle name="Comma 2 4 2 3 3 5 6" xfId="20783"/>
    <cellStyle name="Comma 2 4 2 3 3 5 7" xfId="29020"/>
    <cellStyle name="Comma 2 4 2 3 3 5 8" xfId="41802"/>
    <cellStyle name="Comma 2 4 2 3 3 6" xfId="5723"/>
    <cellStyle name="Comma 2 4 2 3 3 6 2" xfId="10951"/>
    <cellStyle name="Comma 2 4 2 3 3 6 2 2" xfId="19750"/>
    <cellStyle name="Comma 2 4 2 3 3 6 2 2 2" xfId="40793"/>
    <cellStyle name="Comma 2 4 2 3 3 6 2 2 3" xfId="34370"/>
    <cellStyle name="Comma 2 4 2 3 3 6 2 3" xfId="21949"/>
    <cellStyle name="Comma 2 4 2 3 3 6 2 3 2" xfId="37586"/>
    <cellStyle name="Comma 2 4 2 3 3 6 2 4" xfId="31163"/>
    <cellStyle name="Comma 2 4 2 3 3 6 2 5" xfId="42928"/>
    <cellStyle name="Comma 2 4 2 3 3 6 3" xfId="8158"/>
    <cellStyle name="Comma 2 4 2 3 3 6 3 2" xfId="18618"/>
    <cellStyle name="Comma 2 4 2 3 3 6 3 2 2" xfId="39661"/>
    <cellStyle name="Comma 2 4 2 3 3 6 3 2 3" xfId="33238"/>
    <cellStyle name="Comma 2 4 2 3 3 6 3 3" xfId="23108"/>
    <cellStyle name="Comma 2 4 2 3 3 6 3 3 2" xfId="36454"/>
    <cellStyle name="Comma 2 4 2 3 3 6 3 4" xfId="30031"/>
    <cellStyle name="Comma 2 4 2 3 3 6 3 5" xfId="43937"/>
    <cellStyle name="Comma 2 4 2 3 3 6 4" xfId="7099"/>
    <cellStyle name="Comma 2 4 2 3 3 6 4 2" xfId="17602"/>
    <cellStyle name="Comma 2 4 2 3 3 6 4 2 2" xfId="38651"/>
    <cellStyle name="Comma 2 4 2 3 3 6 4 3" xfId="32228"/>
    <cellStyle name="Comma 2 4 2 3 3 6 5" xfId="16961"/>
    <cellStyle name="Comma 2 4 2 3 3 6 5 2" xfId="35444"/>
    <cellStyle name="Comma 2 4 2 3 3 6 6" xfId="20784"/>
    <cellStyle name="Comma 2 4 2 3 3 6 7" xfId="29021"/>
    <cellStyle name="Comma 2 4 2 3 3 6 8" xfId="41803"/>
    <cellStyle name="Comma 2 4 2 3 3 7" xfId="10221"/>
    <cellStyle name="Comma 2 4 2 3 3 7 2" xfId="19275"/>
    <cellStyle name="Comma 2 4 2 3 3 7 2 2" xfId="40318"/>
    <cellStyle name="Comma 2 4 2 3 3 7 2 3" xfId="33895"/>
    <cellStyle name="Comma 2 4 2 3 3 7 3" xfId="21475"/>
    <cellStyle name="Comma 2 4 2 3 3 7 3 2" xfId="37111"/>
    <cellStyle name="Comma 2 4 2 3 3 7 4" xfId="30688"/>
    <cellStyle name="Comma 2 4 2 3 3 7 5" xfId="42454"/>
    <cellStyle name="Comma 2 4 2 3 3 8" xfId="8153"/>
    <cellStyle name="Comma 2 4 2 3 3 8 2" xfId="18613"/>
    <cellStyle name="Comma 2 4 2 3 3 8 2 2" xfId="39656"/>
    <cellStyle name="Comma 2 4 2 3 3 8 2 3" xfId="33233"/>
    <cellStyle name="Comma 2 4 2 3 3 8 3" xfId="23103"/>
    <cellStyle name="Comma 2 4 2 3 3 8 3 2" xfId="36449"/>
    <cellStyle name="Comma 2 4 2 3 3 8 4" xfId="30026"/>
    <cellStyle name="Comma 2 4 2 3 3 8 5" xfId="43932"/>
    <cellStyle name="Comma 2 4 2 3 3 9" xfId="6621"/>
    <cellStyle name="Comma 2 4 2 3 3 9 2" xfId="17128"/>
    <cellStyle name="Comma 2 4 2 3 3 9 2 2" xfId="38181"/>
    <cellStyle name="Comma 2 4 2 3 3 9 3" xfId="31758"/>
    <cellStyle name="Comma 2 4 2 3 4" xfId="2104"/>
    <cellStyle name="Comma 2 4 2 3 4 10" xfId="20785"/>
    <cellStyle name="Comma 2 4 2 3 4 11" xfId="29022"/>
    <cellStyle name="Comma 2 4 2 3 4 12" xfId="41804"/>
    <cellStyle name="Comma 2 4 2 3 4 2" xfId="2974"/>
    <cellStyle name="Comma 2 4 2 3 4 2 2" xfId="10953"/>
    <cellStyle name="Comma 2 4 2 3 4 2 2 2" xfId="19752"/>
    <cellStyle name="Comma 2 4 2 3 4 2 2 2 2" xfId="40795"/>
    <cellStyle name="Comma 2 4 2 3 4 2 2 2 3" xfId="34372"/>
    <cellStyle name="Comma 2 4 2 3 4 2 2 3" xfId="21951"/>
    <cellStyle name="Comma 2 4 2 3 4 2 2 3 2" xfId="37588"/>
    <cellStyle name="Comma 2 4 2 3 4 2 2 4" xfId="31165"/>
    <cellStyle name="Comma 2 4 2 3 4 2 2 5" xfId="42930"/>
    <cellStyle name="Comma 2 4 2 3 4 2 3" xfId="8160"/>
    <cellStyle name="Comma 2 4 2 3 4 2 3 2" xfId="18620"/>
    <cellStyle name="Comma 2 4 2 3 4 2 3 2 2" xfId="39663"/>
    <cellStyle name="Comma 2 4 2 3 4 2 3 2 3" xfId="33240"/>
    <cellStyle name="Comma 2 4 2 3 4 2 3 3" xfId="23110"/>
    <cellStyle name="Comma 2 4 2 3 4 2 3 3 2" xfId="36456"/>
    <cellStyle name="Comma 2 4 2 3 4 2 3 4" xfId="30033"/>
    <cellStyle name="Comma 2 4 2 3 4 2 3 5" xfId="43939"/>
    <cellStyle name="Comma 2 4 2 3 4 2 4" xfId="7101"/>
    <cellStyle name="Comma 2 4 2 3 4 2 4 2" xfId="17604"/>
    <cellStyle name="Comma 2 4 2 3 4 2 4 2 2" xfId="38653"/>
    <cellStyle name="Comma 2 4 2 3 4 2 4 3" xfId="32230"/>
    <cellStyle name="Comma 2 4 2 3 4 2 5" xfId="16352"/>
    <cellStyle name="Comma 2 4 2 3 4 2 5 2" xfId="35446"/>
    <cellStyle name="Comma 2 4 2 3 4 2 6" xfId="20786"/>
    <cellStyle name="Comma 2 4 2 3 4 2 7" xfId="29023"/>
    <cellStyle name="Comma 2 4 2 3 4 2 8" xfId="41805"/>
    <cellStyle name="Comma 2 4 2 3 4 3" xfId="3844"/>
    <cellStyle name="Comma 2 4 2 3 4 3 2" xfId="10954"/>
    <cellStyle name="Comma 2 4 2 3 4 3 2 2" xfId="19753"/>
    <cellStyle name="Comma 2 4 2 3 4 3 2 2 2" xfId="40796"/>
    <cellStyle name="Comma 2 4 2 3 4 3 2 2 3" xfId="34373"/>
    <cellStyle name="Comma 2 4 2 3 4 3 2 3" xfId="21952"/>
    <cellStyle name="Comma 2 4 2 3 4 3 2 3 2" xfId="37589"/>
    <cellStyle name="Comma 2 4 2 3 4 3 2 4" xfId="31166"/>
    <cellStyle name="Comma 2 4 2 3 4 3 2 5" xfId="42931"/>
    <cellStyle name="Comma 2 4 2 3 4 3 3" xfId="8161"/>
    <cellStyle name="Comma 2 4 2 3 4 3 3 2" xfId="18621"/>
    <cellStyle name="Comma 2 4 2 3 4 3 3 2 2" xfId="39664"/>
    <cellStyle name="Comma 2 4 2 3 4 3 3 2 3" xfId="33241"/>
    <cellStyle name="Comma 2 4 2 3 4 3 3 3" xfId="23111"/>
    <cellStyle name="Comma 2 4 2 3 4 3 3 3 2" xfId="36457"/>
    <cellStyle name="Comma 2 4 2 3 4 3 3 4" xfId="30034"/>
    <cellStyle name="Comma 2 4 2 3 4 3 3 5" xfId="43940"/>
    <cellStyle name="Comma 2 4 2 3 4 3 4" xfId="7102"/>
    <cellStyle name="Comma 2 4 2 3 4 3 4 2" xfId="17605"/>
    <cellStyle name="Comma 2 4 2 3 4 3 4 2 2" xfId="38654"/>
    <cellStyle name="Comma 2 4 2 3 4 3 4 3" xfId="32231"/>
    <cellStyle name="Comma 2 4 2 3 4 3 5" xfId="16540"/>
    <cellStyle name="Comma 2 4 2 3 4 3 5 2" xfId="35447"/>
    <cellStyle name="Comma 2 4 2 3 4 3 6" xfId="20787"/>
    <cellStyle name="Comma 2 4 2 3 4 3 7" xfId="29024"/>
    <cellStyle name="Comma 2 4 2 3 4 3 8" xfId="41806"/>
    <cellStyle name="Comma 2 4 2 3 4 4" xfId="4722"/>
    <cellStyle name="Comma 2 4 2 3 4 4 2" xfId="10955"/>
    <cellStyle name="Comma 2 4 2 3 4 4 2 2" xfId="19754"/>
    <cellStyle name="Comma 2 4 2 3 4 4 2 2 2" xfId="40797"/>
    <cellStyle name="Comma 2 4 2 3 4 4 2 2 3" xfId="34374"/>
    <cellStyle name="Comma 2 4 2 3 4 4 2 3" xfId="21953"/>
    <cellStyle name="Comma 2 4 2 3 4 4 2 3 2" xfId="37590"/>
    <cellStyle name="Comma 2 4 2 3 4 4 2 4" xfId="31167"/>
    <cellStyle name="Comma 2 4 2 3 4 4 2 5" xfId="42932"/>
    <cellStyle name="Comma 2 4 2 3 4 4 3" xfId="8162"/>
    <cellStyle name="Comma 2 4 2 3 4 4 3 2" xfId="18622"/>
    <cellStyle name="Comma 2 4 2 3 4 4 3 2 2" xfId="39665"/>
    <cellStyle name="Comma 2 4 2 3 4 4 3 2 3" xfId="33242"/>
    <cellStyle name="Comma 2 4 2 3 4 4 3 3" xfId="23112"/>
    <cellStyle name="Comma 2 4 2 3 4 4 3 3 2" xfId="36458"/>
    <cellStyle name="Comma 2 4 2 3 4 4 3 4" xfId="30035"/>
    <cellStyle name="Comma 2 4 2 3 4 4 3 5" xfId="43941"/>
    <cellStyle name="Comma 2 4 2 3 4 4 4" xfId="7103"/>
    <cellStyle name="Comma 2 4 2 3 4 4 4 2" xfId="17606"/>
    <cellStyle name="Comma 2 4 2 3 4 4 4 2 2" xfId="38655"/>
    <cellStyle name="Comma 2 4 2 3 4 4 4 3" xfId="32232"/>
    <cellStyle name="Comma 2 4 2 3 4 4 5" xfId="16728"/>
    <cellStyle name="Comma 2 4 2 3 4 4 5 2" xfId="35448"/>
    <cellStyle name="Comma 2 4 2 3 4 4 6" xfId="20788"/>
    <cellStyle name="Comma 2 4 2 3 4 4 7" xfId="29025"/>
    <cellStyle name="Comma 2 4 2 3 4 4 8" xfId="41807"/>
    <cellStyle name="Comma 2 4 2 3 4 5" xfId="5987"/>
    <cellStyle name="Comma 2 4 2 3 4 5 2" xfId="10956"/>
    <cellStyle name="Comma 2 4 2 3 4 5 2 2" xfId="19755"/>
    <cellStyle name="Comma 2 4 2 3 4 5 2 2 2" xfId="40798"/>
    <cellStyle name="Comma 2 4 2 3 4 5 2 2 3" xfId="34375"/>
    <cellStyle name="Comma 2 4 2 3 4 5 2 3" xfId="21954"/>
    <cellStyle name="Comma 2 4 2 3 4 5 2 3 2" xfId="37591"/>
    <cellStyle name="Comma 2 4 2 3 4 5 2 4" xfId="31168"/>
    <cellStyle name="Comma 2 4 2 3 4 5 2 5" xfId="42933"/>
    <cellStyle name="Comma 2 4 2 3 4 5 3" xfId="8163"/>
    <cellStyle name="Comma 2 4 2 3 4 5 3 2" xfId="18623"/>
    <cellStyle name="Comma 2 4 2 3 4 5 3 2 2" xfId="39666"/>
    <cellStyle name="Comma 2 4 2 3 4 5 3 2 3" xfId="33243"/>
    <cellStyle name="Comma 2 4 2 3 4 5 3 3" xfId="23113"/>
    <cellStyle name="Comma 2 4 2 3 4 5 3 3 2" xfId="36459"/>
    <cellStyle name="Comma 2 4 2 3 4 5 3 4" xfId="30036"/>
    <cellStyle name="Comma 2 4 2 3 4 5 3 5" xfId="43942"/>
    <cellStyle name="Comma 2 4 2 3 4 5 4" xfId="7104"/>
    <cellStyle name="Comma 2 4 2 3 4 5 4 2" xfId="17607"/>
    <cellStyle name="Comma 2 4 2 3 4 5 4 2 2" xfId="38656"/>
    <cellStyle name="Comma 2 4 2 3 4 5 4 3" xfId="32233"/>
    <cellStyle name="Comma 2 4 2 3 4 5 5" xfId="17016"/>
    <cellStyle name="Comma 2 4 2 3 4 5 5 2" xfId="35449"/>
    <cellStyle name="Comma 2 4 2 3 4 5 6" xfId="20789"/>
    <cellStyle name="Comma 2 4 2 3 4 5 7" xfId="29026"/>
    <cellStyle name="Comma 2 4 2 3 4 5 8" xfId="41808"/>
    <cellStyle name="Comma 2 4 2 3 4 6" xfId="10952"/>
    <cellStyle name="Comma 2 4 2 3 4 6 2" xfId="19751"/>
    <cellStyle name="Comma 2 4 2 3 4 6 2 2" xfId="40794"/>
    <cellStyle name="Comma 2 4 2 3 4 6 2 3" xfId="34371"/>
    <cellStyle name="Comma 2 4 2 3 4 6 3" xfId="21950"/>
    <cellStyle name="Comma 2 4 2 3 4 6 3 2" xfId="37587"/>
    <cellStyle name="Comma 2 4 2 3 4 6 4" xfId="31164"/>
    <cellStyle name="Comma 2 4 2 3 4 6 5" xfId="42929"/>
    <cellStyle name="Comma 2 4 2 3 4 7" xfId="8159"/>
    <cellStyle name="Comma 2 4 2 3 4 7 2" xfId="18619"/>
    <cellStyle name="Comma 2 4 2 3 4 7 2 2" xfId="39662"/>
    <cellStyle name="Comma 2 4 2 3 4 7 2 3" xfId="33239"/>
    <cellStyle name="Comma 2 4 2 3 4 7 3" xfId="23109"/>
    <cellStyle name="Comma 2 4 2 3 4 7 3 2" xfId="36455"/>
    <cellStyle name="Comma 2 4 2 3 4 7 4" xfId="30032"/>
    <cellStyle name="Comma 2 4 2 3 4 7 5" xfId="43938"/>
    <cellStyle name="Comma 2 4 2 3 4 8" xfId="7100"/>
    <cellStyle name="Comma 2 4 2 3 4 8 2" xfId="17603"/>
    <cellStyle name="Comma 2 4 2 3 4 8 2 2" xfId="38652"/>
    <cellStyle name="Comma 2 4 2 3 4 8 3" xfId="32229"/>
    <cellStyle name="Comma 2 4 2 3 4 9" xfId="16163"/>
    <cellStyle name="Comma 2 4 2 3 4 9 2" xfId="35445"/>
    <cellStyle name="Comma 2 4 2 3 5" xfId="2334"/>
    <cellStyle name="Comma 2 4 2 3 5 10" xfId="20790"/>
    <cellStyle name="Comma 2 4 2 3 5 11" xfId="29027"/>
    <cellStyle name="Comma 2 4 2 3 5 12" xfId="41809"/>
    <cellStyle name="Comma 2 4 2 3 5 2" xfId="3193"/>
    <cellStyle name="Comma 2 4 2 3 5 2 2" xfId="10958"/>
    <cellStyle name="Comma 2 4 2 3 5 2 2 2" xfId="19757"/>
    <cellStyle name="Comma 2 4 2 3 5 2 2 2 2" xfId="40800"/>
    <cellStyle name="Comma 2 4 2 3 5 2 2 2 3" xfId="34377"/>
    <cellStyle name="Comma 2 4 2 3 5 2 2 3" xfId="21956"/>
    <cellStyle name="Comma 2 4 2 3 5 2 2 3 2" xfId="37593"/>
    <cellStyle name="Comma 2 4 2 3 5 2 2 4" xfId="31170"/>
    <cellStyle name="Comma 2 4 2 3 5 2 2 5" xfId="42935"/>
    <cellStyle name="Comma 2 4 2 3 5 2 3" xfId="8165"/>
    <cellStyle name="Comma 2 4 2 3 5 2 3 2" xfId="18625"/>
    <cellStyle name="Comma 2 4 2 3 5 2 3 2 2" xfId="39668"/>
    <cellStyle name="Comma 2 4 2 3 5 2 3 2 3" xfId="33245"/>
    <cellStyle name="Comma 2 4 2 3 5 2 3 3" xfId="23115"/>
    <cellStyle name="Comma 2 4 2 3 5 2 3 3 2" xfId="36461"/>
    <cellStyle name="Comma 2 4 2 3 5 2 3 4" xfId="30038"/>
    <cellStyle name="Comma 2 4 2 3 5 2 3 5" xfId="43944"/>
    <cellStyle name="Comma 2 4 2 3 5 2 4" xfId="7106"/>
    <cellStyle name="Comma 2 4 2 3 5 2 4 2" xfId="17609"/>
    <cellStyle name="Comma 2 4 2 3 5 2 4 2 2" xfId="38658"/>
    <cellStyle name="Comma 2 4 2 3 5 2 4 3" xfId="32235"/>
    <cellStyle name="Comma 2 4 2 3 5 2 5" xfId="16399"/>
    <cellStyle name="Comma 2 4 2 3 5 2 5 2" xfId="35451"/>
    <cellStyle name="Comma 2 4 2 3 5 2 6" xfId="20791"/>
    <cellStyle name="Comma 2 4 2 3 5 2 7" xfId="29028"/>
    <cellStyle name="Comma 2 4 2 3 5 2 8" xfId="41810"/>
    <cellStyle name="Comma 2 4 2 3 5 3" xfId="4059"/>
    <cellStyle name="Comma 2 4 2 3 5 3 2" xfId="10959"/>
    <cellStyle name="Comma 2 4 2 3 5 3 2 2" xfId="19758"/>
    <cellStyle name="Comma 2 4 2 3 5 3 2 2 2" xfId="40801"/>
    <cellStyle name="Comma 2 4 2 3 5 3 2 2 3" xfId="34378"/>
    <cellStyle name="Comma 2 4 2 3 5 3 2 3" xfId="21957"/>
    <cellStyle name="Comma 2 4 2 3 5 3 2 3 2" xfId="37594"/>
    <cellStyle name="Comma 2 4 2 3 5 3 2 4" xfId="31171"/>
    <cellStyle name="Comma 2 4 2 3 5 3 2 5" xfId="42936"/>
    <cellStyle name="Comma 2 4 2 3 5 3 3" xfId="8166"/>
    <cellStyle name="Comma 2 4 2 3 5 3 3 2" xfId="18626"/>
    <cellStyle name="Comma 2 4 2 3 5 3 3 2 2" xfId="39669"/>
    <cellStyle name="Comma 2 4 2 3 5 3 3 2 3" xfId="33246"/>
    <cellStyle name="Comma 2 4 2 3 5 3 3 3" xfId="23116"/>
    <cellStyle name="Comma 2 4 2 3 5 3 3 3 2" xfId="36462"/>
    <cellStyle name="Comma 2 4 2 3 5 3 3 4" xfId="30039"/>
    <cellStyle name="Comma 2 4 2 3 5 3 3 5" xfId="43945"/>
    <cellStyle name="Comma 2 4 2 3 5 3 4" xfId="7107"/>
    <cellStyle name="Comma 2 4 2 3 5 3 4 2" xfId="17610"/>
    <cellStyle name="Comma 2 4 2 3 5 3 4 2 2" xfId="38659"/>
    <cellStyle name="Comma 2 4 2 3 5 3 4 3" xfId="32236"/>
    <cellStyle name="Comma 2 4 2 3 5 3 5" xfId="16587"/>
    <cellStyle name="Comma 2 4 2 3 5 3 5 2" xfId="35452"/>
    <cellStyle name="Comma 2 4 2 3 5 3 6" xfId="20792"/>
    <cellStyle name="Comma 2 4 2 3 5 3 7" xfId="29029"/>
    <cellStyle name="Comma 2 4 2 3 5 3 8" xfId="41811"/>
    <cellStyle name="Comma 2 4 2 3 5 4" xfId="4938"/>
    <cellStyle name="Comma 2 4 2 3 5 4 2" xfId="10960"/>
    <cellStyle name="Comma 2 4 2 3 5 4 2 2" xfId="19759"/>
    <cellStyle name="Comma 2 4 2 3 5 4 2 2 2" xfId="40802"/>
    <cellStyle name="Comma 2 4 2 3 5 4 2 2 3" xfId="34379"/>
    <cellStyle name="Comma 2 4 2 3 5 4 2 3" xfId="21958"/>
    <cellStyle name="Comma 2 4 2 3 5 4 2 3 2" xfId="37595"/>
    <cellStyle name="Comma 2 4 2 3 5 4 2 4" xfId="31172"/>
    <cellStyle name="Comma 2 4 2 3 5 4 2 5" xfId="42937"/>
    <cellStyle name="Comma 2 4 2 3 5 4 3" xfId="8167"/>
    <cellStyle name="Comma 2 4 2 3 5 4 3 2" xfId="18627"/>
    <cellStyle name="Comma 2 4 2 3 5 4 3 2 2" xfId="39670"/>
    <cellStyle name="Comma 2 4 2 3 5 4 3 2 3" xfId="33247"/>
    <cellStyle name="Comma 2 4 2 3 5 4 3 3" xfId="23117"/>
    <cellStyle name="Comma 2 4 2 3 5 4 3 3 2" xfId="36463"/>
    <cellStyle name="Comma 2 4 2 3 5 4 3 4" xfId="30040"/>
    <cellStyle name="Comma 2 4 2 3 5 4 3 5" xfId="43946"/>
    <cellStyle name="Comma 2 4 2 3 5 4 4" xfId="7108"/>
    <cellStyle name="Comma 2 4 2 3 5 4 4 2" xfId="17611"/>
    <cellStyle name="Comma 2 4 2 3 5 4 4 2 2" xfId="38660"/>
    <cellStyle name="Comma 2 4 2 3 5 4 4 3" xfId="32237"/>
    <cellStyle name="Comma 2 4 2 3 5 4 5" xfId="16775"/>
    <cellStyle name="Comma 2 4 2 3 5 4 5 2" xfId="35453"/>
    <cellStyle name="Comma 2 4 2 3 5 4 6" xfId="20793"/>
    <cellStyle name="Comma 2 4 2 3 5 4 7" xfId="29030"/>
    <cellStyle name="Comma 2 4 2 3 5 4 8" xfId="41812"/>
    <cellStyle name="Comma 2 4 2 3 5 5" xfId="6203"/>
    <cellStyle name="Comma 2 4 2 3 5 5 2" xfId="10961"/>
    <cellStyle name="Comma 2 4 2 3 5 5 2 2" xfId="19760"/>
    <cellStyle name="Comma 2 4 2 3 5 5 2 2 2" xfId="40803"/>
    <cellStyle name="Comma 2 4 2 3 5 5 2 2 3" xfId="34380"/>
    <cellStyle name="Comma 2 4 2 3 5 5 2 3" xfId="21959"/>
    <cellStyle name="Comma 2 4 2 3 5 5 2 3 2" xfId="37596"/>
    <cellStyle name="Comma 2 4 2 3 5 5 2 4" xfId="31173"/>
    <cellStyle name="Comma 2 4 2 3 5 5 2 5" xfId="42938"/>
    <cellStyle name="Comma 2 4 2 3 5 5 3" xfId="8168"/>
    <cellStyle name="Comma 2 4 2 3 5 5 3 2" xfId="18628"/>
    <cellStyle name="Comma 2 4 2 3 5 5 3 2 2" xfId="39671"/>
    <cellStyle name="Comma 2 4 2 3 5 5 3 2 3" xfId="33248"/>
    <cellStyle name="Comma 2 4 2 3 5 5 3 3" xfId="23118"/>
    <cellStyle name="Comma 2 4 2 3 5 5 3 3 2" xfId="36464"/>
    <cellStyle name="Comma 2 4 2 3 5 5 3 4" xfId="30041"/>
    <cellStyle name="Comma 2 4 2 3 5 5 3 5" xfId="43947"/>
    <cellStyle name="Comma 2 4 2 3 5 5 4" xfId="7109"/>
    <cellStyle name="Comma 2 4 2 3 5 5 4 2" xfId="17612"/>
    <cellStyle name="Comma 2 4 2 3 5 5 4 2 2" xfId="38661"/>
    <cellStyle name="Comma 2 4 2 3 5 5 4 3" xfId="32238"/>
    <cellStyle name="Comma 2 4 2 3 5 5 5" xfId="17063"/>
    <cellStyle name="Comma 2 4 2 3 5 5 5 2" xfId="35454"/>
    <cellStyle name="Comma 2 4 2 3 5 5 6" xfId="20794"/>
    <cellStyle name="Comma 2 4 2 3 5 5 7" xfId="29031"/>
    <cellStyle name="Comma 2 4 2 3 5 5 8" xfId="41813"/>
    <cellStyle name="Comma 2 4 2 3 5 6" xfId="10957"/>
    <cellStyle name="Comma 2 4 2 3 5 6 2" xfId="19756"/>
    <cellStyle name="Comma 2 4 2 3 5 6 2 2" xfId="40799"/>
    <cellStyle name="Comma 2 4 2 3 5 6 2 3" xfId="34376"/>
    <cellStyle name="Comma 2 4 2 3 5 6 3" xfId="21955"/>
    <cellStyle name="Comma 2 4 2 3 5 6 3 2" xfId="37592"/>
    <cellStyle name="Comma 2 4 2 3 5 6 4" xfId="31169"/>
    <cellStyle name="Comma 2 4 2 3 5 6 5" xfId="42934"/>
    <cellStyle name="Comma 2 4 2 3 5 7" xfId="8164"/>
    <cellStyle name="Comma 2 4 2 3 5 7 2" xfId="18624"/>
    <cellStyle name="Comma 2 4 2 3 5 7 2 2" xfId="39667"/>
    <cellStyle name="Comma 2 4 2 3 5 7 2 3" xfId="33244"/>
    <cellStyle name="Comma 2 4 2 3 5 7 3" xfId="23114"/>
    <cellStyle name="Comma 2 4 2 3 5 7 3 2" xfId="36460"/>
    <cellStyle name="Comma 2 4 2 3 5 7 4" xfId="30037"/>
    <cellStyle name="Comma 2 4 2 3 5 7 5" xfId="43943"/>
    <cellStyle name="Comma 2 4 2 3 5 8" xfId="7105"/>
    <cellStyle name="Comma 2 4 2 3 5 8 2" xfId="17608"/>
    <cellStyle name="Comma 2 4 2 3 5 8 2 2" xfId="38657"/>
    <cellStyle name="Comma 2 4 2 3 5 8 3" xfId="32234"/>
    <cellStyle name="Comma 2 4 2 3 5 9" xfId="16211"/>
    <cellStyle name="Comma 2 4 2 3 5 9 2" xfId="35450"/>
    <cellStyle name="Comma 2 4 2 3 6" xfId="2469"/>
    <cellStyle name="Comma 2 4 2 3 6 2" xfId="10962"/>
    <cellStyle name="Comma 2 4 2 3 6 2 2" xfId="19761"/>
    <cellStyle name="Comma 2 4 2 3 6 2 2 2" xfId="40804"/>
    <cellStyle name="Comma 2 4 2 3 6 2 2 3" xfId="34381"/>
    <cellStyle name="Comma 2 4 2 3 6 2 3" xfId="21960"/>
    <cellStyle name="Comma 2 4 2 3 6 2 3 2" xfId="37597"/>
    <cellStyle name="Comma 2 4 2 3 6 2 4" xfId="31174"/>
    <cellStyle name="Comma 2 4 2 3 6 2 5" xfId="42939"/>
    <cellStyle name="Comma 2 4 2 3 6 3" xfId="8169"/>
    <cellStyle name="Comma 2 4 2 3 6 3 2" xfId="18629"/>
    <cellStyle name="Comma 2 4 2 3 6 3 2 2" xfId="39672"/>
    <cellStyle name="Comma 2 4 2 3 6 3 2 3" xfId="33249"/>
    <cellStyle name="Comma 2 4 2 3 6 3 3" xfId="23119"/>
    <cellStyle name="Comma 2 4 2 3 6 3 3 2" xfId="36465"/>
    <cellStyle name="Comma 2 4 2 3 6 3 4" xfId="30042"/>
    <cellStyle name="Comma 2 4 2 3 6 3 5" xfId="43948"/>
    <cellStyle name="Comma 2 4 2 3 6 4" xfId="7110"/>
    <cellStyle name="Comma 2 4 2 3 6 4 2" xfId="17613"/>
    <cellStyle name="Comma 2 4 2 3 6 4 2 2" xfId="38662"/>
    <cellStyle name="Comma 2 4 2 3 6 4 3" xfId="32239"/>
    <cellStyle name="Comma 2 4 2 3 6 5" xfId="16244"/>
    <cellStyle name="Comma 2 4 2 3 6 5 2" xfId="35455"/>
    <cellStyle name="Comma 2 4 2 3 6 6" xfId="20795"/>
    <cellStyle name="Comma 2 4 2 3 6 7" xfId="29032"/>
    <cellStyle name="Comma 2 4 2 3 6 8" xfId="41814"/>
    <cellStyle name="Comma 2 4 2 3 7" xfId="3332"/>
    <cellStyle name="Comma 2 4 2 3 7 2" xfId="10963"/>
    <cellStyle name="Comma 2 4 2 3 7 2 2" xfId="19762"/>
    <cellStyle name="Comma 2 4 2 3 7 2 2 2" xfId="40805"/>
    <cellStyle name="Comma 2 4 2 3 7 2 2 3" xfId="34382"/>
    <cellStyle name="Comma 2 4 2 3 7 2 3" xfId="21961"/>
    <cellStyle name="Comma 2 4 2 3 7 2 3 2" xfId="37598"/>
    <cellStyle name="Comma 2 4 2 3 7 2 4" xfId="31175"/>
    <cellStyle name="Comma 2 4 2 3 7 2 5" xfId="42940"/>
    <cellStyle name="Comma 2 4 2 3 7 3" xfId="8170"/>
    <cellStyle name="Comma 2 4 2 3 7 3 2" xfId="18630"/>
    <cellStyle name="Comma 2 4 2 3 7 3 2 2" xfId="39673"/>
    <cellStyle name="Comma 2 4 2 3 7 3 2 3" xfId="33250"/>
    <cellStyle name="Comma 2 4 2 3 7 3 3" xfId="23120"/>
    <cellStyle name="Comma 2 4 2 3 7 3 3 2" xfId="36466"/>
    <cellStyle name="Comma 2 4 2 3 7 3 4" xfId="30043"/>
    <cellStyle name="Comma 2 4 2 3 7 3 5" xfId="43949"/>
    <cellStyle name="Comma 2 4 2 3 7 4" xfId="7111"/>
    <cellStyle name="Comma 2 4 2 3 7 4 2" xfId="17614"/>
    <cellStyle name="Comma 2 4 2 3 7 4 2 2" xfId="38663"/>
    <cellStyle name="Comma 2 4 2 3 7 4 3" xfId="32240"/>
    <cellStyle name="Comma 2 4 2 3 7 5" xfId="16432"/>
    <cellStyle name="Comma 2 4 2 3 7 5 2" xfId="35456"/>
    <cellStyle name="Comma 2 4 2 3 7 6" xfId="20796"/>
    <cellStyle name="Comma 2 4 2 3 7 7" xfId="29033"/>
    <cellStyle name="Comma 2 4 2 3 7 8" xfId="41815"/>
    <cellStyle name="Comma 2 4 2 3 8" xfId="4200"/>
    <cellStyle name="Comma 2 4 2 3 8 2" xfId="10964"/>
    <cellStyle name="Comma 2 4 2 3 8 2 2" xfId="19763"/>
    <cellStyle name="Comma 2 4 2 3 8 2 2 2" xfId="40806"/>
    <cellStyle name="Comma 2 4 2 3 8 2 2 3" xfId="34383"/>
    <cellStyle name="Comma 2 4 2 3 8 2 3" xfId="21962"/>
    <cellStyle name="Comma 2 4 2 3 8 2 3 2" xfId="37599"/>
    <cellStyle name="Comma 2 4 2 3 8 2 4" xfId="31176"/>
    <cellStyle name="Comma 2 4 2 3 8 2 5" xfId="42941"/>
    <cellStyle name="Comma 2 4 2 3 8 3" xfId="8171"/>
    <cellStyle name="Comma 2 4 2 3 8 3 2" xfId="18631"/>
    <cellStyle name="Comma 2 4 2 3 8 3 2 2" xfId="39674"/>
    <cellStyle name="Comma 2 4 2 3 8 3 2 3" xfId="33251"/>
    <cellStyle name="Comma 2 4 2 3 8 3 3" xfId="23121"/>
    <cellStyle name="Comma 2 4 2 3 8 3 3 2" xfId="36467"/>
    <cellStyle name="Comma 2 4 2 3 8 3 4" xfId="30044"/>
    <cellStyle name="Comma 2 4 2 3 8 3 5" xfId="43950"/>
    <cellStyle name="Comma 2 4 2 3 8 4" xfId="7112"/>
    <cellStyle name="Comma 2 4 2 3 8 4 2" xfId="17615"/>
    <cellStyle name="Comma 2 4 2 3 8 4 2 2" xfId="38664"/>
    <cellStyle name="Comma 2 4 2 3 8 4 3" xfId="32241"/>
    <cellStyle name="Comma 2 4 2 3 8 5" xfId="16620"/>
    <cellStyle name="Comma 2 4 2 3 8 5 2" xfId="35457"/>
    <cellStyle name="Comma 2 4 2 3 8 6" xfId="20797"/>
    <cellStyle name="Comma 2 4 2 3 8 7" xfId="29034"/>
    <cellStyle name="Comma 2 4 2 3 8 8" xfId="41816"/>
    <cellStyle name="Comma 2 4 2 3 9" xfId="5011"/>
    <cellStyle name="Comma 2 4 2 3 9 2" xfId="10965"/>
    <cellStyle name="Comma 2 4 2 3 9 2 2" xfId="19764"/>
    <cellStyle name="Comma 2 4 2 3 9 2 2 2" xfId="40807"/>
    <cellStyle name="Comma 2 4 2 3 9 2 2 3" xfId="34384"/>
    <cellStyle name="Comma 2 4 2 3 9 2 3" xfId="21963"/>
    <cellStyle name="Comma 2 4 2 3 9 2 3 2" xfId="37600"/>
    <cellStyle name="Comma 2 4 2 3 9 2 4" xfId="31177"/>
    <cellStyle name="Comma 2 4 2 3 9 2 5" xfId="42942"/>
    <cellStyle name="Comma 2 4 2 3 9 3" xfId="8172"/>
    <cellStyle name="Comma 2 4 2 3 9 3 2" xfId="18632"/>
    <cellStyle name="Comma 2 4 2 3 9 3 2 2" xfId="39675"/>
    <cellStyle name="Comma 2 4 2 3 9 3 2 3" xfId="33252"/>
    <cellStyle name="Comma 2 4 2 3 9 3 3" xfId="23122"/>
    <cellStyle name="Comma 2 4 2 3 9 3 3 2" xfId="36468"/>
    <cellStyle name="Comma 2 4 2 3 9 3 4" xfId="30045"/>
    <cellStyle name="Comma 2 4 2 3 9 3 5" xfId="43951"/>
    <cellStyle name="Comma 2 4 2 3 9 4" xfId="7113"/>
    <cellStyle name="Comma 2 4 2 3 9 4 2" xfId="17616"/>
    <cellStyle name="Comma 2 4 2 3 9 4 2 2" xfId="38665"/>
    <cellStyle name="Comma 2 4 2 3 9 4 3" xfId="32242"/>
    <cellStyle name="Comma 2 4 2 3 9 5" xfId="16826"/>
    <cellStyle name="Comma 2 4 2 3 9 5 2" xfId="35458"/>
    <cellStyle name="Comma 2 4 2 3 9 6" xfId="20798"/>
    <cellStyle name="Comma 2 4 2 3 9 7" xfId="29035"/>
    <cellStyle name="Comma 2 4 2 3 9 8" xfId="41817"/>
    <cellStyle name="Comma 2 4 2 4" xfId="1477"/>
    <cellStyle name="Comma 2 4 2 4 10" xfId="8173"/>
    <cellStyle name="Comma 2 4 2 4 10 2" xfId="18633"/>
    <cellStyle name="Comma 2 4 2 4 10 2 2" xfId="39676"/>
    <cellStyle name="Comma 2 4 2 4 10 2 3" xfId="33253"/>
    <cellStyle name="Comma 2 4 2 4 10 3" xfId="23123"/>
    <cellStyle name="Comma 2 4 2 4 10 3 2" xfId="36469"/>
    <cellStyle name="Comma 2 4 2 4 10 4" xfId="30046"/>
    <cellStyle name="Comma 2 4 2 4 10 5" xfId="43952"/>
    <cellStyle name="Comma 2 4 2 4 11" xfId="6603"/>
    <cellStyle name="Comma 2 4 2 4 11 2" xfId="17110"/>
    <cellStyle name="Comma 2 4 2 4 11 2 2" xfId="38163"/>
    <cellStyle name="Comma 2 4 2 4 11 3" xfId="31740"/>
    <cellStyle name="Comma 2 4 2 4 12" xfId="16047"/>
    <cellStyle name="Comma 2 4 2 4 12 2" xfId="34956"/>
    <cellStyle name="Comma 2 4 2 4 13" xfId="20799"/>
    <cellStyle name="Comma 2 4 2 4 14" xfId="28531"/>
    <cellStyle name="Comma 2 4 2 4 15" xfId="41818"/>
    <cellStyle name="Comma 2 4 2 4 2" xfId="1831"/>
    <cellStyle name="Comma 2 4 2 4 2 10" xfId="16109"/>
    <cellStyle name="Comma 2 4 2 4 2 10 2" xfId="34951"/>
    <cellStyle name="Comma 2 4 2 4 2 11" xfId="20800"/>
    <cellStyle name="Comma 2 4 2 4 2 12" xfId="28526"/>
    <cellStyle name="Comma 2 4 2 4 2 13" xfId="41819"/>
    <cellStyle name="Comma 2 4 2 4 2 2" xfId="2721"/>
    <cellStyle name="Comma 2 4 2 4 2 2 2" xfId="10966"/>
    <cellStyle name="Comma 2 4 2 4 2 2 2 2" xfId="19765"/>
    <cellStyle name="Comma 2 4 2 4 2 2 2 2 2" xfId="40808"/>
    <cellStyle name="Comma 2 4 2 4 2 2 2 2 3" xfId="34385"/>
    <cellStyle name="Comma 2 4 2 4 2 2 2 3" xfId="21964"/>
    <cellStyle name="Comma 2 4 2 4 2 2 2 3 2" xfId="37601"/>
    <cellStyle name="Comma 2 4 2 4 2 2 2 4" xfId="31178"/>
    <cellStyle name="Comma 2 4 2 4 2 2 2 5" xfId="42943"/>
    <cellStyle name="Comma 2 4 2 4 2 2 3" xfId="8175"/>
    <cellStyle name="Comma 2 4 2 4 2 2 3 2" xfId="18635"/>
    <cellStyle name="Comma 2 4 2 4 2 2 3 2 2" xfId="39678"/>
    <cellStyle name="Comma 2 4 2 4 2 2 3 2 3" xfId="33255"/>
    <cellStyle name="Comma 2 4 2 4 2 2 3 3" xfId="23125"/>
    <cellStyle name="Comma 2 4 2 4 2 2 3 3 2" xfId="36471"/>
    <cellStyle name="Comma 2 4 2 4 2 2 3 4" xfId="30048"/>
    <cellStyle name="Comma 2 4 2 4 2 2 3 5" xfId="43954"/>
    <cellStyle name="Comma 2 4 2 4 2 2 4" xfId="7114"/>
    <cellStyle name="Comma 2 4 2 4 2 2 4 2" xfId="17617"/>
    <cellStyle name="Comma 2 4 2 4 2 2 4 2 2" xfId="38666"/>
    <cellStyle name="Comma 2 4 2 4 2 2 4 3" xfId="32243"/>
    <cellStyle name="Comma 2 4 2 4 2 2 5" xfId="16299"/>
    <cellStyle name="Comma 2 4 2 4 2 2 5 2" xfId="35459"/>
    <cellStyle name="Comma 2 4 2 4 2 2 6" xfId="20801"/>
    <cellStyle name="Comma 2 4 2 4 2 2 7" xfId="29036"/>
    <cellStyle name="Comma 2 4 2 4 2 2 8" xfId="41820"/>
    <cellStyle name="Comma 2 4 2 4 2 3" xfId="3585"/>
    <cellStyle name="Comma 2 4 2 4 2 3 2" xfId="10967"/>
    <cellStyle name="Comma 2 4 2 4 2 3 2 2" xfId="19766"/>
    <cellStyle name="Comma 2 4 2 4 2 3 2 2 2" xfId="40809"/>
    <cellStyle name="Comma 2 4 2 4 2 3 2 2 3" xfId="34386"/>
    <cellStyle name="Comma 2 4 2 4 2 3 2 3" xfId="21965"/>
    <cellStyle name="Comma 2 4 2 4 2 3 2 3 2" xfId="37602"/>
    <cellStyle name="Comma 2 4 2 4 2 3 2 4" xfId="31179"/>
    <cellStyle name="Comma 2 4 2 4 2 3 2 5" xfId="42944"/>
    <cellStyle name="Comma 2 4 2 4 2 3 3" xfId="8176"/>
    <cellStyle name="Comma 2 4 2 4 2 3 3 2" xfId="18636"/>
    <cellStyle name="Comma 2 4 2 4 2 3 3 2 2" xfId="39679"/>
    <cellStyle name="Comma 2 4 2 4 2 3 3 2 3" xfId="33256"/>
    <cellStyle name="Comma 2 4 2 4 2 3 3 3" xfId="23126"/>
    <cellStyle name="Comma 2 4 2 4 2 3 3 3 2" xfId="36472"/>
    <cellStyle name="Comma 2 4 2 4 2 3 3 4" xfId="30049"/>
    <cellStyle name="Comma 2 4 2 4 2 3 3 5" xfId="43955"/>
    <cellStyle name="Comma 2 4 2 4 2 3 4" xfId="7115"/>
    <cellStyle name="Comma 2 4 2 4 2 3 4 2" xfId="17618"/>
    <cellStyle name="Comma 2 4 2 4 2 3 4 2 2" xfId="38667"/>
    <cellStyle name="Comma 2 4 2 4 2 3 4 3" xfId="32244"/>
    <cellStyle name="Comma 2 4 2 4 2 3 5" xfId="16487"/>
    <cellStyle name="Comma 2 4 2 4 2 3 5 2" xfId="35460"/>
    <cellStyle name="Comma 2 4 2 4 2 3 6" xfId="20802"/>
    <cellStyle name="Comma 2 4 2 4 2 3 7" xfId="29037"/>
    <cellStyle name="Comma 2 4 2 4 2 3 8" xfId="41821"/>
    <cellStyle name="Comma 2 4 2 4 2 4" xfId="4460"/>
    <cellStyle name="Comma 2 4 2 4 2 4 2" xfId="10968"/>
    <cellStyle name="Comma 2 4 2 4 2 4 2 2" xfId="19767"/>
    <cellStyle name="Comma 2 4 2 4 2 4 2 2 2" xfId="40810"/>
    <cellStyle name="Comma 2 4 2 4 2 4 2 2 3" xfId="34387"/>
    <cellStyle name="Comma 2 4 2 4 2 4 2 3" xfId="21966"/>
    <cellStyle name="Comma 2 4 2 4 2 4 2 3 2" xfId="37603"/>
    <cellStyle name="Comma 2 4 2 4 2 4 2 4" xfId="31180"/>
    <cellStyle name="Comma 2 4 2 4 2 4 2 5" xfId="42945"/>
    <cellStyle name="Comma 2 4 2 4 2 4 3" xfId="8177"/>
    <cellStyle name="Comma 2 4 2 4 2 4 3 2" xfId="18637"/>
    <cellStyle name="Comma 2 4 2 4 2 4 3 2 2" xfId="39680"/>
    <cellStyle name="Comma 2 4 2 4 2 4 3 2 3" xfId="33257"/>
    <cellStyle name="Comma 2 4 2 4 2 4 3 3" xfId="23127"/>
    <cellStyle name="Comma 2 4 2 4 2 4 3 3 2" xfId="36473"/>
    <cellStyle name="Comma 2 4 2 4 2 4 3 4" xfId="30050"/>
    <cellStyle name="Comma 2 4 2 4 2 4 3 5" xfId="43956"/>
    <cellStyle name="Comma 2 4 2 4 2 4 4" xfId="7116"/>
    <cellStyle name="Comma 2 4 2 4 2 4 4 2" xfId="17619"/>
    <cellStyle name="Comma 2 4 2 4 2 4 4 2 2" xfId="38668"/>
    <cellStyle name="Comma 2 4 2 4 2 4 4 3" xfId="32245"/>
    <cellStyle name="Comma 2 4 2 4 2 4 5" xfId="16675"/>
    <cellStyle name="Comma 2 4 2 4 2 4 5 2" xfId="35461"/>
    <cellStyle name="Comma 2 4 2 4 2 4 6" xfId="20803"/>
    <cellStyle name="Comma 2 4 2 4 2 4 7" xfId="29038"/>
    <cellStyle name="Comma 2 4 2 4 2 4 8" xfId="41822"/>
    <cellStyle name="Comma 2 4 2 4 2 5" xfId="5016"/>
    <cellStyle name="Comma 2 4 2 4 2 5 2" xfId="10969"/>
    <cellStyle name="Comma 2 4 2 4 2 5 2 2" xfId="19768"/>
    <cellStyle name="Comma 2 4 2 4 2 5 2 2 2" xfId="40811"/>
    <cellStyle name="Comma 2 4 2 4 2 5 2 2 3" xfId="34388"/>
    <cellStyle name="Comma 2 4 2 4 2 5 2 3" xfId="21967"/>
    <cellStyle name="Comma 2 4 2 4 2 5 2 3 2" xfId="37604"/>
    <cellStyle name="Comma 2 4 2 4 2 5 2 4" xfId="31181"/>
    <cellStyle name="Comma 2 4 2 4 2 5 2 5" xfId="42946"/>
    <cellStyle name="Comma 2 4 2 4 2 5 3" xfId="8178"/>
    <cellStyle name="Comma 2 4 2 4 2 5 3 2" xfId="18638"/>
    <cellStyle name="Comma 2 4 2 4 2 5 3 2 2" xfId="39681"/>
    <cellStyle name="Comma 2 4 2 4 2 5 3 2 3" xfId="33258"/>
    <cellStyle name="Comma 2 4 2 4 2 5 3 3" xfId="23128"/>
    <cellStyle name="Comma 2 4 2 4 2 5 3 3 2" xfId="36474"/>
    <cellStyle name="Comma 2 4 2 4 2 5 3 4" xfId="30051"/>
    <cellStyle name="Comma 2 4 2 4 2 5 3 5" xfId="43957"/>
    <cellStyle name="Comma 2 4 2 4 2 5 4" xfId="7117"/>
    <cellStyle name="Comma 2 4 2 4 2 5 4 2" xfId="17620"/>
    <cellStyle name="Comma 2 4 2 4 2 5 4 2 2" xfId="38669"/>
    <cellStyle name="Comma 2 4 2 4 2 5 4 3" xfId="32246"/>
    <cellStyle name="Comma 2 4 2 4 2 5 5" xfId="16831"/>
    <cellStyle name="Comma 2 4 2 4 2 5 5 2" xfId="35462"/>
    <cellStyle name="Comma 2 4 2 4 2 5 6" xfId="20804"/>
    <cellStyle name="Comma 2 4 2 4 2 5 7" xfId="29039"/>
    <cellStyle name="Comma 2 4 2 4 2 5 8" xfId="41823"/>
    <cellStyle name="Comma 2 4 2 4 2 6" xfId="5725"/>
    <cellStyle name="Comma 2 4 2 4 2 6 2" xfId="10970"/>
    <cellStyle name="Comma 2 4 2 4 2 6 2 2" xfId="19769"/>
    <cellStyle name="Comma 2 4 2 4 2 6 2 2 2" xfId="40812"/>
    <cellStyle name="Comma 2 4 2 4 2 6 2 2 3" xfId="34389"/>
    <cellStyle name="Comma 2 4 2 4 2 6 2 3" xfId="21968"/>
    <cellStyle name="Comma 2 4 2 4 2 6 2 3 2" xfId="37605"/>
    <cellStyle name="Comma 2 4 2 4 2 6 2 4" xfId="31182"/>
    <cellStyle name="Comma 2 4 2 4 2 6 2 5" xfId="42947"/>
    <cellStyle name="Comma 2 4 2 4 2 6 3" xfId="8179"/>
    <cellStyle name="Comma 2 4 2 4 2 6 3 2" xfId="18639"/>
    <cellStyle name="Comma 2 4 2 4 2 6 3 2 2" xfId="39682"/>
    <cellStyle name="Comma 2 4 2 4 2 6 3 2 3" xfId="33259"/>
    <cellStyle name="Comma 2 4 2 4 2 6 3 3" xfId="23129"/>
    <cellStyle name="Comma 2 4 2 4 2 6 3 3 2" xfId="36475"/>
    <cellStyle name="Comma 2 4 2 4 2 6 3 4" xfId="30052"/>
    <cellStyle name="Comma 2 4 2 4 2 6 3 5" xfId="43958"/>
    <cellStyle name="Comma 2 4 2 4 2 6 4" xfId="7118"/>
    <cellStyle name="Comma 2 4 2 4 2 6 4 2" xfId="17621"/>
    <cellStyle name="Comma 2 4 2 4 2 6 4 2 2" xfId="38670"/>
    <cellStyle name="Comma 2 4 2 4 2 6 4 3" xfId="32247"/>
    <cellStyle name="Comma 2 4 2 4 2 6 5" xfId="16963"/>
    <cellStyle name="Comma 2 4 2 4 2 6 5 2" xfId="35463"/>
    <cellStyle name="Comma 2 4 2 4 2 6 6" xfId="20805"/>
    <cellStyle name="Comma 2 4 2 4 2 6 7" xfId="29040"/>
    <cellStyle name="Comma 2 4 2 4 2 6 8" xfId="41824"/>
    <cellStyle name="Comma 2 4 2 4 2 7" xfId="10198"/>
    <cellStyle name="Comma 2 4 2 4 2 7 2" xfId="19252"/>
    <cellStyle name="Comma 2 4 2 4 2 7 2 2" xfId="40295"/>
    <cellStyle name="Comma 2 4 2 4 2 7 2 3" xfId="33872"/>
    <cellStyle name="Comma 2 4 2 4 2 7 3" xfId="21452"/>
    <cellStyle name="Comma 2 4 2 4 2 7 3 2" xfId="37088"/>
    <cellStyle name="Comma 2 4 2 4 2 7 4" xfId="30665"/>
    <cellStyle name="Comma 2 4 2 4 2 7 5" xfId="42431"/>
    <cellStyle name="Comma 2 4 2 4 2 8" xfId="8174"/>
    <cellStyle name="Comma 2 4 2 4 2 8 2" xfId="18634"/>
    <cellStyle name="Comma 2 4 2 4 2 8 2 2" xfId="39677"/>
    <cellStyle name="Comma 2 4 2 4 2 8 2 3" xfId="33254"/>
    <cellStyle name="Comma 2 4 2 4 2 8 3" xfId="23124"/>
    <cellStyle name="Comma 2 4 2 4 2 8 3 2" xfId="36470"/>
    <cellStyle name="Comma 2 4 2 4 2 8 4" xfId="30047"/>
    <cellStyle name="Comma 2 4 2 4 2 8 5" xfId="43953"/>
    <cellStyle name="Comma 2 4 2 4 2 9" xfId="6598"/>
    <cellStyle name="Comma 2 4 2 4 2 9 2" xfId="17105"/>
    <cellStyle name="Comma 2 4 2 4 2 9 2 2" xfId="38158"/>
    <cellStyle name="Comma 2 4 2 4 2 9 3" xfId="31735"/>
    <cellStyle name="Comma 2 4 2 4 3" xfId="2106"/>
    <cellStyle name="Comma 2 4 2 4 3 10" xfId="20806"/>
    <cellStyle name="Comma 2 4 2 4 3 11" xfId="29041"/>
    <cellStyle name="Comma 2 4 2 4 3 12" xfId="41825"/>
    <cellStyle name="Comma 2 4 2 4 3 2" xfId="2976"/>
    <cellStyle name="Comma 2 4 2 4 3 2 2" xfId="10972"/>
    <cellStyle name="Comma 2 4 2 4 3 2 2 2" xfId="19771"/>
    <cellStyle name="Comma 2 4 2 4 3 2 2 2 2" xfId="40814"/>
    <cellStyle name="Comma 2 4 2 4 3 2 2 2 3" xfId="34391"/>
    <cellStyle name="Comma 2 4 2 4 3 2 2 3" xfId="21970"/>
    <cellStyle name="Comma 2 4 2 4 3 2 2 3 2" xfId="37607"/>
    <cellStyle name="Comma 2 4 2 4 3 2 2 4" xfId="31184"/>
    <cellStyle name="Comma 2 4 2 4 3 2 2 5" xfId="42949"/>
    <cellStyle name="Comma 2 4 2 4 3 2 3" xfId="8181"/>
    <cellStyle name="Comma 2 4 2 4 3 2 3 2" xfId="18641"/>
    <cellStyle name="Comma 2 4 2 4 3 2 3 2 2" xfId="39684"/>
    <cellStyle name="Comma 2 4 2 4 3 2 3 2 3" xfId="33261"/>
    <cellStyle name="Comma 2 4 2 4 3 2 3 3" xfId="23131"/>
    <cellStyle name="Comma 2 4 2 4 3 2 3 3 2" xfId="36477"/>
    <cellStyle name="Comma 2 4 2 4 3 2 3 4" xfId="30054"/>
    <cellStyle name="Comma 2 4 2 4 3 2 3 5" xfId="43960"/>
    <cellStyle name="Comma 2 4 2 4 3 2 4" xfId="7120"/>
    <cellStyle name="Comma 2 4 2 4 3 2 4 2" xfId="17623"/>
    <cellStyle name="Comma 2 4 2 4 3 2 4 2 2" xfId="38672"/>
    <cellStyle name="Comma 2 4 2 4 3 2 4 3" xfId="32249"/>
    <cellStyle name="Comma 2 4 2 4 3 2 5" xfId="16354"/>
    <cellStyle name="Comma 2 4 2 4 3 2 5 2" xfId="35465"/>
    <cellStyle name="Comma 2 4 2 4 3 2 6" xfId="20807"/>
    <cellStyle name="Comma 2 4 2 4 3 2 7" xfId="29042"/>
    <cellStyle name="Comma 2 4 2 4 3 2 8" xfId="41826"/>
    <cellStyle name="Comma 2 4 2 4 3 3" xfId="3846"/>
    <cellStyle name="Comma 2 4 2 4 3 3 2" xfId="10973"/>
    <cellStyle name="Comma 2 4 2 4 3 3 2 2" xfId="19772"/>
    <cellStyle name="Comma 2 4 2 4 3 3 2 2 2" xfId="40815"/>
    <cellStyle name="Comma 2 4 2 4 3 3 2 2 3" xfId="34392"/>
    <cellStyle name="Comma 2 4 2 4 3 3 2 3" xfId="21971"/>
    <cellStyle name="Comma 2 4 2 4 3 3 2 3 2" xfId="37608"/>
    <cellStyle name="Comma 2 4 2 4 3 3 2 4" xfId="31185"/>
    <cellStyle name="Comma 2 4 2 4 3 3 2 5" xfId="42950"/>
    <cellStyle name="Comma 2 4 2 4 3 3 3" xfId="8182"/>
    <cellStyle name="Comma 2 4 2 4 3 3 3 2" xfId="18642"/>
    <cellStyle name="Comma 2 4 2 4 3 3 3 2 2" xfId="39685"/>
    <cellStyle name="Comma 2 4 2 4 3 3 3 2 3" xfId="33262"/>
    <cellStyle name="Comma 2 4 2 4 3 3 3 3" xfId="23132"/>
    <cellStyle name="Comma 2 4 2 4 3 3 3 3 2" xfId="36478"/>
    <cellStyle name="Comma 2 4 2 4 3 3 3 4" xfId="30055"/>
    <cellStyle name="Comma 2 4 2 4 3 3 3 5" xfId="43961"/>
    <cellStyle name="Comma 2 4 2 4 3 3 4" xfId="7121"/>
    <cellStyle name="Comma 2 4 2 4 3 3 4 2" xfId="17624"/>
    <cellStyle name="Comma 2 4 2 4 3 3 4 2 2" xfId="38673"/>
    <cellStyle name="Comma 2 4 2 4 3 3 4 3" xfId="32250"/>
    <cellStyle name="Comma 2 4 2 4 3 3 5" xfId="16542"/>
    <cellStyle name="Comma 2 4 2 4 3 3 5 2" xfId="35466"/>
    <cellStyle name="Comma 2 4 2 4 3 3 6" xfId="20808"/>
    <cellStyle name="Comma 2 4 2 4 3 3 7" xfId="29043"/>
    <cellStyle name="Comma 2 4 2 4 3 3 8" xfId="41827"/>
    <cellStyle name="Comma 2 4 2 4 3 4" xfId="4724"/>
    <cellStyle name="Comma 2 4 2 4 3 4 2" xfId="10974"/>
    <cellStyle name="Comma 2 4 2 4 3 4 2 2" xfId="19773"/>
    <cellStyle name="Comma 2 4 2 4 3 4 2 2 2" xfId="40816"/>
    <cellStyle name="Comma 2 4 2 4 3 4 2 2 3" xfId="34393"/>
    <cellStyle name="Comma 2 4 2 4 3 4 2 3" xfId="21972"/>
    <cellStyle name="Comma 2 4 2 4 3 4 2 3 2" xfId="37609"/>
    <cellStyle name="Comma 2 4 2 4 3 4 2 4" xfId="31186"/>
    <cellStyle name="Comma 2 4 2 4 3 4 2 5" xfId="42951"/>
    <cellStyle name="Comma 2 4 2 4 3 4 3" xfId="8183"/>
    <cellStyle name="Comma 2 4 2 4 3 4 3 2" xfId="18643"/>
    <cellStyle name="Comma 2 4 2 4 3 4 3 2 2" xfId="39686"/>
    <cellStyle name="Comma 2 4 2 4 3 4 3 2 3" xfId="33263"/>
    <cellStyle name="Comma 2 4 2 4 3 4 3 3" xfId="23133"/>
    <cellStyle name="Comma 2 4 2 4 3 4 3 3 2" xfId="36479"/>
    <cellStyle name="Comma 2 4 2 4 3 4 3 4" xfId="30056"/>
    <cellStyle name="Comma 2 4 2 4 3 4 3 5" xfId="43962"/>
    <cellStyle name="Comma 2 4 2 4 3 4 4" xfId="7122"/>
    <cellStyle name="Comma 2 4 2 4 3 4 4 2" xfId="17625"/>
    <cellStyle name="Comma 2 4 2 4 3 4 4 2 2" xfId="38674"/>
    <cellStyle name="Comma 2 4 2 4 3 4 4 3" xfId="32251"/>
    <cellStyle name="Comma 2 4 2 4 3 4 5" xfId="16730"/>
    <cellStyle name="Comma 2 4 2 4 3 4 5 2" xfId="35467"/>
    <cellStyle name="Comma 2 4 2 4 3 4 6" xfId="20809"/>
    <cellStyle name="Comma 2 4 2 4 3 4 7" xfId="29044"/>
    <cellStyle name="Comma 2 4 2 4 3 4 8" xfId="41828"/>
    <cellStyle name="Comma 2 4 2 4 3 5" xfId="5989"/>
    <cellStyle name="Comma 2 4 2 4 3 5 2" xfId="10975"/>
    <cellStyle name="Comma 2 4 2 4 3 5 2 2" xfId="19774"/>
    <cellStyle name="Comma 2 4 2 4 3 5 2 2 2" xfId="40817"/>
    <cellStyle name="Comma 2 4 2 4 3 5 2 2 3" xfId="34394"/>
    <cellStyle name="Comma 2 4 2 4 3 5 2 3" xfId="21973"/>
    <cellStyle name="Comma 2 4 2 4 3 5 2 3 2" xfId="37610"/>
    <cellStyle name="Comma 2 4 2 4 3 5 2 4" xfId="31187"/>
    <cellStyle name="Comma 2 4 2 4 3 5 2 5" xfId="42952"/>
    <cellStyle name="Comma 2 4 2 4 3 5 3" xfId="8184"/>
    <cellStyle name="Comma 2 4 2 4 3 5 3 2" xfId="18644"/>
    <cellStyle name="Comma 2 4 2 4 3 5 3 2 2" xfId="39687"/>
    <cellStyle name="Comma 2 4 2 4 3 5 3 2 3" xfId="33264"/>
    <cellStyle name="Comma 2 4 2 4 3 5 3 3" xfId="23134"/>
    <cellStyle name="Comma 2 4 2 4 3 5 3 3 2" xfId="36480"/>
    <cellStyle name="Comma 2 4 2 4 3 5 3 4" xfId="30057"/>
    <cellStyle name="Comma 2 4 2 4 3 5 3 5" xfId="43963"/>
    <cellStyle name="Comma 2 4 2 4 3 5 4" xfId="7123"/>
    <cellStyle name="Comma 2 4 2 4 3 5 4 2" xfId="17626"/>
    <cellStyle name="Comma 2 4 2 4 3 5 4 2 2" xfId="38675"/>
    <cellStyle name="Comma 2 4 2 4 3 5 4 3" xfId="32252"/>
    <cellStyle name="Comma 2 4 2 4 3 5 5" xfId="17018"/>
    <cellStyle name="Comma 2 4 2 4 3 5 5 2" xfId="35468"/>
    <cellStyle name="Comma 2 4 2 4 3 5 6" xfId="20810"/>
    <cellStyle name="Comma 2 4 2 4 3 5 7" xfId="29045"/>
    <cellStyle name="Comma 2 4 2 4 3 5 8" xfId="41829"/>
    <cellStyle name="Comma 2 4 2 4 3 6" xfId="10971"/>
    <cellStyle name="Comma 2 4 2 4 3 6 2" xfId="19770"/>
    <cellStyle name="Comma 2 4 2 4 3 6 2 2" xfId="40813"/>
    <cellStyle name="Comma 2 4 2 4 3 6 2 3" xfId="34390"/>
    <cellStyle name="Comma 2 4 2 4 3 6 3" xfId="21969"/>
    <cellStyle name="Comma 2 4 2 4 3 6 3 2" xfId="37606"/>
    <cellStyle name="Comma 2 4 2 4 3 6 4" xfId="31183"/>
    <cellStyle name="Comma 2 4 2 4 3 6 5" xfId="42948"/>
    <cellStyle name="Comma 2 4 2 4 3 7" xfId="8180"/>
    <cellStyle name="Comma 2 4 2 4 3 7 2" xfId="18640"/>
    <cellStyle name="Comma 2 4 2 4 3 7 2 2" xfId="39683"/>
    <cellStyle name="Comma 2 4 2 4 3 7 2 3" xfId="33260"/>
    <cellStyle name="Comma 2 4 2 4 3 7 3" xfId="23130"/>
    <cellStyle name="Comma 2 4 2 4 3 7 3 2" xfId="36476"/>
    <cellStyle name="Comma 2 4 2 4 3 7 4" xfId="30053"/>
    <cellStyle name="Comma 2 4 2 4 3 7 5" xfId="43959"/>
    <cellStyle name="Comma 2 4 2 4 3 8" xfId="7119"/>
    <cellStyle name="Comma 2 4 2 4 3 8 2" xfId="17622"/>
    <cellStyle name="Comma 2 4 2 4 3 8 2 2" xfId="38671"/>
    <cellStyle name="Comma 2 4 2 4 3 8 3" xfId="32248"/>
    <cellStyle name="Comma 2 4 2 4 3 9" xfId="16165"/>
    <cellStyle name="Comma 2 4 2 4 3 9 2" xfId="35464"/>
    <cellStyle name="Comma 2 4 2 4 4" xfId="2471"/>
    <cellStyle name="Comma 2 4 2 4 4 2" xfId="10976"/>
    <cellStyle name="Comma 2 4 2 4 4 2 2" xfId="19775"/>
    <cellStyle name="Comma 2 4 2 4 4 2 2 2" xfId="40818"/>
    <cellStyle name="Comma 2 4 2 4 4 2 2 3" xfId="34395"/>
    <cellStyle name="Comma 2 4 2 4 4 2 3" xfId="21974"/>
    <cellStyle name="Comma 2 4 2 4 4 2 3 2" xfId="37611"/>
    <cellStyle name="Comma 2 4 2 4 4 2 4" xfId="31188"/>
    <cellStyle name="Comma 2 4 2 4 4 2 5" xfId="42953"/>
    <cellStyle name="Comma 2 4 2 4 4 3" xfId="8185"/>
    <cellStyle name="Comma 2 4 2 4 4 3 2" xfId="18645"/>
    <cellStyle name="Comma 2 4 2 4 4 3 2 2" xfId="39688"/>
    <cellStyle name="Comma 2 4 2 4 4 3 2 3" xfId="33265"/>
    <cellStyle name="Comma 2 4 2 4 4 3 3" xfId="23135"/>
    <cellStyle name="Comma 2 4 2 4 4 3 3 2" xfId="36481"/>
    <cellStyle name="Comma 2 4 2 4 4 3 4" xfId="30058"/>
    <cellStyle name="Comma 2 4 2 4 4 3 5" xfId="43964"/>
    <cellStyle name="Comma 2 4 2 4 4 4" xfId="7124"/>
    <cellStyle name="Comma 2 4 2 4 4 4 2" xfId="17627"/>
    <cellStyle name="Comma 2 4 2 4 4 4 2 2" xfId="38676"/>
    <cellStyle name="Comma 2 4 2 4 4 4 3" xfId="32253"/>
    <cellStyle name="Comma 2 4 2 4 4 5" xfId="16246"/>
    <cellStyle name="Comma 2 4 2 4 4 5 2" xfId="35469"/>
    <cellStyle name="Comma 2 4 2 4 4 6" xfId="20811"/>
    <cellStyle name="Comma 2 4 2 4 4 7" xfId="29046"/>
    <cellStyle name="Comma 2 4 2 4 4 8" xfId="41830"/>
    <cellStyle name="Comma 2 4 2 4 5" xfId="3334"/>
    <cellStyle name="Comma 2 4 2 4 5 2" xfId="10977"/>
    <cellStyle name="Comma 2 4 2 4 5 2 2" xfId="19776"/>
    <cellStyle name="Comma 2 4 2 4 5 2 2 2" xfId="40819"/>
    <cellStyle name="Comma 2 4 2 4 5 2 2 3" xfId="34396"/>
    <cellStyle name="Comma 2 4 2 4 5 2 3" xfId="21975"/>
    <cellStyle name="Comma 2 4 2 4 5 2 3 2" xfId="37612"/>
    <cellStyle name="Comma 2 4 2 4 5 2 4" xfId="31189"/>
    <cellStyle name="Comma 2 4 2 4 5 2 5" xfId="42954"/>
    <cellStyle name="Comma 2 4 2 4 5 3" xfId="8186"/>
    <cellStyle name="Comma 2 4 2 4 5 3 2" xfId="18646"/>
    <cellStyle name="Comma 2 4 2 4 5 3 2 2" xfId="39689"/>
    <cellStyle name="Comma 2 4 2 4 5 3 2 3" xfId="33266"/>
    <cellStyle name="Comma 2 4 2 4 5 3 3" xfId="23136"/>
    <cellStyle name="Comma 2 4 2 4 5 3 3 2" xfId="36482"/>
    <cellStyle name="Comma 2 4 2 4 5 3 4" xfId="30059"/>
    <cellStyle name="Comma 2 4 2 4 5 3 5" xfId="43965"/>
    <cellStyle name="Comma 2 4 2 4 5 4" xfId="7125"/>
    <cellStyle name="Comma 2 4 2 4 5 4 2" xfId="17628"/>
    <cellStyle name="Comma 2 4 2 4 5 4 2 2" xfId="38677"/>
    <cellStyle name="Comma 2 4 2 4 5 4 3" xfId="32254"/>
    <cellStyle name="Comma 2 4 2 4 5 5" xfId="16434"/>
    <cellStyle name="Comma 2 4 2 4 5 5 2" xfId="35470"/>
    <cellStyle name="Comma 2 4 2 4 5 6" xfId="20812"/>
    <cellStyle name="Comma 2 4 2 4 5 7" xfId="29047"/>
    <cellStyle name="Comma 2 4 2 4 5 8" xfId="41831"/>
    <cellStyle name="Comma 2 4 2 4 6" xfId="4202"/>
    <cellStyle name="Comma 2 4 2 4 6 2" xfId="10978"/>
    <cellStyle name="Comma 2 4 2 4 6 2 2" xfId="19777"/>
    <cellStyle name="Comma 2 4 2 4 6 2 2 2" xfId="40820"/>
    <cellStyle name="Comma 2 4 2 4 6 2 2 3" xfId="34397"/>
    <cellStyle name="Comma 2 4 2 4 6 2 3" xfId="21976"/>
    <cellStyle name="Comma 2 4 2 4 6 2 3 2" xfId="37613"/>
    <cellStyle name="Comma 2 4 2 4 6 2 4" xfId="31190"/>
    <cellStyle name="Comma 2 4 2 4 6 2 5" xfId="42955"/>
    <cellStyle name="Comma 2 4 2 4 6 3" xfId="8187"/>
    <cellStyle name="Comma 2 4 2 4 6 3 2" xfId="18647"/>
    <cellStyle name="Comma 2 4 2 4 6 3 2 2" xfId="39690"/>
    <cellStyle name="Comma 2 4 2 4 6 3 2 3" xfId="33267"/>
    <cellStyle name="Comma 2 4 2 4 6 3 3" xfId="23137"/>
    <cellStyle name="Comma 2 4 2 4 6 3 3 2" xfId="36483"/>
    <cellStyle name="Comma 2 4 2 4 6 3 4" xfId="30060"/>
    <cellStyle name="Comma 2 4 2 4 6 3 5" xfId="43966"/>
    <cellStyle name="Comma 2 4 2 4 6 4" xfId="7126"/>
    <cellStyle name="Comma 2 4 2 4 6 4 2" xfId="17629"/>
    <cellStyle name="Comma 2 4 2 4 6 4 2 2" xfId="38678"/>
    <cellStyle name="Comma 2 4 2 4 6 4 3" xfId="32255"/>
    <cellStyle name="Comma 2 4 2 4 6 5" xfId="16622"/>
    <cellStyle name="Comma 2 4 2 4 6 5 2" xfId="35471"/>
    <cellStyle name="Comma 2 4 2 4 6 6" xfId="20813"/>
    <cellStyle name="Comma 2 4 2 4 6 7" xfId="29048"/>
    <cellStyle name="Comma 2 4 2 4 6 8" xfId="41832"/>
    <cellStyle name="Comma 2 4 2 4 7" xfId="5015"/>
    <cellStyle name="Comma 2 4 2 4 7 2" xfId="10979"/>
    <cellStyle name="Comma 2 4 2 4 7 2 2" xfId="19778"/>
    <cellStyle name="Comma 2 4 2 4 7 2 2 2" xfId="40821"/>
    <cellStyle name="Comma 2 4 2 4 7 2 2 3" xfId="34398"/>
    <cellStyle name="Comma 2 4 2 4 7 2 3" xfId="21977"/>
    <cellStyle name="Comma 2 4 2 4 7 2 3 2" xfId="37614"/>
    <cellStyle name="Comma 2 4 2 4 7 2 4" xfId="31191"/>
    <cellStyle name="Comma 2 4 2 4 7 2 5" xfId="42956"/>
    <cellStyle name="Comma 2 4 2 4 7 3" xfId="8188"/>
    <cellStyle name="Comma 2 4 2 4 7 3 2" xfId="18648"/>
    <cellStyle name="Comma 2 4 2 4 7 3 2 2" xfId="39691"/>
    <cellStyle name="Comma 2 4 2 4 7 3 2 3" xfId="33268"/>
    <cellStyle name="Comma 2 4 2 4 7 3 3" xfId="23138"/>
    <cellStyle name="Comma 2 4 2 4 7 3 3 2" xfId="36484"/>
    <cellStyle name="Comma 2 4 2 4 7 3 4" xfId="30061"/>
    <cellStyle name="Comma 2 4 2 4 7 3 5" xfId="43967"/>
    <cellStyle name="Comma 2 4 2 4 7 4" xfId="7127"/>
    <cellStyle name="Comma 2 4 2 4 7 4 2" xfId="17630"/>
    <cellStyle name="Comma 2 4 2 4 7 4 2 2" xfId="38679"/>
    <cellStyle name="Comma 2 4 2 4 7 4 3" xfId="32256"/>
    <cellStyle name="Comma 2 4 2 4 7 5" xfId="16830"/>
    <cellStyle name="Comma 2 4 2 4 7 5 2" xfId="35472"/>
    <cellStyle name="Comma 2 4 2 4 7 6" xfId="20814"/>
    <cellStyle name="Comma 2 4 2 4 7 7" xfId="29049"/>
    <cellStyle name="Comma 2 4 2 4 7 8" xfId="41833"/>
    <cellStyle name="Comma 2 4 2 4 8" xfId="5464"/>
    <cellStyle name="Comma 2 4 2 4 8 2" xfId="10980"/>
    <cellStyle name="Comma 2 4 2 4 8 2 2" xfId="19779"/>
    <cellStyle name="Comma 2 4 2 4 8 2 2 2" xfId="40822"/>
    <cellStyle name="Comma 2 4 2 4 8 2 2 3" xfId="34399"/>
    <cellStyle name="Comma 2 4 2 4 8 2 3" xfId="21978"/>
    <cellStyle name="Comma 2 4 2 4 8 2 3 2" xfId="37615"/>
    <cellStyle name="Comma 2 4 2 4 8 2 4" xfId="31192"/>
    <cellStyle name="Comma 2 4 2 4 8 2 5" xfId="42957"/>
    <cellStyle name="Comma 2 4 2 4 8 3" xfId="8189"/>
    <cellStyle name="Comma 2 4 2 4 8 3 2" xfId="18649"/>
    <cellStyle name="Comma 2 4 2 4 8 3 2 2" xfId="39692"/>
    <cellStyle name="Comma 2 4 2 4 8 3 2 3" xfId="33269"/>
    <cellStyle name="Comma 2 4 2 4 8 3 3" xfId="23139"/>
    <cellStyle name="Comma 2 4 2 4 8 3 3 2" xfId="36485"/>
    <cellStyle name="Comma 2 4 2 4 8 3 4" xfId="30062"/>
    <cellStyle name="Comma 2 4 2 4 8 3 5" xfId="43968"/>
    <cellStyle name="Comma 2 4 2 4 8 4" xfId="7128"/>
    <cellStyle name="Comma 2 4 2 4 8 4 2" xfId="17631"/>
    <cellStyle name="Comma 2 4 2 4 8 4 2 2" xfId="38680"/>
    <cellStyle name="Comma 2 4 2 4 8 4 3" xfId="32257"/>
    <cellStyle name="Comma 2 4 2 4 8 5" xfId="16910"/>
    <cellStyle name="Comma 2 4 2 4 8 5 2" xfId="35473"/>
    <cellStyle name="Comma 2 4 2 4 8 6" xfId="20815"/>
    <cellStyle name="Comma 2 4 2 4 8 7" xfId="29050"/>
    <cellStyle name="Comma 2 4 2 4 8 8" xfId="41834"/>
    <cellStyle name="Comma 2 4 2 4 9" xfId="10203"/>
    <cellStyle name="Comma 2 4 2 4 9 2" xfId="19257"/>
    <cellStyle name="Comma 2 4 2 4 9 2 2" xfId="40300"/>
    <cellStyle name="Comma 2 4 2 4 9 2 3" xfId="33877"/>
    <cellStyle name="Comma 2 4 2 4 9 3" xfId="21457"/>
    <cellStyle name="Comma 2 4 2 4 9 3 2" xfId="37093"/>
    <cellStyle name="Comma 2 4 2 4 9 4" xfId="30670"/>
    <cellStyle name="Comma 2 4 2 4 9 5" xfId="42436"/>
    <cellStyle name="Comma 2 4 2 5" xfId="1824"/>
    <cellStyle name="Comma 2 4 2 5 10" xfId="16102"/>
    <cellStyle name="Comma 2 4 2 5 10 2" xfId="35003"/>
    <cellStyle name="Comma 2 4 2 5 11" xfId="20816"/>
    <cellStyle name="Comma 2 4 2 5 12" xfId="28578"/>
    <cellStyle name="Comma 2 4 2 5 13" xfId="41835"/>
    <cellStyle name="Comma 2 4 2 5 2" xfId="2714"/>
    <cellStyle name="Comma 2 4 2 5 2 2" xfId="10981"/>
    <cellStyle name="Comma 2 4 2 5 2 2 2" xfId="19780"/>
    <cellStyle name="Comma 2 4 2 5 2 2 2 2" xfId="40823"/>
    <cellStyle name="Comma 2 4 2 5 2 2 2 3" xfId="34400"/>
    <cellStyle name="Comma 2 4 2 5 2 2 3" xfId="21979"/>
    <cellStyle name="Comma 2 4 2 5 2 2 3 2" xfId="37616"/>
    <cellStyle name="Comma 2 4 2 5 2 2 4" xfId="31193"/>
    <cellStyle name="Comma 2 4 2 5 2 2 5" xfId="42958"/>
    <cellStyle name="Comma 2 4 2 5 2 3" xfId="8191"/>
    <cellStyle name="Comma 2 4 2 5 2 3 2" xfId="18651"/>
    <cellStyle name="Comma 2 4 2 5 2 3 2 2" xfId="39694"/>
    <cellStyle name="Comma 2 4 2 5 2 3 2 3" xfId="33271"/>
    <cellStyle name="Comma 2 4 2 5 2 3 3" xfId="23141"/>
    <cellStyle name="Comma 2 4 2 5 2 3 3 2" xfId="36487"/>
    <cellStyle name="Comma 2 4 2 5 2 3 4" xfId="30064"/>
    <cellStyle name="Comma 2 4 2 5 2 3 5" xfId="43970"/>
    <cellStyle name="Comma 2 4 2 5 2 4" xfId="7129"/>
    <cellStyle name="Comma 2 4 2 5 2 4 2" xfId="17632"/>
    <cellStyle name="Comma 2 4 2 5 2 4 2 2" xfId="38681"/>
    <cellStyle name="Comma 2 4 2 5 2 4 3" xfId="32258"/>
    <cellStyle name="Comma 2 4 2 5 2 5" xfId="16292"/>
    <cellStyle name="Comma 2 4 2 5 2 5 2" xfId="35474"/>
    <cellStyle name="Comma 2 4 2 5 2 6" xfId="20817"/>
    <cellStyle name="Comma 2 4 2 5 2 7" xfId="29051"/>
    <cellStyle name="Comma 2 4 2 5 2 8" xfId="41836"/>
    <cellStyle name="Comma 2 4 2 5 3" xfId="3578"/>
    <cellStyle name="Comma 2 4 2 5 3 2" xfId="10982"/>
    <cellStyle name="Comma 2 4 2 5 3 2 2" xfId="19781"/>
    <cellStyle name="Comma 2 4 2 5 3 2 2 2" xfId="40824"/>
    <cellStyle name="Comma 2 4 2 5 3 2 2 3" xfId="34401"/>
    <cellStyle name="Comma 2 4 2 5 3 2 3" xfId="21980"/>
    <cellStyle name="Comma 2 4 2 5 3 2 3 2" xfId="37617"/>
    <cellStyle name="Comma 2 4 2 5 3 2 4" xfId="31194"/>
    <cellStyle name="Comma 2 4 2 5 3 2 5" xfId="42959"/>
    <cellStyle name="Comma 2 4 2 5 3 3" xfId="8192"/>
    <cellStyle name="Comma 2 4 2 5 3 3 2" xfId="18652"/>
    <cellStyle name="Comma 2 4 2 5 3 3 2 2" xfId="39695"/>
    <cellStyle name="Comma 2 4 2 5 3 3 2 3" xfId="33272"/>
    <cellStyle name="Comma 2 4 2 5 3 3 3" xfId="23142"/>
    <cellStyle name="Comma 2 4 2 5 3 3 3 2" xfId="36488"/>
    <cellStyle name="Comma 2 4 2 5 3 3 4" xfId="30065"/>
    <cellStyle name="Comma 2 4 2 5 3 3 5" xfId="43971"/>
    <cellStyle name="Comma 2 4 2 5 3 4" xfId="7130"/>
    <cellStyle name="Comma 2 4 2 5 3 4 2" xfId="17633"/>
    <cellStyle name="Comma 2 4 2 5 3 4 2 2" xfId="38682"/>
    <cellStyle name="Comma 2 4 2 5 3 4 3" xfId="32259"/>
    <cellStyle name="Comma 2 4 2 5 3 5" xfId="16480"/>
    <cellStyle name="Comma 2 4 2 5 3 5 2" xfId="35475"/>
    <cellStyle name="Comma 2 4 2 5 3 6" xfId="20818"/>
    <cellStyle name="Comma 2 4 2 5 3 7" xfId="29052"/>
    <cellStyle name="Comma 2 4 2 5 3 8" xfId="41837"/>
    <cellStyle name="Comma 2 4 2 5 4" xfId="4453"/>
    <cellStyle name="Comma 2 4 2 5 4 2" xfId="10983"/>
    <cellStyle name="Comma 2 4 2 5 4 2 2" xfId="19782"/>
    <cellStyle name="Comma 2 4 2 5 4 2 2 2" xfId="40825"/>
    <cellStyle name="Comma 2 4 2 5 4 2 2 3" xfId="34402"/>
    <cellStyle name="Comma 2 4 2 5 4 2 3" xfId="21981"/>
    <cellStyle name="Comma 2 4 2 5 4 2 3 2" xfId="37618"/>
    <cellStyle name="Comma 2 4 2 5 4 2 4" xfId="31195"/>
    <cellStyle name="Comma 2 4 2 5 4 2 5" xfId="42960"/>
    <cellStyle name="Comma 2 4 2 5 4 3" xfId="8193"/>
    <cellStyle name="Comma 2 4 2 5 4 3 2" xfId="18653"/>
    <cellStyle name="Comma 2 4 2 5 4 3 2 2" xfId="39696"/>
    <cellStyle name="Comma 2 4 2 5 4 3 2 3" xfId="33273"/>
    <cellStyle name="Comma 2 4 2 5 4 3 3" xfId="23143"/>
    <cellStyle name="Comma 2 4 2 5 4 3 3 2" xfId="36489"/>
    <cellStyle name="Comma 2 4 2 5 4 3 4" xfId="30066"/>
    <cellStyle name="Comma 2 4 2 5 4 3 5" xfId="43972"/>
    <cellStyle name="Comma 2 4 2 5 4 4" xfId="7131"/>
    <cellStyle name="Comma 2 4 2 5 4 4 2" xfId="17634"/>
    <cellStyle name="Comma 2 4 2 5 4 4 2 2" xfId="38683"/>
    <cellStyle name="Comma 2 4 2 5 4 4 3" xfId="32260"/>
    <cellStyle name="Comma 2 4 2 5 4 5" xfId="16668"/>
    <cellStyle name="Comma 2 4 2 5 4 5 2" xfId="35476"/>
    <cellStyle name="Comma 2 4 2 5 4 6" xfId="20819"/>
    <cellStyle name="Comma 2 4 2 5 4 7" xfId="29053"/>
    <cellStyle name="Comma 2 4 2 5 4 8" xfId="41838"/>
    <cellStyle name="Comma 2 4 2 5 5" xfId="5017"/>
    <cellStyle name="Comma 2 4 2 5 5 2" xfId="10984"/>
    <cellStyle name="Comma 2 4 2 5 5 2 2" xfId="19783"/>
    <cellStyle name="Comma 2 4 2 5 5 2 2 2" xfId="40826"/>
    <cellStyle name="Comma 2 4 2 5 5 2 2 3" xfId="34403"/>
    <cellStyle name="Comma 2 4 2 5 5 2 3" xfId="21982"/>
    <cellStyle name="Comma 2 4 2 5 5 2 3 2" xfId="37619"/>
    <cellStyle name="Comma 2 4 2 5 5 2 4" xfId="31196"/>
    <cellStyle name="Comma 2 4 2 5 5 2 5" xfId="42961"/>
    <cellStyle name="Comma 2 4 2 5 5 3" xfId="8194"/>
    <cellStyle name="Comma 2 4 2 5 5 3 2" xfId="18654"/>
    <cellStyle name="Comma 2 4 2 5 5 3 2 2" xfId="39697"/>
    <cellStyle name="Comma 2 4 2 5 5 3 2 3" xfId="33274"/>
    <cellStyle name="Comma 2 4 2 5 5 3 3" xfId="23144"/>
    <cellStyle name="Comma 2 4 2 5 5 3 3 2" xfId="36490"/>
    <cellStyle name="Comma 2 4 2 5 5 3 4" xfId="30067"/>
    <cellStyle name="Comma 2 4 2 5 5 3 5" xfId="43973"/>
    <cellStyle name="Comma 2 4 2 5 5 4" xfId="7132"/>
    <cellStyle name="Comma 2 4 2 5 5 4 2" xfId="17635"/>
    <cellStyle name="Comma 2 4 2 5 5 4 2 2" xfId="38684"/>
    <cellStyle name="Comma 2 4 2 5 5 4 3" xfId="32261"/>
    <cellStyle name="Comma 2 4 2 5 5 5" xfId="16832"/>
    <cellStyle name="Comma 2 4 2 5 5 5 2" xfId="35477"/>
    <cellStyle name="Comma 2 4 2 5 5 6" xfId="20820"/>
    <cellStyle name="Comma 2 4 2 5 5 7" xfId="29054"/>
    <cellStyle name="Comma 2 4 2 5 5 8" xfId="41839"/>
    <cellStyle name="Comma 2 4 2 5 6" xfId="5718"/>
    <cellStyle name="Comma 2 4 2 5 6 2" xfId="10985"/>
    <cellStyle name="Comma 2 4 2 5 6 2 2" xfId="19784"/>
    <cellStyle name="Comma 2 4 2 5 6 2 2 2" xfId="40827"/>
    <cellStyle name="Comma 2 4 2 5 6 2 2 3" xfId="34404"/>
    <cellStyle name="Comma 2 4 2 5 6 2 3" xfId="21983"/>
    <cellStyle name="Comma 2 4 2 5 6 2 3 2" xfId="37620"/>
    <cellStyle name="Comma 2 4 2 5 6 2 4" xfId="31197"/>
    <cellStyle name="Comma 2 4 2 5 6 2 5" xfId="42962"/>
    <cellStyle name="Comma 2 4 2 5 6 3" xfId="8195"/>
    <cellStyle name="Comma 2 4 2 5 6 3 2" xfId="18655"/>
    <cellStyle name="Comma 2 4 2 5 6 3 2 2" xfId="39698"/>
    <cellStyle name="Comma 2 4 2 5 6 3 2 3" xfId="33275"/>
    <cellStyle name="Comma 2 4 2 5 6 3 3" xfId="23145"/>
    <cellStyle name="Comma 2 4 2 5 6 3 3 2" xfId="36491"/>
    <cellStyle name="Comma 2 4 2 5 6 3 4" xfId="30068"/>
    <cellStyle name="Comma 2 4 2 5 6 3 5" xfId="43974"/>
    <cellStyle name="Comma 2 4 2 5 6 4" xfId="7133"/>
    <cellStyle name="Comma 2 4 2 5 6 4 2" xfId="17636"/>
    <cellStyle name="Comma 2 4 2 5 6 4 2 2" xfId="38685"/>
    <cellStyle name="Comma 2 4 2 5 6 4 3" xfId="32262"/>
    <cellStyle name="Comma 2 4 2 5 6 5" xfId="16956"/>
    <cellStyle name="Comma 2 4 2 5 6 5 2" xfId="35478"/>
    <cellStyle name="Comma 2 4 2 5 6 6" xfId="20821"/>
    <cellStyle name="Comma 2 4 2 5 6 7" xfId="29055"/>
    <cellStyle name="Comma 2 4 2 5 6 8" xfId="41840"/>
    <cellStyle name="Comma 2 4 2 5 7" xfId="10251"/>
    <cellStyle name="Comma 2 4 2 5 7 2" xfId="19304"/>
    <cellStyle name="Comma 2 4 2 5 7 2 2" xfId="40347"/>
    <cellStyle name="Comma 2 4 2 5 7 2 3" xfId="33924"/>
    <cellStyle name="Comma 2 4 2 5 7 3" xfId="21504"/>
    <cellStyle name="Comma 2 4 2 5 7 3 2" xfId="37140"/>
    <cellStyle name="Comma 2 4 2 5 7 4" xfId="30717"/>
    <cellStyle name="Comma 2 4 2 5 7 5" xfId="42483"/>
    <cellStyle name="Comma 2 4 2 5 8" xfId="8190"/>
    <cellStyle name="Comma 2 4 2 5 8 2" xfId="18650"/>
    <cellStyle name="Comma 2 4 2 5 8 2 2" xfId="39693"/>
    <cellStyle name="Comma 2 4 2 5 8 2 3" xfId="33270"/>
    <cellStyle name="Comma 2 4 2 5 8 3" xfId="23140"/>
    <cellStyle name="Comma 2 4 2 5 8 3 2" xfId="36486"/>
    <cellStyle name="Comma 2 4 2 5 8 4" xfId="30063"/>
    <cellStyle name="Comma 2 4 2 5 8 5" xfId="43969"/>
    <cellStyle name="Comma 2 4 2 5 9" xfId="6650"/>
    <cellStyle name="Comma 2 4 2 5 9 2" xfId="17157"/>
    <cellStyle name="Comma 2 4 2 5 9 2 2" xfId="38210"/>
    <cellStyle name="Comma 2 4 2 5 9 3" xfId="31787"/>
    <cellStyle name="Comma 2 4 2 6" xfId="2099"/>
    <cellStyle name="Comma 2 4 2 6 10" xfId="20822"/>
    <cellStyle name="Comma 2 4 2 6 11" xfId="29056"/>
    <cellStyle name="Comma 2 4 2 6 12" xfId="41841"/>
    <cellStyle name="Comma 2 4 2 6 2" xfId="2969"/>
    <cellStyle name="Comma 2 4 2 6 2 2" xfId="10987"/>
    <cellStyle name="Comma 2 4 2 6 2 2 2" xfId="19786"/>
    <cellStyle name="Comma 2 4 2 6 2 2 2 2" xfId="40829"/>
    <cellStyle name="Comma 2 4 2 6 2 2 2 3" xfId="34406"/>
    <cellStyle name="Comma 2 4 2 6 2 2 3" xfId="21985"/>
    <cellStyle name="Comma 2 4 2 6 2 2 3 2" xfId="37622"/>
    <cellStyle name="Comma 2 4 2 6 2 2 4" xfId="31199"/>
    <cellStyle name="Comma 2 4 2 6 2 2 5" xfId="42964"/>
    <cellStyle name="Comma 2 4 2 6 2 3" xfId="8197"/>
    <cellStyle name="Comma 2 4 2 6 2 3 2" xfId="18657"/>
    <cellStyle name="Comma 2 4 2 6 2 3 2 2" xfId="39700"/>
    <cellStyle name="Comma 2 4 2 6 2 3 2 3" xfId="33277"/>
    <cellStyle name="Comma 2 4 2 6 2 3 3" xfId="23147"/>
    <cellStyle name="Comma 2 4 2 6 2 3 3 2" xfId="36493"/>
    <cellStyle name="Comma 2 4 2 6 2 3 4" xfId="30070"/>
    <cellStyle name="Comma 2 4 2 6 2 3 5" xfId="43976"/>
    <cellStyle name="Comma 2 4 2 6 2 4" xfId="7135"/>
    <cellStyle name="Comma 2 4 2 6 2 4 2" xfId="17638"/>
    <cellStyle name="Comma 2 4 2 6 2 4 2 2" xfId="38687"/>
    <cellStyle name="Comma 2 4 2 6 2 4 3" xfId="32264"/>
    <cellStyle name="Comma 2 4 2 6 2 5" xfId="16347"/>
    <cellStyle name="Comma 2 4 2 6 2 5 2" xfId="35480"/>
    <cellStyle name="Comma 2 4 2 6 2 6" xfId="20823"/>
    <cellStyle name="Comma 2 4 2 6 2 7" xfId="29057"/>
    <cellStyle name="Comma 2 4 2 6 2 8" xfId="41842"/>
    <cellStyle name="Comma 2 4 2 6 3" xfId="3839"/>
    <cellStyle name="Comma 2 4 2 6 3 2" xfId="10988"/>
    <cellStyle name="Comma 2 4 2 6 3 2 2" xfId="19787"/>
    <cellStyle name="Comma 2 4 2 6 3 2 2 2" xfId="40830"/>
    <cellStyle name="Comma 2 4 2 6 3 2 2 3" xfId="34407"/>
    <cellStyle name="Comma 2 4 2 6 3 2 3" xfId="21986"/>
    <cellStyle name="Comma 2 4 2 6 3 2 3 2" xfId="37623"/>
    <cellStyle name="Comma 2 4 2 6 3 2 4" xfId="31200"/>
    <cellStyle name="Comma 2 4 2 6 3 2 5" xfId="42965"/>
    <cellStyle name="Comma 2 4 2 6 3 3" xfId="8198"/>
    <cellStyle name="Comma 2 4 2 6 3 3 2" xfId="18658"/>
    <cellStyle name="Comma 2 4 2 6 3 3 2 2" xfId="39701"/>
    <cellStyle name="Comma 2 4 2 6 3 3 2 3" xfId="33278"/>
    <cellStyle name="Comma 2 4 2 6 3 3 3" xfId="23148"/>
    <cellStyle name="Comma 2 4 2 6 3 3 3 2" xfId="36494"/>
    <cellStyle name="Comma 2 4 2 6 3 3 4" xfId="30071"/>
    <cellStyle name="Comma 2 4 2 6 3 3 5" xfId="43977"/>
    <cellStyle name="Comma 2 4 2 6 3 4" xfId="7136"/>
    <cellStyle name="Comma 2 4 2 6 3 4 2" xfId="17639"/>
    <cellStyle name="Comma 2 4 2 6 3 4 2 2" xfId="38688"/>
    <cellStyle name="Comma 2 4 2 6 3 4 3" xfId="32265"/>
    <cellStyle name="Comma 2 4 2 6 3 5" xfId="16535"/>
    <cellStyle name="Comma 2 4 2 6 3 5 2" xfId="35481"/>
    <cellStyle name="Comma 2 4 2 6 3 6" xfId="20824"/>
    <cellStyle name="Comma 2 4 2 6 3 7" xfId="29058"/>
    <cellStyle name="Comma 2 4 2 6 3 8" xfId="41843"/>
    <cellStyle name="Comma 2 4 2 6 4" xfId="4717"/>
    <cellStyle name="Comma 2 4 2 6 4 2" xfId="10989"/>
    <cellStyle name="Comma 2 4 2 6 4 2 2" xfId="19788"/>
    <cellStyle name="Comma 2 4 2 6 4 2 2 2" xfId="40831"/>
    <cellStyle name="Comma 2 4 2 6 4 2 2 3" xfId="34408"/>
    <cellStyle name="Comma 2 4 2 6 4 2 3" xfId="21987"/>
    <cellStyle name="Comma 2 4 2 6 4 2 3 2" xfId="37624"/>
    <cellStyle name="Comma 2 4 2 6 4 2 4" xfId="31201"/>
    <cellStyle name="Comma 2 4 2 6 4 2 5" xfId="42966"/>
    <cellStyle name="Comma 2 4 2 6 4 3" xfId="8199"/>
    <cellStyle name="Comma 2 4 2 6 4 3 2" xfId="18659"/>
    <cellStyle name="Comma 2 4 2 6 4 3 2 2" xfId="39702"/>
    <cellStyle name="Comma 2 4 2 6 4 3 2 3" xfId="33279"/>
    <cellStyle name="Comma 2 4 2 6 4 3 3" xfId="23149"/>
    <cellStyle name="Comma 2 4 2 6 4 3 3 2" xfId="36495"/>
    <cellStyle name="Comma 2 4 2 6 4 3 4" xfId="30072"/>
    <cellStyle name="Comma 2 4 2 6 4 3 5" xfId="43978"/>
    <cellStyle name="Comma 2 4 2 6 4 4" xfId="7137"/>
    <cellStyle name="Comma 2 4 2 6 4 4 2" xfId="17640"/>
    <cellStyle name="Comma 2 4 2 6 4 4 2 2" xfId="38689"/>
    <cellStyle name="Comma 2 4 2 6 4 4 3" xfId="32266"/>
    <cellStyle name="Comma 2 4 2 6 4 5" xfId="16723"/>
    <cellStyle name="Comma 2 4 2 6 4 5 2" xfId="35482"/>
    <cellStyle name="Comma 2 4 2 6 4 6" xfId="20825"/>
    <cellStyle name="Comma 2 4 2 6 4 7" xfId="29059"/>
    <cellStyle name="Comma 2 4 2 6 4 8" xfId="41844"/>
    <cellStyle name="Comma 2 4 2 6 5" xfId="5982"/>
    <cellStyle name="Comma 2 4 2 6 5 2" xfId="10990"/>
    <cellStyle name="Comma 2 4 2 6 5 2 2" xfId="19789"/>
    <cellStyle name="Comma 2 4 2 6 5 2 2 2" xfId="40832"/>
    <cellStyle name="Comma 2 4 2 6 5 2 2 3" xfId="34409"/>
    <cellStyle name="Comma 2 4 2 6 5 2 3" xfId="21988"/>
    <cellStyle name="Comma 2 4 2 6 5 2 3 2" xfId="37625"/>
    <cellStyle name="Comma 2 4 2 6 5 2 4" xfId="31202"/>
    <cellStyle name="Comma 2 4 2 6 5 2 5" xfId="42967"/>
    <cellStyle name="Comma 2 4 2 6 5 3" xfId="8200"/>
    <cellStyle name="Comma 2 4 2 6 5 3 2" xfId="18660"/>
    <cellStyle name="Comma 2 4 2 6 5 3 2 2" xfId="39703"/>
    <cellStyle name="Comma 2 4 2 6 5 3 2 3" xfId="33280"/>
    <cellStyle name="Comma 2 4 2 6 5 3 3" xfId="23150"/>
    <cellStyle name="Comma 2 4 2 6 5 3 3 2" xfId="36496"/>
    <cellStyle name="Comma 2 4 2 6 5 3 4" xfId="30073"/>
    <cellStyle name="Comma 2 4 2 6 5 3 5" xfId="43979"/>
    <cellStyle name="Comma 2 4 2 6 5 4" xfId="7138"/>
    <cellStyle name="Comma 2 4 2 6 5 4 2" xfId="17641"/>
    <cellStyle name="Comma 2 4 2 6 5 4 2 2" xfId="38690"/>
    <cellStyle name="Comma 2 4 2 6 5 4 3" xfId="32267"/>
    <cellStyle name="Comma 2 4 2 6 5 5" xfId="17011"/>
    <cellStyle name="Comma 2 4 2 6 5 5 2" xfId="35483"/>
    <cellStyle name="Comma 2 4 2 6 5 6" xfId="20826"/>
    <cellStyle name="Comma 2 4 2 6 5 7" xfId="29060"/>
    <cellStyle name="Comma 2 4 2 6 5 8" xfId="41845"/>
    <cellStyle name="Comma 2 4 2 6 6" xfId="10986"/>
    <cellStyle name="Comma 2 4 2 6 6 2" xfId="19785"/>
    <cellStyle name="Comma 2 4 2 6 6 2 2" xfId="40828"/>
    <cellStyle name="Comma 2 4 2 6 6 2 3" xfId="34405"/>
    <cellStyle name="Comma 2 4 2 6 6 3" xfId="21984"/>
    <cellStyle name="Comma 2 4 2 6 6 3 2" xfId="37621"/>
    <cellStyle name="Comma 2 4 2 6 6 4" xfId="31198"/>
    <cellStyle name="Comma 2 4 2 6 6 5" xfId="42963"/>
    <cellStyle name="Comma 2 4 2 6 7" xfId="8196"/>
    <cellStyle name="Comma 2 4 2 6 7 2" xfId="18656"/>
    <cellStyle name="Comma 2 4 2 6 7 2 2" xfId="39699"/>
    <cellStyle name="Comma 2 4 2 6 7 2 3" xfId="33276"/>
    <cellStyle name="Comma 2 4 2 6 7 3" xfId="23146"/>
    <cellStyle name="Comma 2 4 2 6 7 3 2" xfId="36492"/>
    <cellStyle name="Comma 2 4 2 6 7 4" xfId="30069"/>
    <cellStyle name="Comma 2 4 2 6 7 5" xfId="43975"/>
    <cellStyle name="Comma 2 4 2 6 8" xfId="7134"/>
    <cellStyle name="Comma 2 4 2 6 8 2" xfId="17637"/>
    <cellStyle name="Comma 2 4 2 6 8 2 2" xfId="38686"/>
    <cellStyle name="Comma 2 4 2 6 8 3" xfId="32263"/>
    <cellStyle name="Comma 2 4 2 6 9" xfId="16158"/>
    <cellStyle name="Comma 2 4 2 6 9 2" xfId="35479"/>
    <cellStyle name="Comma 2 4 2 7" xfId="2290"/>
    <cellStyle name="Comma 2 4 2 7 10" xfId="20827"/>
    <cellStyle name="Comma 2 4 2 7 11" xfId="29061"/>
    <cellStyle name="Comma 2 4 2 7 12" xfId="41846"/>
    <cellStyle name="Comma 2 4 2 7 2" xfId="3149"/>
    <cellStyle name="Comma 2 4 2 7 2 2" xfId="10992"/>
    <cellStyle name="Comma 2 4 2 7 2 2 2" xfId="19791"/>
    <cellStyle name="Comma 2 4 2 7 2 2 2 2" xfId="40834"/>
    <cellStyle name="Comma 2 4 2 7 2 2 2 3" xfId="34411"/>
    <cellStyle name="Comma 2 4 2 7 2 2 3" xfId="21990"/>
    <cellStyle name="Comma 2 4 2 7 2 2 3 2" xfId="37627"/>
    <cellStyle name="Comma 2 4 2 7 2 2 4" xfId="31204"/>
    <cellStyle name="Comma 2 4 2 7 2 2 5" xfId="42969"/>
    <cellStyle name="Comma 2 4 2 7 2 3" xfId="8202"/>
    <cellStyle name="Comma 2 4 2 7 2 3 2" xfId="18662"/>
    <cellStyle name="Comma 2 4 2 7 2 3 2 2" xfId="39705"/>
    <cellStyle name="Comma 2 4 2 7 2 3 2 3" xfId="33282"/>
    <cellStyle name="Comma 2 4 2 7 2 3 3" xfId="23152"/>
    <cellStyle name="Comma 2 4 2 7 2 3 3 2" xfId="36498"/>
    <cellStyle name="Comma 2 4 2 7 2 3 4" xfId="30075"/>
    <cellStyle name="Comma 2 4 2 7 2 3 5" xfId="43981"/>
    <cellStyle name="Comma 2 4 2 7 2 4" xfId="7140"/>
    <cellStyle name="Comma 2 4 2 7 2 4 2" xfId="17643"/>
    <cellStyle name="Comma 2 4 2 7 2 4 2 2" xfId="38692"/>
    <cellStyle name="Comma 2 4 2 7 2 4 3" xfId="32269"/>
    <cellStyle name="Comma 2 4 2 7 2 5" xfId="16387"/>
    <cellStyle name="Comma 2 4 2 7 2 5 2" xfId="35485"/>
    <cellStyle name="Comma 2 4 2 7 2 6" xfId="20828"/>
    <cellStyle name="Comma 2 4 2 7 2 7" xfId="29062"/>
    <cellStyle name="Comma 2 4 2 7 2 8" xfId="41847"/>
    <cellStyle name="Comma 2 4 2 7 3" xfId="4015"/>
    <cellStyle name="Comma 2 4 2 7 3 2" xfId="10993"/>
    <cellStyle name="Comma 2 4 2 7 3 2 2" xfId="19792"/>
    <cellStyle name="Comma 2 4 2 7 3 2 2 2" xfId="40835"/>
    <cellStyle name="Comma 2 4 2 7 3 2 2 3" xfId="34412"/>
    <cellStyle name="Comma 2 4 2 7 3 2 3" xfId="21991"/>
    <cellStyle name="Comma 2 4 2 7 3 2 3 2" xfId="37628"/>
    <cellStyle name="Comma 2 4 2 7 3 2 4" xfId="31205"/>
    <cellStyle name="Comma 2 4 2 7 3 2 5" xfId="42970"/>
    <cellStyle name="Comma 2 4 2 7 3 3" xfId="8203"/>
    <cellStyle name="Comma 2 4 2 7 3 3 2" xfId="18663"/>
    <cellStyle name="Comma 2 4 2 7 3 3 2 2" xfId="39706"/>
    <cellStyle name="Comma 2 4 2 7 3 3 2 3" xfId="33283"/>
    <cellStyle name="Comma 2 4 2 7 3 3 3" xfId="23153"/>
    <cellStyle name="Comma 2 4 2 7 3 3 3 2" xfId="36499"/>
    <cellStyle name="Comma 2 4 2 7 3 3 4" xfId="30076"/>
    <cellStyle name="Comma 2 4 2 7 3 3 5" xfId="43982"/>
    <cellStyle name="Comma 2 4 2 7 3 4" xfId="7141"/>
    <cellStyle name="Comma 2 4 2 7 3 4 2" xfId="17644"/>
    <cellStyle name="Comma 2 4 2 7 3 4 2 2" xfId="38693"/>
    <cellStyle name="Comma 2 4 2 7 3 4 3" xfId="32270"/>
    <cellStyle name="Comma 2 4 2 7 3 5" xfId="16575"/>
    <cellStyle name="Comma 2 4 2 7 3 5 2" xfId="35486"/>
    <cellStyle name="Comma 2 4 2 7 3 6" xfId="20829"/>
    <cellStyle name="Comma 2 4 2 7 3 7" xfId="29063"/>
    <cellStyle name="Comma 2 4 2 7 3 8" xfId="41848"/>
    <cellStyle name="Comma 2 4 2 7 4" xfId="4894"/>
    <cellStyle name="Comma 2 4 2 7 4 2" xfId="10994"/>
    <cellStyle name="Comma 2 4 2 7 4 2 2" xfId="19793"/>
    <cellStyle name="Comma 2 4 2 7 4 2 2 2" xfId="40836"/>
    <cellStyle name="Comma 2 4 2 7 4 2 2 3" xfId="34413"/>
    <cellStyle name="Comma 2 4 2 7 4 2 3" xfId="21992"/>
    <cellStyle name="Comma 2 4 2 7 4 2 3 2" xfId="37629"/>
    <cellStyle name="Comma 2 4 2 7 4 2 4" xfId="31206"/>
    <cellStyle name="Comma 2 4 2 7 4 2 5" xfId="42971"/>
    <cellStyle name="Comma 2 4 2 7 4 3" xfId="8204"/>
    <cellStyle name="Comma 2 4 2 7 4 3 2" xfId="18664"/>
    <cellStyle name="Comma 2 4 2 7 4 3 2 2" xfId="39707"/>
    <cellStyle name="Comma 2 4 2 7 4 3 2 3" xfId="33284"/>
    <cellStyle name="Comma 2 4 2 7 4 3 3" xfId="23154"/>
    <cellStyle name="Comma 2 4 2 7 4 3 3 2" xfId="36500"/>
    <cellStyle name="Comma 2 4 2 7 4 3 4" xfId="30077"/>
    <cellStyle name="Comma 2 4 2 7 4 3 5" xfId="43983"/>
    <cellStyle name="Comma 2 4 2 7 4 4" xfId="7142"/>
    <cellStyle name="Comma 2 4 2 7 4 4 2" xfId="17645"/>
    <cellStyle name="Comma 2 4 2 7 4 4 2 2" xfId="38694"/>
    <cellStyle name="Comma 2 4 2 7 4 4 3" xfId="32271"/>
    <cellStyle name="Comma 2 4 2 7 4 5" xfId="16763"/>
    <cellStyle name="Comma 2 4 2 7 4 5 2" xfId="35487"/>
    <cellStyle name="Comma 2 4 2 7 4 6" xfId="20830"/>
    <cellStyle name="Comma 2 4 2 7 4 7" xfId="29064"/>
    <cellStyle name="Comma 2 4 2 7 4 8" xfId="41849"/>
    <cellStyle name="Comma 2 4 2 7 5" xfId="6159"/>
    <cellStyle name="Comma 2 4 2 7 5 2" xfId="10995"/>
    <cellStyle name="Comma 2 4 2 7 5 2 2" xfId="19794"/>
    <cellStyle name="Comma 2 4 2 7 5 2 2 2" xfId="40837"/>
    <cellStyle name="Comma 2 4 2 7 5 2 2 3" xfId="34414"/>
    <cellStyle name="Comma 2 4 2 7 5 2 3" xfId="21993"/>
    <cellStyle name="Comma 2 4 2 7 5 2 3 2" xfId="37630"/>
    <cellStyle name="Comma 2 4 2 7 5 2 4" xfId="31207"/>
    <cellStyle name="Comma 2 4 2 7 5 2 5" xfId="42972"/>
    <cellStyle name="Comma 2 4 2 7 5 3" xfId="8205"/>
    <cellStyle name="Comma 2 4 2 7 5 3 2" xfId="18665"/>
    <cellStyle name="Comma 2 4 2 7 5 3 2 2" xfId="39708"/>
    <cellStyle name="Comma 2 4 2 7 5 3 2 3" xfId="33285"/>
    <cellStyle name="Comma 2 4 2 7 5 3 3" xfId="23155"/>
    <cellStyle name="Comma 2 4 2 7 5 3 3 2" xfId="36501"/>
    <cellStyle name="Comma 2 4 2 7 5 3 4" xfId="30078"/>
    <cellStyle name="Comma 2 4 2 7 5 3 5" xfId="43984"/>
    <cellStyle name="Comma 2 4 2 7 5 4" xfId="7143"/>
    <cellStyle name="Comma 2 4 2 7 5 4 2" xfId="17646"/>
    <cellStyle name="Comma 2 4 2 7 5 4 2 2" xfId="38695"/>
    <cellStyle name="Comma 2 4 2 7 5 4 3" xfId="32272"/>
    <cellStyle name="Comma 2 4 2 7 5 5" xfId="17051"/>
    <cellStyle name="Comma 2 4 2 7 5 5 2" xfId="35488"/>
    <cellStyle name="Comma 2 4 2 7 5 6" xfId="20831"/>
    <cellStyle name="Comma 2 4 2 7 5 7" xfId="29065"/>
    <cellStyle name="Comma 2 4 2 7 5 8" xfId="41850"/>
    <cellStyle name="Comma 2 4 2 7 6" xfId="10991"/>
    <cellStyle name="Comma 2 4 2 7 6 2" xfId="19790"/>
    <cellStyle name="Comma 2 4 2 7 6 2 2" xfId="40833"/>
    <cellStyle name="Comma 2 4 2 7 6 2 3" xfId="34410"/>
    <cellStyle name="Comma 2 4 2 7 6 3" xfId="21989"/>
    <cellStyle name="Comma 2 4 2 7 6 3 2" xfId="37626"/>
    <cellStyle name="Comma 2 4 2 7 6 4" xfId="31203"/>
    <cellStyle name="Comma 2 4 2 7 6 5" xfId="42968"/>
    <cellStyle name="Comma 2 4 2 7 7" xfId="8201"/>
    <cellStyle name="Comma 2 4 2 7 7 2" xfId="18661"/>
    <cellStyle name="Comma 2 4 2 7 7 2 2" xfId="39704"/>
    <cellStyle name="Comma 2 4 2 7 7 2 3" xfId="33281"/>
    <cellStyle name="Comma 2 4 2 7 7 3" xfId="23151"/>
    <cellStyle name="Comma 2 4 2 7 7 3 2" xfId="36497"/>
    <cellStyle name="Comma 2 4 2 7 7 4" xfId="30074"/>
    <cellStyle name="Comma 2 4 2 7 7 5" xfId="43980"/>
    <cellStyle name="Comma 2 4 2 7 8" xfId="7139"/>
    <cellStyle name="Comma 2 4 2 7 8 2" xfId="17642"/>
    <cellStyle name="Comma 2 4 2 7 8 2 2" xfId="38691"/>
    <cellStyle name="Comma 2 4 2 7 8 3" xfId="32268"/>
    <cellStyle name="Comma 2 4 2 7 9" xfId="16199"/>
    <cellStyle name="Comma 2 4 2 7 9 2" xfId="35484"/>
    <cellStyle name="Comma 2 4 2 8" xfId="2464"/>
    <cellStyle name="Comma 2 4 2 8 2" xfId="10996"/>
    <cellStyle name="Comma 2 4 2 8 2 2" xfId="19795"/>
    <cellStyle name="Comma 2 4 2 8 2 2 2" xfId="40838"/>
    <cellStyle name="Comma 2 4 2 8 2 2 3" xfId="34415"/>
    <cellStyle name="Comma 2 4 2 8 2 3" xfId="21994"/>
    <cellStyle name="Comma 2 4 2 8 2 3 2" xfId="37631"/>
    <cellStyle name="Comma 2 4 2 8 2 4" xfId="31208"/>
    <cellStyle name="Comma 2 4 2 8 2 5" xfId="42973"/>
    <cellStyle name="Comma 2 4 2 8 3" xfId="8206"/>
    <cellStyle name="Comma 2 4 2 8 3 2" xfId="18666"/>
    <cellStyle name="Comma 2 4 2 8 3 2 2" xfId="39709"/>
    <cellStyle name="Comma 2 4 2 8 3 2 3" xfId="33286"/>
    <cellStyle name="Comma 2 4 2 8 3 3" xfId="23156"/>
    <cellStyle name="Comma 2 4 2 8 3 3 2" xfId="36502"/>
    <cellStyle name="Comma 2 4 2 8 3 4" xfId="30079"/>
    <cellStyle name="Comma 2 4 2 8 3 5" xfId="43985"/>
    <cellStyle name="Comma 2 4 2 8 4" xfId="7144"/>
    <cellStyle name="Comma 2 4 2 8 4 2" xfId="17647"/>
    <cellStyle name="Comma 2 4 2 8 4 2 2" xfId="38696"/>
    <cellStyle name="Comma 2 4 2 8 4 3" xfId="32273"/>
    <cellStyle name="Comma 2 4 2 8 5" xfId="16239"/>
    <cellStyle name="Comma 2 4 2 8 5 2" xfId="35489"/>
    <cellStyle name="Comma 2 4 2 8 6" xfId="20832"/>
    <cellStyle name="Comma 2 4 2 8 7" xfId="29066"/>
    <cellStyle name="Comma 2 4 2 8 8" xfId="41851"/>
    <cellStyle name="Comma 2 4 2 9" xfId="3327"/>
    <cellStyle name="Comma 2 4 2 9 2" xfId="10997"/>
    <cellStyle name="Comma 2 4 2 9 2 2" xfId="19796"/>
    <cellStyle name="Comma 2 4 2 9 2 2 2" xfId="40839"/>
    <cellStyle name="Comma 2 4 2 9 2 2 3" xfId="34416"/>
    <cellStyle name="Comma 2 4 2 9 2 3" xfId="21995"/>
    <cellStyle name="Comma 2 4 2 9 2 3 2" xfId="37632"/>
    <cellStyle name="Comma 2 4 2 9 2 4" xfId="31209"/>
    <cellStyle name="Comma 2 4 2 9 2 5" xfId="42974"/>
    <cellStyle name="Comma 2 4 2 9 3" xfId="8207"/>
    <cellStyle name="Comma 2 4 2 9 3 2" xfId="18667"/>
    <cellStyle name="Comma 2 4 2 9 3 2 2" xfId="39710"/>
    <cellStyle name="Comma 2 4 2 9 3 2 3" xfId="33287"/>
    <cellStyle name="Comma 2 4 2 9 3 3" xfId="23157"/>
    <cellStyle name="Comma 2 4 2 9 3 3 2" xfId="36503"/>
    <cellStyle name="Comma 2 4 2 9 3 4" xfId="30080"/>
    <cellStyle name="Comma 2 4 2 9 3 5" xfId="43986"/>
    <cellStyle name="Comma 2 4 2 9 4" xfId="7145"/>
    <cellStyle name="Comma 2 4 2 9 4 2" xfId="17648"/>
    <cellStyle name="Comma 2 4 2 9 4 2 2" xfId="38697"/>
    <cellStyle name="Comma 2 4 2 9 4 3" xfId="32274"/>
    <cellStyle name="Comma 2 4 2 9 5" xfId="16427"/>
    <cellStyle name="Comma 2 4 2 9 5 2" xfId="35490"/>
    <cellStyle name="Comma 2 4 2 9 6" xfId="20833"/>
    <cellStyle name="Comma 2 4 2 9 7" xfId="29067"/>
    <cellStyle name="Comma 2 4 2 9 8" xfId="41852"/>
    <cellStyle name="Comma 2 4 20" xfId="41692"/>
    <cellStyle name="Comma 2 4 3" xfId="1478"/>
    <cellStyle name="Comma 2 4 3 10" xfId="5018"/>
    <cellStyle name="Comma 2 4 3 10 2" xfId="10998"/>
    <cellStyle name="Comma 2 4 3 10 2 2" xfId="19797"/>
    <cellStyle name="Comma 2 4 3 10 2 2 2" xfId="40840"/>
    <cellStyle name="Comma 2 4 3 10 2 2 3" xfId="34417"/>
    <cellStyle name="Comma 2 4 3 10 2 3" xfId="21996"/>
    <cellStyle name="Comma 2 4 3 10 2 3 2" xfId="37633"/>
    <cellStyle name="Comma 2 4 3 10 2 4" xfId="31210"/>
    <cellStyle name="Comma 2 4 3 10 2 5" xfId="42975"/>
    <cellStyle name="Comma 2 4 3 10 3" xfId="8209"/>
    <cellStyle name="Comma 2 4 3 10 3 2" xfId="18669"/>
    <cellStyle name="Comma 2 4 3 10 3 2 2" xfId="39712"/>
    <cellStyle name="Comma 2 4 3 10 3 2 3" xfId="33289"/>
    <cellStyle name="Comma 2 4 3 10 3 3" xfId="23159"/>
    <cellStyle name="Comma 2 4 3 10 3 3 2" xfId="36505"/>
    <cellStyle name="Comma 2 4 3 10 3 4" xfId="30082"/>
    <cellStyle name="Comma 2 4 3 10 3 5" xfId="43988"/>
    <cellStyle name="Comma 2 4 3 10 4" xfId="7146"/>
    <cellStyle name="Comma 2 4 3 10 4 2" xfId="17649"/>
    <cellStyle name="Comma 2 4 3 10 4 2 2" xfId="38698"/>
    <cellStyle name="Comma 2 4 3 10 4 3" xfId="32275"/>
    <cellStyle name="Comma 2 4 3 10 5" xfId="16833"/>
    <cellStyle name="Comma 2 4 3 10 5 2" xfId="35491"/>
    <cellStyle name="Comma 2 4 3 10 6" xfId="20835"/>
    <cellStyle name="Comma 2 4 3 10 7" xfId="29068"/>
    <cellStyle name="Comma 2 4 3 10 8" xfId="41854"/>
    <cellStyle name="Comma 2 4 3 11" xfId="5465"/>
    <cellStyle name="Comma 2 4 3 11 2" xfId="10999"/>
    <cellStyle name="Comma 2 4 3 11 2 2" xfId="19798"/>
    <cellStyle name="Comma 2 4 3 11 2 2 2" xfId="40841"/>
    <cellStyle name="Comma 2 4 3 11 2 2 3" xfId="34418"/>
    <cellStyle name="Comma 2 4 3 11 2 3" xfId="21997"/>
    <cellStyle name="Comma 2 4 3 11 2 3 2" xfId="37634"/>
    <cellStyle name="Comma 2 4 3 11 2 4" xfId="31211"/>
    <cellStyle name="Comma 2 4 3 11 2 5" xfId="42976"/>
    <cellStyle name="Comma 2 4 3 11 3" xfId="8210"/>
    <cellStyle name="Comma 2 4 3 11 3 2" xfId="18670"/>
    <cellStyle name="Comma 2 4 3 11 3 2 2" xfId="39713"/>
    <cellStyle name="Comma 2 4 3 11 3 2 3" xfId="33290"/>
    <cellStyle name="Comma 2 4 3 11 3 3" xfId="23160"/>
    <cellStyle name="Comma 2 4 3 11 3 3 2" xfId="36506"/>
    <cellStyle name="Comma 2 4 3 11 3 4" xfId="30083"/>
    <cellStyle name="Comma 2 4 3 11 3 5" xfId="43989"/>
    <cellStyle name="Comma 2 4 3 11 4" xfId="7147"/>
    <cellStyle name="Comma 2 4 3 11 4 2" xfId="17650"/>
    <cellStyle name="Comma 2 4 3 11 4 2 2" xfId="38699"/>
    <cellStyle name="Comma 2 4 3 11 4 3" xfId="32276"/>
    <cellStyle name="Comma 2 4 3 11 5" xfId="16911"/>
    <cellStyle name="Comma 2 4 3 11 5 2" xfId="35492"/>
    <cellStyle name="Comma 2 4 3 11 6" xfId="20836"/>
    <cellStyle name="Comma 2 4 3 11 7" xfId="29069"/>
    <cellStyle name="Comma 2 4 3 11 8" xfId="41855"/>
    <cellStyle name="Comma 2 4 3 12" xfId="10248"/>
    <cellStyle name="Comma 2 4 3 12 2" xfId="19301"/>
    <cellStyle name="Comma 2 4 3 12 2 2" xfId="40344"/>
    <cellStyle name="Comma 2 4 3 12 2 3" xfId="33921"/>
    <cellStyle name="Comma 2 4 3 12 3" xfId="21501"/>
    <cellStyle name="Comma 2 4 3 12 3 2" xfId="37137"/>
    <cellStyle name="Comma 2 4 3 12 4" xfId="30714"/>
    <cellStyle name="Comma 2 4 3 12 5" xfId="42480"/>
    <cellStyle name="Comma 2 4 3 13" xfId="8208"/>
    <cellStyle name="Comma 2 4 3 13 2" xfId="18668"/>
    <cellStyle name="Comma 2 4 3 13 2 2" xfId="39711"/>
    <cellStyle name="Comma 2 4 3 13 2 3" xfId="33288"/>
    <cellStyle name="Comma 2 4 3 13 3" xfId="23158"/>
    <cellStyle name="Comma 2 4 3 13 3 2" xfId="36504"/>
    <cellStyle name="Comma 2 4 3 13 4" xfId="30081"/>
    <cellStyle name="Comma 2 4 3 13 5" xfId="43987"/>
    <cellStyle name="Comma 2 4 3 14" xfId="6647"/>
    <cellStyle name="Comma 2 4 3 14 2" xfId="17154"/>
    <cellStyle name="Comma 2 4 3 14 2 2" xfId="38207"/>
    <cellStyle name="Comma 2 4 3 14 3" xfId="31784"/>
    <cellStyle name="Comma 2 4 3 15" xfId="16048"/>
    <cellStyle name="Comma 2 4 3 15 2" xfId="35000"/>
    <cellStyle name="Comma 2 4 3 16" xfId="20834"/>
    <cellStyle name="Comma 2 4 3 17" xfId="28575"/>
    <cellStyle name="Comma 2 4 3 18" xfId="41853"/>
    <cellStyle name="Comma 2 4 3 2" xfId="1479"/>
    <cellStyle name="Comma 2 4 3 2 10" xfId="5466"/>
    <cellStyle name="Comma 2 4 3 2 10 2" xfId="11000"/>
    <cellStyle name="Comma 2 4 3 2 10 2 2" xfId="19799"/>
    <cellStyle name="Comma 2 4 3 2 10 2 2 2" xfId="40842"/>
    <cellStyle name="Comma 2 4 3 2 10 2 2 3" xfId="34419"/>
    <cellStyle name="Comma 2 4 3 2 10 2 3" xfId="21998"/>
    <cellStyle name="Comma 2 4 3 2 10 2 3 2" xfId="37635"/>
    <cellStyle name="Comma 2 4 3 2 10 2 4" xfId="31212"/>
    <cellStyle name="Comma 2 4 3 2 10 2 5" xfId="42977"/>
    <cellStyle name="Comma 2 4 3 2 10 3" xfId="8212"/>
    <cellStyle name="Comma 2 4 3 2 10 3 2" xfId="18672"/>
    <cellStyle name="Comma 2 4 3 2 10 3 2 2" xfId="39715"/>
    <cellStyle name="Comma 2 4 3 2 10 3 2 3" xfId="33292"/>
    <cellStyle name="Comma 2 4 3 2 10 3 3" xfId="23162"/>
    <cellStyle name="Comma 2 4 3 2 10 3 3 2" xfId="36508"/>
    <cellStyle name="Comma 2 4 3 2 10 3 4" xfId="30085"/>
    <cellStyle name="Comma 2 4 3 2 10 3 5" xfId="43991"/>
    <cellStyle name="Comma 2 4 3 2 10 4" xfId="7148"/>
    <cellStyle name="Comma 2 4 3 2 10 4 2" xfId="17651"/>
    <cellStyle name="Comma 2 4 3 2 10 4 2 2" xfId="38700"/>
    <cellStyle name="Comma 2 4 3 2 10 4 3" xfId="32277"/>
    <cellStyle name="Comma 2 4 3 2 10 5" xfId="16912"/>
    <cellStyle name="Comma 2 4 3 2 10 5 2" xfId="35493"/>
    <cellStyle name="Comma 2 4 3 2 10 6" xfId="20838"/>
    <cellStyle name="Comma 2 4 3 2 10 7" xfId="29070"/>
    <cellStyle name="Comma 2 4 3 2 10 8" xfId="41857"/>
    <cellStyle name="Comma 2 4 3 2 11" xfId="10243"/>
    <cellStyle name="Comma 2 4 3 2 11 2" xfId="19296"/>
    <cellStyle name="Comma 2 4 3 2 11 2 2" xfId="40339"/>
    <cellStyle name="Comma 2 4 3 2 11 2 3" xfId="33916"/>
    <cellStyle name="Comma 2 4 3 2 11 3" xfId="21496"/>
    <cellStyle name="Comma 2 4 3 2 11 3 2" xfId="37132"/>
    <cellStyle name="Comma 2 4 3 2 11 4" xfId="30709"/>
    <cellStyle name="Comma 2 4 3 2 11 5" xfId="42475"/>
    <cellStyle name="Comma 2 4 3 2 12" xfId="8211"/>
    <cellStyle name="Comma 2 4 3 2 12 2" xfId="18671"/>
    <cellStyle name="Comma 2 4 3 2 12 2 2" xfId="39714"/>
    <cellStyle name="Comma 2 4 3 2 12 2 3" xfId="33291"/>
    <cellStyle name="Comma 2 4 3 2 12 3" xfId="23161"/>
    <cellStyle name="Comma 2 4 3 2 12 3 2" xfId="36507"/>
    <cellStyle name="Comma 2 4 3 2 12 4" xfId="30084"/>
    <cellStyle name="Comma 2 4 3 2 12 5" xfId="43990"/>
    <cellStyle name="Comma 2 4 3 2 13" xfId="6642"/>
    <cellStyle name="Comma 2 4 3 2 13 2" xfId="17149"/>
    <cellStyle name="Comma 2 4 3 2 13 2 2" xfId="38202"/>
    <cellStyle name="Comma 2 4 3 2 13 3" xfId="31779"/>
    <cellStyle name="Comma 2 4 3 2 14" xfId="16049"/>
    <cellStyle name="Comma 2 4 3 2 14 2" xfId="34995"/>
    <cellStyle name="Comma 2 4 3 2 15" xfId="20837"/>
    <cellStyle name="Comma 2 4 3 2 16" xfId="28570"/>
    <cellStyle name="Comma 2 4 3 2 17" xfId="41856"/>
    <cellStyle name="Comma 2 4 3 2 2" xfId="1480"/>
    <cellStyle name="Comma 2 4 3 2 2 10" xfId="8213"/>
    <cellStyle name="Comma 2 4 3 2 2 10 2" xfId="18673"/>
    <cellStyle name="Comma 2 4 3 2 2 10 2 2" xfId="39716"/>
    <cellStyle name="Comma 2 4 3 2 2 10 2 3" xfId="33293"/>
    <cellStyle name="Comma 2 4 3 2 2 10 3" xfId="23163"/>
    <cellStyle name="Comma 2 4 3 2 2 10 3 2" xfId="36509"/>
    <cellStyle name="Comma 2 4 3 2 2 10 4" xfId="30086"/>
    <cellStyle name="Comma 2 4 3 2 2 10 5" xfId="43992"/>
    <cellStyle name="Comma 2 4 3 2 2 11" xfId="6593"/>
    <cellStyle name="Comma 2 4 3 2 2 11 2" xfId="17101"/>
    <cellStyle name="Comma 2 4 3 2 2 11 2 2" xfId="38155"/>
    <cellStyle name="Comma 2 4 3 2 2 11 3" xfId="31732"/>
    <cellStyle name="Comma 2 4 3 2 2 12" xfId="16050"/>
    <cellStyle name="Comma 2 4 3 2 2 12 2" xfId="34948"/>
    <cellStyle name="Comma 2 4 3 2 2 13" xfId="20839"/>
    <cellStyle name="Comma 2 4 3 2 2 14" xfId="28523"/>
    <cellStyle name="Comma 2 4 3 2 2 15" xfId="41858"/>
    <cellStyle name="Comma 2 4 3 2 2 2" xfId="1834"/>
    <cellStyle name="Comma 2 4 3 2 2 2 10" xfId="16112"/>
    <cellStyle name="Comma 2 4 3 2 2 2 10 2" xfId="34977"/>
    <cellStyle name="Comma 2 4 3 2 2 2 11" xfId="20840"/>
    <cellStyle name="Comma 2 4 3 2 2 2 12" xfId="28552"/>
    <cellStyle name="Comma 2 4 3 2 2 2 13" xfId="41859"/>
    <cellStyle name="Comma 2 4 3 2 2 2 2" xfId="2724"/>
    <cellStyle name="Comma 2 4 3 2 2 2 2 2" xfId="11001"/>
    <cellStyle name="Comma 2 4 3 2 2 2 2 2 2" xfId="19800"/>
    <cellStyle name="Comma 2 4 3 2 2 2 2 2 2 2" xfId="40843"/>
    <cellStyle name="Comma 2 4 3 2 2 2 2 2 2 3" xfId="34420"/>
    <cellStyle name="Comma 2 4 3 2 2 2 2 2 3" xfId="21999"/>
    <cellStyle name="Comma 2 4 3 2 2 2 2 2 3 2" xfId="37636"/>
    <cellStyle name="Comma 2 4 3 2 2 2 2 2 4" xfId="31213"/>
    <cellStyle name="Comma 2 4 3 2 2 2 2 2 5" xfId="42978"/>
    <cellStyle name="Comma 2 4 3 2 2 2 2 3" xfId="8215"/>
    <cellStyle name="Comma 2 4 3 2 2 2 2 3 2" xfId="18675"/>
    <cellStyle name="Comma 2 4 3 2 2 2 2 3 2 2" xfId="39718"/>
    <cellStyle name="Comma 2 4 3 2 2 2 2 3 2 3" xfId="33295"/>
    <cellStyle name="Comma 2 4 3 2 2 2 2 3 3" xfId="23165"/>
    <cellStyle name="Comma 2 4 3 2 2 2 2 3 3 2" xfId="36511"/>
    <cellStyle name="Comma 2 4 3 2 2 2 2 3 4" xfId="30088"/>
    <cellStyle name="Comma 2 4 3 2 2 2 2 3 5" xfId="43994"/>
    <cellStyle name="Comma 2 4 3 2 2 2 2 4" xfId="7149"/>
    <cellStyle name="Comma 2 4 3 2 2 2 2 4 2" xfId="17652"/>
    <cellStyle name="Comma 2 4 3 2 2 2 2 4 2 2" xfId="38701"/>
    <cellStyle name="Comma 2 4 3 2 2 2 2 4 3" xfId="32278"/>
    <cellStyle name="Comma 2 4 3 2 2 2 2 5" xfId="16302"/>
    <cellStyle name="Comma 2 4 3 2 2 2 2 5 2" xfId="35494"/>
    <cellStyle name="Comma 2 4 3 2 2 2 2 6" xfId="20841"/>
    <cellStyle name="Comma 2 4 3 2 2 2 2 7" xfId="29071"/>
    <cellStyle name="Comma 2 4 3 2 2 2 2 8" xfId="41860"/>
    <cellStyle name="Comma 2 4 3 2 2 2 3" xfId="3588"/>
    <cellStyle name="Comma 2 4 3 2 2 2 3 2" xfId="11002"/>
    <cellStyle name="Comma 2 4 3 2 2 2 3 2 2" xfId="19801"/>
    <cellStyle name="Comma 2 4 3 2 2 2 3 2 2 2" xfId="40844"/>
    <cellStyle name="Comma 2 4 3 2 2 2 3 2 2 3" xfId="34421"/>
    <cellStyle name="Comma 2 4 3 2 2 2 3 2 3" xfId="22000"/>
    <cellStyle name="Comma 2 4 3 2 2 2 3 2 3 2" xfId="37637"/>
    <cellStyle name="Comma 2 4 3 2 2 2 3 2 4" xfId="31214"/>
    <cellStyle name="Comma 2 4 3 2 2 2 3 2 5" xfId="42979"/>
    <cellStyle name="Comma 2 4 3 2 2 2 3 3" xfId="8216"/>
    <cellStyle name="Comma 2 4 3 2 2 2 3 3 2" xfId="18676"/>
    <cellStyle name="Comma 2 4 3 2 2 2 3 3 2 2" xfId="39719"/>
    <cellStyle name="Comma 2 4 3 2 2 2 3 3 2 3" xfId="33296"/>
    <cellStyle name="Comma 2 4 3 2 2 2 3 3 3" xfId="23166"/>
    <cellStyle name="Comma 2 4 3 2 2 2 3 3 3 2" xfId="36512"/>
    <cellStyle name="Comma 2 4 3 2 2 2 3 3 4" xfId="30089"/>
    <cellStyle name="Comma 2 4 3 2 2 2 3 3 5" xfId="43995"/>
    <cellStyle name="Comma 2 4 3 2 2 2 3 4" xfId="7150"/>
    <cellStyle name="Comma 2 4 3 2 2 2 3 4 2" xfId="17653"/>
    <cellStyle name="Comma 2 4 3 2 2 2 3 4 2 2" xfId="38702"/>
    <cellStyle name="Comma 2 4 3 2 2 2 3 4 3" xfId="32279"/>
    <cellStyle name="Comma 2 4 3 2 2 2 3 5" xfId="16490"/>
    <cellStyle name="Comma 2 4 3 2 2 2 3 5 2" xfId="35495"/>
    <cellStyle name="Comma 2 4 3 2 2 2 3 6" xfId="20842"/>
    <cellStyle name="Comma 2 4 3 2 2 2 3 7" xfId="29072"/>
    <cellStyle name="Comma 2 4 3 2 2 2 3 8" xfId="41861"/>
    <cellStyle name="Comma 2 4 3 2 2 2 4" xfId="4463"/>
    <cellStyle name="Comma 2 4 3 2 2 2 4 2" xfId="11003"/>
    <cellStyle name="Comma 2 4 3 2 2 2 4 2 2" xfId="19802"/>
    <cellStyle name="Comma 2 4 3 2 2 2 4 2 2 2" xfId="40845"/>
    <cellStyle name="Comma 2 4 3 2 2 2 4 2 2 3" xfId="34422"/>
    <cellStyle name="Comma 2 4 3 2 2 2 4 2 3" xfId="22001"/>
    <cellStyle name="Comma 2 4 3 2 2 2 4 2 3 2" xfId="37638"/>
    <cellStyle name="Comma 2 4 3 2 2 2 4 2 4" xfId="31215"/>
    <cellStyle name="Comma 2 4 3 2 2 2 4 2 5" xfId="42980"/>
    <cellStyle name="Comma 2 4 3 2 2 2 4 3" xfId="8217"/>
    <cellStyle name="Comma 2 4 3 2 2 2 4 3 2" xfId="18677"/>
    <cellStyle name="Comma 2 4 3 2 2 2 4 3 2 2" xfId="39720"/>
    <cellStyle name="Comma 2 4 3 2 2 2 4 3 2 3" xfId="33297"/>
    <cellStyle name="Comma 2 4 3 2 2 2 4 3 3" xfId="23167"/>
    <cellStyle name="Comma 2 4 3 2 2 2 4 3 3 2" xfId="36513"/>
    <cellStyle name="Comma 2 4 3 2 2 2 4 3 4" xfId="30090"/>
    <cellStyle name="Comma 2 4 3 2 2 2 4 3 5" xfId="43996"/>
    <cellStyle name="Comma 2 4 3 2 2 2 4 4" xfId="7151"/>
    <cellStyle name="Comma 2 4 3 2 2 2 4 4 2" xfId="17654"/>
    <cellStyle name="Comma 2 4 3 2 2 2 4 4 2 2" xfId="38703"/>
    <cellStyle name="Comma 2 4 3 2 2 2 4 4 3" xfId="32280"/>
    <cellStyle name="Comma 2 4 3 2 2 2 4 5" xfId="16678"/>
    <cellStyle name="Comma 2 4 3 2 2 2 4 5 2" xfId="35496"/>
    <cellStyle name="Comma 2 4 3 2 2 2 4 6" xfId="20843"/>
    <cellStyle name="Comma 2 4 3 2 2 2 4 7" xfId="29073"/>
    <cellStyle name="Comma 2 4 3 2 2 2 4 8" xfId="41862"/>
    <cellStyle name="Comma 2 4 3 2 2 2 5" xfId="5021"/>
    <cellStyle name="Comma 2 4 3 2 2 2 5 2" xfId="11004"/>
    <cellStyle name="Comma 2 4 3 2 2 2 5 2 2" xfId="19803"/>
    <cellStyle name="Comma 2 4 3 2 2 2 5 2 2 2" xfId="40846"/>
    <cellStyle name="Comma 2 4 3 2 2 2 5 2 2 3" xfId="34423"/>
    <cellStyle name="Comma 2 4 3 2 2 2 5 2 3" xfId="22002"/>
    <cellStyle name="Comma 2 4 3 2 2 2 5 2 3 2" xfId="37639"/>
    <cellStyle name="Comma 2 4 3 2 2 2 5 2 4" xfId="31216"/>
    <cellStyle name="Comma 2 4 3 2 2 2 5 2 5" xfId="42981"/>
    <cellStyle name="Comma 2 4 3 2 2 2 5 3" xfId="8218"/>
    <cellStyle name="Comma 2 4 3 2 2 2 5 3 2" xfId="18678"/>
    <cellStyle name="Comma 2 4 3 2 2 2 5 3 2 2" xfId="39721"/>
    <cellStyle name="Comma 2 4 3 2 2 2 5 3 2 3" xfId="33298"/>
    <cellStyle name="Comma 2 4 3 2 2 2 5 3 3" xfId="23168"/>
    <cellStyle name="Comma 2 4 3 2 2 2 5 3 3 2" xfId="36514"/>
    <cellStyle name="Comma 2 4 3 2 2 2 5 3 4" xfId="30091"/>
    <cellStyle name="Comma 2 4 3 2 2 2 5 3 5" xfId="43997"/>
    <cellStyle name="Comma 2 4 3 2 2 2 5 4" xfId="7152"/>
    <cellStyle name="Comma 2 4 3 2 2 2 5 4 2" xfId="17655"/>
    <cellStyle name="Comma 2 4 3 2 2 2 5 4 2 2" xfId="38704"/>
    <cellStyle name="Comma 2 4 3 2 2 2 5 4 3" xfId="32281"/>
    <cellStyle name="Comma 2 4 3 2 2 2 5 5" xfId="16836"/>
    <cellStyle name="Comma 2 4 3 2 2 2 5 5 2" xfId="35497"/>
    <cellStyle name="Comma 2 4 3 2 2 2 5 6" xfId="20844"/>
    <cellStyle name="Comma 2 4 3 2 2 2 5 7" xfId="29074"/>
    <cellStyle name="Comma 2 4 3 2 2 2 5 8" xfId="41863"/>
    <cellStyle name="Comma 2 4 3 2 2 2 6" xfId="5728"/>
    <cellStyle name="Comma 2 4 3 2 2 2 6 2" xfId="11005"/>
    <cellStyle name="Comma 2 4 3 2 2 2 6 2 2" xfId="19804"/>
    <cellStyle name="Comma 2 4 3 2 2 2 6 2 2 2" xfId="40847"/>
    <cellStyle name="Comma 2 4 3 2 2 2 6 2 2 3" xfId="34424"/>
    <cellStyle name="Comma 2 4 3 2 2 2 6 2 3" xfId="22003"/>
    <cellStyle name="Comma 2 4 3 2 2 2 6 2 3 2" xfId="37640"/>
    <cellStyle name="Comma 2 4 3 2 2 2 6 2 4" xfId="31217"/>
    <cellStyle name="Comma 2 4 3 2 2 2 6 2 5" xfId="42982"/>
    <cellStyle name="Comma 2 4 3 2 2 2 6 3" xfId="8219"/>
    <cellStyle name="Comma 2 4 3 2 2 2 6 3 2" xfId="18679"/>
    <cellStyle name="Comma 2 4 3 2 2 2 6 3 2 2" xfId="39722"/>
    <cellStyle name="Comma 2 4 3 2 2 2 6 3 2 3" xfId="33299"/>
    <cellStyle name="Comma 2 4 3 2 2 2 6 3 3" xfId="23169"/>
    <cellStyle name="Comma 2 4 3 2 2 2 6 3 3 2" xfId="36515"/>
    <cellStyle name="Comma 2 4 3 2 2 2 6 3 4" xfId="30092"/>
    <cellStyle name="Comma 2 4 3 2 2 2 6 3 5" xfId="43998"/>
    <cellStyle name="Comma 2 4 3 2 2 2 6 4" xfId="7153"/>
    <cellStyle name="Comma 2 4 3 2 2 2 6 4 2" xfId="17656"/>
    <cellStyle name="Comma 2 4 3 2 2 2 6 4 2 2" xfId="38705"/>
    <cellStyle name="Comma 2 4 3 2 2 2 6 4 3" xfId="32282"/>
    <cellStyle name="Comma 2 4 3 2 2 2 6 5" xfId="16966"/>
    <cellStyle name="Comma 2 4 3 2 2 2 6 5 2" xfId="35498"/>
    <cellStyle name="Comma 2 4 3 2 2 2 6 6" xfId="20845"/>
    <cellStyle name="Comma 2 4 3 2 2 2 6 7" xfId="29075"/>
    <cellStyle name="Comma 2 4 3 2 2 2 6 8" xfId="41864"/>
    <cellStyle name="Comma 2 4 3 2 2 2 7" xfId="10224"/>
    <cellStyle name="Comma 2 4 3 2 2 2 7 2" xfId="19278"/>
    <cellStyle name="Comma 2 4 3 2 2 2 7 2 2" xfId="40321"/>
    <cellStyle name="Comma 2 4 3 2 2 2 7 2 3" xfId="33898"/>
    <cellStyle name="Comma 2 4 3 2 2 2 7 3" xfId="21478"/>
    <cellStyle name="Comma 2 4 3 2 2 2 7 3 2" xfId="37114"/>
    <cellStyle name="Comma 2 4 3 2 2 2 7 4" xfId="30691"/>
    <cellStyle name="Comma 2 4 3 2 2 2 7 5" xfId="42457"/>
    <cellStyle name="Comma 2 4 3 2 2 2 8" xfId="8214"/>
    <cellStyle name="Comma 2 4 3 2 2 2 8 2" xfId="18674"/>
    <cellStyle name="Comma 2 4 3 2 2 2 8 2 2" xfId="39717"/>
    <cellStyle name="Comma 2 4 3 2 2 2 8 2 3" xfId="33294"/>
    <cellStyle name="Comma 2 4 3 2 2 2 8 3" xfId="23164"/>
    <cellStyle name="Comma 2 4 3 2 2 2 8 3 2" xfId="36510"/>
    <cellStyle name="Comma 2 4 3 2 2 2 8 4" xfId="30087"/>
    <cellStyle name="Comma 2 4 3 2 2 2 8 5" xfId="43993"/>
    <cellStyle name="Comma 2 4 3 2 2 2 9" xfId="6624"/>
    <cellStyle name="Comma 2 4 3 2 2 2 9 2" xfId="17131"/>
    <cellStyle name="Comma 2 4 3 2 2 2 9 2 2" xfId="38184"/>
    <cellStyle name="Comma 2 4 3 2 2 2 9 3" xfId="31761"/>
    <cellStyle name="Comma 2 4 3 2 2 3" xfId="2109"/>
    <cellStyle name="Comma 2 4 3 2 2 3 10" xfId="20846"/>
    <cellStyle name="Comma 2 4 3 2 2 3 11" xfId="29076"/>
    <cellStyle name="Comma 2 4 3 2 2 3 12" xfId="41865"/>
    <cellStyle name="Comma 2 4 3 2 2 3 2" xfId="2979"/>
    <cellStyle name="Comma 2 4 3 2 2 3 2 2" xfId="11007"/>
    <cellStyle name="Comma 2 4 3 2 2 3 2 2 2" xfId="19806"/>
    <cellStyle name="Comma 2 4 3 2 2 3 2 2 2 2" xfId="40849"/>
    <cellStyle name="Comma 2 4 3 2 2 3 2 2 2 3" xfId="34426"/>
    <cellStyle name="Comma 2 4 3 2 2 3 2 2 3" xfId="22005"/>
    <cellStyle name="Comma 2 4 3 2 2 3 2 2 3 2" xfId="37642"/>
    <cellStyle name="Comma 2 4 3 2 2 3 2 2 4" xfId="31219"/>
    <cellStyle name="Comma 2 4 3 2 2 3 2 2 5" xfId="42984"/>
    <cellStyle name="Comma 2 4 3 2 2 3 2 3" xfId="8221"/>
    <cellStyle name="Comma 2 4 3 2 2 3 2 3 2" xfId="18681"/>
    <cellStyle name="Comma 2 4 3 2 2 3 2 3 2 2" xfId="39724"/>
    <cellStyle name="Comma 2 4 3 2 2 3 2 3 2 3" xfId="33301"/>
    <cellStyle name="Comma 2 4 3 2 2 3 2 3 3" xfId="23171"/>
    <cellStyle name="Comma 2 4 3 2 2 3 2 3 3 2" xfId="36517"/>
    <cellStyle name="Comma 2 4 3 2 2 3 2 3 4" xfId="30094"/>
    <cellStyle name="Comma 2 4 3 2 2 3 2 3 5" xfId="44000"/>
    <cellStyle name="Comma 2 4 3 2 2 3 2 4" xfId="7155"/>
    <cellStyle name="Comma 2 4 3 2 2 3 2 4 2" xfId="17658"/>
    <cellStyle name="Comma 2 4 3 2 2 3 2 4 2 2" xfId="38707"/>
    <cellStyle name="Comma 2 4 3 2 2 3 2 4 3" xfId="32284"/>
    <cellStyle name="Comma 2 4 3 2 2 3 2 5" xfId="16357"/>
    <cellStyle name="Comma 2 4 3 2 2 3 2 5 2" xfId="35500"/>
    <cellStyle name="Comma 2 4 3 2 2 3 2 6" xfId="20847"/>
    <cellStyle name="Comma 2 4 3 2 2 3 2 7" xfId="29077"/>
    <cellStyle name="Comma 2 4 3 2 2 3 2 8" xfId="41866"/>
    <cellStyle name="Comma 2 4 3 2 2 3 3" xfId="3849"/>
    <cellStyle name="Comma 2 4 3 2 2 3 3 2" xfId="11008"/>
    <cellStyle name="Comma 2 4 3 2 2 3 3 2 2" xfId="19807"/>
    <cellStyle name="Comma 2 4 3 2 2 3 3 2 2 2" xfId="40850"/>
    <cellStyle name="Comma 2 4 3 2 2 3 3 2 2 3" xfId="34427"/>
    <cellStyle name="Comma 2 4 3 2 2 3 3 2 3" xfId="22006"/>
    <cellStyle name="Comma 2 4 3 2 2 3 3 2 3 2" xfId="37643"/>
    <cellStyle name="Comma 2 4 3 2 2 3 3 2 4" xfId="31220"/>
    <cellStyle name="Comma 2 4 3 2 2 3 3 2 5" xfId="42985"/>
    <cellStyle name="Comma 2 4 3 2 2 3 3 3" xfId="8222"/>
    <cellStyle name="Comma 2 4 3 2 2 3 3 3 2" xfId="18682"/>
    <cellStyle name="Comma 2 4 3 2 2 3 3 3 2 2" xfId="39725"/>
    <cellStyle name="Comma 2 4 3 2 2 3 3 3 2 3" xfId="33302"/>
    <cellStyle name="Comma 2 4 3 2 2 3 3 3 3" xfId="23172"/>
    <cellStyle name="Comma 2 4 3 2 2 3 3 3 3 2" xfId="36518"/>
    <cellStyle name="Comma 2 4 3 2 2 3 3 3 4" xfId="30095"/>
    <cellStyle name="Comma 2 4 3 2 2 3 3 3 5" xfId="44001"/>
    <cellStyle name="Comma 2 4 3 2 2 3 3 4" xfId="7156"/>
    <cellStyle name="Comma 2 4 3 2 2 3 3 4 2" xfId="17659"/>
    <cellStyle name="Comma 2 4 3 2 2 3 3 4 2 2" xfId="38708"/>
    <cellStyle name="Comma 2 4 3 2 2 3 3 4 3" xfId="32285"/>
    <cellStyle name="Comma 2 4 3 2 2 3 3 5" xfId="16545"/>
    <cellStyle name="Comma 2 4 3 2 2 3 3 5 2" xfId="35501"/>
    <cellStyle name="Comma 2 4 3 2 2 3 3 6" xfId="20848"/>
    <cellStyle name="Comma 2 4 3 2 2 3 3 7" xfId="29078"/>
    <cellStyle name="Comma 2 4 3 2 2 3 3 8" xfId="41867"/>
    <cellStyle name="Comma 2 4 3 2 2 3 4" xfId="4727"/>
    <cellStyle name="Comma 2 4 3 2 2 3 4 2" xfId="11009"/>
    <cellStyle name="Comma 2 4 3 2 2 3 4 2 2" xfId="19808"/>
    <cellStyle name="Comma 2 4 3 2 2 3 4 2 2 2" xfId="40851"/>
    <cellStyle name="Comma 2 4 3 2 2 3 4 2 2 3" xfId="34428"/>
    <cellStyle name="Comma 2 4 3 2 2 3 4 2 3" xfId="22007"/>
    <cellStyle name="Comma 2 4 3 2 2 3 4 2 3 2" xfId="37644"/>
    <cellStyle name="Comma 2 4 3 2 2 3 4 2 4" xfId="31221"/>
    <cellStyle name="Comma 2 4 3 2 2 3 4 2 5" xfId="42986"/>
    <cellStyle name="Comma 2 4 3 2 2 3 4 3" xfId="8223"/>
    <cellStyle name="Comma 2 4 3 2 2 3 4 3 2" xfId="18683"/>
    <cellStyle name="Comma 2 4 3 2 2 3 4 3 2 2" xfId="39726"/>
    <cellStyle name="Comma 2 4 3 2 2 3 4 3 2 3" xfId="33303"/>
    <cellStyle name="Comma 2 4 3 2 2 3 4 3 3" xfId="23173"/>
    <cellStyle name="Comma 2 4 3 2 2 3 4 3 3 2" xfId="36519"/>
    <cellStyle name="Comma 2 4 3 2 2 3 4 3 4" xfId="30096"/>
    <cellStyle name="Comma 2 4 3 2 2 3 4 3 5" xfId="44002"/>
    <cellStyle name="Comma 2 4 3 2 2 3 4 4" xfId="7157"/>
    <cellStyle name="Comma 2 4 3 2 2 3 4 4 2" xfId="17660"/>
    <cellStyle name="Comma 2 4 3 2 2 3 4 4 2 2" xfId="38709"/>
    <cellStyle name="Comma 2 4 3 2 2 3 4 4 3" xfId="32286"/>
    <cellStyle name="Comma 2 4 3 2 2 3 4 5" xfId="16733"/>
    <cellStyle name="Comma 2 4 3 2 2 3 4 5 2" xfId="35502"/>
    <cellStyle name="Comma 2 4 3 2 2 3 4 6" xfId="20849"/>
    <cellStyle name="Comma 2 4 3 2 2 3 4 7" xfId="29079"/>
    <cellStyle name="Comma 2 4 3 2 2 3 4 8" xfId="41868"/>
    <cellStyle name="Comma 2 4 3 2 2 3 5" xfId="5992"/>
    <cellStyle name="Comma 2 4 3 2 2 3 5 2" xfId="11010"/>
    <cellStyle name="Comma 2 4 3 2 2 3 5 2 2" xfId="19809"/>
    <cellStyle name="Comma 2 4 3 2 2 3 5 2 2 2" xfId="40852"/>
    <cellStyle name="Comma 2 4 3 2 2 3 5 2 2 3" xfId="34429"/>
    <cellStyle name="Comma 2 4 3 2 2 3 5 2 3" xfId="22008"/>
    <cellStyle name="Comma 2 4 3 2 2 3 5 2 3 2" xfId="37645"/>
    <cellStyle name="Comma 2 4 3 2 2 3 5 2 4" xfId="31222"/>
    <cellStyle name="Comma 2 4 3 2 2 3 5 2 5" xfId="42987"/>
    <cellStyle name="Comma 2 4 3 2 2 3 5 3" xfId="8224"/>
    <cellStyle name="Comma 2 4 3 2 2 3 5 3 2" xfId="18684"/>
    <cellStyle name="Comma 2 4 3 2 2 3 5 3 2 2" xfId="39727"/>
    <cellStyle name="Comma 2 4 3 2 2 3 5 3 2 3" xfId="33304"/>
    <cellStyle name="Comma 2 4 3 2 2 3 5 3 3" xfId="23174"/>
    <cellStyle name="Comma 2 4 3 2 2 3 5 3 3 2" xfId="36520"/>
    <cellStyle name="Comma 2 4 3 2 2 3 5 3 4" xfId="30097"/>
    <cellStyle name="Comma 2 4 3 2 2 3 5 3 5" xfId="44003"/>
    <cellStyle name="Comma 2 4 3 2 2 3 5 4" xfId="7158"/>
    <cellStyle name="Comma 2 4 3 2 2 3 5 4 2" xfId="17661"/>
    <cellStyle name="Comma 2 4 3 2 2 3 5 4 2 2" xfId="38710"/>
    <cellStyle name="Comma 2 4 3 2 2 3 5 4 3" xfId="32287"/>
    <cellStyle name="Comma 2 4 3 2 2 3 5 5" xfId="17021"/>
    <cellStyle name="Comma 2 4 3 2 2 3 5 5 2" xfId="35503"/>
    <cellStyle name="Comma 2 4 3 2 2 3 5 6" xfId="20850"/>
    <cellStyle name="Comma 2 4 3 2 2 3 5 7" xfId="29080"/>
    <cellStyle name="Comma 2 4 3 2 2 3 5 8" xfId="41869"/>
    <cellStyle name="Comma 2 4 3 2 2 3 6" xfId="11006"/>
    <cellStyle name="Comma 2 4 3 2 2 3 6 2" xfId="19805"/>
    <cellStyle name="Comma 2 4 3 2 2 3 6 2 2" xfId="40848"/>
    <cellStyle name="Comma 2 4 3 2 2 3 6 2 3" xfId="34425"/>
    <cellStyle name="Comma 2 4 3 2 2 3 6 3" xfId="22004"/>
    <cellStyle name="Comma 2 4 3 2 2 3 6 3 2" xfId="37641"/>
    <cellStyle name="Comma 2 4 3 2 2 3 6 4" xfId="31218"/>
    <cellStyle name="Comma 2 4 3 2 2 3 6 5" xfId="42983"/>
    <cellStyle name="Comma 2 4 3 2 2 3 7" xfId="8220"/>
    <cellStyle name="Comma 2 4 3 2 2 3 7 2" xfId="18680"/>
    <cellStyle name="Comma 2 4 3 2 2 3 7 2 2" xfId="39723"/>
    <cellStyle name="Comma 2 4 3 2 2 3 7 2 3" xfId="33300"/>
    <cellStyle name="Comma 2 4 3 2 2 3 7 3" xfId="23170"/>
    <cellStyle name="Comma 2 4 3 2 2 3 7 3 2" xfId="36516"/>
    <cellStyle name="Comma 2 4 3 2 2 3 7 4" xfId="30093"/>
    <cellStyle name="Comma 2 4 3 2 2 3 7 5" xfId="43999"/>
    <cellStyle name="Comma 2 4 3 2 2 3 8" xfId="7154"/>
    <cellStyle name="Comma 2 4 3 2 2 3 8 2" xfId="17657"/>
    <cellStyle name="Comma 2 4 3 2 2 3 8 2 2" xfId="38706"/>
    <cellStyle name="Comma 2 4 3 2 2 3 8 3" xfId="32283"/>
    <cellStyle name="Comma 2 4 3 2 2 3 9" xfId="16168"/>
    <cellStyle name="Comma 2 4 3 2 2 3 9 2" xfId="35499"/>
    <cellStyle name="Comma 2 4 3 2 2 4" xfId="2474"/>
    <cellStyle name="Comma 2 4 3 2 2 4 2" xfId="11011"/>
    <cellStyle name="Comma 2 4 3 2 2 4 2 2" xfId="19810"/>
    <cellStyle name="Comma 2 4 3 2 2 4 2 2 2" xfId="40853"/>
    <cellStyle name="Comma 2 4 3 2 2 4 2 2 3" xfId="34430"/>
    <cellStyle name="Comma 2 4 3 2 2 4 2 3" xfId="22009"/>
    <cellStyle name="Comma 2 4 3 2 2 4 2 3 2" xfId="37646"/>
    <cellStyle name="Comma 2 4 3 2 2 4 2 4" xfId="31223"/>
    <cellStyle name="Comma 2 4 3 2 2 4 2 5" xfId="42988"/>
    <cellStyle name="Comma 2 4 3 2 2 4 3" xfId="8225"/>
    <cellStyle name="Comma 2 4 3 2 2 4 3 2" xfId="18685"/>
    <cellStyle name="Comma 2 4 3 2 2 4 3 2 2" xfId="39728"/>
    <cellStyle name="Comma 2 4 3 2 2 4 3 2 3" xfId="33305"/>
    <cellStyle name="Comma 2 4 3 2 2 4 3 3" xfId="23175"/>
    <cellStyle name="Comma 2 4 3 2 2 4 3 3 2" xfId="36521"/>
    <cellStyle name="Comma 2 4 3 2 2 4 3 4" xfId="30098"/>
    <cellStyle name="Comma 2 4 3 2 2 4 3 5" xfId="44004"/>
    <cellStyle name="Comma 2 4 3 2 2 4 4" xfId="7159"/>
    <cellStyle name="Comma 2 4 3 2 2 4 4 2" xfId="17662"/>
    <cellStyle name="Comma 2 4 3 2 2 4 4 2 2" xfId="38711"/>
    <cellStyle name="Comma 2 4 3 2 2 4 4 3" xfId="32288"/>
    <cellStyle name="Comma 2 4 3 2 2 4 5" xfId="16249"/>
    <cellStyle name="Comma 2 4 3 2 2 4 5 2" xfId="35504"/>
    <cellStyle name="Comma 2 4 3 2 2 4 6" xfId="20851"/>
    <cellStyle name="Comma 2 4 3 2 2 4 7" xfId="29081"/>
    <cellStyle name="Comma 2 4 3 2 2 4 8" xfId="41870"/>
    <cellStyle name="Comma 2 4 3 2 2 5" xfId="3337"/>
    <cellStyle name="Comma 2 4 3 2 2 5 2" xfId="11012"/>
    <cellStyle name="Comma 2 4 3 2 2 5 2 2" xfId="19811"/>
    <cellStyle name="Comma 2 4 3 2 2 5 2 2 2" xfId="40854"/>
    <cellStyle name="Comma 2 4 3 2 2 5 2 2 3" xfId="34431"/>
    <cellStyle name="Comma 2 4 3 2 2 5 2 3" xfId="22010"/>
    <cellStyle name="Comma 2 4 3 2 2 5 2 3 2" xfId="37647"/>
    <cellStyle name="Comma 2 4 3 2 2 5 2 4" xfId="31224"/>
    <cellStyle name="Comma 2 4 3 2 2 5 2 5" xfId="42989"/>
    <cellStyle name="Comma 2 4 3 2 2 5 3" xfId="8226"/>
    <cellStyle name="Comma 2 4 3 2 2 5 3 2" xfId="18686"/>
    <cellStyle name="Comma 2 4 3 2 2 5 3 2 2" xfId="39729"/>
    <cellStyle name="Comma 2 4 3 2 2 5 3 2 3" xfId="33306"/>
    <cellStyle name="Comma 2 4 3 2 2 5 3 3" xfId="23176"/>
    <cellStyle name="Comma 2 4 3 2 2 5 3 3 2" xfId="36522"/>
    <cellStyle name="Comma 2 4 3 2 2 5 3 4" xfId="30099"/>
    <cellStyle name="Comma 2 4 3 2 2 5 3 5" xfId="44005"/>
    <cellStyle name="Comma 2 4 3 2 2 5 4" xfId="7160"/>
    <cellStyle name="Comma 2 4 3 2 2 5 4 2" xfId="17663"/>
    <cellStyle name="Comma 2 4 3 2 2 5 4 2 2" xfId="38712"/>
    <cellStyle name="Comma 2 4 3 2 2 5 4 3" xfId="32289"/>
    <cellStyle name="Comma 2 4 3 2 2 5 5" xfId="16437"/>
    <cellStyle name="Comma 2 4 3 2 2 5 5 2" xfId="35505"/>
    <cellStyle name="Comma 2 4 3 2 2 5 6" xfId="20852"/>
    <cellStyle name="Comma 2 4 3 2 2 5 7" xfId="29082"/>
    <cellStyle name="Comma 2 4 3 2 2 5 8" xfId="41871"/>
    <cellStyle name="Comma 2 4 3 2 2 6" xfId="4205"/>
    <cellStyle name="Comma 2 4 3 2 2 6 2" xfId="11013"/>
    <cellStyle name="Comma 2 4 3 2 2 6 2 2" xfId="19812"/>
    <cellStyle name="Comma 2 4 3 2 2 6 2 2 2" xfId="40855"/>
    <cellStyle name="Comma 2 4 3 2 2 6 2 2 3" xfId="34432"/>
    <cellStyle name="Comma 2 4 3 2 2 6 2 3" xfId="22011"/>
    <cellStyle name="Comma 2 4 3 2 2 6 2 3 2" xfId="37648"/>
    <cellStyle name="Comma 2 4 3 2 2 6 2 4" xfId="31225"/>
    <cellStyle name="Comma 2 4 3 2 2 6 2 5" xfId="42990"/>
    <cellStyle name="Comma 2 4 3 2 2 6 3" xfId="8227"/>
    <cellStyle name="Comma 2 4 3 2 2 6 3 2" xfId="18687"/>
    <cellStyle name="Comma 2 4 3 2 2 6 3 2 2" xfId="39730"/>
    <cellStyle name="Comma 2 4 3 2 2 6 3 2 3" xfId="33307"/>
    <cellStyle name="Comma 2 4 3 2 2 6 3 3" xfId="23177"/>
    <cellStyle name="Comma 2 4 3 2 2 6 3 3 2" xfId="36523"/>
    <cellStyle name="Comma 2 4 3 2 2 6 3 4" xfId="30100"/>
    <cellStyle name="Comma 2 4 3 2 2 6 3 5" xfId="44006"/>
    <cellStyle name="Comma 2 4 3 2 2 6 4" xfId="7161"/>
    <cellStyle name="Comma 2 4 3 2 2 6 4 2" xfId="17664"/>
    <cellStyle name="Comma 2 4 3 2 2 6 4 2 2" xfId="38713"/>
    <cellStyle name="Comma 2 4 3 2 2 6 4 3" xfId="32290"/>
    <cellStyle name="Comma 2 4 3 2 2 6 5" xfId="16625"/>
    <cellStyle name="Comma 2 4 3 2 2 6 5 2" xfId="35506"/>
    <cellStyle name="Comma 2 4 3 2 2 6 6" xfId="20853"/>
    <cellStyle name="Comma 2 4 3 2 2 6 7" xfId="29083"/>
    <cellStyle name="Comma 2 4 3 2 2 6 8" xfId="41872"/>
    <cellStyle name="Comma 2 4 3 2 2 7" xfId="5020"/>
    <cellStyle name="Comma 2 4 3 2 2 7 2" xfId="11014"/>
    <cellStyle name="Comma 2 4 3 2 2 7 2 2" xfId="19813"/>
    <cellStyle name="Comma 2 4 3 2 2 7 2 2 2" xfId="40856"/>
    <cellStyle name="Comma 2 4 3 2 2 7 2 2 3" xfId="34433"/>
    <cellStyle name="Comma 2 4 3 2 2 7 2 3" xfId="22012"/>
    <cellStyle name="Comma 2 4 3 2 2 7 2 3 2" xfId="37649"/>
    <cellStyle name="Comma 2 4 3 2 2 7 2 4" xfId="31226"/>
    <cellStyle name="Comma 2 4 3 2 2 7 2 5" xfId="42991"/>
    <cellStyle name="Comma 2 4 3 2 2 7 3" xfId="8228"/>
    <cellStyle name="Comma 2 4 3 2 2 7 3 2" xfId="18688"/>
    <cellStyle name="Comma 2 4 3 2 2 7 3 2 2" xfId="39731"/>
    <cellStyle name="Comma 2 4 3 2 2 7 3 2 3" xfId="33308"/>
    <cellStyle name="Comma 2 4 3 2 2 7 3 3" xfId="23178"/>
    <cellStyle name="Comma 2 4 3 2 2 7 3 3 2" xfId="36524"/>
    <cellStyle name="Comma 2 4 3 2 2 7 3 4" xfId="30101"/>
    <cellStyle name="Comma 2 4 3 2 2 7 3 5" xfId="44007"/>
    <cellStyle name="Comma 2 4 3 2 2 7 4" xfId="7162"/>
    <cellStyle name="Comma 2 4 3 2 2 7 4 2" xfId="17665"/>
    <cellStyle name="Comma 2 4 3 2 2 7 4 2 2" xfId="38714"/>
    <cellStyle name="Comma 2 4 3 2 2 7 4 3" xfId="32291"/>
    <cellStyle name="Comma 2 4 3 2 2 7 5" xfId="16835"/>
    <cellStyle name="Comma 2 4 3 2 2 7 5 2" xfId="35507"/>
    <cellStyle name="Comma 2 4 3 2 2 7 6" xfId="20854"/>
    <cellStyle name="Comma 2 4 3 2 2 7 7" xfId="29084"/>
    <cellStyle name="Comma 2 4 3 2 2 7 8" xfId="41873"/>
    <cellStyle name="Comma 2 4 3 2 2 8" xfId="5467"/>
    <cellStyle name="Comma 2 4 3 2 2 8 2" xfId="11015"/>
    <cellStyle name="Comma 2 4 3 2 2 8 2 2" xfId="19814"/>
    <cellStyle name="Comma 2 4 3 2 2 8 2 2 2" xfId="40857"/>
    <cellStyle name="Comma 2 4 3 2 2 8 2 2 3" xfId="34434"/>
    <cellStyle name="Comma 2 4 3 2 2 8 2 3" xfId="22013"/>
    <cellStyle name="Comma 2 4 3 2 2 8 2 3 2" xfId="37650"/>
    <cellStyle name="Comma 2 4 3 2 2 8 2 4" xfId="31227"/>
    <cellStyle name="Comma 2 4 3 2 2 8 2 5" xfId="42992"/>
    <cellStyle name="Comma 2 4 3 2 2 8 3" xfId="8229"/>
    <cellStyle name="Comma 2 4 3 2 2 8 3 2" xfId="18689"/>
    <cellStyle name="Comma 2 4 3 2 2 8 3 2 2" xfId="39732"/>
    <cellStyle name="Comma 2 4 3 2 2 8 3 2 3" xfId="33309"/>
    <cellStyle name="Comma 2 4 3 2 2 8 3 3" xfId="23179"/>
    <cellStyle name="Comma 2 4 3 2 2 8 3 3 2" xfId="36525"/>
    <cellStyle name="Comma 2 4 3 2 2 8 3 4" xfId="30102"/>
    <cellStyle name="Comma 2 4 3 2 2 8 3 5" xfId="44008"/>
    <cellStyle name="Comma 2 4 3 2 2 8 4" xfId="7163"/>
    <cellStyle name="Comma 2 4 3 2 2 8 4 2" xfId="17666"/>
    <cellStyle name="Comma 2 4 3 2 2 8 4 2 2" xfId="38715"/>
    <cellStyle name="Comma 2 4 3 2 2 8 4 3" xfId="32292"/>
    <cellStyle name="Comma 2 4 3 2 2 8 5" xfId="16913"/>
    <cellStyle name="Comma 2 4 3 2 2 8 5 2" xfId="35508"/>
    <cellStyle name="Comma 2 4 3 2 2 8 6" xfId="20855"/>
    <cellStyle name="Comma 2 4 3 2 2 8 7" xfId="29085"/>
    <cellStyle name="Comma 2 4 3 2 2 8 8" xfId="41874"/>
    <cellStyle name="Comma 2 4 3 2 2 9" xfId="10193"/>
    <cellStyle name="Comma 2 4 3 2 2 9 2" xfId="19248"/>
    <cellStyle name="Comma 2 4 3 2 2 9 2 2" xfId="40291"/>
    <cellStyle name="Comma 2 4 3 2 2 9 2 3" xfId="33868"/>
    <cellStyle name="Comma 2 4 3 2 2 9 3" xfId="21448"/>
    <cellStyle name="Comma 2 4 3 2 2 9 3 2" xfId="37084"/>
    <cellStyle name="Comma 2 4 3 2 2 9 4" xfId="30661"/>
    <cellStyle name="Comma 2 4 3 2 2 9 5" xfId="42427"/>
    <cellStyle name="Comma 2 4 3 2 3" xfId="1833"/>
    <cellStyle name="Comma 2 4 3 2 3 10" xfId="16111"/>
    <cellStyle name="Comma 2 4 3 2 3 10 2" xfId="34973"/>
    <cellStyle name="Comma 2 4 3 2 3 11" xfId="20856"/>
    <cellStyle name="Comma 2 4 3 2 3 12" xfId="28548"/>
    <cellStyle name="Comma 2 4 3 2 3 13" xfId="41875"/>
    <cellStyle name="Comma 2 4 3 2 3 2" xfId="2723"/>
    <cellStyle name="Comma 2 4 3 2 3 2 2" xfId="11016"/>
    <cellStyle name="Comma 2 4 3 2 3 2 2 2" xfId="19815"/>
    <cellStyle name="Comma 2 4 3 2 3 2 2 2 2" xfId="40858"/>
    <cellStyle name="Comma 2 4 3 2 3 2 2 2 3" xfId="34435"/>
    <cellStyle name="Comma 2 4 3 2 3 2 2 3" xfId="22014"/>
    <cellStyle name="Comma 2 4 3 2 3 2 2 3 2" xfId="37651"/>
    <cellStyle name="Comma 2 4 3 2 3 2 2 4" xfId="31228"/>
    <cellStyle name="Comma 2 4 3 2 3 2 2 5" xfId="42993"/>
    <cellStyle name="Comma 2 4 3 2 3 2 3" xfId="8231"/>
    <cellStyle name="Comma 2 4 3 2 3 2 3 2" xfId="18691"/>
    <cellStyle name="Comma 2 4 3 2 3 2 3 2 2" xfId="39734"/>
    <cellStyle name="Comma 2 4 3 2 3 2 3 2 3" xfId="33311"/>
    <cellStyle name="Comma 2 4 3 2 3 2 3 3" xfId="23181"/>
    <cellStyle name="Comma 2 4 3 2 3 2 3 3 2" xfId="36527"/>
    <cellStyle name="Comma 2 4 3 2 3 2 3 4" xfId="30104"/>
    <cellStyle name="Comma 2 4 3 2 3 2 3 5" xfId="44010"/>
    <cellStyle name="Comma 2 4 3 2 3 2 4" xfId="7164"/>
    <cellStyle name="Comma 2 4 3 2 3 2 4 2" xfId="17667"/>
    <cellStyle name="Comma 2 4 3 2 3 2 4 2 2" xfId="38716"/>
    <cellStyle name="Comma 2 4 3 2 3 2 4 3" xfId="32293"/>
    <cellStyle name="Comma 2 4 3 2 3 2 5" xfId="16301"/>
    <cellStyle name="Comma 2 4 3 2 3 2 5 2" xfId="35509"/>
    <cellStyle name="Comma 2 4 3 2 3 2 6" xfId="20857"/>
    <cellStyle name="Comma 2 4 3 2 3 2 7" xfId="29086"/>
    <cellStyle name="Comma 2 4 3 2 3 2 8" xfId="41876"/>
    <cellStyle name="Comma 2 4 3 2 3 3" xfId="3587"/>
    <cellStyle name="Comma 2 4 3 2 3 3 2" xfId="11017"/>
    <cellStyle name="Comma 2 4 3 2 3 3 2 2" xfId="19816"/>
    <cellStyle name="Comma 2 4 3 2 3 3 2 2 2" xfId="40859"/>
    <cellStyle name="Comma 2 4 3 2 3 3 2 2 3" xfId="34436"/>
    <cellStyle name="Comma 2 4 3 2 3 3 2 3" xfId="22015"/>
    <cellStyle name="Comma 2 4 3 2 3 3 2 3 2" xfId="37652"/>
    <cellStyle name="Comma 2 4 3 2 3 3 2 4" xfId="31229"/>
    <cellStyle name="Comma 2 4 3 2 3 3 2 5" xfId="42994"/>
    <cellStyle name="Comma 2 4 3 2 3 3 3" xfId="8232"/>
    <cellStyle name="Comma 2 4 3 2 3 3 3 2" xfId="18692"/>
    <cellStyle name="Comma 2 4 3 2 3 3 3 2 2" xfId="39735"/>
    <cellStyle name="Comma 2 4 3 2 3 3 3 2 3" xfId="33312"/>
    <cellStyle name="Comma 2 4 3 2 3 3 3 3" xfId="23182"/>
    <cellStyle name="Comma 2 4 3 2 3 3 3 3 2" xfId="36528"/>
    <cellStyle name="Comma 2 4 3 2 3 3 3 4" xfId="30105"/>
    <cellStyle name="Comma 2 4 3 2 3 3 3 5" xfId="44011"/>
    <cellStyle name="Comma 2 4 3 2 3 3 4" xfId="7165"/>
    <cellStyle name="Comma 2 4 3 2 3 3 4 2" xfId="17668"/>
    <cellStyle name="Comma 2 4 3 2 3 3 4 2 2" xfId="38717"/>
    <cellStyle name="Comma 2 4 3 2 3 3 4 3" xfId="32294"/>
    <cellStyle name="Comma 2 4 3 2 3 3 5" xfId="16489"/>
    <cellStyle name="Comma 2 4 3 2 3 3 5 2" xfId="35510"/>
    <cellStyle name="Comma 2 4 3 2 3 3 6" xfId="20858"/>
    <cellStyle name="Comma 2 4 3 2 3 3 7" xfId="29087"/>
    <cellStyle name="Comma 2 4 3 2 3 3 8" xfId="41877"/>
    <cellStyle name="Comma 2 4 3 2 3 4" xfId="4462"/>
    <cellStyle name="Comma 2 4 3 2 3 4 2" xfId="11018"/>
    <cellStyle name="Comma 2 4 3 2 3 4 2 2" xfId="19817"/>
    <cellStyle name="Comma 2 4 3 2 3 4 2 2 2" xfId="40860"/>
    <cellStyle name="Comma 2 4 3 2 3 4 2 2 3" xfId="34437"/>
    <cellStyle name="Comma 2 4 3 2 3 4 2 3" xfId="22016"/>
    <cellStyle name="Comma 2 4 3 2 3 4 2 3 2" xfId="37653"/>
    <cellStyle name="Comma 2 4 3 2 3 4 2 4" xfId="31230"/>
    <cellStyle name="Comma 2 4 3 2 3 4 2 5" xfId="42995"/>
    <cellStyle name="Comma 2 4 3 2 3 4 3" xfId="8233"/>
    <cellStyle name="Comma 2 4 3 2 3 4 3 2" xfId="18693"/>
    <cellStyle name="Comma 2 4 3 2 3 4 3 2 2" xfId="39736"/>
    <cellStyle name="Comma 2 4 3 2 3 4 3 2 3" xfId="33313"/>
    <cellStyle name="Comma 2 4 3 2 3 4 3 3" xfId="23183"/>
    <cellStyle name="Comma 2 4 3 2 3 4 3 3 2" xfId="36529"/>
    <cellStyle name="Comma 2 4 3 2 3 4 3 4" xfId="30106"/>
    <cellStyle name="Comma 2 4 3 2 3 4 3 5" xfId="44012"/>
    <cellStyle name="Comma 2 4 3 2 3 4 4" xfId="7166"/>
    <cellStyle name="Comma 2 4 3 2 3 4 4 2" xfId="17669"/>
    <cellStyle name="Comma 2 4 3 2 3 4 4 2 2" xfId="38718"/>
    <cellStyle name="Comma 2 4 3 2 3 4 4 3" xfId="32295"/>
    <cellStyle name="Comma 2 4 3 2 3 4 5" xfId="16677"/>
    <cellStyle name="Comma 2 4 3 2 3 4 5 2" xfId="35511"/>
    <cellStyle name="Comma 2 4 3 2 3 4 6" xfId="20859"/>
    <cellStyle name="Comma 2 4 3 2 3 4 7" xfId="29088"/>
    <cellStyle name="Comma 2 4 3 2 3 4 8" xfId="41878"/>
    <cellStyle name="Comma 2 4 3 2 3 5" xfId="5022"/>
    <cellStyle name="Comma 2 4 3 2 3 5 2" xfId="11019"/>
    <cellStyle name="Comma 2 4 3 2 3 5 2 2" xfId="19818"/>
    <cellStyle name="Comma 2 4 3 2 3 5 2 2 2" xfId="40861"/>
    <cellStyle name="Comma 2 4 3 2 3 5 2 2 3" xfId="34438"/>
    <cellStyle name="Comma 2 4 3 2 3 5 2 3" xfId="22017"/>
    <cellStyle name="Comma 2 4 3 2 3 5 2 3 2" xfId="37654"/>
    <cellStyle name="Comma 2 4 3 2 3 5 2 4" xfId="31231"/>
    <cellStyle name="Comma 2 4 3 2 3 5 2 5" xfId="42996"/>
    <cellStyle name="Comma 2 4 3 2 3 5 3" xfId="8234"/>
    <cellStyle name="Comma 2 4 3 2 3 5 3 2" xfId="18694"/>
    <cellStyle name="Comma 2 4 3 2 3 5 3 2 2" xfId="39737"/>
    <cellStyle name="Comma 2 4 3 2 3 5 3 2 3" xfId="33314"/>
    <cellStyle name="Comma 2 4 3 2 3 5 3 3" xfId="23184"/>
    <cellStyle name="Comma 2 4 3 2 3 5 3 3 2" xfId="36530"/>
    <cellStyle name="Comma 2 4 3 2 3 5 3 4" xfId="30107"/>
    <cellStyle name="Comma 2 4 3 2 3 5 3 5" xfId="44013"/>
    <cellStyle name="Comma 2 4 3 2 3 5 4" xfId="7167"/>
    <cellStyle name="Comma 2 4 3 2 3 5 4 2" xfId="17670"/>
    <cellStyle name="Comma 2 4 3 2 3 5 4 2 2" xfId="38719"/>
    <cellStyle name="Comma 2 4 3 2 3 5 4 3" xfId="32296"/>
    <cellStyle name="Comma 2 4 3 2 3 5 5" xfId="16837"/>
    <cellStyle name="Comma 2 4 3 2 3 5 5 2" xfId="35512"/>
    <cellStyle name="Comma 2 4 3 2 3 5 6" xfId="20860"/>
    <cellStyle name="Comma 2 4 3 2 3 5 7" xfId="29089"/>
    <cellStyle name="Comma 2 4 3 2 3 5 8" xfId="41879"/>
    <cellStyle name="Comma 2 4 3 2 3 6" xfId="5727"/>
    <cellStyle name="Comma 2 4 3 2 3 6 2" xfId="11020"/>
    <cellStyle name="Comma 2 4 3 2 3 6 2 2" xfId="19819"/>
    <cellStyle name="Comma 2 4 3 2 3 6 2 2 2" xfId="40862"/>
    <cellStyle name="Comma 2 4 3 2 3 6 2 2 3" xfId="34439"/>
    <cellStyle name="Comma 2 4 3 2 3 6 2 3" xfId="22018"/>
    <cellStyle name="Comma 2 4 3 2 3 6 2 3 2" xfId="37655"/>
    <cellStyle name="Comma 2 4 3 2 3 6 2 4" xfId="31232"/>
    <cellStyle name="Comma 2 4 3 2 3 6 2 5" xfId="42997"/>
    <cellStyle name="Comma 2 4 3 2 3 6 3" xfId="8235"/>
    <cellStyle name="Comma 2 4 3 2 3 6 3 2" xfId="18695"/>
    <cellStyle name="Comma 2 4 3 2 3 6 3 2 2" xfId="39738"/>
    <cellStyle name="Comma 2 4 3 2 3 6 3 2 3" xfId="33315"/>
    <cellStyle name="Comma 2 4 3 2 3 6 3 3" xfId="23185"/>
    <cellStyle name="Comma 2 4 3 2 3 6 3 3 2" xfId="36531"/>
    <cellStyle name="Comma 2 4 3 2 3 6 3 4" xfId="30108"/>
    <cellStyle name="Comma 2 4 3 2 3 6 3 5" xfId="44014"/>
    <cellStyle name="Comma 2 4 3 2 3 6 4" xfId="7168"/>
    <cellStyle name="Comma 2 4 3 2 3 6 4 2" xfId="17671"/>
    <cellStyle name="Comma 2 4 3 2 3 6 4 2 2" xfId="38720"/>
    <cellStyle name="Comma 2 4 3 2 3 6 4 3" xfId="32297"/>
    <cellStyle name="Comma 2 4 3 2 3 6 5" xfId="16965"/>
    <cellStyle name="Comma 2 4 3 2 3 6 5 2" xfId="35513"/>
    <cellStyle name="Comma 2 4 3 2 3 6 6" xfId="20861"/>
    <cellStyle name="Comma 2 4 3 2 3 6 7" xfId="29090"/>
    <cellStyle name="Comma 2 4 3 2 3 6 8" xfId="41880"/>
    <cellStyle name="Comma 2 4 3 2 3 7" xfId="10220"/>
    <cellStyle name="Comma 2 4 3 2 3 7 2" xfId="19274"/>
    <cellStyle name="Comma 2 4 3 2 3 7 2 2" xfId="40317"/>
    <cellStyle name="Comma 2 4 3 2 3 7 2 3" xfId="33894"/>
    <cellStyle name="Comma 2 4 3 2 3 7 3" xfId="21474"/>
    <cellStyle name="Comma 2 4 3 2 3 7 3 2" xfId="37110"/>
    <cellStyle name="Comma 2 4 3 2 3 7 4" xfId="30687"/>
    <cellStyle name="Comma 2 4 3 2 3 7 5" xfId="42453"/>
    <cellStyle name="Comma 2 4 3 2 3 8" xfId="8230"/>
    <cellStyle name="Comma 2 4 3 2 3 8 2" xfId="18690"/>
    <cellStyle name="Comma 2 4 3 2 3 8 2 2" xfId="39733"/>
    <cellStyle name="Comma 2 4 3 2 3 8 2 3" xfId="33310"/>
    <cellStyle name="Comma 2 4 3 2 3 8 3" xfId="23180"/>
    <cellStyle name="Comma 2 4 3 2 3 8 3 2" xfId="36526"/>
    <cellStyle name="Comma 2 4 3 2 3 8 4" xfId="30103"/>
    <cellStyle name="Comma 2 4 3 2 3 8 5" xfId="44009"/>
    <cellStyle name="Comma 2 4 3 2 3 9" xfId="6620"/>
    <cellStyle name="Comma 2 4 3 2 3 9 2" xfId="17127"/>
    <cellStyle name="Comma 2 4 3 2 3 9 2 2" xfId="38180"/>
    <cellStyle name="Comma 2 4 3 2 3 9 3" xfId="31757"/>
    <cellStyle name="Comma 2 4 3 2 4" xfId="2108"/>
    <cellStyle name="Comma 2 4 3 2 4 10" xfId="20862"/>
    <cellStyle name="Comma 2 4 3 2 4 11" xfId="29091"/>
    <cellStyle name="Comma 2 4 3 2 4 12" xfId="41881"/>
    <cellStyle name="Comma 2 4 3 2 4 2" xfId="2978"/>
    <cellStyle name="Comma 2 4 3 2 4 2 2" xfId="11022"/>
    <cellStyle name="Comma 2 4 3 2 4 2 2 2" xfId="19821"/>
    <cellStyle name="Comma 2 4 3 2 4 2 2 2 2" xfId="40864"/>
    <cellStyle name="Comma 2 4 3 2 4 2 2 2 3" xfId="34441"/>
    <cellStyle name="Comma 2 4 3 2 4 2 2 3" xfId="22020"/>
    <cellStyle name="Comma 2 4 3 2 4 2 2 3 2" xfId="37657"/>
    <cellStyle name="Comma 2 4 3 2 4 2 2 4" xfId="31234"/>
    <cellStyle name="Comma 2 4 3 2 4 2 2 5" xfId="42999"/>
    <cellStyle name="Comma 2 4 3 2 4 2 3" xfId="8237"/>
    <cellStyle name="Comma 2 4 3 2 4 2 3 2" xfId="18697"/>
    <cellStyle name="Comma 2 4 3 2 4 2 3 2 2" xfId="39740"/>
    <cellStyle name="Comma 2 4 3 2 4 2 3 2 3" xfId="33317"/>
    <cellStyle name="Comma 2 4 3 2 4 2 3 3" xfId="23187"/>
    <cellStyle name="Comma 2 4 3 2 4 2 3 3 2" xfId="36533"/>
    <cellStyle name="Comma 2 4 3 2 4 2 3 4" xfId="30110"/>
    <cellStyle name="Comma 2 4 3 2 4 2 3 5" xfId="44016"/>
    <cellStyle name="Comma 2 4 3 2 4 2 4" xfId="7170"/>
    <cellStyle name="Comma 2 4 3 2 4 2 4 2" xfId="17673"/>
    <cellStyle name="Comma 2 4 3 2 4 2 4 2 2" xfId="38722"/>
    <cellStyle name="Comma 2 4 3 2 4 2 4 3" xfId="32299"/>
    <cellStyle name="Comma 2 4 3 2 4 2 5" xfId="16356"/>
    <cellStyle name="Comma 2 4 3 2 4 2 5 2" xfId="35515"/>
    <cellStyle name="Comma 2 4 3 2 4 2 6" xfId="20863"/>
    <cellStyle name="Comma 2 4 3 2 4 2 7" xfId="29092"/>
    <cellStyle name="Comma 2 4 3 2 4 2 8" xfId="41882"/>
    <cellStyle name="Comma 2 4 3 2 4 3" xfId="3848"/>
    <cellStyle name="Comma 2 4 3 2 4 3 2" xfId="11023"/>
    <cellStyle name="Comma 2 4 3 2 4 3 2 2" xfId="19822"/>
    <cellStyle name="Comma 2 4 3 2 4 3 2 2 2" xfId="40865"/>
    <cellStyle name="Comma 2 4 3 2 4 3 2 2 3" xfId="34442"/>
    <cellStyle name="Comma 2 4 3 2 4 3 2 3" xfId="22021"/>
    <cellStyle name="Comma 2 4 3 2 4 3 2 3 2" xfId="37658"/>
    <cellStyle name="Comma 2 4 3 2 4 3 2 4" xfId="31235"/>
    <cellStyle name="Comma 2 4 3 2 4 3 2 5" xfId="43000"/>
    <cellStyle name="Comma 2 4 3 2 4 3 3" xfId="8238"/>
    <cellStyle name="Comma 2 4 3 2 4 3 3 2" xfId="18698"/>
    <cellStyle name="Comma 2 4 3 2 4 3 3 2 2" xfId="39741"/>
    <cellStyle name="Comma 2 4 3 2 4 3 3 2 3" xfId="33318"/>
    <cellStyle name="Comma 2 4 3 2 4 3 3 3" xfId="23188"/>
    <cellStyle name="Comma 2 4 3 2 4 3 3 3 2" xfId="36534"/>
    <cellStyle name="Comma 2 4 3 2 4 3 3 4" xfId="30111"/>
    <cellStyle name="Comma 2 4 3 2 4 3 3 5" xfId="44017"/>
    <cellStyle name="Comma 2 4 3 2 4 3 4" xfId="7171"/>
    <cellStyle name="Comma 2 4 3 2 4 3 4 2" xfId="17674"/>
    <cellStyle name="Comma 2 4 3 2 4 3 4 2 2" xfId="38723"/>
    <cellStyle name="Comma 2 4 3 2 4 3 4 3" xfId="32300"/>
    <cellStyle name="Comma 2 4 3 2 4 3 5" xfId="16544"/>
    <cellStyle name="Comma 2 4 3 2 4 3 5 2" xfId="35516"/>
    <cellStyle name="Comma 2 4 3 2 4 3 6" xfId="20864"/>
    <cellStyle name="Comma 2 4 3 2 4 3 7" xfId="29093"/>
    <cellStyle name="Comma 2 4 3 2 4 3 8" xfId="41883"/>
    <cellStyle name="Comma 2 4 3 2 4 4" xfId="4726"/>
    <cellStyle name="Comma 2 4 3 2 4 4 2" xfId="11024"/>
    <cellStyle name="Comma 2 4 3 2 4 4 2 2" xfId="19823"/>
    <cellStyle name="Comma 2 4 3 2 4 4 2 2 2" xfId="40866"/>
    <cellStyle name="Comma 2 4 3 2 4 4 2 2 3" xfId="34443"/>
    <cellStyle name="Comma 2 4 3 2 4 4 2 3" xfId="22022"/>
    <cellStyle name="Comma 2 4 3 2 4 4 2 3 2" xfId="37659"/>
    <cellStyle name="Comma 2 4 3 2 4 4 2 4" xfId="31236"/>
    <cellStyle name="Comma 2 4 3 2 4 4 2 5" xfId="43001"/>
    <cellStyle name="Comma 2 4 3 2 4 4 3" xfId="8239"/>
    <cellStyle name="Comma 2 4 3 2 4 4 3 2" xfId="18699"/>
    <cellStyle name="Comma 2 4 3 2 4 4 3 2 2" xfId="39742"/>
    <cellStyle name="Comma 2 4 3 2 4 4 3 2 3" xfId="33319"/>
    <cellStyle name="Comma 2 4 3 2 4 4 3 3" xfId="23189"/>
    <cellStyle name="Comma 2 4 3 2 4 4 3 3 2" xfId="36535"/>
    <cellStyle name="Comma 2 4 3 2 4 4 3 4" xfId="30112"/>
    <cellStyle name="Comma 2 4 3 2 4 4 3 5" xfId="44018"/>
    <cellStyle name="Comma 2 4 3 2 4 4 4" xfId="7172"/>
    <cellStyle name="Comma 2 4 3 2 4 4 4 2" xfId="17675"/>
    <cellStyle name="Comma 2 4 3 2 4 4 4 2 2" xfId="38724"/>
    <cellStyle name="Comma 2 4 3 2 4 4 4 3" xfId="32301"/>
    <cellStyle name="Comma 2 4 3 2 4 4 5" xfId="16732"/>
    <cellStyle name="Comma 2 4 3 2 4 4 5 2" xfId="35517"/>
    <cellStyle name="Comma 2 4 3 2 4 4 6" xfId="20865"/>
    <cellStyle name="Comma 2 4 3 2 4 4 7" xfId="29094"/>
    <cellStyle name="Comma 2 4 3 2 4 4 8" xfId="41884"/>
    <cellStyle name="Comma 2 4 3 2 4 5" xfId="5991"/>
    <cellStyle name="Comma 2 4 3 2 4 5 2" xfId="11025"/>
    <cellStyle name="Comma 2 4 3 2 4 5 2 2" xfId="19824"/>
    <cellStyle name="Comma 2 4 3 2 4 5 2 2 2" xfId="40867"/>
    <cellStyle name="Comma 2 4 3 2 4 5 2 2 3" xfId="34444"/>
    <cellStyle name="Comma 2 4 3 2 4 5 2 3" xfId="22023"/>
    <cellStyle name="Comma 2 4 3 2 4 5 2 3 2" xfId="37660"/>
    <cellStyle name="Comma 2 4 3 2 4 5 2 4" xfId="31237"/>
    <cellStyle name="Comma 2 4 3 2 4 5 2 5" xfId="43002"/>
    <cellStyle name="Comma 2 4 3 2 4 5 3" xfId="8240"/>
    <cellStyle name="Comma 2 4 3 2 4 5 3 2" xfId="18700"/>
    <cellStyle name="Comma 2 4 3 2 4 5 3 2 2" xfId="39743"/>
    <cellStyle name="Comma 2 4 3 2 4 5 3 2 3" xfId="33320"/>
    <cellStyle name="Comma 2 4 3 2 4 5 3 3" xfId="23190"/>
    <cellStyle name="Comma 2 4 3 2 4 5 3 3 2" xfId="36536"/>
    <cellStyle name="Comma 2 4 3 2 4 5 3 4" xfId="30113"/>
    <cellStyle name="Comma 2 4 3 2 4 5 3 5" xfId="44019"/>
    <cellStyle name="Comma 2 4 3 2 4 5 4" xfId="7173"/>
    <cellStyle name="Comma 2 4 3 2 4 5 4 2" xfId="17676"/>
    <cellStyle name="Comma 2 4 3 2 4 5 4 2 2" xfId="38725"/>
    <cellStyle name="Comma 2 4 3 2 4 5 4 3" xfId="32302"/>
    <cellStyle name="Comma 2 4 3 2 4 5 5" xfId="17020"/>
    <cellStyle name="Comma 2 4 3 2 4 5 5 2" xfId="35518"/>
    <cellStyle name="Comma 2 4 3 2 4 5 6" xfId="20866"/>
    <cellStyle name="Comma 2 4 3 2 4 5 7" xfId="29095"/>
    <cellStyle name="Comma 2 4 3 2 4 5 8" xfId="41885"/>
    <cellStyle name="Comma 2 4 3 2 4 6" xfId="11021"/>
    <cellStyle name="Comma 2 4 3 2 4 6 2" xfId="19820"/>
    <cellStyle name="Comma 2 4 3 2 4 6 2 2" xfId="40863"/>
    <cellStyle name="Comma 2 4 3 2 4 6 2 3" xfId="34440"/>
    <cellStyle name="Comma 2 4 3 2 4 6 3" xfId="22019"/>
    <cellStyle name="Comma 2 4 3 2 4 6 3 2" xfId="37656"/>
    <cellStyle name="Comma 2 4 3 2 4 6 4" xfId="31233"/>
    <cellStyle name="Comma 2 4 3 2 4 6 5" xfId="42998"/>
    <cellStyle name="Comma 2 4 3 2 4 7" xfId="8236"/>
    <cellStyle name="Comma 2 4 3 2 4 7 2" xfId="18696"/>
    <cellStyle name="Comma 2 4 3 2 4 7 2 2" xfId="39739"/>
    <cellStyle name="Comma 2 4 3 2 4 7 2 3" xfId="33316"/>
    <cellStyle name="Comma 2 4 3 2 4 7 3" xfId="23186"/>
    <cellStyle name="Comma 2 4 3 2 4 7 3 2" xfId="36532"/>
    <cellStyle name="Comma 2 4 3 2 4 7 4" xfId="30109"/>
    <cellStyle name="Comma 2 4 3 2 4 7 5" xfId="44015"/>
    <cellStyle name="Comma 2 4 3 2 4 8" xfId="7169"/>
    <cellStyle name="Comma 2 4 3 2 4 8 2" xfId="17672"/>
    <cellStyle name="Comma 2 4 3 2 4 8 2 2" xfId="38721"/>
    <cellStyle name="Comma 2 4 3 2 4 8 3" xfId="32298"/>
    <cellStyle name="Comma 2 4 3 2 4 9" xfId="16167"/>
    <cellStyle name="Comma 2 4 3 2 4 9 2" xfId="35514"/>
    <cellStyle name="Comma 2 4 3 2 5" xfId="2343"/>
    <cellStyle name="Comma 2 4 3 2 5 10" xfId="20867"/>
    <cellStyle name="Comma 2 4 3 2 5 11" xfId="29096"/>
    <cellStyle name="Comma 2 4 3 2 5 12" xfId="41886"/>
    <cellStyle name="Comma 2 4 3 2 5 2" xfId="3202"/>
    <cellStyle name="Comma 2 4 3 2 5 2 2" xfId="11027"/>
    <cellStyle name="Comma 2 4 3 2 5 2 2 2" xfId="19826"/>
    <cellStyle name="Comma 2 4 3 2 5 2 2 2 2" xfId="40869"/>
    <cellStyle name="Comma 2 4 3 2 5 2 2 2 3" xfId="34446"/>
    <cellStyle name="Comma 2 4 3 2 5 2 2 3" xfId="22025"/>
    <cellStyle name="Comma 2 4 3 2 5 2 2 3 2" xfId="37662"/>
    <cellStyle name="Comma 2 4 3 2 5 2 2 4" xfId="31239"/>
    <cellStyle name="Comma 2 4 3 2 5 2 2 5" xfId="43004"/>
    <cellStyle name="Comma 2 4 3 2 5 2 3" xfId="8242"/>
    <cellStyle name="Comma 2 4 3 2 5 2 3 2" xfId="18702"/>
    <cellStyle name="Comma 2 4 3 2 5 2 3 2 2" xfId="39745"/>
    <cellStyle name="Comma 2 4 3 2 5 2 3 2 3" xfId="33322"/>
    <cellStyle name="Comma 2 4 3 2 5 2 3 3" xfId="23192"/>
    <cellStyle name="Comma 2 4 3 2 5 2 3 3 2" xfId="36538"/>
    <cellStyle name="Comma 2 4 3 2 5 2 3 4" xfId="30115"/>
    <cellStyle name="Comma 2 4 3 2 5 2 3 5" xfId="44021"/>
    <cellStyle name="Comma 2 4 3 2 5 2 4" xfId="7175"/>
    <cellStyle name="Comma 2 4 3 2 5 2 4 2" xfId="17678"/>
    <cellStyle name="Comma 2 4 3 2 5 2 4 2 2" xfId="38727"/>
    <cellStyle name="Comma 2 4 3 2 5 2 4 3" xfId="32304"/>
    <cellStyle name="Comma 2 4 3 2 5 2 5" xfId="16402"/>
    <cellStyle name="Comma 2 4 3 2 5 2 5 2" xfId="35520"/>
    <cellStyle name="Comma 2 4 3 2 5 2 6" xfId="20868"/>
    <cellStyle name="Comma 2 4 3 2 5 2 7" xfId="29097"/>
    <cellStyle name="Comma 2 4 3 2 5 2 8" xfId="41887"/>
    <cellStyle name="Comma 2 4 3 2 5 3" xfId="4068"/>
    <cellStyle name="Comma 2 4 3 2 5 3 2" xfId="11028"/>
    <cellStyle name="Comma 2 4 3 2 5 3 2 2" xfId="19827"/>
    <cellStyle name="Comma 2 4 3 2 5 3 2 2 2" xfId="40870"/>
    <cellStyle name="Comma 2 4 3 2 5 3 2 2 3" xfId="34447"/>
    <cellStyle name="Comma 2 4 3 2 5 3 2 3" xfId="22026"/>
    <cellStyle name="Comma 2 4 3 2 5 3 2 3 2" xfId="37663"/>
    <cellStyle name="Comma 2 4 3 2 5 3 2 4" xfId="31240"/>
    <cellStyle name="Comma 2 4 3 2 5 3 2 5" xfId="43005"/>
    <cellStyle name="Comma 2 4 3 2 5 3 3" xfId="8243"/>
    <cellStyle name="Comma 2 4 3 2 5 3 3 2" xfId="18703"/>
    <cellStyle name="Comma 2 4 3 2 5 3 3 2 2" xfId="39746"/>
    <cellStyle name="Comma 2 4 3 2 5 3 3 2 3" xfId="33323"/>
    <cellStyle name="Comma 2 4 3 2 5 3 3 3" xfId="23193"/>
    <cellStyle name="Comma 2 4 3 2 5 3 3 3 2" xfId="36539"/>
    <cellStyle name="Comma 2 4 3 2 5 3 3 4" xfId="30116"/>
    <cellStyle name="Comma 2 4 3 2 5 3 3 5" xfId="44022"/>
    <cellStyle name="Comma 2 4 3 2 5 3 4" xfId="7176"/>
    <cellStyle name="Comma 2 4 3 2 5 3 4 2" xfId="17679"/>
    <cellStyle name="Comma 2 4 3 2 5 3 4 2 2" xfId="38728"/>
    <cellStyle name="Comma 2 4 3 2 5 3 4 3" xfId="32305"/>
    <cellStyle name="Comma 2 4 3 2 5 3 5" xfId="16590"/>
    <cellStyle name="Comma 2 4 3 2 5 3 5 2" xfId="35521"/>
    <cellStyle name="Comma 2 4 3 2 5 3 6" xfId="20869"/>
    <cellStyle name="Comma 2 4 3 2 5 3 7" xfId="29098"/>
    <cellStyle name="Comma 2 4 3 2 5 3 8" xfId="41888"/>
    <cellStyle name="Comma 2 4 3 2 5 4" xfId="4947"/>
    <cellStyle name="Comma 2 4 3 2 5 4 2" xfId="11029"/>
    <cellStyle name="Comma 2 4 3 2 5 4 2 2" xfId="19828"/>
    <cellStyle name="Comma 2 4 3 2 5 4 2 2 2" xfId="40871"/>
    <cellStyle name="Comma 2 4 3 2 5 4 2 2 3" xfId="34448"/>
    <cellStyle name="Comma 2 4 3 2 5 4 2 3" xfId="22027"/>
    <cellStyle name="Comma 2 4 3 2 5 4 2 3 2" xfId="37664"/>
    <cellStyle name="Comma 2 4 3 2 5 4 2 4" xfId="31241"/>
    <cellStyle name="Comma 2 4 3 2 5 4 2 5" xfId="43006"/>
    <cellStyle name="Comma 2 4 3 2 5 4 3" xfId="8244"/>
    <cellStyle name="Comma 2 4 3 2 5 4 3 2" xfId="18704"/>
    <cellStyle name="Comma 2 4 3 2 5 4 3 2 2" xfId="39747"/>
    <cellStyle name="Comma 2 4 3 2 5 4 3 2 3" xfId="33324"/>
    <cellStyle name="Comma 2 4 3 2 5 4 3 3" xfId="23194"/>
    <cellStyle name="Comma 2 4 3 2 5 4 3 3 2" xfId="36540"/>
    <cellStyle name="Comma 2 4 3 2 5 4 3 4" xfId="30117"/>
    <cellStyle name="Comma 2 4 3 2 5 4 3 5" xfId="44023"/>
    <cellStyle name="Comma 2 4 3 2 5 4 4" xfId="7177"/>
    <cellStyle name="Comma 2 4 3 2 5 4 4 2" xfId="17680"/>
    <cellStyle name="Comma 2 4 3 2 5 4 4 2 2" xfId="38729"/>
    <cellStyle name="Comma 2 4 3 2 5 4 4 3" xfId="32306"/>
    <cellStyle name="Comma 2 4 3 2 5 4 5" xfId="16778"/>
    <cellStyle name="Comma 2 4 3 2 5 4 5 2" xfId="35522"/>
    <cellStyle name="Comma 2 4 3 2 5 4 6" xfId="20870"/>
    <cellStyle name="Comma 2 4 3 2 5 4 7" xfId="29099"/>
    <cellStyle name="Comma 2 4 3 2 5 4 8" xfId="41889"/>
    <cellStyle name="Comma 2 4 3 2 5 5" xfId="6212"/>
    <cellStyle name="Comma 2 4 3 2 5 5 2" xfId="11030"/>
    <cellStyle name="Comma 2 4 3 2 5 5 2 2" xfId="19829"/>
    <cellStyle name="Comma 2 4 3 2 5 5 2 2 2" xfId="40872"/>
    <cellStyle name="Comma 2 4 3 2 5 5 2 2 3" xfId="34449"/>
    <cellStyle name="Comma 2 4 3 2 5 5 2 3" xfId="22028"/>
    <cellStyle name="Comma 2 4 3 2 5 5 2 3 2" xfId="37665"/>
    <cellStyle name="Comma 2 4 3 2 5 5 2 4" xfId="31242"/>
    <cellStyle name="Comma 2 4 3 2 5 5 2 5" xfId="43007"/>
    <cellStyle name="Comma 2 4 3 2 5 5 3" xfId="8245"/>
    <cellStyle name="Comma 2 4 3 2 5 5 3 2" xfId="18705"/>
    <cellStyle name="Comma 2 4 3 2 5 5 3 2 2" xfId="39748"/>
    <cellStyle name="Comma 2 4 3 2 5 5 3 2 3" xfId="33325"/>
    <cellStyle name="Comma 2 4 3 2 5 5 3 3" xfId="23195"/>
    <cellStyle name="Comma 2 4 3 2 5 5 3 3 2" xfId="36541"/>
    <cellStyle name="Comma 2 4 3 2 5 5 3 4" xfId="30118"/>
    <cellStyle name="Comma 2 4 3 2 5 5 3 5" xfId="44024"/>
    <cellStyle name="Comma 2 4 3 2 5 5 4" xfId="7178"/>
    <cellStyle name="Comma 2 4 3 2 5 5 4 2" xfId="17681"/>
    <cellStyle name="Comma 2 4 3 2 5 5 4 2 2" xfId="38730"/>
    <cellStyle name="Comma 2 4 3 2 5 5 4 3" xfId="32307"/>
    <cellStyle name="Comma 2 4 3 2 5 5 5" xfId="17066"/>
    <cellStyle name="Comma 2 4 3 2 5 5 5 2" xfId="35523"/>
    <cellStyle name="Comma 2 4 3 2 5 5 6" xfId="20871"/>
    <cellStyle name="Comma 2 4 3 2 5 5 7" xfId="29100"/>
    <cellStyle name="Comma 2 4 3 2 5 5 8" xfId="41890"/>
    <cellStyle name="Comma 2 4 3 2 5 6" xfId="11026"/>
    <cellStyle name="Comma 2 4 3 2 5 6 2" xfId="19825"/>
    <cellStyle name="Comma 2 4 3 2 5 6 2 2" xfId="40868"/>
    <cellStyle name="Comma 2 4 3 2 5 6 2 3" xfId="34445"/>
    <cellStyle name="Comma 2 4 3 2 5 6 3" xfId="22024"/>
    <cellStyle name="Comma 2 4 3 2 5 6 3 2" xfId="37661"/>
    <cellStyle name="Comma 2 4 3 2 5 6 4" xfId="31238"/>
    <cellStyle name="Comma 2 4 3 2 5 6 5" xfId="43003"/>
    <cellStyle name="Comma 2 4 3 2 5 7" xfId="8241"/>
    <cellStyle name="Comma 2 4 3 2 5 7 2" xfId="18701"/>
    <cellStyle name="Comma 2 4 3 2 5 7 2 2" xfId="39744"/>
    <cellStyle name="Comma 2 4 3 2 5 7 2 3" xfId="33321"/>
    <cellStyle name="Comma 2 4 3 2 5 7 3" xfId="23191"/>
    <cellStyle name="Comma 2 4 3 2 5 7 3 2" xfId="36537"/>
    <cellStyle name="Comma 2 4 3 2 5 7 4" xfId="30114"/>
    <cellStyle name="Comma 2 4 3 2 5 7 5" xfId="44020"/>
    <cellStyle name="Comma 2 4 3 2 5 8" xfId="7174"/>
    <cellStyle name="Comma 2 4 3 2 5 8 2" xfId="17677"/>
    <cellStyle name="Comma 2 4 3 2 5 8 2 2" xfId="38726"/>
    <cellStyle name="Comma 2 4 3 2 5 8 3" xfId="32303"/>
    <cellStyle name="Comma 2 4 3 2 5 9" xfId="16214"/>
    <cellStyle name="Comma 2 4 3 2 5 9 2" xfId="35519"/>
    <cellStyle name="Comma 2 4 3 2 6" xfId="2473"/>
    <cellStyle name="Comma 2 4 3 2 6 2" xfId="11031"/>
    <cellStyle name="Comma 2 4 3 2 6 2 2" xfId="19830"/>
    <cellStyle name="Comma 2 4 3 2 6 2 2 2" xfId="40873"/>
    <cellStyle name="Comma 2 4 3 2 6 2 2 3" xfId="34450"/>
    <cellStyle name="Comma 2 4 3 2 6 2 3" xfId="22029"/>
    <cellStyle name="Comma 2 4 3 2 6 2 3 2" xfId="37666"/>
    <cellStyle name="Comma 2 4 3 2 6 2 4" xfId="31243"/>
    <cellStyle name="Comma 2 4 3 2 6 2 5" xfId="43008"/>
    <cellStyle name="Comma 2 4 3 2 6 3" xfId="8246"/>
    <cellStyle name="Comma 2 4 3 2 6 3 2" xfId="18706"/>
    <cellStyle name="Comma 2 4 3 2 6 3 2 2" xfId="39749"/>
    <cellStyle name="Comma 2 4 3 2 6 3 2 3" xfId="33326"/>
    <cellStyle name="Comma 2 4 3 2 6 3 3" xfId="23196"/>
    <cellStyle name="Comma 2 4 3 2 6 3 3 2" xfId="36542"/>
    <cellStyle name="Comma 2 4 3 2 6 3 4" xfId="30119"/>
    <cellStyle name="Comma 2 4 3 2 6 3 5" xfId="44025"/>
    <cellStyle name="Comma 2 4 3 2 6 4" xfId="7179"/>
    <cellStyle name="Comma 2 4 3 2 6 4 2" xfId="17682"/>
    <cellStyle name="Comma 2 4 3 2 6 4 2 2" xfId="38731"/>
    <cellStyle name="Comma 2 4 3 2 6 4 3" xfId="32308"/>
    <cellStyle name="Comma 2 4 3 2 6 5" xfId="16248"/>
    <cellStyle name="Comma 2 4 3 2 6 5 2" xfId="35524"/>
    <cellStyle name="Comma 2 4 3 2 6 6" xfId="20872"/>
    <cellStyle name="Comma 2 4 3 2 6 7" xfId="29101"/>
    <cellStyle name="Comma 2 4 3 2 6 8" xfId="41891"/>
    <cellStyle name="Comma 2 4 3 2 7" xfId="3336"/>
    <cellStyle name="Comma 2 4 3 2 7 2" xfId="11032"/>
    <cellStyle name="Comma 2 4 3 2 7 2 2" xfId="19831"/>
    <cellStyle name="Comma 2 4 3 2 7 2 2 2" xfId="40874"/>
    <cellStyle name="Comma 2 4 3 2 7 2 2 3" xfId="34451"/>
    <cellStyle name="Comma 2 4 3 2 7 2 3" xfId="22030"/>
    <cellStyle name="Comma 2 4 3 2 7 2 3 2" xfId="37667"/>
    <cellStyle name="Comma 2 4 3 2 7 2 4" xfId="31244"/>
    <cellStyle name="Comma 2 4 3 2 7 2 5" xfId="43009"/>
    <cellStyle name="Comma 2 4 3 2 7 3" xfId="8247"/>
    <cellStyle name="Comma 2 4 3 2 7 3 2" xfId="18707"/>
    <cellStyle name="Comma 2 4 3 2 7 3 2 2" xfId="39750"/>
    <cellStyle name="Comma 2 4 3 2 7 3 2 3" xfId="33327"/>
    <cellStyle name="Comma 2 4 3 2 7 3 3" xfId="23197"/>
    <cellStyle name="Comma 2 4 3 2 7 3 3 2" xfId="36543"/>
    <cellStyle name="Comma 2 4 3 2 7 3 4" xfId="30120"/>
    <cellStyle name="Comma 2 4 3 2 7 3 5" xfId="44026"/>
    <cellStyle name="Comma 2 4 3 2 7 4" xfId="7180"/>
    <cellStyle name="Comma 2 4 3 2 7 4 2" xfId="17683"/>
    <cellStyle name="Comma 2 4 3 2 7 4 2 2" xfId="38732"/>
    <cellStyle name="Comma 2 4 3 2 7 4 3" xfId="32309"/>
    <cellStyle name="Comma 2 4 3 2 7 5" xfId="16436"/>
    <cellStyle name="Comma 2 4 3 2 7 5 2" xfId="35525"/>
    <cellStyle name="Comma 2 4 3 2 7 6" xfId="20873"/>
    <cellStyle name="Comma 2 4 3 2 7 7" xfId="29102"/>
    <cellStyle name="Comma 2 4 3 2 7 8" xfId="41892"/>
    <cellStyle name="Comma 2 4 3 2 8" xfId="4204"/>
    <cellStyle name="Comma 2 4 3 2 8 2" xfId="11033"/>
    <cellStyle name="Comma 2 4 3 2 8 2 2" xfId="19832"/>
    <cellStyle name="Comma 2 4 3 2 8 2 2 2" xfId="40875"/>
    <cellStyle name="Comma 2 4 3 2 8 2 2 3" xfId="34452"/>
    <cellStyle name="Comma 2 4 3 2 8 2 3" xfId="22031"/>
    <cellStyle name="Comma 2 4 3 2 8 2 3 2" xfId="37668"/>
    <cellStyle name="Comma 2 4 3 2 8 2 4" xfId="31245"/>
    <cellStyle name="Comma 2 4 3 2 8 2 5" xfId="43010"/>
    <cellStyle name="Comma 2 4 3 2 8 3" xfId="8248"/>
    <cellStyle name="Comma 2 4 3 2 8 3 2" xfId="18708"/>
    <cellStyle name="Comma 2 4 3 2 8 3 2 2" xfId="39751"/>
    <cellStyle name="Comma 2 4 3 2 8 3 2 3" xfId="33328"/>
    <cellStyle name="Comma 2 4 3 2 8 3 3" xfId="23198"/>
    <cellStyle name="Comma 2 4 3 2 8 3 3 2" xfId="36544"/>
    <cellStyle name="Comma 2 4 3 2 8 3 4" xfId="30121"/>
    <cellStyle name="Comma 2 4 3 2 8 3 5" xfId="44027"/>
    <cellStyle name="Comma 2 4 3 2 8 4" xfId="7181"/>
    <cellStyle name="Comma 2 4 3 2 8 4 2" xfId="17684"/>
    <cellStyle name="Comma 2 4 3 2 8 4 2 2" xfId="38733"/>
    <cellStyle name="Comma 2 4 3 2 8 4 3" xfId="32310"/>
    <cellStyle name="Comma 2 4 3 2 8 5" xfId="16624"/>
    <cellStyle name="Comma 2 4 3 2 8 5 2" xfId="35526"/>
    <cellStyle name="Comma 2 4 3 2 8 6" xfId="20874"/>
    <cellStyle name="Comma 2 4 3 2 8 7" xfId="29103"/>
    <cellStyle name="Comma 2 4 3 2 8 8" xfId="41893"/>
    <cellStyle name="Comma 2 4 3 2 9" xfId="5019"/>
    <cellStyle name="Comma 2 4 3 2 9 2" xfId="11034"/>
    <cellStyle name="Comma 2 4 3 2 9 2 2" xfId="19833"/>
    <cellStyle name="Comma 2 4 3 2 9 2 2 2" xfId="40876"/>
    <cellStyle name="Comma 2 4 3 2 9 2 2 3" xfId="34453"/>
    <cellStyle name="Comma 2 4 3 2 9 2 3" xfId="22032"/>
    <cellStyle name="Comma 2 4 3 2 9 2 3 2" xfId="37669"/>
    <cellStyle name="Comma 2 4 3 2 9 2 4" xfId="31246"/>
    <cellStyle name="Comma 2 4 3 2 9 2 5" xfId="43011"/>
    <cellStyle name="Comma 2 4 3 2 9 3" xfId="8249"/>
    <cellStyle name="Comma 2 4 3 2 9 3 2" xfId="18709"/>
    <cellStyle name="Comma 2 4 3 2 9 3 2 2" xfId="39752"/>
    <cellStyle name="Comma 2 4 3 2 9 3 2 3" xfId="33329"/>
    <cellStyle name="Comma 2 4 3 2 9 3 3" xfId="23199"/>
    <cellStyle name="Comma 2 4 3 2 9 3 3 2" xfId="36545"/>
    <cellStyle name="Comma 2 4 3 2 9 3 4" xfId="30122"/>
    <cellStyle name="Comma 2 4 3 2 9 3 5" xfId="44028"/>
    <cellStyle name="Comma 2 4 3 2 9 4" xfId="7182"/>
    <cellStyle name="Comma 2 4 3 2 9 4 2" xfId="17685"/>
    <cellStyle name="Comma 2 4 3 2 9 4 2 2" xfId="38734"/>
    <cellStyle name="Comma 2 4 3 2 9 4 3" xfId="32311"/>
    <cellStyle name="Comma 2 4 3 2 9 5" xfId="16834"/>
    <cellStyle name="Comma 2 4 3 2 9 5 2" xfId="35527"/>
    <cellStyle name="Comma 2 4 3 2 9 6" xfId="20875"/>
    <cellStyle name="Comma 2 4 3 2 9 7" xfId="29104"/>
    <cellStyle name="Comma 2 4 3 2 9 8" xfId="41894"/>
    <cellStyle name="Comma 2 4 3 3" xfId="1481"/>
    <cellStyle name="Comma 2 4 3 3 10" xfId="8250"/>
    <cellStyle name="Comma 2 4 3 3 10 2" xfId="18710"/>
    <cellStyle name="Comma 2 4 3 3 10 2 2" xfId="39753"/>
    <cellStyle name="Comma 2 4 3 3 10 2 3" xfId="33330"/>
    <cellStyle name="Comma 2 4 3 3 10 3" xfId="23200"/>
    <cellStyle name="Comma 2 4 3 3 10 3 2" xfId="36546"/>
    <cellStyle name="Comma 2 4 3 3 10 4" xfId="30123"/>
    <cellStyle name="Comma 2 4 3 3 10 5" xfId="44029"/>
    <cellStyle name="Comma 2 4 3 3 11" xfId="6618"/>
    <cellStyle name="Comma 2 4 3 3 11 2" xfId="17125"/>
    <cellStyle name="Comma 2 4 3 3 11 2 2" xfId="38178"/>
    <cellStyle name="Comma 2 4 3 3 11 3" xfId="31755"/>
    <cellStyle name="Comma 2 4 3 3 12" xfId="16051"/>
    <cellStyle name="Comma 2 4 3 3 12 2" xfId="34971"/>
    <cellStyle name="Comma 2 4 3 3 13" xfId="20876"/>
    <cellStyle name="Comma 2 4 3 3 14" xfId="28546"/>
    <cellStyle name="Comma 2 4 3 3 15" xfId="41895"/>
    <cellStyle name="Comma 2 4 3 3 2" xfId="1835"/>
    <cellStyle name="Comma 2 4 3 3 2 10" xfId="16113"/>
    <cellStyle name="Comma 2 4 3 3 2 10 2" xfId="34965"/>
    <cellStyle name="Comma 2 4 3 3 2 11" xfId="20877"/>
    <cellStyle name="Comma 2 4 3 3 2 12" xfId="28540"/>
    <cellStyle name="Comma 2 4 3 3 2 13" xfId="41896"/>
    <cellStyle name="Comma 2 4 3 3 2 2" xfId="2725"/>
    <cellStyle name="Comma 2 4 3 3 2 2 2" xfId="11035"/>
    <cellStyle name="Comma 2 4 3 3 2 2 2 2" xfId="19834"/>
    <cellStyle name="Comma 2 4 3 3 2 2 2 2 2" xfId="40877"/>
    <cellStyle name="Comma 2 4 3 3 2 2 2 2 3" xfId="34454"/>
    <cellStyle name="Comma 2 4 3 3 2 2 2 3" xfId="22033"/>
    <cellStyle name="Comma 2 4 3 3 2 2 2 3 2" xfId="37670"/>
    <cellStyle name="Comma 2 4 3 3 2 2 2 4" xfId="31247"/>
    <cellStyle name="Comma 2 4 3 3 2 2 2 5" xfId="43012"/>
    <cellStyle name="Comma 2 4 3 3 2 2 3" xfId="8252"/>
    <cellStyle name="Comma 2 4 3 3 2 2 3 2" xfId="18712"/>
    <cellStyle name="Comma 2 4 3 3 2 2 3 2 2" xfId="39755"/>
    <cellStyle name="Comma 2 4 3 3 2 2 3 2 3" xfId="33332"/>
    <cellStyle name="Comma 2 4 3 3 2 2 3 3" xfId="23202"/>
    <cellStyle name="Comma 2 4 3 3 2 2 3 3 2" xfId="36548"/>
    <cellStyle name="Comma 2 4 3 3 2 2 3 4" xfId="30125"/>
    <cellStyle name="Comma 2 4 3 3 2 2 3 5" xfId="44031"/>
    <cellStyle name="Comma 2 4 3 3 2 2 4" xfId="7183"/>
    <cellStyle name="Comma 2 4 3 3 2 2 4 2" xfId="17686"/>
    <cellStyle name="Comma 2 4 3 3 2 2 4 2 2" xfId="38735"/>
    <cellStyle name="Comma 2 4 3 3 2 2 4 3" xfId="32312"/>
    <cellStyle name="Comma 2 4 3 3 2 2 5" xfId="16303"/>
    <cellStyle name="Comma 2 4 3 3 2 2 5 2" xfId="35528"/>
    <cellStyle name="Comma 2 4 3 3 2 2 6" xfId="20878"/>
    <cellStyle name="Comma 2 4 3 3 2 2 7" xfId="29105"/>
    <cellStyle name="Comma 2 4 3 3 2 2 8" xfId="41897"/>
    <cellStyle name="Comma 2 4 3 3 2 3" xfId="3589"/>
    <cellStyle name="Comma 2 4 3 3 2 3 2" xfId="11036"/>
    <cellStyle name="Comma 2 4 3 3 2 3 2 2" xfId="19835"/>
    <cellStyle name="Comma 2 4 3 3 2 3 2 2 2" xfId="40878"/>
    <cellStyle name="Comma 2 4 3 3 2 3 2 2 3" xfId="34455"/>
    <cellStyle name="Comma 2 4 3 3 2 3 2 3" xfId="22034"/>
    <cellStyle name="Comma 2 4 3 3 2 3 2 3 2" xfId="37671"/>
    <cellStyle name="Comma 2 4 3 3 2 3 2 4" xfId="31248"/>
    <cellStyle name="Comma 2 4 3 3 2 3 2 5" xfId="43013"/>
    <cellStyle name="Comma 2 4 3 3 2 3 3" xfId="8253"/>
    <cellStyle name="Comma 2 4 3 3 2 3 3 2" xfId="18713"/>
    <cellStyle name="Comma 2 4 3 3 2 3 3 2 2" xfId="39756"/>
    <cellStyle name="Comma 2 4 3 3 2 3 3 2 3" xfId="33333"/>
    <cellStyle name="Comma 2 4 3 3 2 3 3 3" xfId="23203"/>
    <cellStyle name="Comma 2 4 3 3 2 3 3 3 2" xfId="36549"/>
    <cellStyle name="Comma 2 4 3 3 2 3 3 4" xfId="30126"/>
    <cellStyle name="Comma 2 4 3 3 2 3 3 5" xfId="44032"/>
    <cellStyle name="Comma 2 4 3 3 2 3 4" xfId="7184"/>
    <cellStyle name="Comma 2 4 3 3 2 3 4 2" xfId="17687"/>
    <cellStyle name="Comma 2 4 3 3 2 3 4 2 2" xfId="38736"/>
    <cellStyle name="Comma 2 4 3 3 2 3 4 3" xfId="32313"/>
    <cellStyle name="Comma 2 4 3 3 2 3 5" xfId="16491"/>
    <cellStyle name="Comma 2 4 3 3 2 3 5 2" xfId="35529"/>
    <cellStyle name="Comma 2 4 3 3 2 3 6" xfId="20879"/>
    <cellStyle name="Comma 2 4 3 3 2 3 7" xfId="29106"/>
    <cellStyle name="Comma 2 4 3 3 2 3 8" xfId="41898"/>
    <cellStyle name="Comma 2 4 3 3 2 4" xfId="4464"/>
    <cellStyle name="Comma 2 4 3 3 2 4 2" xfId="11037"/>
    <cellStyle name="Comma 2 4 3 3 2 4 2 2" xfId="19836"/>
    <cellStyle name="Comma 2 4 3 3 2 4 2 2 2" xfId="40879"/>
    <cellStyle name="Comma 2 4 3 3 2 4 2 2 3" xfId="34456"/>
    <cellStyle name="Comma 2 4 3 3 2 4 2 3" xfId="22035"/>
    <cellStyle name="Comma 2 4 3 3 2 4 2 3 2" xfId="37672"/>
    <cellStyle name="Comma 2 4 3 3 2 4 2 4" xfId="31249"/>
    <cellStyle name="Comma 2 4 3 3 2 4 2 5" xfId="43014"/>
    <cellStyle name="Comma 2 4 3 3 2 4 3" xfId="8254"/>
    <cellStyle name="Comma 2 4 3 3 2 4 3 2" xfId="18714"/>
    <cellStyle name="Comma 2 4 3 3 2 4 3 2 2" xfId="39757"/>
    <cellStyle name="Comma 2 4 3 3 2 4 3 2 3" xfId="33334"/>
    <cellStyle name="Comma 2 4 3 3 2 4 3 3" xfId="23204"/>
    <cellStyle name="Comma 2 4 3 3 2 4 3 3 2" xfId="36550"/>
    <cellStyle name="Comma 2 4 3 3 2 4 3 4" xfId="30127"/>
    <cellStyle name="Comma 2 4 3 3 2 4 3 5" xfId="44033"/>
    <cellStyle name="Comma 2 4 3 3 2 4 4" xfId="7185"/>
    <cellStyle name="Comma 2 4 3 3 2 4 4 2" xfId="17688"/>
    <cellStyle name="Comma 2 4 3 3 2 4 4 2 2" xfId="38737"/>
    <cellStyle name="Comma 2 4 3 3 2 4 4 3" xfId="32314"/>
    <cellStyle name="Comma 2 4 3 3 2 4 5" xfId="16679"/>
    <cellStyle name="Comma 2 4 3 3 2 4 5 2" xfId="35530"/>
    <cellStyle name="Comma 2 4 3 3 2 4 6" xfId="20880"/>
    <cellStyle name="Comma 2 4 3 3 2 4 7" xfId="29107"/>
    <cellStyle name="Comma 2 4 3 3 2 4 8" xfId="41899"/>
    <cellStyle name="Comma 2 4 3 3 2 5" xfId="5024"/>
    <cellStyle name="Comma 2 4 3 3 2 5 2" xfId="11038"/>
    <cellStyle name="Comma 2 4 3 3 2 5 2 2" xfId="19837"/>
    <cellStyle name="Comma 2 4 3 3 2 5 2 2 2" xfId="40880"/>
    <cellStyle name="Comma 2 4 3 3 2 5 2 2 3" xfId="34457"/>
    <cellStyle name="Comma 2 4 3 3 2 5 2 3" xfId="22036"/>
    <cellStyle name="Comma 2 4 3 3 2 5 2 3 2" xfId="37673"/>
    <cellStyle name="Comma 2 4 3 3 2 5 2 4" xfId="31250"/>
    <cellStyle name="Comma 2 4 3 3 2 5 2 5" xfId="43015"/>
    <cellStyle name="Comma 2 4 3 3 2 5 3" xfId="8255"/>
    <cellStyle name="Comma 2 4 3 3 2 5 3 2" xfId="18715"/>
    <cellStyle name="Comma 2 4 3 3 2 5 3 2 2" xfId="39758"/>
    <cellStyle name="Comma 2 4 3 3 2 5 3 2 3" xfId="33335"/>
    <cellStyle name="Comma 2 4 3 3 2 5 3 3" xfId="23205"/>
    <cellStyle name="Comma 2 4 3 3 2 5 3 3 2" xfId="36551"/>
    <cellStyle name="Comma 2 4 3 3 2 5 3 4" xfId="30128"/>
    <cellStyle name="Comma 2 4 3 3 2 5 3 5" xfId="44034"/>
    <cellStyle name="Comma 2 4 3 3 2 5 4" xfId="7186"/>
    <cellStyle name="Comma 2 4 3 3 2 5 4 2" xfId="17689"/>
    <cellStyle name="Comma 2 4 3 3 2 5 4 2 2" xfId="38738"/>
    <cellStyle name="Comma 2 4 3 3 2 5 4 3" xfId="32315"/>
    <cellStyle name="Comma 2 4 3 3 2 5 5" xfId="16839"/>
    <cellStyle name="Comma 2 4 3 3 2 5 5 2" xfId="35531"/>
    <cellStyle name="Comma 2 4 3 3 2 5 6" xfId="20881"/>
    <cellStyle name="Comma 2 4 3 3 2 5 7" xfId="29108"/>
    <cellStyle name="Comma 2 4 3 3 2 5 8" xfId="41900"/>
    <cellStyle name="Comma 2 4 3 3 2 6" xfId="5729"/>
    <cellStyle name="Comma 2 4 3 3 2 6 2" xfId="11039"/>
    <cellStyle name="Comma 2 4 3 3 2 6 2 2" xfId="19838"/>
    <cellStyle name="Comma 2 4 3 3 2 6 2 2 2" xfId="40881"/>
    <cellStyle name="Comma 2 4 3 3 2 6 2 2 3" xfId="34458"/>
    <cellStyle name="Comma 2 4 3 3 2 6 2 3" xfId="22037"/>
    <cellStyle name="Comma 2 4 3 3 2 6 2 3 2" xfId="37674"/>
    <cellStyle name="Comma 2 4 3 3 2 6 2 4" xfId="31251"/>
    <cellStyle name="Comma 2 4 3 3 2 6 2 5" xfId="43016"/>
    <cellStyle name="Comma 2 4 3 3 2 6 3" xfId="8256"/>
    <cellStyle name="Comma 2 4 3 3 2 6 3 2" xfId="18716"/>
    <cellStyle name="Comma 2 4 3 3 2 6 3 2 2" xfId="39759"/>
    <cellStyle name="Comma 2 4 3 3 2 6 3 2 3" xfId="33336"/>
    <cellStyle name="Comma 2 4 3 3 2 6 3 3" xfId="23206"/>
    <cellStyle name="Comma 2 4 3 3 2 6 3 3 2" xfId="36552"/>
    <cellStyle name="Comma 2 4 3 3 2 6 3 4" xfId="30129"/>
    <cellStyle name="Comma 2 4 3 3 2 6 3 5" xfId="44035"/>
    <cellStyle name="Comma 2 4 3 3 2 6 4" xfId="7187"/>
    <cellStyle name="Comma 2 4 3 3 2 6 4 2" xfId="17690"/>
    <cellStyle name="Comma 2 4 3 3 2 6 4 2 2" xfId="38739"/>
    <cellStyle name="Comma 2 4 3 3 2 6 4 3" xfId="32316"/>
    <cellStyle name="Comma 2 4 3 3 2 6 5" xfId="16967"/>
    <cellStyle name="Comma 2 4 3 3 2 6 5 2" xfId="35532"/>
    <cellStyle name="Comma 2 4 3 3 2 6 6" xfId="20882"/>
    <cellStyle name="Comma 2 4 3 3 2 6 7" xfId="29109"/>
    <cellStyle name="Comma 2 4 3 3 2 6 8" xfId="41901"/>
    <cellStyle name="Comma 2 4 3 3 2 7" xfId="10212"/>
    <cellStyle name="Comma 2 4 3 3 2 7 2" xfId="19266"/>
    <cellStyle name="Comma 2 4 3 3 2 7 2 2" xfId="40309"/>
    <cellStyle name="Comma 2 4 3 3 2 7 2 3" xfId="33886"/>
    <cellStyle name="Comma 2 4 3 3 2 7 3" xfId="21466"/>
    <cellStyle name="Comma 2 4 3 3 2 7 3 2" xfId="37102"/>
    <cellStyle name="Comma 2 4 3 3 2 7 4" xfId="30679"/>
    <cellStyle name="Comma 2 4 3 3 2 7 5" xfId="42445"/>
    <cellStyle name="Comma 2 4 3 3 2 8" xfId="8251"/>
    <cellStyle name="Comma 2 4 3 3 2 8 2" xfId="18711"/>
    <cellStyle name="Comma 2 4 3 3 2 8 2 2" xfId="39754"/>
    <cellStyle name="Comma 2 4 3 3 2 8 2 3" xfId="33331"/>
    <cellStyle name="Comma 2 4 3 3 2 8 3" xfId="23201"/>
    <cellStyle name="Comma 2 4 3 3 2 8 3 2" xfId="36547"/>
    <cellStyle name="Comma 2 4 3 3 2 8 4" xfId="30124"/>
    <cellStyle name="Comma 2 4 3 3 2 8 5" xfId="44030"/>
    <cellStyle name="Comma 2 4 3 3 2 9" xfId="6612"/>
    <cellStyle name="Comma 2 4 3 3 2 9 2" xfId="17119"/>
    <cellStyle name="Comma 2 4 3 3 2 9 2 2" xfId="38172"/>
    <cellStyle name="Comma 2 4 3 3 2 9 3" xfId="31749"/>
    <cellStyle name="Comma 2 4 3 3 3" xfId="2110"/>
    <cellStyle name="Comma 2 4 3 3 3 10" xfId="20883"/>
    <cellStyle name="Comma 2 4 3 3 3 11" xfId="29110"/>
    <cellStyle name="Comma 2 4 3 3 3 12" xfId="41902"/>
    <cellStyle name="Comma 2 4 3 3 3 2" xfId="2980"/>
    <cellStyle name="Comma 2 4 3 3 3 2 2" xfId="11041"/>
    <cellStyle name="Comma 2 4 3 3 3 2 2 2" xfId="19840"/>
    <cellStyle name="Comma 2 4 3 3 3 2 2 2 2" xfId="40883"/>
    <cellStyle name="Comma 2 4 3 3 3 2 2 2 3" xfId="34460"/>
    <cellStyle name="Comma 2 4 3 3 3 2 2 3" xfId="22039"/>
    <cellStyle name="Comma 2 4 3 3 3 2 2 3 2" xfId="37676"/>
    <cellStyle name="Comma 2 4 3 3 3 2 2 4" xfId="31253"/>
    <cellStyle name="Comma 2 4 3 3 3 2 2 5" xfId="43018"/>
    <cellStyle name="Comma 2 4 3 3 3 2 3" xfId="8258"/>
    <cellStyle name="Comma 2 4 3 3 3 2 3 2" xfId="18718"/>
    <cellStyle name="Comma 2 4 3 3 3 2 3 2 2" xfId="39761"/>
    <cellStyle name="Comma 2 4 3 3 3 2 3 2 3" xfId="33338"/>
    <cellStyle name="Comma 2 4 3 3 3 2 3 3" xfId="23208"/>
    <cellStyle name="Comma 2 4 3 3 3 2 3 3 2" xfId="36554"/>
    <cellStyle name="Comma 2 4 3 3 3 2 3 4" xfId="30131"/>
    <cellStyle name="Comma 2 4 3 3 3 2 3 5" xfId="44037"/>
    <cellStyle name="Comma 2 4 3 3 3 2 4" xfId="7189"/>
    <cellStyle name="Comma 2 4 3 3 3 2 4 2" xfId="17692"/>
    <cellStyle name="Comma 2 4 3 3 3 2 4 2 2" xfId="38741"/>
    <cellStyle name="Comma 2 4 3 3 3 2 4 3" xfId="32318"/>
    <cellStyle name="Comma 2 4 3 3 3 2 5" xfId="16358"/>
    <cellStyle name="Comma 2 4 3 3 3 2 5 2" xfId="35534"/>
    <cellStyle name="Comma 2 4 3 3 3 2 6" xfId="20884"/>
    <cellStyle name="Comma 2 4 3 3 3 2 7" xfId="29111"/>
    <cellStyle name="Comma 2 4 3 3 3 2 8" xfId="41903"/>
    <cellStyle name="Comma 2 4 3 3 3 3" xfId="3850"/>
    <cellStyle name="Comma 2 4 3 3 3 3 2" xfId="11042"/>
    <cellStyle name="Comma 2 4 3 3 3 3 2 2" xfId="19841"/>
    <cellStyle name="Comma 2 4 3 3 3 3 2 2 2" xfId="40884"/>
    <cellStyle name="Comma 2 4 3 3 3 3 2 2 3" xfId="34461"/>
    <cellStyle name="Comma 2 4 3 3 3 3 2 3" xfId="22040"/>
    <cellStyle name="Comma 2 4 3 3 3 3 2 3 2" xfId="37677"/>
    <cellStyle name="Comma 2 4 3 3 3 3 2 4" xfId="31254"/>
    <cellStyle name="Comma 2 4 3 3 3 3 2 5" xfId="43019"/>
    <cellStyle name="Comma 2 4 3 3 3 3 3" xfId="8259"/>
    <cellStyle name="Comma 2 4 3 3 3 3 3 2" xfId="18719"/>
    <cellStyle name="Comma 2 4 3 3 3 3 3 2 2" xfId="39762"/>
    <cellStyle name="Comma 2 4 3 3 3 3 3 2 3" xfId="33339"/>
    <cellStyle name="Comma 2 4 3 3 3 3 3 3" xfId="23209"/>
    <cellStyle name="Comma 2 4 3 3 3 3 3 3 2" xfId="36555"/>
    <cellStyle name="Comma 2 4 3 3 3 3 3 4" xfId="30132"/>
    <cellStyle name="Comma 2 4 3 3 3 3 3 5" xfId="44038"/>
    <cellStyle name="Comma 2 4 3 3 3 3 4" xfId="7190"/>
    <cellStyle name="Comma 2 4 3 3 3 3 4 2" xfId="17693"/>
    <cellStyle name="Comma 2 4 3 3 3 3 4 2 2" xfId="38742"/>
    <cellStyle name="Comma 2 4 3 3 3 3 4 3" xfId="32319"/>
    <cellStyle name="Comma 2 4 3 3 3 3 5" xfId="16546"/>
    <cellStyle name="Comma 2 4 3 3 3 3 5 2" xfId="35535"/>
    <cellStyle name="Comma 2 4 3 3 3 3 6" xfId="20885"/>
    <cellStyle name="Comma 2 4 3 3 3 3 7" xfId="29112"/>
    <cellStyle name="Comma 2 4 3 3 3 3 8" xfId="41904"/>
    <cellStyle name="Comma 2 4 3 3 3 4" xfId="4728"/>
    <cellStyle name="Comma 2 4 3 3 3 4 2" xfId="11043"/>
    <cellStyle name="Comma 2 4 3 3 3 4 2 2" xfId="19842"/>
    <cellStyle name="Comma 2 4 3 3 3 4 2 2 2" xfId="40885"/>
    <cellStyle name="Comma 2 4 3 3 3 4 2 2 3" xfId="34462"/>
    <cellStyle name="Comma 2 4 3 3 3 4 2 3" xfId="22041"/>
    <cellStyle name="Comma 2 4 3 3 3 4 2 3 2" xfId="37678"/>
    <cellStyle name="Comma 2 4 3 3 3 4 2 4" xfId="31255"/>
    <cellStyle name="Comma 2 4 3 3 3 4 2 5" xfId="43020"/>
    <cellStyle name="Comma 2 4 3 3 3 4 3" xfId="8260"/>
    <cellStyle name="Comma 2 4 3 3 3 4 3 2" xfId="18720"/>
    <cellStyle name="Comma 2 4 3 3 3 4 3 2 2" xfId="39763"/>
    <cellStyle name="Comma 2 4 3 3 3 4 3 2 3" xfId="33340"/>
    <cellStyle name="Comma 2 4 3 3 3 4 3 3" xfId="23210"/>
    <cellStyle name="Comma 2 4 3 3 3 4 3 3 2" xfId="36556"/>
    <cellStyle name="Comma 2 4 3 3 3 4 3 4" xfId="30133"/>
    <cellStyle name="Comma 2 4 3 3 3 4 3 5" xfId="44039"/>
    <cellStyle name="Comma 2 4 3 3 3 4 4" xfId="7191"/>
    <cellStyle name="Comma 2 4 3 3 3 4 4 2" xfId="17694"/>
    <cellStyle name="Comma 2 4 3 3 3 4 4 2 2" xfId="38743"/>
    <cellStyle name="Comma 2 4 3 3 3 4 4 3" xfId="32320"/>
    <cellStyle name="Comma 2 4 3 3 3 4 5" xfId="16734"/>
    <cellStyle name="Comma 2 4 3 3 3 4 5 2" xfId="35536"/>
    <cellStyle name="Comma 2 4 3 3 3 4 6" xfId="20886"/>
    <cellStyle name="Comma 2 4 3 3 3 4 7" xfId="29113"/>
    <cellStyle name="Comma 2 4 3 3 3 4 8" xfId="41905"/>
    <cellStyle name="Comma 2 4 3 3 3 5" xfId="5993"/>
    <cellStyle name="Comma 2 4 3 3 3 5 2" xfId="11044"/>
    <cellStyle name="Comma 2 4 3 3 3 5 2 2" xfId="19843"/>
    <cellStyle name="Comma 2 4 3 3 3 5 2 2 2" xfId="40886"/>
    <cellStyle name="Comma 2 4 3 3 3 5 2 2 3" xfId="34463"/>
    <cellStyle name="Comma 2 4 3 3 3 5 2 3" xfId="22042"/>
    <cellStyle name="Comma 2 4 3 3 3 5 2 3 2" xfId="37679"/>
    <cellStyle name="Comma 2 4 3 3 3 5 2 4" xfId="31256"/>
    <cellStyle name="Comma 2 4 3 3 3 5 2 5" xfId="43021"/>
    <cellStyle name="Comma 2 4 3 3 3 5 3" xfId="8261"/>
    <cellStyle name="Comma 2 4 3 3 3 5 3 2" xfId="18721"/>
    <cellStyle name="Comma 2 4 3 3 3 5 3 2 2" xfId="39764"/>
    <cellStyle name="Comma 2 4 3 3 3 5 3 2 3" xfId="33341"/>
    <cellStyle name="Comma 2 4 3 3 3 5 3 3" xfId="23211"/>
    <cellStyle name="Comma 2 4 3 3 3 5 3 3 2" xfId="36557"/>
    <cellStyle name="Comma 2 4 3 3 3 5 3 4" xfId="30134"/>
    <cellStyle name="Comma 2 4 3 3 3 5 3 5" xfId="44040"/>
    <cellStyle name="Comma 2 4 3 3 3 5 4" xfId="7192"/>
    <cellStyle name="Comma 2 4 3 3 3 5 4 2" xfId="17695"/>
    <cellStyle name="Comma 2 4 3 3 3 5 4 2 2" xfId="38744"/>
    <cellStyle name="Comma 2 4 3 3 3 5 4 3" xfId="32321"/>
    <cellStyle name="Comma 2 4 3 3 3 5 5" xfId="17022"/>
    <cellStyle name="Comma 2 4 3 3 3 5 5 2" xfId="35537"/>
    <cellStyle name="Comma 2 4 3 3 3 5 6" xfId="20887"/>
    <cellStyle name="Comma 2 4 3 3 3 5 7" xfId="29114"/>
    <cellStyle name="Comma 2 4 3 3 3 5 8" xfId="41906"/>
    <cellStyle name="Comma 2 4 3 3 3 6" xfId="11040"/>
    <cellStyle name="Comma 2 4 3 3 3 6 2" xfId="19839"/>
    <cellStyle name="Comma 2 4 3 3 3 6 2 2" xfId="40882"/>
    <cellStyle name="Comma 2 4 3 3 3 6 2 3" xfId="34459"/>
    <cellStyle name="Comma 2 4 3 3 3 6 3" xfId="22038"/>
    <cellStyle name="Comma 2 4 3 3 3 6 3 2" xfId="37675"/>
    <cellStyle name="Comma 2 4 3 3 3 6 4" xfId="31252"/>
    <cellStyle name="Comma 2 4 3 3 3 6 5" xfId="43017"/>
    <cellStyle name="Comma 2 4 3 3 3 7" xfId="8257"/>
    <cellStyle name="Comma 2 4 3 3 3 7 2" xfId="18717"/>
    <cellStyle name="Comma 2 4 3 3 3 7 2 2" xfId="39760"/>
    <cellStyle name="Comma 2 4 3 3 3 7 2 3" xfId="33337"/>
    <cellStyle name="Comma 2 4 3 3 3 7 3" xfId="23207"/>
    <cellStyle name="Comma 2 4 3 3 3 7 3 2" xfId="36553"/>
    <cellStyle name="Comma 2 4 3 3 3 7 4" xfId="30130"/>
    <cellStyle name="Comma 2 4 3 3 3 7 5" xfId="44036"/>
    <cellStyle name="Comma 2 4 3 3 3 8" xfId="7188"/>
    <cellStyle name="Comma 2 4 3 3 3 8 2" xfId="17691"/>
    <cellStyle name="Comma 2 4 3 3 3 8 2 2" xfId="38740"/>
    <cellStyle name="Comma 2 4 3 3 3 8 3" xfId="32317"/>
    <cellStyle name="Comma 2 4 3 3 3 9" xfId="16169"/>
    <cellStyle name="Comma 2 4 3 3 3 9 2" xfId="35533"/>
    <cellStyle name="Comma 2 4 3 3 4" xfId="2475"/>
    <cellStyle name="Comma 2 4 3 3 4 2" xfId="11045"/>
    <cellStyle name="Comma 2 4 3 3 4 2 2" xfId="19844"/>
    <cellStyle name="Comma 2 4 3 3 4 2 2 2" xfId="40887"/>
    <cellStyle name="Comma 2 4 3 3 4 2 2 3" xfId="34464"/>
    <cellStyle name="Comma 2 4 3 3 4 2 3" xfId="22043"/>
    <cellStyle name="Comma 2 4 3 3 4 2 3 2" xfId="37680"/>
    <cellStyle name="Comma 2 4 3 3 4 2 4" xfId="31257"/>
    <cellStyle name="Comma 2 4 3 3 4 2 5" xfId="43022"/>
    <cellStyle name="Comma 2 4 3 3 4 3" xfId="8262"/>
    <cellStyle name="Comma 2 4 3 3 4 3 2" xfId="18722"/>
    <cellStyle name="Comma 2 4 3 3 4 3 2 2" xfId="39765"/>
    <cellStyle name="Comma 2 4 3 3 4 3 2 3" xfId="33342"/>
    <cellStyle name="Comma 2 4 3 3 4 3 3" xfId="23212"/>
    <cellStyle name="Comma 2 4 3 3 4 3 3 2" xfId="36558"/>
    <cellStyle name="Comma 2 4 3 3 4 3 4" xfId="30135"/>
    <cellStyle name="Comma 2 4 3 3 4 3 5" xfId="44041"/>
    <cellStyle name="Comma 2 4 3 3 4 4" xfId="7193"/>
    <cellStyle name="Comma 2 4 3 3 4 4 2" xfId="17696"/>
    <cellStyle name="Comma 2 4 3 3 4 4 2 2" xfId="38745"/>
    <cellStyle name="Comma 2 4 3 3 4 4 3" xfId="32322"/>
    <cellStyle name="Comma 2 4 3 3 4 5" xfId="16250"/>
    <cellStyle name="Comma 2 4 3 3 4 5 2" xfId="35538"/>
    <cellStyle name="Comma 2 4 3 3 4 6" xfId="20888"/>
    <cellStyle name="Comma 2 4 3 3 4 7" xfId="29115"/>
    <cellStyle name="Comma 2 4 3 3 4 8" xfId="41907"/>
    <cellStyle name="Comma 2 4 3 3 5" xfId="3338"/>
    <cellStyle name="Comma 2 4 3 3 5 2" xfId="11046"/>
    <cellStyle name="Comma 2 4 3 3 5 2 2" xfId="19845"/>
    <cellStyle name="Comma 2 4 3 3 5 2 2 2" xfId="40888"/>
    <cellStyle name="Comma 2 4 3 3 5 2 2 3" xfId="34465"/>
    <cellStyle name="Comma 2 4 3 3 5 2 3" xfId="22044"/>
    <cellStyle name="Comma 2 4 3 3 5 2 3 2" xfId="37681"/>
    <cellStyle name="Comma 2 4 3 3 5 2 4" xfId="31258"/>
    <cellStyle name="Comma 2 4 3 3 5 2 5" xfId="43023"/>
    <cellStyle name="Comma 2 4 3 3 5 3" xfId="8263"/>
    <cellStyle name="Comma 2 4 3 3 5 3 2" xfId="18723"/>
    <cellStyle name="Comma 2 4 3 3 5 3 2 2" xfId="39766"/>
    <cellStyle name="Comma 2 4 3 3 5 3 2 3" xfId="33343"/>
    <cellStyle name="Comma 2 4 3 3 5 3 3" xfId="23213"/>
    <cellStyle name="Comma 2 4 3 3 5 3 3 2" xfId="36559"/>
    <cellStyle name="Comma 2 4 3 3 5 3 4" xfId="30136"/>
    <cellStyle name="Comma 2 4 3 3 5 3 5" xfId="44042"/>
    <cellStyle name="Comma 2 4 3 3 5 4" xfId="7194"/>
    <cellStyle name="Comma 2 4 3 3 5 4 2" xfId="17697"/>
    <cellStyle name="Comma 2 4 3 3 5 4 2 2" xfId="38746"/>
    <cellStyle name="Comma 2 4 3 3 5 4 3" xfId="32323"/>
    <cellStyle name="Comma 2 4 3 3 5 5" xfId="16438"/>
    <cellStyle name="Comma 2 4 3 3 5 5 2" xfId="35539"/>
    <cellStyle name="Comma 2 4 3 3 5 6" xfId="20889"/>
    <cellStyle name="Comma 2 4 3 3 5 7" xfId="29116"/>
    <cellStyle name="Comma 2 4 3 3 5 8" xfId="41908"/>
    <cellStyle name="Comma 2 4 3 3 6" xfId="4206"/>
    <cellStyle name="Comma 2 4 3 3 6 2" xfId="11047"/>
    <cellStyle name="Comma 2 4 3 3 6 2 2" xfId="19846"/>
    <cellStyle name="Comma 2 4 3 3 6 2 2 2" xfId="40889"/>
    <cellStyle name="Comma 2 4 3 3 6 2 2 3" xfId="34466"/>
    <cellStyle name="Comma 2 4 3 3 6 2 3" xfId="22045"/>
    <cellStyle name="Comma 2 4 3 3 6 2 3 2" xfId="37682"/>
    <cellStyle name="Comma 2 4 3 3 6 2 4" xfId="31259"/>
    <cellStyle name="Comma 2 4 3 3 6 2 5" xfId="43024"/>
    <cellStyle name="Comma 2 4 3 3 6 3" xfId="8264"/>
    <cellStyle name="Comma 2 4 3 3 6 3 2" xfId="18724"/>
    <cellStyle name="Comma 2 4 3 3 6 3 2 2" xfId="39767"/>
    <cellStyle name="Comma 2 4 3 3 6 3 2 3" xfId="33344"/>
    <cellStyle name="Comma 2 4 3 3 6 3 3" xfId="23214"/>
    <cellStyle name="Comma 2 4 3 3 6 3 3 2" xfId="36560"/>
    <cellStyle name="Comma 2 4 3 3 6 3 4" xfId="30137"/>
    <cellStyle name="Comma 2 4 3 3 6 3 5" xfId="44043"/>
    <cellStyle name="Comma 2 4 3 3 6 4" xfId="7195"/>
    <cellStyle name="Comma 2 4 3 3 6 4 2" xfId="17698"/>
    <cellStyle name="Comma 2 4 3 3 6 4 2 2" xfId="38747"/>
    <cellStyle name="Comma 2 4 3 3 6 4 3" xfId="32324"/>
    <cellStyle name="Comma 2 4 3 3 6 5" xfId="16626"/>
    <cellStyle name="Comma 2 4 3 3 6 5 2" xfId="35540"/>
    <cellStyle name="Comma 2 4 3 3 6 6" xfId="20890"/>
    <cellStyle name="Comma 2 4 3 3 6 7" xfId="29117"/>
    <cellStyle name="Comma 2 4 3 3 6 8" xfId="41909"/>
    <cellStyle name="Comma 2 4 3 3 7" xfId="5023"/>
    <cellStyle name="Comma 2 4 3 3 7 2" xfId="11048"/>
    <cellStyle name="Comma 2 4 3 3 7 2 2" xfId="19847"/>
    <cellStyle name="Comma 2 4 3 3 7 2 2 2" xfId="40890"/>
    <cellStyle name="Comma 2 4 3 3 7 2 2 3" xfId="34467"/>
    <cellStyle name="Comma 2 4 3 3 7 2 3" xfId="22046"/>
    <cellStyle name="Comma 2 4 3 3 7 2 3 2" xfId="37683"/>
    <cellStyle name="Comma 2 4 3 3 7 2 4" xfId="31260"/>
    <cellStyle name="Comma 2 4 3 3 7 2 5" xfId="43025"/>
    <cellStyle name="Comma 2 4 3 3 7 3" xfId="8265"/>
    <cellStyle name="Comma 2 4 3 3 7 3 2" xfId="18725"/>
    <cellStyle name="Comma 2 4 3 3 7 3 2 2" xfId="39768"/>
    <cellStyle name="Comma 2 4 3 3 7 3 2 3" xfId="33345"/>
    <cellStyle name="Comma 2 4 3 3 7 3 3" xfId="23215"/>
    <cellStyle name="Comma 2 4 3 3 7 3 3 2" xfId="36561"/>
    <cellStyle name="Comma 2 4 3 3 7 3 4" xfId="30138"/>
    <cellStyle name="Comma 2 4 3 3 7 3 5" xfId="44044"/>
    <cellStyle name="Comma 2 4 3 3 7 4" xfId="7196"/>
    <cellStyle name="Comma 2 4 3 3 7 4 2" xfId="17699"/>
    <cellStyle name="Comma 2 4 3 3 7 4 2 2" xfId="38748"/>
    <cellStyle name="Comma 2 4 3 3 7 4 3" xfId="32325"/>
    <cellStyle name="Comma 2 4 3 3 7 5" xfId="16838"/>
    <cellStyle name="Comma 2 4 3 3 7 5 2" xfId="35541"/>
    <cellStyle name="Comma 2 4 3 3 7 6" xfId="20891"/>
    <cellStyle name="Comma 2 4 3 3 7 7" xfId="29118"/>
    <cellStyle name="Comma 2 4 3 3 7 8" xfId="41910"/>
    <cellStyle name="Comma 2 4 3 3 8" xfId="5468"/>
    <cellStyle name="Comma 2 4 3 3 8 2" xfId="11049"/>
    <cellStyle name="Comma 2 4 3 3 8 2 2" xfId="19848"/>
    <cellStyle name="Comma 2 4 3 3 8 2 2 2" xfId="40891"/>
    <cellStyle name="Comma 2 4 3 3 8 2 2 3" xfId="34468"/>
    <cellStyle name="Comma 2 4 3 3 8 2 3" xfId="22047"/>
    <cellStyle name="Comma 2 4 3 3 8 2 3 2" xfId="37684"/>
    <cellStyle name="Comma 2 4 3 3 8 2 4" xfId="31261"/>
    <cellStyle name="Comma 2 4 3 3 8 2 5" xfId="43026"/>
    <cellStyle name="Comma 2 4 3 3 8 3" xfId="8266"/>
    <cellStyle name="Comma 2 4 3 3 8 3 2" xfId="18726"/>
    <cellStyle name="Comma 2 4 3 3 8 3 2 2" xfId="39769"/>
    <cellStyle name="Comma 2 4 3 3 8 3 2 3" xfId="33346"/>
    <cellStyle name="Comma 2 4 3 3 8 3 3" xfId="23216"/>
    <cellStyle name="Comma 2 4 3 3 8 3 3 2" xfId="36562"/>
    <cellStyle name="Comma 2 4 3 3 8 3 4" xfId="30139"/>
    <cellStyle name="Comma 2 4 3 3 8 3 5" xfId="44045"/>
    <cellStyle name="Comma 2 4 3 3 8 4" xfId="7197"/>
    <cellStyle name="Comma 2 4 3 3 8 4 2" xfId="17700"/>
    <cellStyle name="Comma 2 4 3 3 8 4 2 2" xfId="38749"/>
    <cellStyle name="Comma 2 4 3 3 8 4 3" xfId="32326"/>
    <cellStyle name="Comma 2 4 3 3 8 5" xfId="16914"/>
    <cellStyle name="Comma 2 4 3 3 8 5 2" xfId="35542"/>
    <cellStyle name="Comma 2 4 3 3 8 6" xfId="20892"/>
    <cellStyle name="Comma 2 4 3 3 8 7" xfId="29119"/>
    <cellStyle name="Comma 2 4 3 3 8 8" xfId="41911"/>
    <cellStyle name="Comma 2 4 3 3 9" xfId="10218"/>
    <cellStyle name="Comma 2 4 3 3 9 2" xfId="19272"/>
    <cellStyle name="Comma 2 4 3 3 9 2 2" xfId="40315"/>
    <cellStyle name="Comma 2 4 3 3 9 2 3" xfId="33892"/>
    <cellStyle name="Comma 2 4 3 3 9 3" xfId="21472"/>
    <cellStyle name="Comma 2 4 3 3 9 3 2" xfId="37108"/>
    <cellStyle name="Comma 2 4 3 3 9 4" xfId="30685"/>
    <cellStyle name="Comma 2 4 3 3 9 5" xfId="42451"/>
    <cellStyle name="Comma 2 4 3 4" xfId="1832"/>
    <cellStyle name="Comma 2 4 3 4 10" xfId="16110"/>
    <cellStyle name="Comma 2 4 3 4 10 2" xfId="34985"/>
    <cellStyle name="Comma 2 4 3 4 11" xfId="20893"/>
    <cellStyle name="Comma 2 4 3 4 12" xfId="28560"/>
    <cellStyle name="Comma 2 4 3 4 13" xfId="41912"/>
    <cellStyle name="Comma 2 4 3 4 2" xfId="2722"/>
    <cellStyle name="Comma 2 4 3 4 2 2" xfId="11050"/>
    <cellStyle name="Comma 2 4 3 4 2 2 2" xfId="19849"/>
    <cellStyle name="Comma 2 4 3 4 2 2 2 2" xfId="40892"/>
    <cellStyle name="Comma 2 4 3 4 2 2 2 3" xfId="34469"/>
    <cellStyle name="Comma 2 4 3 4 2 2 3" xfId="22048"/>
    <cellStyle name="Comma 2 4 3 4 2 2 3 2" xfId="37685"/>
    <cellStyle name="Comma 2 4 3 4 2 2 4" xfId="31262"/>
    <cellStyle name="Comma 2 4 3 4 2 2 5" xfId="43027"/>
    <cellStyle name="Comma 2 4 3 4 2 3" xfId="8268"/>
    <cellStyle name="Comma 2 4 3 4 2 3 2" xfId="18728"/>
    <cellStyle name="Comma 2 4 3 4 2 3 2 2" xfId="39771"/>
    <cellStyle name="Comma 2 4 3 4 2 3 2 3" xfId="33348"/>
    <cellStyle name="Comma 2 4 3 4 2 3 3" xfId="23218"/>
    <cellStyle name="Comma 2 4 3 4 2 3 3 2" xfId="36564"/>
    <cellStyle name="Comma 2 4 3 4 2 3 4" xfId="30141"/>
    <cellStyle name="Comma 2 4 3 4 2 3 5" xfId="44047"/>
    <cellStyle name="Comma 2 4 3 4 2 4" xfId="7198"/>
    <cellStyle name="Comma 2 4 3 4 2 4 2" xfId="17701"/>
    <cellStyle name="Comma 2 4 3 4 2 4 2 2" xfId="38750"/>
    <cellStyle name="Comma 2 4 3 4 2 4 3" xfId="32327"/>
    <cellStyle name="Comma 2 4 3 4 2 5" xfId="16300"/>
    <cellStyle name="Comma 2 4 3 4 2 5 2" xfId="35543"/>
    <cellStyle name="Comma 2 4 3 4 2 6" xfId="20894"/>
    <cellStyle name="Comma 2 4 3 4 2 7" xfId="29120"/>
    <cellStyle name="Comma 2 4 3 4 2 8" xfId="41913"/>
    <cellStyle name="Comma 2 4 3 4 3" xfId="3586"/>
    <cellStyle name="Comma 2 4 3 4 3 2" xfId="11051"/>
    <cellStyle name="Comma 2 4 3 4 3 2 2" xfId="19850"/>
    <cellStyle name="Comma 2 4 3 4 3 2 2 2" xfId="40893"/>
    <cellStyle name="Comma 2 4 3 4 3 2 2 3" xfId="34470"/>
    <cellStyle name="Comma 2 4 3 4 3 2 3" xfId="22049"/>
    <cellStyle name="Comma 2 4 3 4 3 2 3 2" xfId="37686"/>
    <cellStyle name="Comma 2 4 3 4 3 2 4" xfId="31263"/>
    <cellStyle name="Comma 2 4 3 4 3 2 5" xfId="43028"/>
    <cellStyle name="Comma 2 4 3 4 3 3" xfId="8269"/>
    <cellStyle name="Comma 2 4 3 4 3 3 2" xfId="18729"/>
    <cellStyle name="Comma 2 4 3 4 3 3 2 2" xfId="39772"/>
    <cellStyle name="Comma 2 4 3 4 3 3 2 3" xfId="33349"/>
    <cellStyle name="Comma 2 4 3 4 3 3 3" xfId="23219"/>
    <cellStyle name="Comma 2 4 3 4 3 3 3 2" xfId="36565"/>
    <cellStyle name="Comma 2 4 3 4 3 3 4" xfId="30142"/>
    <cellStyle name="Comma 2 4 3 4 3 3 5" xfId="44048"/>
    <cellStyle name="Comma 2 4 3 4 3 4" xfId="7199"/>
    <cellStyle name="Comma 2 4 3 4 3 4 2" xfId="17702"/>
    <cellStyle name="Comma 2 4 3 4 3 4 2 2" xfId="38751"/>
    <cellStyle name="Comma 2 4 3 4 3 4 3" xfId="32328"/>
    <cellStyle name="Comma 2 4 3 4 3 5" xfId="16488"/>
    <cellStyle name="Comma 2 4 3 4 3 5 2" xfId="35544"/>
    <cellStyle name="Comma 2 4 3 4 3 6" xfId="20895"/>
    <cellStyle name="Comma 2 4 3 4 3 7" xfId="29121"/>
    <cellStyle name="Comma 2 4 3 4 3 8" xfId="41914"/>
    <cellStyle name="Comma 2 4 3 4 4" xfId="4461"/>
    <cellStyle name="Comma 2 4 3 4 4 2" xfId="11052"/>
    <cellStyle name="Comma 2 4 3 4 4 2 2" xfId="19851"/>
    <cellStyle name="Comma 2 4 3 4 4 2 2 2" xfId="40894"/>
    <cellStyle name="Comma 2 4 3 4 4 2 2 3" xfId="34471"/>
    <cellStyle name="Comma 2 4 3 4 4 2 3" xfId="22050"/>
    <cellStyle name="Comma 2 4 3 4 4 2 3 2" xfId="37687"/>
    <cellStyle name="Comma 2 4 3 4 4 2 4" xfId="31264"/>
    <cellStyle name="Comma 2 4 3 4 4 2 5" xfId="43029"/>
    <cellStyle name="Comma 2 4 3 4 4 3" xfId="8270"/>
    <cellStyle name="Comma 2 4 3 4 4 3 2" xfId="18730"/>
    <cellStyle name="Comma 2 4 3 4 4 3 2 2" xfId="39773"/>
    <cellStyle name="Comma 2 4 3 4 4 3 2 3" xfId="33350"/>
    <cellStyle name="Comma 2 4 3 4 4 3 3" xfId="23220"/>
    <cellStyle name="Comma 2 4 3 4 4 3 3 2" xfId="36566"/>
    <cellStyle name="Comma 2 4 3 4 4 3 4" xfId="30143"/>
    <cellStyle name="Comma 2 4 3 4 4 3 5" xfId="44049"/>
    <cellStyle name="Comma 2 4 3 4 4 4" xfId="7200"/>
    <cellStyle name="Comma 2 4 3 4 4 4 2" xfId="17703"/>
    <cellStyle name="Comma 2 4 3 4 4 4 2 2" xfId="38752"/>
    <cellStyle name="Comma 2 4 3 4 4 4 3" xfId="32329"/>
    <cellStyle name="Comma 2 4 3 4 4 5" xfId="16676"/>
    <cellStyle name="Comma 2 4 3 4 4 5 2" xfId="35545"/>
    <cellStyle name="Comma 2 4 3 4 4 6" xfId="20896"/>
    <cellStyle name="Comma 2 4 3 4 4 7" xfId="29122"/>
    <cellStyle name="Comma 2 4 3 4 4 8" xfId="41915"/>
    <cellStyle name="Comma 2 4 3 4 5" xfId="5025"/>
    <cellStyle name="Comma 2 4 3 4 5 2" xfId="11053"/>
    <cellStyle name="Comma 2 4 3 4 5 2 2" xfId="19852"/>
    <cellStyle name="Comma 2 4 3 4 5 2 2 2" xfId="40895"/>
    <cellStyle name="Comma 2 4 3 4 5 2 2 3" xfId="34472"/>
    <cellStyle name="Comma 2 4 3 4 5 2 3" xfId="22051"/>
    <cellStyle name="Comma 2 4 3 4 5 2 3 2" xfId="37688"/>
    <cellStyle name="Comma 2 4 3 4 5 2 4" xfId="31265"/>
    <cellStyle name="Comma 2 4 3 4 5 2 5" xfId="43030"/>
    <cellStyle name="Comma 2 4 3 4 5 3" xfId="8271"/>
    <cellStyle name="Comma 2 4 3 4 5 3 2" xfId="18731"/>
    <cellStyle name="Comma 2 4 3 4 5 3 2 2" xfId="39774"/>
    <cellStyle name="Comma 2 4 3 4 5 3 2 3" xfId="33351"/>
    <cellStyle name="Comma 2 4 3 4 5 3 3" xfId="23221"/>
    <cellStyle name="Comma 2 4 3 4 5 3 3 2" xfId="36567"/>
    <cellStyle name="Comma 2 4 3 4 5 3 4" xfId="30144"/>
    <cellStyle name="Comma 2 4 3 4 5 3 5" xfId="44050"/>
    <cellStyle name="Comma 2 4 3 4 5 4" xfId="7201"/>
    <cellStyle name="Comma 2 4 3 4 5 4 2" xfId="17704"/>
    <cellStyle name="Comma 2 4 3 4 5 4 2 2" xfId="38753"/>
    <cellStyle name="Comma 2 4 3 4 5 4 3" xfId="32330"/>
    <cellStyle name="Comma 2 4 3 4 5 5" xfId="16840"/>
    <cellStyle name="Comma 2 4 3 4 5 5 2" xfId="35546"/>
    <cellStyle name="Comma 2 4 3 4 5 6" xfId="20897"/>
    <cellStyle name="Comma 2 4 3 4 5 7" xfId="29123"/>
    <cellStyle name="Comma 2 4 3 4 5 8" xfId="41916"/>
    <cellStyle name="Comma 2 4 3 4 6" xfId="5726"/>
    <cellStyle name="Comma 2 4 3 4 6 2" xfId="11054"/>
    <cellStyle name="Comma 2 4 3 4 6 2 2" xfId="19853"/>
    <cellStyle name="Comma 2 4 3 4 6 2 2 2" xfId="40896"/>
    <cellStyle name="Comma 2 4 3 4 6 2 2 3" xfId="34473"/>
    <cellStyle name="Comma 2 4 3 4 6 2 3" xfId="22052"/>
    <cellStyle name="Comma 2 4 3 4 6 2 3 2" xfId="37689"/>
    <cellStyle name="Comma 2 4 3 4 6 2 4" xfId="31266"/>
    <cellStyle name="Comma 2 4 3 4 6 2 5" xfId="43031"/>
    <cellStyle name="Comma 2 4 3 4 6 3" xfId="8272"/>
    <cellStyle name="Comma 2 4 3 4 6 3 2" xfId="18732"/>
    <cellStyle name="Comma 2 4 3 4 6 3 2 2" xfId="39775"/>
    <cellStyle name="Comma 2 4 3 4 6 3 2 3" xfId="33352"/>
    <cellStyle name="Comma 2 4 3 4 6 3 3" xfId="23222"/>
    <cellStyle name="Comma 2 4 3 4 6 3 3 2" xfId="36568"/>
    <cellStyle name="Comma 2 4 3 4 6 3 4" xfId="30145"/>
    <cellStyle name="Comma 2 4 3 4 6 3 5" xfId="44051"/>
    <cellStyle name="Comma 2 4 3 4 6 4" xfId="7202"/>
    <cellStyle name="Comma 2 4 3 4 6 4 2" xfId="17705"/>
    <cellStyle name="Comma 2 4 3 4 6 4 2 2" xfId="38754"/>
    <cellStyle name="Comma 2 4 3 4 6 4 3" xfId="32331"/>
    <cellStyle name="Comma 2 4 3 4 6 5" xfId="16964"/>
    <cellStyle name="Comma 2 4 3 4 6 5 2" xfId="35547"/>
    <cellStyle name="Comma 2 4 3 4 6 6" xfId="20898"/>
    <cellStyle name="Comma 2 4 3 4 6 7" xfId="29124"/>
    <cellStyle name="Comma 2 4 3 4 6 8" xfId="41917"/>
    <cellStyle name="Comma 2 4 3 4 7" xfId="10233"/>
    <cellStyle name="Comma 2 4 3 4 7 2" xfId="19286"/>
    <cellStyle name="Comma 2 4 3 4 7 2 2" xfId="40329"/>
    <cellStyle name="Comma 2 4 3 4 7 2 3" xfId="33906"/>
    <cellStyle name="Comma 2 4 3 4 7 3" xfId="21486"/>
    <cellStyle name="Comma 2 4 3 4 7 3 2" xfId="37122"/>
    <cellStyle name="Comma 2 4 3 4 7 4" xfId="30699"/>
    <cellStyle name="Comma 2 4 3 4 7 5" xfId="42465"/>
    <cellStyle name="Comma 2 4 3 4 8" xfId="8267"/>
    <cellStyle name="Comma 2 4 3 4 8 2" xfId="18727"/>
    <cellStyle name="Comma 2 4 3 4 8 2 2" xfId="39770"/>
    <cellStyle name="Comma 2 4 3 4 8 2 3" xfId="33347"/>
    <cellStyle name="Comma 2 4 3 4 8 3" xfId="23217"/>
    <cellStyle name="Comma 2 4 3 4 8 3 2" xfId="36563"/>
    <cellStyle name="Comma 2 4 3 4 8 4" xfId="30140"/>
    <cellStyle name="Comma 2 4 3 4 8 5" xfId="44046"/>
    <cellStyle name="Comma 2 4 3 4 9" xfId="6632"/>
    <cellStyle name="Comma 2 4 3 4 9 2" xfId="17139"/>
    <cellStyle name="Comma 2 4 3 4 9 2 2" xfId="38192"/>
    <cellStyle name="Comma 2 4 3 4 9 3" xfId="31769"/>
    <cellStyle name="Comma 2 4 3 5" xfId="2107"/>
    <cellStyle name="Comma 2 4 3 5 10" xfId="20899"/>
    <cellStyle name="Comma 2 4 3 5 11" xfId="29125"/>
    <cellStyle name="Comma 2 4 3 5 12" xfId="41918"/>
    <cellStyle name="Comma 2 4 3 5 2" xfId="2977"/>
    <cellStyle name="Comma 2 4 3 5 2 2" xfId="11056"/>
    <cellStyle name="Comma 2 4 3 5 2 2 2" xfId="19855"/>
    <cellStyle name="Comma 2 4 3 5 2 2 2 2" xfId="40898"/>
    <cellStyle name="Comma 2 4 3 5 2 2 2 3" xfId="34475"/>
    <cellStyle name="Comma 2 4 3 5 2 2 3" xfId="22054"/>
    <cellStyle name="Comma 2 4 3 5 2 2 3 2" xfId="37691"/>
    <cellStyle name="Comma 2 4 3 5 2 2 4" xfId="31268"/>
    <cellStyle name="Comma 2 4 3 5 2 2 5" xfId="43033"/>
    <cellStyle name="Comma 2 4 3 5 2 3" xfId="8274"/>
    <cellStyle name="Comma 2 4 3 5 2 3 2" xfId="18734"/>
    <cellStyle name="Comma 2 4 3 5 2 3 2 2" xfId="39777"/>
    <cellStyle name="Comma 2 4 3 5 2 3 2 3" xfId="33354"/>
    <cellStyle name="Comma 2 4 3 5 2 3 3" xfId="23224"/>
    <cellStyle name="Comma 2 4 3 5 2 3 3 2" xfId="36570"/>
    <cellStyle name="Comma 2 4 3 5 2 3 4" xfId="30147"/>
    <cellStyle name="Comma 2 4 3 5 2 3 5" xfId="44053"/>
    <cellStyle name="Comma 2 4 3 5 2 4" xfId="7204"/>
    <cellStyle name="Comma 2 4 3 5 2 4 2" xfId="17707"/>
    <cellStyle name="Comma 2 4 3 5 2 4 2 2" xfId="38756"/>
    <cellStyle name="Comma 2 4 3 5 2 4 3" xfId="32333"/>
    <cellStyle name="Comma 2 4 3 5 2 5" xfId="16355"/>
    <cellStyle name="Comma 2 4 3 5 2 5 2" xfId="35549"/>
    <cellStyle name="Comma 2 4 3 5 2 6" xfId="20900"/>
    <cellStyle name="Comma 2 4 3 5 2 7" xfId="29126"/>
    <cellStyle name="Comma 2 4 3 5 2 8" xfId="41919"/>
    <cellStyle name="Comma 2 4 3 5 3" xfId="3847"/>
    <cellStyle name="Comma 2 4 3 5 3 2" xfId="11057"/>
    <cellStyle name="Comma 2 4 3 5 3 2 2" xfId="19856"/>
    <cellStyle name="Comma 2 4 3 5 3 2 2 2" xfId="40899"/>
    <cellStyle name="Comma 2 4 3 5 3 2 2 3" xfId="34476"/>
    <cellStyle name="Comma 2 4 3 5 3 2 3" xfId="22055"/>
    <cellStyle name="Comma 2 4 3 5 3 2 3 2" xfId="37692"/>
    <cellStyle name="Comma 2 4 3 5 3 2 4" xfId="31269"/>
    <cellStyle name="Comma 2 4 3 5 3 2 5" xfId="43034"/>
    <cellStyle name="Comma 2 4 3 5 3 3" xfId="8275"/>
    <cellStyle name="Comma 2 4 3 5 3 3 2" xfId="18735"/>
    <cellStyle name="Comma 2 4 3 5 3 3 2 2" xfId="39778"/>
    <cellStyle name="Comma 2 4 3 5 3 3 2 3" xfId="33355"/>
    <cellStyle name="Comma 2 4 3 5 3 3 3" xfId="23225"/>
    <cellStyle name="Comma 2 4 3 5 3 3 3 2" xfId="36571"/>
    <cellStyle name="Comma 2 4 3 5 3 3 4" xfId="30148"/>
    <cellStyle name="Comma 2 4 3 5 3 3 5" xfId="44054"/>
    <cellStyle name="Comma 2 4 3 5 3 4" xfId="7205"/>
    <cellStyle name="Comma 2 4 3 5 3 4 2" xfId="17708"/>
    <cellStyle name="Comma 2 4 3 5 3 4 2 2" xfId="38757"/>
    <cellStyle name="Comma 2 4 3 5 3 4 3" xfId="32334"/>
    <cellStyle name="Comma 2 4 3 5 3 5" xfId="16543"/>
    <cellStyle name="Comma 2 4 3 5 3 5 2" xfId="35550"/>
    <cellStyle name="Comma 2 4 3 5 3 6" xfId="20901"/>
    <cellStyle name="Comma 2 4 3 5 3 7" xfId="29127"/>
    <cellStyle name="Comma 2 4 3 5 3 8" xfId="41920"/>
    <cellStyle name="Comma 2 4 3 5 4" xfId="4725"/>
    <cellStyle name="Comma 2 4 3 5 4 2" xfId="11058"/>
    <cellStyle name="Comma 2 4 3 5 4 2 2" xfId="19857"/>
    <cellStyle name="Comma 2 4 3 5 4 2 2 2" xfId="40900"/>
    <cellStyle name="Comma 2 4 3 5 4 2 2 3" xfId="34477"/>
    <cellStyle name="Comma 2 4 3 5 4 2 3" xfId="22056"/>
    <cellStyle name="Comma 2 4 3 5 4 2 3 2" xfId="37693"/>
    <cellStyle name="Comma 2 4 3 5 4 2 4" xfId="31270"/>
    <cellStyle name="Comma 2 4 3 5 4 2 5" xfId="43035"/>
    <cellStyle name="Comma 2 4 3 5 4 3" xfId="8276"/>
    <cellStyle name="Comma 2 4 3 5 4 3 2" xfId="18736"/>
    <cellStyle name="Comma 2 4 3 5 4 3 2 2" xfId="39779"/>
    <cellStyle name="Comma 2 4 3 5 4 3 2 3" xfId="33356"/>
    <cellStyle name="Comma 2 4 3 5 4 3 3" xfId="23226"/>
    <cellStyle name="Comma 2 4 3 5 4 3 3 2" xfId="36572"/>
    <cellStyle name="Comma 2 4 3 5 4 3 4" xfId="30149"/>
    <cellStyle name="Comma 2 4 3 5 4 3 5" xfId="44055"/>
    <cellStyle name="Comma 2 4 3 5 4 4" xfId="7206"/>
    <cellStyle name="Comma 2 4 3 5 4 4 2" xfId="17709"/>
    <cellStyle name="Comma 2 4 3 5 4 4 2 2" xfId="38758"/>
    <cellStyle name="Comma 2 4 3 5 4 4 3" xfId="32335"/>
    <cellStyle name="Comma 2 4 3 5 4 5" xfId="16731"/>
    <cellStyle name="Comma 2 4 3 5 4 5 2" xfId="35551"/>
    <cellStyle name="Comma 2 4 3 5 4 6" xfId="20902"/>
    <cellStyle name="Comma 2 4 3 5 4 7" xfId="29128"/>
    <cellStyle name="Comma 2 4 3 5 4 8" xfId="41921"/>
    <cellStyle name="Comma 2 4 3 5 5" xfId="5990"/>
    <cellStyle name="Comma 2 4 3 5 5 2" xfId="11059"/>
    <cellStyle name="Comma 2 4 3 5 5 2 2" xfId="19858"/>
    <cellStyle name="Comma 2 4 3 5 5 2 2 2" xfId="40901"/>
    <cellStyle name="Comma 2 4 3 5 5 2 2 3" xfId="34478"/>
    <cellStyle name="Comma 2 4 3 5 5 2 3" xfId="22057"/>
    <cellStyle name="Comma 2 4 3 5 5 2 3 2" xfId="37694"/>
    <cellStyle name="Comma 2 4 3 5 5 2 4" xfId="31271"/>
    <cellStyle name="Comma 2 4 3 5 5 2 5" xfId="43036"/>
    <cellStyle name="Comma 2 4 3 5 5 3" xfId="8277"/>
    <cellStyle name="Comma 2 4 3 5 5 3 2" xfId="18737"/>
    <cellStyle name="Comma 2 4 3 5 5 3 2 2" xfId="39780"/>
    <cellStyle name="Comma 2 4 3 5 5 3 2 3" xfId="33357"/>
    <cellStyle name="Comma 2 4 3 5 5 3 3" xfId="23227"/>
    <cellStyle name="Comma 2 4 3 5 5 3 3 2" xfId="36573"/>
    <cellStyle name="Comma 2 4 3 5 5 3 4" xfId="30150"/>
    <cellStyle name="Comma 2 4 3 5 5 3 5" xfId="44056"/>
    <cellStyle name="Comma 2 4 3 5 5 4" xfId="7207"/>
    <cellStyle name="Comma 2 4 3 5 5 4 2" xfId="17710"/>
    <cellStyle name="Comma 2 4 3 5 5 4 2 2" xfId="38759"/>
    <cellStyle name="Comma 2 4 3 5 5 4 3" xfId="32336"/>
    <cellStyle name="Comma 2 4 3 5 5 5" xfId="17019"/>
    <cellStyle name="Comma 2 4 3 5 5 5 2" xfId="35552"/>
    <cellStyle name="Comma 2 4 3 5 5 6" xfId="20903"/>
    <cellStyle name="Comma 2 4 3 5 5 7" xfId="29129"/>
    <cellStyle name="Comma 2 4 3 5 5 8" xfId="41922"/>
    <cellStyle name="Comma 2 4 3 5 6" xfId="11055"/>
    <cellStyle name="Comma 2 4 3 5 6 2" xfId="19854"/>
    <cellStyle name="Comma 2 4 3 5 6 2 2" xfId="40897"/>
    <cellStyle name="Comma 2 4 3 5 6 2 3" xfId="34474"/>
    <cellStyle name="Comma 2 4 3 5 6 3" xfId="22053"/>
    <cellStyle name="Comma 2 4 3 5 6 3 2" xfId="37690"/>
    <cellStyle name="Comma 2 4 3 5 6 4" xfId="31267"/>
    <cellStyle name="Comma 2 4 3 5 6 5" xfId="43032"/>
    <cellStyle name="Comma 2 4 3 5 7" xfId="8273"/>
    <cellStyle name="Comma 2 4 3 5 7 2" xfId="18733"/>
    <cellStyle name="Comma 2 4 3 5 7 2 2" xfId="39776"/>
    <cellStyle name="Comma 2 4 3 5 7 2 3" xfId="33353"/>
    <cellStyle name="Comma 2 4 3 5 7 3" xfId="23223"/>
    <cellStyle name="Comma 2 4 3 5 7 3 2" xfId="36569"/>
    <cellStyle name="Comma 2 4 3 5 7 4" xfId="30146"/>
    <cellStyle name="Comma 2 4 3 5 7 5" xfId="44052"/>
    <cellStyle name="Comma 2 4 3 5 8" xfId="7203"/>
    <cellStyle name="Comma 2 4 3 5 8 2" xfId="17706"/>
    <cellStyle name="Comma 2 4 3 5 8 2 2" xfId="38755"/>
    <cellStyle name="Comma 2 4 3 5 8 3" xfId="32332"/>
    <cellStyle name="Comma 2 4 3 5 9" xfId="16166"/>
    <cellStyle name="Comma 2 4 3 5 9 2" xfId="35548"/>
    <cellStyle name="Comma 2 4 3 6" xfId="2299"/>
    <cellStyle name="Comma 2 4 3 6 10" xfId="20904"/>
    <cellStyle name="Comma 2 4 3 6 11" xfId="29130"/>
    <cellStyle name="Comma 2 4 3 6 12" xfId="41923"/>
    <cellStyle name="Comma 2 4 3 6 2" xfId="3158"/>
    <cellStyle name="Comma 2 4 3 6 2 2" xfId="11061"/>
    <cellStyle name="Comma 2 4 3 6 2 2 2" xfId="19860"/>
    <cellStyle name="Comma 2 4 3 6 2 2 2 2" xfId="40903"/>
    <cellStyle name="Comma 2 4 3 6 2 2 2 3" xfId="34480"/>
    <cellStyle name="Comma 2 4 3 6 2 2 3" xfId="22059"/>
    <cellStyle name="Comma 2 4 3 6 2 2 3 2" xfId="37696"/>
    <cellStyle name="Comma 2 4 3 6 2 2 4" xfId="31273"/>
    <cellStyle name="Comma 2 4 3 6 2 2 5" xfId="43038"/>
    <cellStyle name="Comma 2 4 3 6 2 3" xfId="8279"/>
    <cellStyle name="Comma 2 4 3 6 2 3 2" xfId="18739"/>
    <cellStyle name="Comma 2 4 3 6 2 3 2 2" xfId="39782"/>
    <cellStyle name="Comma 2 4 3 6 2 3 2 3" xfId="33359"/>
    <cellStyle name="Comma 2 4 3 6 2 3 3" xfId="23229"/>
    <cellStyle name="Comma 2 4 3 6 2 3 3 2" xfId="36575"/>
    <cellStyle name="Comma 2 4 3 6 2 3 4" xfId="30152"/>
    <cellStyle name="Comma 2 4 3 6 2 3 5" xfId="44058"/>
    <cellStyle name="Comma 2 4 3 6 2 4" xfId="7209"/>
    <cellStyle name="Comma 2 4 3 6 2 4 2" xfId="17712"/>
    <cellStyle name="Comma 2 4 3 6 2 4 2 2" xfId="38761"/>
    <cellStyle name="Comma 2 4 3 6 2 4 3" xfId="32338"/>
    <cellStyle name="Comma 2 4 3 6 2 5" xfId="16390"/>
    <cellStyle name="Comma 2 4 3 6 2 5 2" xfId="35554"/>
    <cellStyle name="Comma 2 4 3 6 2 6" xfId="20905"/>
    <cellStyle name="Comma 2 4 3 6 2 7" xfId="29131"/>
    <cellStyle name="Comma 2 4 3 6 2 8" xfId="41924"/>
    <cellStyle name="Comma 2 4 3 6 3" xfId="4024"/>
    <cellStyle name="Comma 2 4 3 6 3 2" xfId="11062"/>
    <cellStyle name="Comma 2 4 3 6 3 2 2" xfId="19861"/>
    <cellStyle name="Comma 2 4 3 6 3 2 2 2" xfId="40904"/>
    <cellStyle name="Comma 2 4 3 6 3 2 2 3" xfId="34481"/>
    <cellStyle name="Comma 2 4 3 6 3 2 3" xfId="22060"/>
    <cellStyle name="Comma 2 4 3 6 3 2 3 2" xfId="37697"/>
    <cellStyle name="Comma 2 4 3 6 3 2 4" xfId="31274"/>
    <cellStyle name="Comma 2 4 3 6 3 2 5" xfId="43039"/>
    <cellStyle name="Comma 2 4 3 6 3 3" xfId="8280"/>
    <cellStyle name="Comma 2 4 3 6 3 3 2" xfId="18740"/>
    <cellStyle name="Comma 2 4 3 6 3 3 2 2" xfId="39783"/>
    <cellStyle name="Comma 2 4 3 6 3 3 2 3" xfId="33360"/>
    <cellStyle name="Comma 2 4 3 6 3 3 3" xfId="23230"/>
    <cellStyle name="Comma 2 4 3 6 3 3 3 2" xfId="36576"/>
    <cellStyle name="Comma 2 4 3 6 3 3 4" xfId="30153"/>
    <cellStyle name="Comma 2 4 3 6 3 3 5" xfId="44059"/>
    <cellStyle name="Comma 2 4 3 6 3 4" xfId="7210"/>
    <cellStyle name="Comma 2 4 3 6 3 4 2" xfId="17713"/>
    <cellStyle name="Comma 2 4 3 6 3 4 2 2" xfId="38762"/>
    <cellStyle name="Comma 2 4 3 6 3 4 3" xfId="32339"/>
    <cellStyle name="Comma 2 4 3 6 3 5" xfId="16578"/>
    <cellStyle name="Comma 2 4 3 6 3 5 2" xfId="35555"/>
    <cellStyle name="Comma 2 4 3 6 3 6" xfId="20906"/>
    <cellStyle name="Comma 2 4 3 6 3 7" xfId="29132"/>
    <cellStyle name="Comma 2 4 3 6 3 8" xfId="41925"/>
    <cellStyle name="Comma 2 4 3 6 4" xfId="4903"/>
    <cellStyle name="Comma 2 4 3 6 4 2" xfId="11063"/>
    <cellStyle name="Comma 2 4 3 6 4 2 2" xfId="19862"/>
    <cellStyle name="Comma 2 4 3 6 4 2 2 2" xfId="40905"/>
    <cellStyle name="Comma 2 4 3 6 4 2 2 3" xfId="34482"/>
    <cellStyle name="Comma 2 4 3 6 4 2 3" xfId="22061"/>
    <cellStyle name="Comma 2 4 3 6 4 2 3 2" xfId="37698"/>
    <cellStyle name="Comma 2 4 3 6 4 2 4" xfId="31275"/>
    <cellStyle name="Comma 2 4 3 6 4 2 5" xfId="43040"/>
    <cellStyle name="Comma 2 4 3 6 4 3" xfId="8281"/>
    <cellStyle name="Comma 2 4 3 6 4 3 2" xfId="18741"/>
    <cellStyle name="Comma 2 4 3 6 4 3 2 2" xfId="39784"/>
    <cellStyle name="Comma 2 4 3 6 4 3 2 3" xfId="33361"/>
    <cellStyle name="Comma 2 4 3 6 4 3 3" xfId="23231"/>
    <cellStyle name="Comma 2 4 3 6 4 3 3 2" xfId="36577"/>
    <cellStyle name="Comma 2 4 3 6 4 3 4" xfId="30154"/>
    <cellStyle name="Comma 2 4 3 6 4 3 5" xfId="44060"/>
    <cellStyle name="Comma 2 4 3 6 4 4" xfId="7211"/>
    <cellStyle name="Comma 2 4 3 6 4 4 2" xfId="17714"/>
    <cellStyle name="Comma 2 4 3 6 4 4 2 2" xfId="38763"/>
    <cellStyle name="Comma 2 4 3 6 4 4 3" xfId="32340"/>
    <cellStyle name="Comma 2 4 3 6 4 5" xfId="16766"/>
    <cellStyle name="Comma 2 4 3 6 4 5 2" xfId="35556"/>
    <cellStyle name="Comma 2 4 3 6 4 6" xfId="20907"/>
    <cellStyle name="Comma 2 4 3 6 4 7" xfId="29133"/>
    <cellStyle name="Comma 2 4 3 6 4 8" xfId="41926"/>
    <cellStyle name="Comma 2 4 3 6 5" xfId="6168"/>
    <cellStyle name="Comma 2 4 3 6 5 2" xfId="11064"/>
    <cellStyle name="Comma 2 4 3 6 5 2 2" xfId="19863"/>
    <cellStyle name="Comma 2 4 3 6 5 2 2 2" xfId="40906"/>
    <cellStyle name="Comma 2 4 3 6 5 2 2 3" xfId="34483"/>
    <cellStyle name="Comma 2 4 3 6 5 2 3" xfId="22062"/>
    <cellStyle name="Comma 2 4 3 6 5 2 3 2" xfId="37699"/>
    <cellStyle name="Comma 2 4 3 6 5 2 4" xfId="31276"/>
    <cellStyle name="Comma 2 4 3 6 5 2 5" xfId="43041"/>
    <cellStyle name="Comma 2 4 3 6 5 3" xfId="8282"/>
    <cellStyle name="Comma 2 4 3 6 5 3 2" xfId="18742"/>
    <cellStyle name="Comma 2 4 3 6 5 3 2 2" xfId="39785"/>
    <cellStyle name="Comma 2 4 3 6 5 3 2 3" xfId="33362"/>
    <cellStyle name="Comma 2 4 3 6 5 3 3" xfId="23232"/>
    <cellStyle name="Comma 2 4 3 6 5 3 3 2" xfId="36578"/>
    <cellStyle name="Comma 2 4 3 6 5 3 4" xfId="30155"/>
    <cellStyle name="Comma 2 4 3 6 5 3 5" xfId="44061"/>
    <cellStyle name="Comma 2 4 3 6 5 4" xfId="7212"/>
    <cellStyle name="Comma 2 4 3 6 5 4 2" xfId="17715"/>
    <cellStyle name="Comma 2 4 3 6 5 4 2 2" xfId="38764"/>
    <cellStyle name="Comma 2 4 3 6 5 4 3" xfId="32341"/>
    <cellStyle name="Comma 2 4 3 6 5 5" xfId="17054"/>
    <cellStyle name="Comma 2 4 3 6 5 5 2" xfId="35557"/>
    <cellStyle name="Comma 2 4 3 6 5 6" xfId="20908"/>
    <cellStyle name="Comma 2 4 3 6 5 7" xfId="29134"/>
    <cellStyle name="Comma 2 4 3 6 5 8" xfId="41927"/>
    <cellStyle name="Comma 2 4 3 6 6" xfId="11060"/>
    <cellStyle name="Comma 2 4 3 6 6 2" xfId="19859"/>
    <cellStyle name="Comma 2 4 3 6 6 2 2" xfId="40902"/>
    <cellStyle name="Comma 2 4 3 6 6 2 3" xfId="34479"/>
    <cellStyle name="Comma 2 4 3 6 6 3" xfId="22058"/>
    <cellStyle name="Comma 2 4 3 6 6 3 2" xfId="37695"/>
    <cellStyle name="Comma 2 4 3 6 6 4" xfId="31272"/>
    <cellStyle name="Comma 2 4 3 6 6 5" xfId="43037"/>
    <cellStyle name="Comma 2 4 3 6 7" xfId="8278"/>
    <cellStyle name="Comma 2 4 3 6 7 2" xfId="18738"/>
    <cellStyle name="Comma 2 4 3 6 7 2 2" xfId="39781"/>
    <cellStyle name="Comma 2 4 3 6 7 2 3" xfId="33358"/>
    <cellStyle name="Comma 2 4 3 6 7 3" xfId="23228"/>
    <cellStyle name="Comma 2 4 3 6 7 3 2" xfId="36574"/>
    <cellStyle name="Comma 2 4 3 6 7 4" xfId="30151"/>
    <cellStyle name="Comma 2 4 3 6 7 5" xfId="44057"/>
    <cellStyle name="Comma 2 4 3 6 8" xfId="7208"/>
    <cellStyle name="Comma 2 4 3 6 8 2" xfId="17711"/>
    <cellStyle name="Comma 2 4 3 6 8 2 2" xfId="38760"/>
    <cellStyle name="Comma 2 4 3 6 8 3" xfId="32337"/>
    <cellStyle name="Comma 2 4 3 6 9" xfId="16202"/>
    <cellStyle name="Comma 2 4 3 6 9 2" xfId="35553"/>
    <cellStyle name="Comma 2 4 3 7" xfId="2472"/>
    <cellStyle name="Comma 2 4 3 7 2" xfId="11065"/>
    <cellStyle name="Comma 2 4 3 7 2 2" xfId="19864"/>
    <cellStyle name="Comma 2 4 3 7 2 2 2" xfId="40907"/>
    <cellStyle name="Comma 2 4 3 7 2 2 3" xfId="34484"/>
    <cellStyle name="Comma 2 4 3 7 2 3" xfId="22063"/>
    <cellStyle name="Comma 2 4 3 7 2 3 2" xfId="37700"/>
    <cellStyle name="Comma 2 4 3 7 2 4" xfId="31277"/>
    <cellStyle name="Comma 2 4 3 7 2 5" xfId="43042"/>
    <cellStyle name="Comma 2 4 3 7 3" xfId="8283"/>
    <cellStyle name="Comma 2 4 3 7 3 2" xfId="18743"/>
    <cellStyle name="Comma 2 4 3 7 3 2 2" xfId="39786"/>
    <cellStyle name="Comma 2 4 3 7 3 2 3" xfId="33363"/>
    <cellStyle name="Comma 2 4 3 7 3 3" xfId="23233"/>
    <cellStyle name="Comma 2 4 3 7 3 3 2" xfId="36579"/>
    <cellStyle name="Comma 2 4 3 7 3 4" xfId="30156"/>
    <cellStyle name="Comma 2 4 3 7 3 5" xfId="44062"/>
    <cellStyle name="Comma 2 4 3 7 4" xfId="7213"/>
    <cellStyle name="Comma 2 4 3 7 4 2" xfId="17716"/>
    <cellStyle name="Comma 2 4 3 7 4 2 2" xfId="38765"/>
    <cellStyle name="Comma 2 4 3 7 4 3" xfId="32342"/>
    <cellStyle name="Comma 2 4 3 7 5" xfId="16247"/>
    <cellStyle name="Comma 2 4 3 7 5 2" xfId="35558"/>
    <cellStyle name="Comma 2 4 3 7 6" xfId="20909"/>
    <cellStyle name="Comma 2 4 3 7 7" xfId="29135"/>
    <cellStyle name="Comma 2 4 3 7 8" xfId="41928"/>
    <cellStyle name="Comma 2 4 3 8" xfId="3335"/>
    <cellStyle name="Comma 2 4 3 8 2" xfId="11066"/>
    <cellStyle name="Comma 2 4 3 8 2 2" xfId="19865"/>
    <cellStyle name="Comma 2 4 3 8 2 2 2" xfId="40908"/>
    <cellStyle name="Comma 2 4 3 8 2 2 3" xfId="34485"/>
    <cellStyle name="Comma 2 4 3 8 2 3" xfId="22064"/>
    <cellStyle name="Comma 2 4 3 8 2 3 2" xfId="37701"/>
    <cellStyle name="Comma 2 4 3 8 2 4" xfId="31278"/>
    <cellStyle name="Comma 2 4 3 8 2 5" xfId="43043"/>
    <cellStyle name="Comma 2 4 3 8 3" xfId="8284"/>
    <cellStyle name="Comma 2 4 3 8 3 2" xfId="18744"/>
    <cellStyle name="Comma 2 4 3 8 3 2 2" xfId="39787"/>
    <cellStyle name="Comma 2 4 3 8 3 2 3" xfId="33364"/>
    <cellStyle name="Comma 2 4 3 8 3 3" xfId="23234"/>
    <cellStyle name="Comma 2 4 3 8 3 3 2" xfId="36580"/>
    <cellStyle name="Comma 2 4 3 8 3 4" xfId="30157"/>
    <cellStyle name="Comma 2 4 3 8 3 5" xfId="44063"/>
    <cellStyle name="Comma 2 4 3 8 4" xfId="7214"/>
    <cellStyle name="Comma 2 4 3 8 4 2" xfId="17717"/>
    <cellStyle name="Comma 2 4 3 8 4 2 2" xfId="38766"/>
    <cellStyle name="Comma 2 4 3 8 4 3" xfId="32343"/>
    <cellStyle name="Comma 2 4 3 8 5" xfId="16435"/>
    <cellStyle name="Comma 2 4 3 8 5 2" xfId="35559"/>
    <cellStyle name="Comma 2 4 3 8 6" xfId="20910"/>
    <cellStyle name="Comma 2 4 3 8 7" xfId="29136"/>
    <cellStyle name="Comma 2 4 3 8 8" xfId="41929"/>
    <cellStyle name="Comma 2 4 3 9" xfId="4203"/>
    <cellStyle name="Comma 2 4 3 9 2" xfId="11067"/>
    <cellStyle name="Comma 2 4 3 9 2 2" xfId="19866"/>
    <cellStyle name="Comma 2 4 3 9 2 2 2" xfId="40909"/>
    <cellStyle name="Comma 2 4 3 9 2 2 3" xfId="34486"/>
    <cellStyle name="Comma 2 4 3 9 2 3" xfId="22065"/>
    <cellStyle name="Comma 2 4 3 9 2 3 2" xfId="37702"/>
    <cellStyle name="Comma 2 4 3 9 2 4" xfId="31279"/>
    <cellStyle name="Comma 2 4 3 9 2 5" xfId="43044"/>
    <cellStyle name="Comma 2 4 3 9 3" xfId="8285"/>
    <cellStyle name="Comma 2 4 3 9 3 2" xfId="18745"/>
    <cellStyle name="Comma 2 4 3 9 3 2 2" xfId="39788"/>
    <cellStyle name="Comma 2 4 3 9 3 2 3" xfId="33365"/>
    <cellStyle name="Comma 2 4 3 9 3 3" xfId="23235"/>
    <cellStyle name="Comma 2 4 3 9 3 3 2" xfId="36581"/>
    <cellStyle name="Comma 2 4 3 9 3 4" xfId="30158"/>
    <cellStyle name="Comma 2 4 3 9 3 5" xfId="44064"/>
    <cellStyle name="Comma 2 4 3 9 4" xfId="7215"/>
    <cellStyle name="Comma 2 4 3 9 4 2" xfId="17718"/>
    <cellStyle name="Comma 2 4 3 9 4 2 2" xfId="38767"/>
    <cellStyle name="Comma 2 4 3 9 4 3" xfId="32344"/>
    <cellStyle name="Comma 2 4 3 9 5" xfId="16623"/>
    <cellStyle name="Comma 2 4 3 9 5 2" xfId="35560"/>
    <cellStyle name="Comma 2 4 3 9 6" xfId="20911"/>
    <cellStyle name="Comma 2 4 3 9 7" xfId="29137"/>
    <cellStyle name="Comma 2 4 3 9 8" xfId="41930"/>
    <cellStyle name="Comma 2 4 4" xfId="1482"/>
    <cellStyle name="Comma 2 4 4 10" xfId="5469"/>
    <cellStyle name="Comma 2 4 4 10 2" xfId="11068"/>
    <cellStyle name="Comma 2 4 4 10 2 2" xfId="19867"/>
    <cellStyle name="Comma 2 4 4 10 2 2 2" xfId="40910"/>
    <cellStyle name="Comma 2 4 4 10 2 2 3" xfId="34487"/>
    <cellStyle name="Comma 2 4 4 10 2 3" xfId="22066"/>
    <cellStyle name="Comma 2 4 4 10 2 3 2" xfId="37703"/>
    <cellStyle name="Comma 2 4 4 10 2 4" xfId="31280"/>
    <cellStyle name="Comma 2 4 4 10 2 5" xfId="43045"/>
    <cellStyle name="Comma 2 4 4 10 3" xfId="8287"/>
    <cellStyle name="Comma 2 4 4 10 3 2" xfId="18747"/>
    <cellStyle name="Comma 2 4 4 10 3 2 2" xfId="39790"/>
    <cellStyle name="Comma 2 4 4 10 3 2 3" xfId="33367"/>
    <cellStyle name="Comma 2 4 4 10 3 3" xfId="23237"/>
    <cellStyle name="Comma 2 4 4 10 3 3 2" xfId="36583"/>
    <cellStyle name="Comma 2 4 4 10 3 4" xfId="30160"/>
    <cellStyle name="Comma 2 4 4 10 3 5" xfId="44066"/>
    <cellStyle name="Comma 2 4 4 10 4" xfId="7216"/>
    <cellStyle name="Comma 2 4 4 10 4 2" xfId="17719"/>
    <cellStyle name="Comma 2 4 4 10 4 2 2" xfId="38768"/>
    <cellStyle name="Comma 2 4 4 10 4 3" xfId="32345"/>
    <cellStyle name="Comma 2 4 4 10 5" xfId="16915"/>
    <cellStyle name="Comma 2 4 4 10 5 2" xfId="35561"/>
    <cellStyle name="Comma 2 4 4 10 6" xfId="20913"/>
    <cellStyle name="Comma 2 4 4 10 7" xfId="29138"/>
    <cellStyle name="Comma 2 4 4 10 8" xfId="41932"/>
    <cellStyle name="Comma 2 4 4 11" xfId="10247"/>
    <cellStyle name="Comma 2 4 4 11 2" xfId="19300"/>
    <cellStyle name="Comma 2 4 4 11 2 2" xfId="40343"/>
    <cellStyle name="Comma 2 4 4 11 2 3" xfId="33920"/>
    <cellStyle name="Comma 2 4 4 11 3" xfId="21500"/>
    <cellStyle name="Comma 2 4 4 11 3 2" xfId="37136"/>
    <cellStyle name="Comma 2 4 4 11 4" xfId="30713"/>
    <cellStyle name="Comma 2 4 4 11 5" xfId="42479"/>
    <cellStyle name="Comma 2 4 4 12" xfId="8286"/>
    <cellStyle name="Comma 2 4 4 12 2" xfId="18746"/>
    <cellStyle name="Comma 2 4 4 12 2 2" xfId="39789"/>
    <cellStyle name="Comma 2 4 4 12 2 3" xfId="33366"/>
    <cellStyle name="Comma 2 4 4 12 3" xfId="23236"/>
    <cellStyle name="Comma 2 4 4 12 3 2" xfId="36582"/>
    <cellStyle name="Comma 2 4 4 12 4" xfId="30159"/>
    <cellStyle name="Comma 2 4 4 12 5" xfId="44065"/>
    <cellStyle name="Comma 2 4 4 13" xfId="6646"/>
    <cellStyle name="Comma 2 4 4 13 2" xfId="17153"/>
    <cellStyle name="Comma 2 4 4 13 2 2" xfId="38206"/>
    <cellStyle name="Comma 2 4 4 13 3" xfId="31783"/>
    <cellStyle name="Comma 2 4 4 14" xfId="16052"/>
    <cellStyle name="Comma 2 4 4 14 2" xfId="34999"/>
    <cellStyle name="Comma 2 4 4 15" xfId="20912"/>
    <cellStyle name="Comma 2 4 4 16" xfId="28574"/>
    <cellStyle name="Comma 2 4 4 17" xfId="41931"/>
    <cellStyle name="Comma 2 4 4 2" xfId="1483"/>
    <cellStyle name="Comma 2 4 4 2 10" xfId="8288"/>
    <cellStyle name="Comma 2 4 4 2 10 2" xfId="18748"/>
    <cellStyle name="Comma 2 4 4 2 10 2 2" xfId="39791"/>
    <cellStyle name="Comma 2 4 4 2 10 2 3" xfId="33368"/>
    <cellStyle name="Comma 2 4 4 2 10 3" xfId="23238"/>
    <cellStyle name="Comma 2 4 4 2 10 3 2" xfId="36584"/>
    <cellStyle name="Comma 2 4 4 2 10 4" xfId="30161"/>
    <cellStyle name="Comma 2 4 4 2 10 5" xfId="44067"/>
    <cellStyle name="Comma 2 4 4 2 11" xfId="6641"/>
    <cellStyle name="Comma 2 4 4 2 11 2" xfId="17148"/>
    <cellStyle name="Comma 2 4 4 2 11 2 2" xfId="38201"/>
    <cellStyle name="Comma 2 4 4 2 11 3" xfId="31778"/>
    <cellStyle name="Comma 2 4 4 2 12" xfId="16053"/>
    <cellStyle name="Comma 2 4 4 2 12 2" xfId="34994"/>
    <cellStyle name="Comma 2 4 4 2 13" xfId="20914"/>
    <cellStyle name="Comma 2 4 4 2 14" xfId="28569"/>
    <cellStyle name="Comma 2 4 4 2 15" xfId="41933"/>
    <cellStyle name="Comma 2 4 4 2 2" xfId="1837"/>
    <cellStyle name="Comma 2 4 4 2 2 10" xfId="16115"/>
    <cellStyle name="Comma 2 4 4 2 2 10 2" xfId="34991"/>
    <cellStyle name="Comma 2 4 4 2 2 11" xfId="20915"/>
    <cellStyle name="Comma 2 4 4 2 2 12" xfId="28566"/>
    <cellStyle name="Comma 2 4 4 2 2 13" xfId="41934"/>
    <cellStyle name="Comma 2 4 4 2 2 2" xfId="2727"/>
    <cellStyle name="Comma 2 4 4 2 2 2 2" xfId="11069"/>
    <cellStyle name="Comma 2 4 4 2 2 2 2 2" xfId="19868"/>
    <cellStyle name="Comma 2 4 4 2 2 2 2 2 2" xfId="40911"/>
    <cellStyle name="Comma 2 4 4 2 2 2 2 2 3" xfId="34488"/>
    <cellStyle name="Comma 2 4 4 2 2 2 2 3" xfId="22067"/>
    <cellStyle name="Comma 2 4 4 2 2 2 2 3 2" xfId="37704"/>
    <cellStyle name="Comma 2 4 4 2 2 2 2 4" xfId="31281"/>
    <cellStyle name="Comma 2 4 4 2 2 2 2 5" xfId="43046"/>
    <cellStyle name="Comma 2 4 4 2 2 2 3" xfId="8290"/>
    <cellStyle name="Comma 2 4 4 2 2 2 3 2" xfId="18750"/>
    <cellStyle name="Comma 2 4 4 2 2 2 3 2 2" xfId="39793"/>
    <cellStyle name="Comma 2 4 4 2 2 2 3 2 3" xfId="33370"/>
    <cellStyle name="Comma 2 4 4 2 2 2 3 3" xfId="23240"/>
    <cellStyle name="Comma 2 4 4 2 2 2 3 3 2" xfId="36586"/>
    <cellStyle name="Comma 2 4 4 2 2 2 3 4" xfId="30163"/>
    <cellStyle name="Comma 2 4 4 2 2 2 3 5" xfId="44069"/>
    <cellStyle name="Comma 2 4 4 2 2 2 4" xfId="7217"/>
    <cellStyle name="Comma 2 4 4 2 2 2 4 2" xfId="17720"/>
    <cellStyle name="Comma 2 4 4 2 2 2 4 2 2" xfId="38769"/>
    <cellStyle name="Comma 2 4 4 2 2 2 4 3" xfId="32346"/>
    <cellStyle name="Comma 2 4 4 2 2 2 5" xfId="16305"/>
    <cellStyle name="Comma 2 4 4 2 2 2 5 2" xfId="35562"/>
    <cellStyle name="Comma 2 4 4 2 2 2 6" xfId="20916"/>
    <cellStyle name="Comma 2 4 4 2 2 2 7" xfId="29139"/>
    <cellStyle name="Comma 2 4 4 2 2 2 8" xfId="41935"/>
    <cellStyle name="Comma 2 4 4 2 2 3" xfId="3591"/>
    <cellStyle name="Comma 2 4 4 2 2 3 2" xfId="11070"/>
    <cellStyle name="Comma 2 4 4 2 2 3 2 2" xfId="19869"/>
    <cellStyle name="Comma 2 4 4 2 2 3 2 2 2" xfId="40912"/>
    <cellStyle name="Comma 2 4 4 2 2 3 2 2 3" xfId="34489"/>
    <cellStyle name="Comma 2 4 4 2 2 3 2 3" xfId="22068"/>
    <cellStyle name="Comma 2 4 4 2 2 3 2 3 2" xfId="37705"/>
    <cellStyle name="Comma 2 4 4 2 2 3 2 4" xfId="31282"/>
    <cellStyle name="Comma 2 4 4 2 2 3 2 5" xfId="43047"/>
    <cellStyle name="Comma 2 4 4 2 2 3 3" xfId="8291"/>
    <cellStyle name="Comma 2 4 4 2 2 3 3 2" xfId="18751"/>
    <cellStyle name="Comma 2 4 4 2 2 3 3 2 2" xfId="39794"/>
    <cellStyle name="Comma 2 4 4 2 2 3 3 2 3" xfId="33371"/>
    <cellStyle name="Comma 2 4 4 2 2 3 3 3" xfId="23241"/>
    <cellStyle name="Comma 2 4 4 2 2 3 3 3 2" xfId="36587"/>
    <cellStyle name="Comma 2 4 4 2 2 3 3 4" xfId="30164"/>
    <cellStyle name="Comma 2 4 4 2 2 3 3 5" xfId="44070"/>
    <cellStyle name="Comma 2 4 4 2 2 3 4" xfId="7218"/>
    <cellStyle name="Comma 2 4 4 2 2 3 4 2" xfId="17721"/>
    <cellStyle name="Comma 2 4 4 2 2 3 4 2 2" xfId="38770"/>
    <cellStyle name="Comma 2 4 4 2 2 3 4 3" xfId="32347"/>
    <cellStyle name="Comma 2 4 4 2 2 3 5" xfId="16493"/>
    <cellStyle name="Comma 2 4 4 2 2 3 5 2" xfId="35563"/>
    <cellStyle name="Comma 2 4 4 2 2 3 6" xfId="20917"/>
    <cellStyle name="Comma 2 4 4 2 2 3 7" xfId="29140"/>
    <cellStyle name="Comma 2 4 4 2 2 3 8" xfId="41936"/>
    <cellStyle name="Comma 2 4 4 2 2 4" xfId="4466"/>
    <cellStyle name="Comma 2 4 4 2 2 4 2" xfId="11071"/>
    <cellStyle name="Comma 2 4 4 2 2 4 2 2" xfId="19870"/>
    <cellStyle name="Comma 2 4 4 2 2 4 2 2 2" xfId="40913"/>
    <cellStyle name="Comma 2 4 4 2 2 4 2 2 3" xfId="34490"/>
    <cellStyle name="Comma 2 4 4 2 2 4 2 3" xfId="22069"/>
    <cellStyle name="Comma 2 4 4 2 2 4 2 3 2" xfId="37706"/>
    <cellStyle name="Comma 2 4 4 2 2 4 2 4" xfId="31283"/>
    <cellStyle name="Comma 2 4 4 2 2 4 2 5" xfId="43048"/>
    <cellStyle name="Comma 2 4 4 2 2 4 3" xfId="8292"/>
    <cellStyle name="Comma 2 4 4 2 2 4 3 2" xfId="18752"/>
    <cellStyle name="Comma 2 4 4 2 2 4 3 2 2" xfId="39795"/>
    <cellStyle name="Comma 2 4 4 2 2 4 3 2 3" xfId="33372"/>
    <cellStyle name="Comma 2 4 4 2 2 4 3 3" xfId="23242"/>
    <cellStyle name="Comma 2 4 4 2 2 4 3 3 2" xfId="36588"/>
    <cellStyle name="Comma 2 4 4 2 2 4 3 4" xfId="30165"/>
    <cellStyle name="Comma 2 4 4 2 2 4 3 5" xfId="44071"/>
    <cellStyle name="Comma 2 4 4 2 2 4 4" xfId="7219"/>
    <cellStyle name="Comma 2 4 4 2 2 4 4 2" xfId="17722"/>
    <cellStyle name="Comma 2 4 4 2 2 4 4 2 2" xfId="38771"/>
    <cellStyle name="Comma 2 4 4 2 2 4 4 3" xfId="32348"/>
    <cellStyle name="Comma 2 4 4 2 2 4 5" xfId="16681"/>
    <cellStyle name="Comma 2 4 4 2 2 4 5 2" xfId="35564"/>
    <cellStyle name="Comma 2 4 4 2 2 4 6" xfId="20918"/>
    <cellStyle name="Comma 2 4 4 2 2 4 7" xfId="29141"/>
    <cellStyle name="Comma 2 4 4 2 2 4 8" xfId="41937"/>
    <cellStyle name="Comma 2 4 4 2 2 5" xfId="5028"/>
    <cellStyle name="Comma 2 4 4 2 2 5 2" xfId="11072"/>
    <cellStyle name="Comma 2 4 4 2 2 5 2 2" xfId="19871"/>
    <cellStyle name="Comma 2 4 4 2 2 5 2 2 2" xfId="40914"/>
    <cellStyle name="Comma 2 4 4 2 2 5 2 2 3" xfId="34491"/>
    <cellStyle name="Comma 2 4 4 2 2 5 2 3" xfId="22070"/>
    <cellStyle name="Comma 2 4 4 2 2 5 2 3 2" xfId="37707"/>
    <cellStyle name="Comma 2 4 4 2 2 5 2 4" xfId="31284"/>
    <cellStyle name="Comma 2 4 4 2 2 5 2 5" xfId="43049"/>
    <cellStyle name="Comma 2 4 4 2 2 5 3" xfId="8293"/>
    <cellStyle name="Comma 2 4 4 2 2 5 3 2" xfId="18753"/>
    <cellStyle name="Comma 2 4 4 2 2 5 3 2 2" xfId="39796"/>
    <cellStyle name="Comma 2 4 4 2 2 5 3 2 3" xfId="33373"/>
    <cellStyle name="Comma 2 4 4 2 2 5 3 3" xfId="23243"/>
    <cellStyle name="Comma 2 4 4 2 2 5 3 3 2" xfId="36589"/>
    <cellStyle name="Comma 2 4 4 2 2 5 3 4" xfId="30166"/>
    <cellStyle name="Comma 2 4 4 2 2 5 3 5" xfId="44072"/>
    <cellStyle name="Comma 2 4 4 2 2 5 4" xfId="7220"/>
    <cellStyle name="Comma 2 4 4 2 2 5 4 2" xfId="17723"/>
    <cellStyle name="Comma 2 4 4 2 2 5 4 2 2" xfId="38772"/>
    <cellStyle name="Comma 2 4 4 2 2 5 4 3" xfId="32349"/>
    <cellStyle name="Comma 2 4 4 2 2 5 5" xfId="16843"/>
    <cellStyle name="Comma 2 4 4 2 2 5 5 2" xfId="35565"/>
    <cellStyle name="Comma 2 4 4 2 2 5 6" xfId="20919"/>
    <cellStyle name="Comma 2 4 4 2 2 5 7" xfId="29142"/>
    <cellStyle name="Comma 2 4 4 2 2 5 8" xfId="41938"/>
    <cellStyle name="Comma 2 4 4 2 2 6" xfId="5731"/>
    <cellStyle name="Comma 2 4 4 2 2 6 2" xfId="11073"/>
    <cellStyle name="Comma 2 4 4 2 2 6 2 2" xfId="19872"/>
    <cellStyle name="Comma 2 4 4 2 2 6 2 2 2" xfId="40915"/>
    <cellStyle name="Comma 2 4 4 2 2 6 2 2 3" xfId="34492"/>
    <cellStyle name="Comma 2 4 4 2 2 6 2 3" xfId="22071"/>
    <cellStyle name="Comma 2 4 4 2 2 6 2 3 2" xfId="37708"/>
    <cellStyle name="Comma 2 4 4 2 2 6 2 4" xfId="31285"/>
    <cellStyle name="Comma 2 4 4 2 2 6 2 5" xfId="43050"/>
    <cellStyle name="Comma 2 4 4 2 2 6 3" xfId="8294"/>
    <cellStyle name="Comma 2 4 4 2 2 6 3 2" xfId="18754"/>
    <cellStyle name="Comma 2 4 4 2 2 6 3 2 2" xfId="39797"/>
    <cellStyle name="Comma 2 4 4 2 2 6 3 2 3" xfId="33374"/>
    <cellStyle name="Comma 2 4 4 2 2 6 3 3" xfId="23244"/>
    <cellStyle name="Comma 2 4 4 2 2 6 3 3 2" xfId="36590"/>
    <cellStyle name="Comma 2 4 4 2 2 6 3 4" xfId="30167"/>
    <cellStyle name="Comma 2 4 4 2 2 6 3 5" xfId="44073"/>
    <cellStyle name="Comma 2 4 4 2 2 6 4" xfId="7221"/>
    <cellStyle name="Comma 2 4 4 2 2 6 4 2" xfId="17724"/>
    <cellStyle name="Comma 2 4 4 2 2 6 4 2 2" xfId="38773"/>
    <cellStyle name="Comma 2 4 4 2 2 6 4 3" xfId="32350"/>
    <cellStyle name="Comma 2 4 4 2 2 6 5" xfId="16969"/>
    <cellStyle name="Comma 2 4 4 2 2 6 5 2" xfId="35566"/>
    <cellStyle name="Comma 2 4 4 2 2 6 6" xfId="20920"/>
    <cellStyle name="Comma 2 4 4 2 2 6 7" xfId="29143"/>
    <cellStyle name="Comma 2 4 4 2 2 6 8" xfId="41939"/>
    <cellStyle name="Comma 2 4 4 2 2 7" xfId="10239"/>
    <cellStyle name="Comma 2 4 4 2 2 7 2" xfId="19292"/>
    <cellStyle name="Comma 2 4 4 2 2 7 2 2" xfId="40335"/>
    <cellStyle name="Comma 2 4 4 2 2 7 2 3" xfId="33912"/>
    <cellStyle name="Comma 2 4 4 2 2 7 3" xfId="21492"/>
    <cellStyle name="Comma 2 4 4 2 2 7 3 2" xfId="37128"/>
    <cellStyle name="Comma 2 4 4 2 2 7 4" xfId="30705"/>
    <cellStyle name="Comma 2 4 4 2 2 7 5" xfId="42471"/>
    <cellStyle name="Comma 2 4 4 2 2 8" xfId="8289"/>
    <cellStyle name="Comma 2 4 4 2 2 8 2" xfId="18749"/>
    <cellStyle name="Comma 2 4 4 2 2 8 2 2" xfId="39792"/>
    <cellStyle name="Comma 2 4 4 2 2 8 2 3" xfId="33369"/>
    <cellStyle name="Comma 2 4 4 2 2 8 3" xfId="23239"/>
    <cellStyle name="Comma 2 4 4 2 2 8 3 2" xfId="36585"/>
    <cellStyle name="Comma 2 4 4 2 2 8 4" xfId="30162"/>
    <cellStyle name="Comma 2 4 4 2 2 8 5" xfId="44068"/>
    <cellStyle name="Comma 2 4 4 2 2 9" xfId="6638"/>
    <cellStyle name="Comma 2 4 4 2 2 9 2" xfId="17145"/>
    <cellStyle name="Comma 2 4 4 2 2 9 2 2" xfId="38198"/>
    <cellStyle name="Comma 2 4 4 2 2 9 3" xfId="31775"/>
    <cellStyle name="Comma 2 4 4 2 3" xfId="2112"/>
    <cellStyle name="Comma 2 4 4 2 3 10" xfId="20921"/>
    <cellStyle name="Comma 2 4 4 2 3 11" xfId="29144"/>
    <cellStyle name="Comma 2 4 4 2 3 12" xfId="41940"/>
    <cellStyle name="Comma 2 4 4 2 3 2" xfId="2982"/>
    <cellStyle name="Comma 2 4 4 2 3 2 2" xfId="11075"/>
    <cellStyle name="Comma 2 4 4 2 3 2 2 2" xfId="19874"/>
    <cellStyle name="Comma 2 4 4 2 3 2 2 2 2" xfId="40917"/>
    <cellStyle name="Comma 2 4 4 2 3 2 2 2 3" xfId="34494"/>
    <cellStyle name="Comma 2 4 4 2 3 2 2 3" xfId="22073"/>
    <cellStyle name="Comma 2 4 4 2 3 2 2 3 2" xfId="37710"/>
    <cellStyle name="Comma 2 4 4 2 3 2 2 4" xfId="31287"/>
    <cellStyle name="Comma 2 4 4 2 3 2 2 5" xfId="43052"/>
    <cellStyle name="Comma 2 4 4 2 3 2 3" xfId="8296"/>
    <cellStyle name="Comma 2 4 4 2 3 2 3 2" xfId="18756"/>
    <cellStyle name="Comma 2 4 4 2 3 2 3 2 2" xfId="39799"/>
    <cellStyle name="Comma 2 4 4 2 3 2 3 2 3" xfId="33376"/>
    <cellStyle name="Comma 2 4 4 2 3 2 3 3" xfId="23246"/>
    <cellStyle name="Comma 2 4 4 2 3 2 3 3 2" xfId="36592"/>
    <cellStyle name="Comma 2 4 4 2 3 2 3 4" xfId="30169"/>
    <cellStyle name="Comma 2 4 4 2 3 2 3 5" xfId="44075"/>
    <cellStyle name="Comma 2 4 4 2 3 2 4" xfId="7223"/>
    <cellStyle name="Comma 2 4 4 2 3 2 4 2" xfId="17726"/>
    <cellStyle name="Comma 2 4 4 2 3 2 4 2 2" xfId="38775"/>
    <cellStyle name="Comma 2 4 4 2 3 2 4 3" xfId="32352"/>
    <cellStyle name="Comma 2 4 4 2 3 2 5" xfId="16360"/>
    <cellStyle name="Comma 2 4 4 2 3 2 5 2" xfId="35568"/>
    <cellStyle name="Comma 2 4 4 2 3 2 6" xfId="20922"/>
    <cellStyle name="Comma 2 4 4 2 3 2 7" xfId="29145"/>
    <cellStyle name="Comma 2 4 4 2 3 2 8" xfId="41941"/>
    <cellStyle name="Comma 2 4 4 2 3 3" xfId="3852"/>
    <cellStyle name="Comma 2 4 4 2 3 3 2" xfId="11076"/>
    <cellStyle name="Comma 2 4 4 2 3 3 2 2" xfId="19875"/>
    <cellStyle name="Comma 2 4 4 2 3 3 2 2 2" xfId="40918"/>
    <cellStyle name="Comma 2 4 4 2 3 3 2 2 3" xfId="34495"/>
    <cellStyle name="Comma 2 4 4 2 3 3 2 3" xfId="22074"/>
    <cellStyle name="Comma 2 4 4 2 3 3 2 3 2" xfId="37711"/>
    <cellStyle name="Comma 2 4 4 2 3 3 2 4" xfId="31288"/>
    <cellStyle name="Comma 2 4 4 2 3 3 2 5" xfId="43053"/>
    <cellStyle name="Comma 2 4 4 2 3 3 3" xfId="8297"/>
    <cellStyle name="Comma 2 4 4 2 3 3 3 2" xfId="18757"/>
    <cellStyle name="Comma 2 4 4 2 3 3 3 2 2" xfId="39800"/>
    <cellStyle name="Comma 2 4 4 2 3 3 3 2 3" xfId="33377"/>
    <cellStyle name="Comma 2 4 4 2 3 3 3 3" xfId="23247"/>
    <cellStyle name="Comma 2 4 4 2 3 3 3 3 2" xfId="36593"/>
    <cellStyle name="Comma 2 4 4 2 3 3 3 4" xfId="30170"/>
    <cellStyle name="Comma 2 4 4 2 3 3 3 5" xfId="44076"/>
    <cellStyle name="Comma 2 4 4 2 3 3 4" xfId="7224"/>
    <cellStyle name="Comma 2 4 4 2 3 3 4 2" xfId="17727"/>
    <cellStyle name="Comma 2 4 4 2 3 3 4 2 2" xfId="38776"/>
    <cellStyle name="Comma 2 4 4 2 3 3 4 3" xfId="32353"/>
    <cellStyle name="Comma 2 4 4 2 3 3 5" xfId="16548"/>
    <cellStyle name="Comma 2 4 4 2 3 3 5 2" xfId="35569"/>
    <cellStyle name="Comma 2 4 4 2 3 3 6" xfId="20923"/>
    <cellStyle name="Comma 2 4 4 2 3 3 7" xfId="29146"/>
    <cellStyle name="Comma 2 4 4 2 3 3 8" xfId="41942"/>
    <cellStyle name="Comma 2 4 4 2 3 4" xfId="4730"/>
    <cellStyle name="Comma 2 4 4 2 3 4 2" xfId="11077"/>
    <cellStyle name="Comma 2 4 4 2 3 4 2 2" xfId="19876"/>
    <cellStyle name="Comma 2 4 4 2 3 4 2 2 2" xfId="40919"/>
    <cellStyle name="Comma 2 4 4 2 3 4 2 2 3" xfId="34496"/>
    <cellStyle name="Comma 2 4 4 2 3 4 2 3" xfId="22075"/>
    <cellStyle name="Comma 2 4 4 2 3 4 2 3 2" xfId="37712"/>
    <cellStyle name="Comma 2 4 4 2 3 4 2 4" xfId="31289"/>
    <cellStyle name="Comma 2 4 4 2 3 4 2 5" xfId="43054"/>
    <cellStyle name="Comma 2 4 4 2 3 4 3" xfId="8298"/>
    <cellStyle name="Comma 2 4 4 2 3 4 3 2" xfId="18758"/>
    <cellStyle name="Comma 2 4 4 2 3 4 3 2 2" xfId="39801"/>
    <cellStyle name="Comma 2 4 4 2 3 4 3 2 3" xfId="33378"/>
    <cellStyle name="Comma 2 4 4 2 3 4 3 3" xfId="23248"/>
    <cellStyle name="Comma 2 4 4 2 3 4 3 3 2" xfId="36594"/>
    <cellStyle name="Comma 2 4 4 2 3 4 3 4" xfId="30171"/>
    <cellStyle name="Comma 2 4 4 2 3 4 3 5" xfId="44077"/>
    <cellStyle name="Comma 2 4 4 2 3 4 4" xfId="7225"/>
    <cellStyle name="Comma 2 4 4 2 3 4 4 2" xfId="17728"/>
    <cellStyle name="Comma 2 4 4 2 3 4 4 2 2" xfId="38777"/>
    <cellStyle name="Comma 2 4 4 2 3 4 4 3" xfId="32354"/>
    <cellStyle name="Comma 2 4 4 2 3 4 5" xfId="16736"/>
    <cellStyle name="Comma 2 4 4 2 3 4 5 2" xfId="35570"/>
    <cellStyle name="Comma 2 4 4 2 3 4 6" xfId="20924"/>
    <cellStyle name="Comma 2 4 4 2 3 4 7" xfId="29147"/>
    <cellStyle name="Comma 2 4 4 2 3 4 8" xfId="41943"/>
    <cellStyle name="Comma 2 4 4 2 3 5" xfId="5995"/>
    <cellStyle name="Comma 2 4 4 2 3 5 2" xfId="11078"/>
    <cellStyle name="Comma 2 4 4 2 3 5 2 2" xfId="19877"/>
    <cellStyle name="Comma 2 4 4 2 3 5 2 2 2" xfId="40920"/>
    <cellStyle name="Comma 2 4 4 2 3 5 2 2 3" xfId="34497"/>
    <cellStyle name="Comma 2 4 4 2 3 5 2 3" xfId="22076"/>
    <cellStyle name="Comma 2 4 4 2 3 5 2 3 2" xfId="37713"/>
    <cellStyle name="Comma 2 4 4 2 3 5 2 4" xfId="31290"/>
    <cellStyle name="Comma 2 4 4 2 3 5 2 5" xfId="43055"/>
    <cellStyle name="Comma 2 4 4 2 3 5 3" xfId="8299"/>
    <cellStyle name="Comma 2 4 4 2 3 5 3 2" xfId="18759"/>
    <cellStyle name="Comma 2 4 4 2 3 5 3 2 2" xfId="39802"/>
    <cellStyle name="Comma 2 4 4 2 3 5 3 2 3" xfId="33379"/>
    <cellStyle name="Comma 2 4 4 2 3 5 3 3" xfId="23249"/>
    <cellStyle name="Comma 2 4 4 2 3 5 3 3 2" xfId="36595"/>
    <cellStyle name="Comma 2 4 4 2 3 5 3 4" xfId="30172"/>
    <cellStyle name="Comma 2 4 4 2 3 5 3 5" xfId="44078"/>
    <cellStyle name="Comma 2 4 4 2 3 5 4" xfId="7226"/>
    <cellStyle name="Comma 2 4 4 2 3 5 4 2" xfId="17729"/>
    <cellStyle name="Comma 2 4 4 2 3 5 4 2 2" xfId="38778"/>
    <cellStyle name="Comma 2 4 4 2 3 5 4 3" xfId="32355"/>
    <cellStyle name="Comma 2 4 4 2 3 5 5" xfId="17024"/>
    <cellStyle name="Comma 2 4 4 2 3 5 5 2" xfId="35571"/>
    <cellStyle name="Comma 2 4 4 2 3 5 6" xfId="20925"/>
    <cellStyle name="Comma 2 4 4 2 3 5 7" xfId="29148"/>
    <cellStyle name="Comma 2 4 4 2 3 5 8" xfId="41944"/>
    <cellStyle name="Comma 2 4 4 2 3 6" xfId="11074"/>
    <cellStyle name="Comma 2 4 4 2 3 6 2" xfId="19873"/>
    <cellStyle name="Comma 2 4 4 2 3 6 2 2" xfId="40916"/>
    <cellStyle name="Comma 2 4 4 2 3 6 2 3" xfId="34493"/>
    <cellStyle name="Comma 2 4 4 2 3 6 3" xfId="22072"/>
    <cellStyle name="Comma 2 4 4 2 3 6 3 2" xfId="37709"/>
    <cellStyle name="Comma 2 4 4 2 3 6 4" xfId="31286"/>
    <cellStyle name="Comma 2 4 4 2 3 6 5" xfId="43051"/>
    <cellStyle name="Comma 2 4 4 2 3 7" xfId="8295"/>
    <cellStyle name="Comma 2 4 4 2 3 7 2" xfId="18755"/>
    <cellStyle name="Comma 2 4 4 2 3 7 2 2" xfId="39798"/>
    <cellStyle name="Comma 2 4 4 2 3 7 2 3" xfId="33375"/>
    <cellStyle name="Comma 2 4 4 2 3 7 3" xfId="23245"/>
    <cellStyle name="Comma 2 4 4 2 3 7 3 2" xfId="36591"/>
    <cellStyle name="Comma 2 4 4 2 3 7 4" xfId="30168"/>
    <cellStyle name="Comma 2 4 4 2 3 7 5" xfId="44074"/>
    <cellStyle name="Comma 2 4 4 2 3 8" xfId="7222"/>
    <cellStyle name="Comma 2 4 4 2 3 8 2" xfId="17725"/>
    <cellStyle name="Comma 2 4 4 2 3 8 2 2" xfId="38774"/>
    <cellStyle name="Comma 2 4 4 2 3 8 3" xfId="32351"/>
    <cellStyle name="Comma 2 4 4 2 3 9" xfId="16171"/>
    <cellStyle name="Comma 2 4 4 2 3 9 2" xfId="35567"/>
    <cellStyle name="Comma 2 4 4 2 4" xfId="2477"/>
    <cellStyle name="Comma 2 4 4 2 4 2" xfId="11079"/>
    <cellStyle name="Comma 2 4 4 2 4 2 2" xfId="19878"/>
    <cellStyle name="Comma 2 4 4 2 4 2 2 2" xfId="40921"/>
    <cellStyle name="Comma 2 4 4 2 4 2 2 3" xfId="34498"/>
    <cellStyle name="Comma 2 4 4 2 4 2 3" xfId="22077"/>
    <cellStyle name="Comma 2 4 4 2 4 2 3 2" xfId="37714"/>
    <cellStyle name="Comma 2 4 4 2 4 2 4" xfId="31291"/>
    <cellStyle name="Comma 2 4 4 2 4 2 5" xfId="43056"/>
    <cellStyle name="Comma 2 4 4 2 4 3" xfId="8300"/>
    <cellStyle name="Comma 2 4 4 2 4 3 2" xfId="18760"/>
    <cellStyle name="Comma 2 4 4 2 4 3 2 2" xfId="39803"/>
    <cellStyle name="Comma 2 4 4 2 4 3 2 3" xfId="33380"/>
    <cellStyle name="Comma 2 4 4 2 4 3 3" xfId="23250"/>
    <cellStyle name="Comma 2 4 4 2 4 3 3 2" xfId="36596"/>
    <cellStyle name="Comma 2 4 4 2 4 3 4" xfId="30173"/>
    <cellStyle name="Comma 2 4 4 2 4 3 5" xfId="44079"/>
    <cellStyle name="Comma 2 4 4 2 4 4" xfId="7227"/>
    <cellStyle name="Comma 2 4 4 2 4 4 2" xfId="17730"/>
    <cellStyle name="Comma 2 4 4 2 4 4 2 2" xfId="38779"/>
    <cellStyle name="Comma 2 4 4 2 4 4 3" xfId="32356"/>
    <cellStyle name="Comma 2 4 4 2 4 5" xfId="16252"/>
    <cellStyle name="Comma 2 4 4 2 4 5 2" xfId="35572"/>
    <cellStyle name="Comma 2 4 4 2 4 6" xfId="20926"/>
    <cellStyle name="Comma 2 4 4 2 4 7" xfId="29149"/>
    <cellStyle name="Comma 2 4 4 2 4 8" xfId="41945"/>
    <cellStyle name="Comma 2 4 4 2 5" xfId="3340"/>
    <cellStyle name="Comma 2 4 4 2 5 2" xfId="11080"/>
    <cellStyle name="Comma 2 4 4 2 5 2 2" xfId="19879"/>
    <cellStyle name="Comma 2 4 4 2 5 2 2 2" xfId="40922"/>
    <cellStyle name="Comma 2 4 4 2 5 2 2 3" xfId="34499"/>
    <cellStyle name="Comma 2 4 4 2 5 2 3" xfId="22078"/>
    <cellStyle name="Comma 2 4 4 2 5 2 3 2" xfId="37715"/>
    <cellStyle name="Comma 2 4 4 2 5 2 4" xfId="31292"/>
    <cellStyle name="Comma 2 4 4 2 5 2 5" xfId="43057"/>
    <cellStyle name="Comma 2 4 4 2 5 3" xfId="8301"/>
    <cellStyle name="Comma 2 4 4 2 5 3 2" xfId="18761"/>
    <cellStyle name="Comma 2 4 4 2 5 3 2 2" xfId="39804"/>
    <cellStyle name="Comma 2 4 4 2 5 3 2 3" xfId="33381"/>
    <cellStyle name="Comma 2 4 4 2 5 3 3" xfId="23251"/>
    <cellStyle name="Comma 2 4 4 2 5 3 3 2" xfId="36597"/>
    <cellStyle name="Comma 2 4 4 2 5 3 4" xfId="30174"/>
    <cellStyle name="Comma 2 4 4 2 5 3 5" xfId="44080"/>
    <cellStyle name="Comma 2 4 4 2 5 4" xfId="7228"/>
    <cellStyle name="Comma 2 4 4 2 5 4 2" xfId="17731"/>
    <cellStyle name="Comma 2 4 4 2 5 4 2 2" xfId="38780"/>
    <cellStyle name="Comma 2 4 4 2 5 4 3" xfId="32357"/>
    <cellStyle name="Comma 2 4 4 2 5 5" xfId="16440"/>
    <cellStyle name="Comma 2 4 4 2 5 5 2" xfId="35573"/>
    <cellStyle name="Comma 2 4 4 2 5 6" xfId="20927"/>
    <cellStyle name="Comma 2 4 4 2 5 7" xfId="29150"/>
    <cellStyle name="Comma 2 4 4 2 5 8" xfId="41946"/>
    <cellStyle name="Comma 2 4 4 2 6" xfId="4208"/>
    <cellStyle name="Comma 2 4 4 2 6 2" xfId="11081"/>
    <cellStyle name="Comma 2 4 4 2 6 2 2" xfId="19880"/>
    <cellStyle name="Comma 2 4 4 2 6 2 2 2" xfId="40923"/>
    <cellStyle name="Comma 2 4 4 2 6 2 2 3" xfId="34500"/>
    <cellStyle name="Comma 2 4 4 2 6 2 3" xfId="22079"/>
    <cellStyle name="Comma 2 4 4 2 6 2 3 2" xfId="37716"/>
    <cellStyle name="Comma 2 4 4 2 6 2 4" xfId="31293"/>
    <cellStyle name="Comma 2 4 4 2 6 2 5" xfId="43058"/>
    <cellStyle name="Comma 2 4 4 2 6 3" xfId="8302"/>
    <cellStyle name="Comma 2 4 4 2 6 3 2" xfId="18762"/>
    <cellStyle name="Comma 2 4 4 2 6 3 2 2" xfId="39805"/>
    <cellStyle name="Comma 2 4 4 2 6 3 2 3" xfId="33382"/>
    <cellStyle name="Comma 2 4 4 2 6 3 3" xfId="23252"/>
    <cellStyle name="Comma 2 4 4 2 6 3 3 2" xfId="36598"/>
    <cellStyle name="Comma 2 4 4 2 6 3 4" xfId="30175"/>
    <cellStyle name="Comma 2 4 4 2 6 3 5" xfId="44081"/>
    <cellStyle name="Comma 2 4 4 2 6 4" xfId="7229"/>
    <cellStyle name="Comma 2 4 4 2 6 4 2" xfId="17732"/>
    <cellStyle name="Comma 2 4 4 2 6 4 2 2" xfId="38781"/>
    <cellStyle name="Comma 2 4 4 2 6 4 3" xfId="32358"/>
    <cellStyle name="Comma 2 4 4 2 6 5" xfId="16628"/>
    <cellStyle name="Comma 2 4 4 2 6 5 2" xfId="35574"/>
    <cellStyle name="Comma 2 4 4 2 6 6" xfId="20928"/>
    <cellStyle name="Comma 2 4 4 2 6 7" xfId="29151"/>
    <cellStyle name="Comma 2 4 4 2 6 8" xfId="41947"/>
    <cellStyle name="Comma 2 4 4 2 7" xfId="5027"/>
    <cellStyle name="Comma 2 4 4 2 7 2" xfId="11082"/>
    <cellStyle name="Comma 2 4 4 2 7 2 2" xfId="19881"/>
    <cellStyle name="Comma 2 4 4 2 7 2 2 2" xfId="40924"/>
    <cellStyle name="Comma 2 4 4 2 7 2 2 3" xfId="34501"/>
    <cellStyle name="Comma 2 4 4 2 7 2 3" xfId="22080"/>
    <cellStyle name="Comma 2 4 4 2 7 2 3 2" xfId="37717"/>
    <cellStyle name="Comma 2 4 4 2 7 2 4" xfId="31294"/>
    <cellStyle name="Comma 2 4 4 2 7 2 5" xfId="43059"/>
    <cellStyle name="Comma 2 4 4 2 7 3" xfId="8303"/>
    <cellStyle name="Comma 2 4 4 2 7 3 2" xfId="18763"/>
    <cellStyle name="Comma 2 4 4 2 7 3 2 2" xfId="39806"/>
    <cellStyle name="Comma 2 4 4 2 7 3 2 3" xfId="33383"/>
    <cellStyle name="Comma 2 4 4 2 7 3 3" xfId="23253"/>
    <cellStyle name="Comma 2 4 4 2 7 3 3 2" xfId="36599"/>
    <cellStyle name="Comma 2 4 4 2 7 3 4" xfId="30176"/>
    <cellStyle name="Comma 2 4 4 2 7 3 5" xfId="44082"/>
    <cellStyle name="Comma 2 4 4 2 7 4" xfId="7230"/>
    <cellStyle name="Comma 2 4 4 2 7 4 2" xfId="17733"/>
    <cellStyle name="Comma 2 4 4 2 7 4 2 2" xfId="38782"/>
    <cellStyle name="Comma 2 4 4 2 7 4 3" xfId="32359"/>
    <cellStyle name="Comma 2 4 4 2 7 5" xfId="16842"/>
    <cellStyle name="Comma 2 4 4 2 7 5 2" xfId="35575"/>
    <cellStyle name="Comma 2 4 4 2 7 6" xfId="20929"/>
    <cellStyle name="Comma 2 4 4 2 7 7" xfId="29152"/>
    <cellStyle name="Comma 2 4 4 2 7 8" xfId="41948"/>
    <cellStyle name="Comma 2 4 4 2 8" xfId="5470"/>
    <cellStyle name="Comma 2 4 4 2 8 2" xfId="11083"/>
    <cellStyle name="Comma 2 4 4 2 8 2 2" xfId="19882"/>
    <cellStyle name="Comma 2 4 4 2 8 2 2 2" xfId="40925"/>
    <cellStyle name="Comma 2 4 4 2 8 2 2 3" xfId="34502"/>
    <cellStyle name="Comma 2 4 4 2 8 2 3" xfId="22081"/>
    <cellStyle name="Comma 2 4 4 2 8 2 3 2" xfId="37718"/>
    <cellStyle name="Comma 2 4 4 2 8 2 4" xfId="31295"/>
    <cellStyle name="Comma 2 4 4 2 8 2 5" xfId="43060"/>
    <cellStyle name="Comma 2 4 4 2 8 3" xfId="8304"/>
    <cellStyle name="Comma 2 4 4 2 8 3 2" xfId="18764"/>
    <cellStyle name="Comma 2 4 4 2 8 3 2 2" xfId="39807"/>
    <cellStyle name="Comma 2 4 4 2 8 3 2 3" xfId="33384"/>
    <cellStyle name="Comma 2 4 4 2 8 3 3" xfId="23254"/>
    <cellStyle name="Comma 2 4 4 2 8 3 3 2" xfId="36600"/>
    <cellStyle name="Comma 2 4 4 2 8 3 4" xfId="30177"/>
    <cellStyle name="Comma 2 4 4 2 8 3 5" xfId="44083"/>
    <cellStyle name="Comma 2 4 4 2 8 4" xfId="7231"/>
    <cellStyle name="Comma 2 4 4 2 8 4 2" xfId="17734"/>
    <cellStyle name="Comma 2 4 4 2 8 4 2 2" xfId="38783"/>
    <cellStyle name="Comma 2 4 4 2 8 4 3" xfId="32360"/>
    <cellStyle name="Comma 2 4 4 2 8 5" xfId="16916"/>
    <cellStyle name="Comma 2 4 4 2 8 5 2" xfId="35576"/>
    <cellStyle name="Comma 2 4 4 2 8 6" xfId="20930"/>
    <cellStyle name="Comma 2 4 4 2 8 7" xfId="29153"/>
    <cellStyle name="Comma 2 4 4 2 8 8" xfId="41949"/>
    <cellStyle name="Comma 2 4 4 2 9" xfId="10242"/>
    <cellStyle name="Comma 2 4 4 2 9 2" xfId="19295"/>
    <cellStyle name="Comma 2 4 4 2 9 2 2" xfId="40338"/>
    <cellStyle name="Comma 2 4 4 2 9 2 3" xfId="33915"/>
    <cellStyle name="Comma 2 4 4 2 9 3" xfId="21495"/>
    <cellStyle name="Comma 2 4 4 2 9 3 2" xfId="37131"/>
    <cellStyle name="Comma 2 4 4 2 9 4" xfId="30708"/>
    <cellStyle name="Comma 2 4 4 2 9 5" xfId="42474"/>
    <cellStyle name="Comma 2 4 4 3" xfId="1836"/>
    <cellStyle name="Comma 2 4 4 3 10" xfId="16114"/>
    <cellStyle name="Comma 2 4 4 3 10 2" xfId="34983"/>
    <cellStyle name="Comma 2 4 4 3 11" xfId="20931"/>
    <cellStyle name="Comma 2 4 4 3 12" xfId="28558"/>
    <cellStyle name="Comma 2 4 4 3 13" xfId="41950"/>
    <cellStyle name="Comma 2 4 4 3 2" xfId="2726"/>
    <cellStyle name="Comma 2 4 4 3 2 2" xfId="11084"/>
    <cellStyle name="Comma 2 4 4 3 2 2 2" xfId="19883"/>
    <cellStyle name="Comma 2 4 4 3 2 2 2 2" xfId="40926"/>
    <cellStyle name="Comma 2 4 4 3 2 2 2 3" xfId="34503"/>
    <cellStyle name="Comma 2 4 4 3 2 2 3" xfId="22082"/>
    <cellStyle name="Comma 2 4 4 3 2 2 3 2" xfId="37719"/>
    <cellStyle name="Comma 2 4 4 3 2 2 4" xfId="31296"/>
    <cellStyle name="Comma 2 4 4 3 2 2 5" xfId="43061"/>
    <cellStyle name="Comma 2 4 4 3 2 3" xfId="8306"/>
    <cellStyle name="Comma 2 4 4 3 2 3 2" xfId="18766"/>
    <cellStyle name="Comma 2 4 4 3 2 3 2 2" xfId="39809"/>
    <cellStyle name="Comma 2 4 4 3 2 3 2 3" xfId="33386"/>
    <cellStyle name="Comma 2 4 4 3 2 3 3" xfId="23256"/>
    <cellStyle name="Comma 2 4 4 3 2 3 3 2" xfId="36602"/>
    <cellStyle name="Comma 2 4 4 3 2 3 4" xfId="30179"/>
    <cellStyle name="Comma 2 4 4 3 2 3 5" xfId="44085"/>
    <cellStyle name="Comma 2 4 4 3 2 4" xfId="7232"/>
    <cellStyle name="Comma 2 4 4 3 2 4 2" xfId="17735"/>
    <cellStyle name="Comma 2 4 4 3 2 4 2 2" xfId="38784"/>
    <cellStyle name="Comma 2 4 4 3 2 4 3" xfId="32361"/>
    <cellStyle name="Comma 2 4 4 3 2 5" xfId="16304"/>
    <cellStyle name="Comma 2 4 4 3 2 5 2" xfId="35577"/>
    <cellStyle name="Comma 2 4 4 3 2 6" xfId="20932"/>
    <cellStyle name="Comma 2 4 4 3 2 7" xfId="29154"/>
    <cellStyle name="Comma 2 4 4 3 2 8" xfId="41951"/>
    <cellStyle name="Comma 2 4 4 3 3" xfId="3590"/>
    <cellStyle name="Comma 2 4 4 3 3 2" xfId="11085"/>
    <cellStyle name="Comma 2 4 4 3 3 2 2" xfId="19884"/>
    <cellStyle name="Comma 2 4 4 3 3 2 2 2" xfId="40927"/>
    <cellStyle name="Comma 2 4 4 3 3 2 2 3" xfId="34504"/>
    <cellStyle name="Comma 2 4 4 3 3 2 3" xfId="22083"/>
    <cellStyle name="Comma 2 4 4 3 3 2 3 2" xfId="37720"/>
    <cellStyle name="Comma 2 4 4 3 3 2 4" xfId="31297"/>
    <cellStyle name="Comma 2 4 4 3 3 2 5" xfId="43062"/>
    <cellStyle name="Comma 2 4 4 3 3 3" xfId="8307"/>
    <cellStyle name="Comma 2 4 4 3 3 3 2" xfId="18767"/>
    <cellStyle name="Comma 2 4 4 3 3 3 2 2" xfId="39810"/>
    <cellStyle name="Comma 2 4 4 3 3 3 2 3" xfId="33387"/>
    <cellStyle name="Comma 2 4 4 3 3 3 3" xfId="23257"/>
    <cellStyle name="Comma 2 4 4 3 3 3 3 2" xfId="36603"/>
    <cellStyle name="Comma 2 4 4 3 3 3 4" xfId="30180"/>
    <cellStyle name="Comma 2 4 4 3 3 3 5" xfId="44086"/>
    <cellStyle name="Comma 2 4 4 3 3 4" xfId="7233"/>
    <cellStyle name="Comma 2 4 4 3 3 4 2" xfId="17736"/>
    <cellStyle name="Comma 2 4 4 3 3 4 2 2" xfId="38785"/>
    <cellStyle name="Comma 2 4 4 3 3 4 3" xfId="32362"/>
    <cellStyle name="Comma 2 4 4 3 3 5" xfId="16492"/>
    <cellStyle name="Comma 2 4 4 3 3 5 2" xfId="35578"/>
    <cellStyle name="Comma 2 4 4 3 3 6" xfId="20933"/>
    <cellStyle name="Comma 2 4 4 3 3 7" xfId="29155"/>
    <cellStyle name="Comma 2 4 4 3 3 8" xfId="41952"/>
    <cellStyle name="Comma 2 4 4 3 4" xfId="4465"/>
    <cellStyle name="Comma 2 4 4 3 4 2" xfId="11086"/>
    <cellStyle name="Comma 2 4 4 3 4 2 2" xfId="19885"/>
    <cellStyle name="Comma 2 4 4 3 4 2 2 2" xfId="40928"/>
    <cellStyle name="Comma 2 4 4 3 4 2 2 3" xfId="34505"/>
    <cellStyle name="Comma 2 4 4 3 4 2 3" xfId="22084"/>
    <cellStyle name="Comma 2 4 4 3 4 2 3 2" xfId="37721"/>
    <cellStyle name="Comma 2 4 4 3 4 2 4" xfId="31298"/>
    <cellStyle name="Comma 2 4 4 3 4 2 5" xfId="43063"/>
    <cellStyle name="Comma 2 4 4 3 4 3" xfId="8308"/>
    <cellStyle name="Comma 2 4 4 3 4 3 2" xfId="18768"/>
    <cellStyle name="Comma 2 4 4 3 4 3 2 2" xfId="39811"/>
    <cellStyle name="Comma 2 4 4 3 4 3 2 3" xfId="33388"/>
    <cellStyle name="Comma 2 4 4 3 4 3 3" xfId="23258"/>
    <cellStyle name="Comma 2 4 4 3 4 3 3 2" xfId="36604"/>
    <cellStyle name="Comma 2 4 4 3 4 3 4" xfId="30181"/>
    <cellStyle name="Comma 2 4 4 3 4 3 5" xfId="44087"/>
    <cellStyle name="Comma 2 4 4 3 4 4" xfId="7234"/>
    <cellStyle name="Comma 2 4 4 3 4 4 2" xfId="17737"/>
    <cellStyle name="Comma 2 4 4 3 4 4 2 2" xfId="38786"/>
    <cellStyle name="Comma 2 4 4 3 4 4 3" xfId="32363"/>
    <cellStyle name="Comma 2 4 4 3 4 5" xfId="16680"/>
    <cellStyle name="Comma 2 4 4 3 4 5 2" xfId="35579"/>
    <cellStyle name="Comma 2 4 4 3 4 6" xfId="20934"/>
    <cellStyle name="Comma 2 4 4 3 4 7" xfId="29156"/>
    <cellStyle name="Comma 2 4 4 3 4 8" xfId="41953"/>
    <cellStyle name="Comma 2 4 4 3 5" xfId="5029"/>
    <cellStyle name="Comma 2 4 4 3 5 2" xfId="11087"/>
    <cellStyle name="Comma 2 4 4 3 5 2 2" xfId="19886"/>
    <cellStyle name="Comma 2 4 4 3 5 2 2 2" xfId="40929"/>
    <cellStyle name="Comma 2 4 4 3 5 2 2 3" xfId="34506"/>
    <cellStyle name="Comma 2 4 4 3 5 2 3" xfId="22085"/>
    <cellStyle name="Comma 2 4 4 3 5 2 3 2" xfId="37722"/>
    <cellStyle name="Comma 2 4 4 3 5 2 4" xfId="31299"/>
    <cellStyle name="Comma 2 4 4 3 5 2 5" xfId="43064"/>
    <cellStyle name="Comma 2 4 4 3 5 3" xfId="8309"/>
    <cellStyle name="Comma 2 4 4 3 5 3 2" xfId="18769"/>
    <cellStyle name="Comma 2 4 4 3 5 3 2 2" xfId="39812"/>
    <cellStyle name="Comma 2 4 4 3 5 3 2 3" xfId="33389"/>
    <cellStyle name="Comma 2 4 4 3 5 3 3" xfId="23259"/>
    <cellStyle name="Comma 2 4 4 3 5 3 3 2" xfId="36605"/>
    <cellStyle name="Comma 2 4 4 3 5 3 4" xfId="30182"/>
    <cellStyle name="Comma 2 4 4 3 5 3 5" xfId="44088"/>
    <cellStyle name="Comma 2 4 4 3 5 4" xfId="7235"/>
    <cellStyle name="Comma 2 4 4 3 5 4 2" xfId="17738"/>
    <cellStyle name="Comma 2 4 4 3 5 4 2 2" xfId="38787"/>
    <cellStyle name="Comma 2 4 4 3 5 4 3" xfId="32364"/>
    <cellStyle name="Comma 2 4 4 3 5 5" xfId="16844"/>
    <cellStyle name="Comma 2 4 4 3 5 5 2" xfId="35580"/>
    <cellStyle name="Comma 2 4 4 3 5 6" xfId="20935"/>
    <cellStyle name="Comma 2 4 4 3 5 7" xfId="29157"/>
    <cellStyle name="Comma 2 4 4 3 5 8" xfId="41954"/>
    <cellStyle name="Comma 2 4 4 3 6" xfId="5730"/>
    <cellStyle name="Comma 2 4 4 3 6 2" xfId="11088"/>
    <cellStyle name="Comma 2 4 4 3 6 2 2" xfId="19887"/>
    <cellStyle name="Comma 2 4 4 3 6 2 2 2" xfId="40930"/>
    <cellStyle name="Comma 2 4 4 3 6 2 2 3" xfId="34507"/>
    <cellStyle name="Comma 2 4 4 3 6 2 3" xfId="22086"/>
    <cellStyle name="Comma 2 4 4 3 6 2 3 2" xfId="37723"/>
    <cellStyle name="Comma 2 4 4 3 6 2 4" xfId="31300"/>
    <cellStyle name="Comma 2 4 4 3 6 2 5" xfId="43065"/>
    <cellStyle name="Comma 2 4 4 3 6 3" xfId="8310"/>
    <cellStyle name="Comma 2 4 4 3 6 3 2" xfId="18770"/>
    <cellStyle name="Comma 2 4 4 3 6 3 2 2" xfId="39813"/>
    <cellStyle name="Comma 2 4 4 3 6 3 2 3" xfId="33390"/>
    <cellStyle name="Comma 2 4 4 3 6 3 3" xfId="23260"/>
    <cellStyle name="Comma 2 4 4 3 6 3 3 2" xfId="36606"/>
    <cellStyle name="Comma 2 4 4 3 6 3 4" xfId="30183"/>
    <cellStyle name="Comma 2 4 4 3 6 3 5" xfId="44089"/>
    <cellStyle name="Comma 2 4 4 3 6 4" xfId="7236"/>
    <cellStyle name="Comma 2 4 4 3 6 4 2" xfId="17739"/>
    <cellStyle name="Comma 2 4 4 3 6 4 2 2" xfId="38788"/>
    <cellStyle name="Comma 2 4 4 3 6 4 3" xfId="32365"/>
    <cellStyle name="Comma 2 4 4 3 6 5" xfId="16968"/>
    <cellStyle name="Comma 2 4 4 3 6 5 2" xfId="35581"/>
    <cellStyle name="Comma 2 4 4 3 6 6" xfId="20936"/>
    <cellStyle name="Comma 2 4 4 3 6 7" xfId="29158"/>
    <cellStyle name="Comma 2 4 4 3 6 8" xfId="41955"/>
    <cellStyle name="Comma 2 4 4 3 7" xfId="10231"/>
    <cellStyle name="Comma 2 4 4 3 7 2" xfId="19284"/>
    <cellStyle name="Comma 2 4 4 3 7 2 2" xfId="40327"/>
    <cellStyle name="Comma 2 4 4 3 7 2 3" xfId="33904"/>
    <cellStyle name="Comma 2 4 4 3 7 3" xfId="21484"/>
    <cellStyle name="Comma 2 4 4 3 7 3 2" xfId="37120"/>
    <cellStyle name="Comma 2 4 4 3 7 4" xfId="30697"/>
    <cellStyle name="Comma 2 4 4 3 7 5" xfId="42463"/>
    <cellStyle name="Comma 2 4 4 3 8" xfId="8305"/>
    <cellStyle name="Comma 2 4 4 3 8 2" xfId="18765"/>
    <cellStyle name="Comma 2 4 4 3 8 2 2" xfId="39808"/>
    <cellStyle name="Comma 2 4 4 3 8 2 3" xfId="33385"/>
    <cellStyle name="Comma 2 4 4 3 8 3" xfId="23255"/>
    <cellStyle name="Comma 2 4 4 3 8 3 2" xfId="36601"/>
    <cellStyle name="Comma 2 4 4 3 8 4" xfId="30178"/>
    <cellStyle name="Comma 2 4 4 3 8 5" xfId="44084"/>
    <cellStyle name="Comma 2 4 4 3 9" xfId="6630"/>
    <cellStyle name="Comma 2 4 4 3 9 2" xfId="17137"/>
    <cellStyle name="Comma 2 4 4 3 9 2 2" xfId="38190"/>
    <cellStyle name="Comma 2 4 4 3 9 3" xfId="31767"/>
    <cellStyle name="Comma 2 4 4 4" xfId="2111"/>
    <cellStyle name="Comma 2 4 4 4 10" xfId="20937"/>
    <cellStyle name="Comma 2 4 4 4 11" xfId="29159"/>
    <cellStyle name="Comma 2 4 4 4 12" xfId="41956"/>
    <cellStyle name="Comma 2 4 4 4 2" xfId="2981"/>
    <cellStyle name="Comma 2 4 4 4 2 2" xfId="11090"/>
    <cellStyle name="Comma 2 4 4 4 2 2 2" xfId="19889"/>
    <cellStyle name="Comma 2 4 4 4 2 2 2 2" xfId="40932"/>
    <cellStyle name="Comma 2 4 4 4 2 2 2 3" xfId="34509"/>
    <cellStyle name="Comma 2 4 4 4 2 2 3" xfId="22088"/>
    <cellStyle name="Comma 2 4 4 4 2 2 3 2" xfId="37725"/>
    <cellStyle name="Comma 2 4 4 4 2 2 4" xfId="31302"/>
    <cellStyle name="Comma 2 4 4 4 2 2 5" xfId="43067"/>
    <cellStyle name="Comma 2 4 4 4 2 3" xfId="8312"/>
    <cellStyle name="Comma 2 4 4 4 2 3 2" xfId="18772"/>
    <cellStyle name="Comma 2 4 4 4 2 3 2 2" xfId="39815"/>
    <cellStyle name="Comma 2 4 4 4 2 3 2 3" xfId="33392"/>
    <cellStyle name="Comma 2 4 4 4 2 3 3" xfId="23262"/>
    <cellStyle name="Comma 2 4 4 4 2 3 3 2" xfId="36608"/>
    <cellStyle name="Comma 2 4 4 4 2 3 4" xfId="30185"/>
    <cellStyle name="Comma 2 4 4 4 2 3 5" xfId="44091"/>
    <cellStyle name="Comma 2 4 4 4 2 4" xfId="7238"/>
    <cellStyle name="Comma 2 4 4 4 2 4 2" xfId="17741"/>
    <cellStyle name="Comma 2 4 4 4 2 4 2 2" xfId="38790"/>
    <cellStyle name="Comma 2 4 4 4 2 4 3" xfId="32367"/>
    <cellStyle name="Comma 2 4 4 4 2 5" xfId="16359"/>
    <cellStyle name="Comma 2 4 4 4 2 5 2" xfId="35583"/>
    <cellStyle name="Comma 2 4 4 4 2 6" xfId="20938"/>
    <cellStyle name="Comma 2 4 4 4 2 7" xfId="29160"/>
    <cellStyle name="Comma 2 4 4 4 2 8" xfId="41957"/>
    <cellStyle name="Comma 2 4 4 4 3" xfId="3851"/>
    <cellStyle name="Comma 2 4 4 4 3 2" xfId="11091"/>
    <cellStyle name="Comma 2 4 4 4 3 2 2" xfId="19890"/>
    <cellStyle name="Comma 2 4 4 4 3 2 2 2" xfId="40933"/>
    <cellStyle name="Comma 2 4 4 4 3 2 2 3" xfId="34510"/>
    <cellStyle name="Comma 2 4 4 4 3 2 3" xfId="22089"/>
    <cellStyle name="Comma 2 4 4 4 3 2 3 2" xfId="37726"/>
    <cellStyle name="Comma 2 4 4 4 3 2 4" xfId="31303"/>
    <cellStyle name="Comma 2 4 4 4 3 2 5" xfId="43068"/>
    <cellStyle name="Comma 2 4 4 4 3 3" xfId="8313"/>
    <cellStyle name="Comma 2 4 4 4 3 3 2" xfId="18773"/>
    <cellStyle name="Comma 2 4 4 4 3 3 2 2" xfId="39816"/>
    <cellStyle name="Comma 2 4 4 4 3 3 2 3" xfId="33393"/>
    <cellStyle name="Comma 2 4 4 4 3 3 3" xfId="23263"/>
    <cellStyle name="Comma 2 4 4 4 3 3 3 2" xfId="36609"/>
    <cellStyle name="Comma 2 4 4 4 3 3 4" xfId="30186"/>
    <cellStyle name="Comma 2 4 4 4 3 3 5" xfId="44092"/>
    <cellStyle name="Comma 2 4 4 4 3 4" xfId="7239"/>
    <cellStyle name="Comma 2 4 4 4 3 4 2" xfId="17742"/>
    <cellStyle name="Comma 2 4 4 4 3 4 2 2" xfId="38791"/>
    <cellStyle name="Comma 2 4 4 4 3 4 3" xfId="32368"/>
    <cellStyle name="Comma 2 4 4 4 3 5" xfId="16547"/>
    <cellStyle name="Comma 2 4 4 4 3 5 2" xfId="35584"/>
    <cellStyle name="Comma 2 4 4 4 3 6" xfId="20939"/>
    <cellStyle name="Comma 2 4 4 4 3 7" xfId="29161"/>
    <cellStyle name="Comma 2 4 4 4 3 8" xfId="41958"/>
    <cellStyle name="Comma 2 4 4 4 4" xfId="4729"/>
    <cellStyle name="Comma 2 4 4 4 4 2" xfId="11092"/>
    <cellStyle name="Comma 2 4 4 4 4 2 2" xfId="19891"/>
    <cellStyle name="Comma 2 4 4 4 4 2 2 2" xfId="40934"/>
    <cellStyle name="Comma 2 4 4 4 4 2 2 3" xfId="34511"/>
    <cellStyle name="Comma 2 4 4 4 4 2 3" xfId="22090"/>
    <cellStyle name="Comma 2 4 4 4 4 2 3 2" xfId="37727"/>
    <cellStyle name="Comma 2 4 4 4 4 2 4" xfId="31304"/>
    <cellStyle name="Comma 2 4 4 4 4 2 5" xfId="43069"/>
    <cellStyle name="Comma 2 4 4 4 4 3" xfId="8314"/>
    <cellStyle name="Comma 2 4 4 4 4 3 2" xfId="18774"/>
    <cellStyle name="Comma 2 4 4 4 4 3 2 2" xfId="39817"/>
    <cellStyle name="Comma 2 4 4 4 4 3 2 3" xfId="33394"/>
    <cellStyle name="Comma 2 4 4 4 4 3 3" xfId="23264"/>
    <cellStyle name="Comma 2 4 4 4 4 3 3 2" xfId="36610"/>
    <cellStyle name="Comma 2 4 4 4 4 3 4" xfId="30187"/>
    <cellStyle name="Comma 2 4 4 4 4 3 5" xfId="44093"/>
    <cellStyle name="Comma 2 4 4 4 4 4" xfId="7240"/>
    <cellStyle name="Comma 2 4 4 4 4 4 2" xfId="17743"/>
    <cellStyle name="Comma 2 4 4 4 4 4 2 2" xfId="38792"/>
    <cellStyle name="Comma 2 4 4 4 4 4 3" xfId="32369"/>
    <cellStyle name="Comma 2 4 4 4 4 5" xfId="16735"/>
    <cellStyle name="Comma 2 4 4 4 4 5 2" xfId="35585"/>
    <cellStyle name="Comma 2 4 4 4 4 6" xfId="20940"/>
    <cellStyle name="Comma 2 4 4 4 4 7" xfId="29162"/>
    <cellStyle name="Comma 2 4 4 4 4 8" xfId="41959"/>
    <cellStyle name="Comma 2 4 4 4 5" xfId="5994"/>
    <cellStyle name="Comma 2 4 4 4 5 2" xfId="11093"/>
    <cellStyle name="Comma 2 4 4 4 5 2 2" xfId="19892"/>
    <cellStyle name="Comma 2 4 4 4 5 2 2 2" xfId="40935"/>
    <cellStyle name="Comma 2 4 4 4 5 2 2 3" xfId="34512"/>
    <cellStyle name="Comma 2 4 4 4 5 2 3" xfId="22091"/>
    <cellStyle name="Comma 2 4 4 4 5 2 3 2" xfId="37728"/>
    <cellStyle name="Comma 2 4 4 4 5 2 4" xfId="31305"/>
    <cellStyle name="Comma 2 4 4 4 5 2 5" xfId="43070"/>
    <cellStyle name="Comma 2 4 4 4 5 3" xfId="8315"/>
    <cellStyle name="Comma 2 4 4 4 5 3 2" xfId="18775"/>
    <cellStyle name="Comma 2 4 4 4 5 3 2 2" xfId="39818"/>
    <cellStyle name="Comma 2 4 4 4 5 3 2 3" xfId="33395"/>
    <cellStyle name="Comma 2 4 4 4 5 3 3" xfId="23265"/>
    <cellStyle name="Comma 2 4 4 4 5 3 3 2" xfId="36611"/>
    <cellStyle name="Comma 2 4 4 4 5 3 4" xfId="30188"/>
    <cellStyle name="Comma 2 4 4 4 5 3 5" xfId="44094"/>
    <cellStyle name="Comma 2 4 4 4 5 4" xfId="7241"/>
    <cellStyle name="Comma 2 4 4 4 5 4 2" xfId="17744"/>
    <cellStyle name="Comma 2 4 4 4 5 4 2 2" xfId="38793"/>
    <cellStyle name="Comma 2 4 4 4 5 4 3" xfId="32370"/>
    <cellStyle name="Comma 2 4 4 4 5 5" xfId="17023"/>
    <cellStyle name="Comma 2 4 4 4 5 5 2" xfId="35586"/>
    <cellStyle name="Comma 2 4 4 4 5 6" xfId="20941"/>
    <cellStyle name="Comma 2 4 4 4 5 7" xfId="29163"/>
    <cellStyle name="Comma 2 4 4 4 5 8" xfId="41960"/>
    <cellStyle name="Comma 2 4 4 4 6" xfId="11089"/>
    <cellStyle name="Comma 2 4 4 4 6 2" xfId="19888"/>
    <cellStyle name="Comma 2 4 4 4 6 2 2" xfId="40931"/>
    <cellStyle name="Comma 2 4 4 4 6 2 3" xfId="34508"/>
    <cellStyle name="Comma 2 4 4 4 6 3" xfId="22087"/>
    <cellStyle name="Comma 2 4 4 4 6 3 2" xfId="37724"/>
    <cellStyle name="Comma 2 4 4 4 6 4" xfId="31301"/>
    <cellStyle name="Comma 2 4 4 4 6 5" xfId="43066"/>
    <cellStyle name="Comma 2 4 4 4 7" xfId="8311"/>
    <cellStyle name="Comma 2 4 4 4 7 2" xfId="18771"/>
    <cellStyle name="Comma 2 4 4 4 7 2 2" xfId="39814"/>
    <cellStyle name="Comma 2 4 4 4 7 2 3" xfId="33391"/>
    <cellStyle name="Comma 2 4 4 4 7 3" xfId="23261"/>
    <cellStyle name="Comma 2 4 4 4 7 3 2" xfId="36607"/>
    <cellStyle name="Comma 2 4 4 4 7 4" xfId="30184"/>
    <cellStyle name="Comma 2 4 4 4 7 5" xfId="44090"/>
    <cellStyle name="Comma 2 4 4 4 8" xfId="7237"/>
    <cellStyle name="Comma 2 4 4 4 8 2" xfId="17740"/>
    <cellStyle name="Comma 2 4 4 4 8 2 2" xfId="38789"/>
    <cellStyle name="Comma 2 4 4 4 8 3" xfId="32366"/>
    <cellStyle name="Comma 2 4 4 4 9" xfId="16170"/>
    <cellStyle name="Comma 2 4 4 4 9 2" xfId="35582"/>
    <cellStyle name="Comma 2 4 4 5" xfId="2321"/>
    <cellStyle name="Comma 2 4 4 5 10" xfId="20942"/>
    <cellStyle name="Comma 2 4 4 5 11" xfId="29164"/>
    <cellStyle name="Comma 2 4 4 5 12" xfId="41961"/>
    <cellStyle name="Comma 2 4 4 5 2" xfId="3180"/>
    <cellStyle name="Comma 2 4 4 5 2 2" xfId="11095"/>
    <cellStyle name="Comma 2 4 4 5 2 2 2" xfId="19894"/>
    <cellStyle name="Comma 2 4 4 5 2 2 2 2" xfId="40937"/>
    <cellStyle name="Comma 2 4 4 5 2 2 2 3" xfId="34514"/>
    <cellStyle name="Comma 2 4 4 5 2 2 3" xfId="22093"/>
    <cellStyle name="Comma 2 4 4 5 2 2 3 2" xfId="37730"/>
    <cellStyle name="Comma 2 4 4 5 2 2 4" xfId="31307"/>
    <cellStyle name="Comma 2 4 4 5 2 2 5" xfId="43072"/>
    <cellStyle name="Comma 2 4 4 5 2 3" xfId="8317"/>
    <cellStyle name="Comma 2 4 4 5 2 3 2" xfId="18777"/>
    <cellStyle name="Comma 2 4 4 5 2 3 2 2" xfId="39820"/>
    <cellStyle name="Comma 2 4 4 5 2 3 2 3" xfId="33397"/>
    <cellStyle name="Comma 2 4 4 5 2 3 3" xfId="23267"/>
    <cellStyle name="Comma 2 4 4 5 2 3 3 2" xfId="36613"/>
    <cellStyle name="Comma 2 4 4 5 2 3 4" xfId="30190"/>
    <cellStyle name="Comma 2 4 4 5 2 3 5" xfId="44096"/>
    <cellStyle name="Comma 2 4 4 5 2 4" xfId="7243"/>
    <cellStyle name="Comma 2 4 4 5 2 4 2" xfId="17746"/>
    <cellStyle name="Comma 2 4 4 5 2 4 2 2" xfId="38795"/>
    <cellStyle name="Comma 2 4 4 5 2 4 3" xfId="32372"/>
    <cellStyle name="Comma 2 4 4 5 2 5" xfId="16396"/>
    <cellStyle name="Comma 2 4 4 5 2 5 2" xfId="35588"/>
    <cellStyle name="Comma 2 4 4 5 2 6" xfId="20943"/>
    <cellStyle name="Comma 2 4 4 5 2 7" xfId="29165"/>
    <cellStyle name="Comma 2 4 4 5 2 8" xfId="41962"/>
    <cellStyle name="Comma 2 4 4 5 3" xfId="4046"/>
    <cellStyle name="Comma 2 4 4 5 3 2" xfId="11096"/>
    <cellStyle name="Comma 2 4 4 5 3 2 2" xfId="19895"/>
    <cellStyle name="Comma 2 4 4 5 3 2 2 2" xfId="40938"/>
    <cellStyle name="Comma 2 4 4 5 3 2 2 3" xfId="34515"/>
    <cellStyle name="Comma 2 4 4 5 3 2 3" xfId="22094"/>
    <cellStyle name="Comma 2 4 4 5 3 2 3 2" xfId="37731"/>
    <cellStyle name="Comma 2 4 4 5 3 2 4" xfId="31308"/>
    <cellStyle name="Comma 2 4 4 5 3 2 5" xfId="43073"/>
    <cellStyle name="Comma 2 4 4 5 3 3" xfId="8318"/>
    <cellStyle name="Comma 2 4 4 5 3 3 2" xfId="18778"/>
    <cellStyle name="Comma 2 4 4 5 3 3 2 2" xfId="39821"/>
    <cellStyle name="Comma 2 4 4 5 3 3 2 3" xfId="33398"/>
    <cellStyle name="Comma 2 4 4 5 3 3 3" xfId="23268"/>
    <cellStyle name="Comma 2 4 4 5 3 3 3 2" xfId="36614"/>
    <cellStyle name="Comma 2 4 4 5 3 3 4" xfId="30191"/>
    <cellStyle name="Comma 2 4 4 5 3 3 5" xfId="44097"/>
    <cellStyle name="Comma 2 4 4 5 3 4" xfId="7244"/>
    <cellStyle name="Comma 2 4 4 5 3 4 2" xfId="17747"/>
    <cellStyle name="Comma 2 4 4 5 3 4 2 2" xfId="38796"/>
    <cellStyle name="Comma 2 4 4 5 3 4 3" xfId="32373"/>
    <cellStyle name="Comma 2 4 4 5 3 5" xfId="16584"/>
    <cellStyle name="Comma 2 4 4 5 3 5 2" xfId="35589"/>
    <cellStyle name="Comma 2 4 4 5 3 6" xfId="20944"/>
    <cellStyle name="Comma 2 4 4 5 3 7" xfId="29166"/>
    <cellStyle name="Comma 2 4 4 5 3 8" xfId="41963"/>
    <cellStyle name="Comma 2 4 4 5 4" xfId="4925"/>
    <cellStyle name="Comma 2 4 4 5 4 2" xfId="11097"/>
    <cellStyle name="Comma 2 4 4 5 4 2 2" xfId="19896"/>
    <cellStyle name="Comma 2 4 4 5 4 2 2 2" xfId="40939"/>
    <cellStyle name="Comma 2 4 4 5 4 2 2 3" xfId="34516"/>
    <cellStyle name="Comma 2 4 4 5 4 2 3" xfId="22095"/>
    <cellStyle name="Comma 2 4 4 5 4 2 3 2" xfId="37732"/>
    <cellStyle name="Comma 2 4 4 5 4 2 4" xfId="31309"/>
    <cellStyle name="Comma 2 4 4 5 4 2 5" xfId="43074"/>
    <cellStyle name="Comma 2 4 4 5 4 3" xfId="8319"/>
    <cellStyle name="Comma 2 4 4 5 4 3 2" xfId="18779"/>
    <cellStyle name="Comma 2 4 4 5 4 3 2 2" xfId="39822"/>
    <cellStyle name="Comma 2 4 4 5 4 3 2 3" xfId="33399"/>
    <cellStyle name="Comma 2 4 4 5 4 3 3" xfId="23269"/>
    <cellStyle name="Comma 2 4 4 5 4 3 3 2" xfId="36615"/>
    <cellStyle name="Comma 2 4 4 5 4 3 4" xfId="30192"/>
    <cellStyle name="Comma 2 4 4 5 4 3 5" xfId="44098"/>
    <cellStyle name="Comma 2 4 4 5 4 4" xfId="7245"/>
    <cellStyle name="Comma 2 4 4 5 4 4 2" xfId="17748"/>
    <cellStyle name="Comma 2 4 4 5 4 4 2 2" xfId="38797"/>
    <cellStyle name="Comma 2 4 4 5 4 4 3" xfId="32374"/>
    <cellStyle name="Comma 2 4 4 5 4 5" xfId="16772"/>
    <cellStyle name="Comma 2 4 4 5 4 5 2" xfId="35590"/>
    <cellStyle name="Comma 2 4 4 5 4 6" xfId="20945"/>
    <cellStyle name="Comma 2 4 4 5 4 7" xfId="29167"/>
    <cellStyle name="Comma 2 4 4 5 4 8" xfId="41964"/>
    <cellStyle name="Comma 2 4 4 5 5" xfId="6190"/>
    <cellStyle name="Comma 2 4 4 5 5 2" xfId="11098"/>
    <cellStyle name="Comma 2 4 4 5 5 2 2" xfId="19897"/>
    <cellStyle name="Comma 2 4 4 5 5 2 2 2" xfId="40940"/>
    <cellStyle name="Comma 2 4 4 5 5 2 2 3" xfId="34517"/>
    <cellStyle name="Comma 2 4 4 5 5 2 3" xfId="22096"/>
    <cellStyle name="Comma 2 4 4 5 5 2 3 2" xfId="37733"/>
    <cellStyle name="Comma 2 4 4 5 5 2 4" xfId="31310"/>
    <cellStyle name="Comma 2 4 4 5 5 2 5" xfId="43075"/>
    <cellStyle name="Comma 2 4 4 5 5 3" xfId="8320"/>
    <cellStyle name="Comma 2 4 4 5 5 3 2" xfId="18780"/>
    <cellStyle name="Comma 2 4 4 5 5 3 2 2" xfId="39823"/>
    <cellStyle name="Comma 2 4 4 5 5 3 2 3" xfId="33400"/>
    <cellStyle name="Comma 2 4 4 5 5 3 3" xfId="23270"/>
    <cellStyle name="Comma 2 4 4 5 5 3 3 2" xfId="36616"/>
    <cellStyle name="Comma 2 4 4 5 5 3 4" xfId="30193"/>
    <cellStyle name="Comma 2 4 4 5 5 3 5" xfId="44099"/>
    <cellStyle name="Comma 2 4 4 5 5 4" xfId="7246"/>
    <cellStyle name="Comma 2 4 4 5 5 4 2" xfId="17749"/>
    <cellStyle name="Comma 2 4 4 5 5 4 2 2" xfId="38798"/>
    <cellStyle name="Comma 2 4 4 5 5 4 3" xfId="32375"/>
    <cellStyle name="Comma 2 4 4 5 5 5" xfId="17060"/>
    <cellStyle name="Comma 2 4 4 5 5 5 2" xfId="35591"/>
    <cellStyle name="Comma 2 4 4 5 5 6" xfId="20946"/>
    <cellStyle name="Comma 2 4 4 5 5 7" xfId="29168"/>
    <cellStyle name="Comma 2 4 4 5 5 8" xfId="41965"/>
    <cellStyle name="Comma 2 4 4 5 6" xfId="11094"/>
    <cellStyle name="Comma 2 4 4 5 6 2" xfId="19893"/>
    <cellStyle name="Comma 2 4 4 5 6 2 2" xfId="40936"/>
    <cellStyle name="Comma 2 4 4 5 6 2 3" xfId="34513"/>
    <cellStyle name="Comma 2 4 4 5 6 3" xfId="22092"/>
    <cellStyle name="Comma 2 4 4 5 6 3 2" xfId="37729"/>
    <cellStyle name="Comma 2 4 4 5 6 4" xfId="31306"/>
    <cellStyle name="Comma 2 4 4 5 6 5" xfId="43071"/>
    <cellStyle name="Comma 2 4 4 5 7" xfId="8316"/>
    <cellStyle name="Comma 2 4 4 5 7 2" xfId="18776"/>
    <cellStyle name="Comma 2 4 4 5 7 2 2" xfId="39819"/>
    <cellStyle name="Comma 2 4 4 5 7 2 3" xfId="33396"/>
    <cellStyle name="Comma 2 4 4 5 7 3" xfId="23266"/>
    <cellStyle name="Comma 2 4 4 5 7 3 2" xfId="36612"/>
    <cellStyle name="Comma 2 4 4 5 7 4" xfId="30189"/>
    <cellStyle name="Comma 2 4 4 5 7 5" xfId="44095"/>
    <cellStyle name="Comma 2 4 4 5 8" xfId="7242"/>
    <cellStyle name="Comma 2 4 4 5 8 2" xfId="17745"/>
    <cellStyle name="Comma 2 4 4 5 8 2 2" xfId="38794"/>
    <cellStyle name="Comma 2 4 4 5 8 3" xfId="32371"/>
    <cellStyle name="Comma 2 4 4 5 9" xfId="16208"/>
    <cellStyle name="Comma 2 4 4 5 9 2" xfId="35587"/>
    <cellStyle name="Comma 2 4 4 6" xfId="2476"/>
    <cellStyle name="Comma 2 4 4 6 2" xfId="11099"/>
    <cellStyle name="Comma 2 4 4 6 2 2" xfId="19898"/>
    <cellStyle name="Comma 2 4 4 6 2 2 2" xfId="40941"/>
    <cellStyle name="Comma 2 4 4 6 2 2 3" xfId="34518"/>
    <cellStyle name="Comma 2 4 4 6 2 3" xfId="22097"/>
    <cellStyle name="Comma 2 4 4 6 2 3 2" xfId="37734"/>
    <cellStyle name="Comma 2 4 4 6 2 4" xfId="31311"/>
    <cellStyle name="Comma 2 4 4 6 2 5" xfId="43076"/>
    <cellStyle name="Comma 2 4 4 6 3" xfId="8321"/>
    <cellStyle name="Comma 2 4 4 6 3 2" xfId="18781"/>
    <cellStyle name="Comma 2 4 4 6 3 2 2" xfId="39824"/>
    <cellStyle name="Comma 2 4 4 6 3 2 3" xfId="33401"/>
    <cellStyle name="Comma 2 4 4 6 3 3" xfId="23271"/>
    <cellStyle name="Comma 2 4 4 6 3 3 2" xfId="36617"/>
    <cellStyle name="Comma 2 4 4 6 3 4" xfId="30194"/>
    <cellStyle name="Comma 2 4 4 6 3 5" xfId="44100"/>
    <cellStyle name="Comma 2 4 4 6 4" xfId="7247"/>
    <cellStyle name="Comma 2 4 4 6 4 2" xfId="17750"/>
    <cellStyle name="Comma 2 4 4 6 4 2 2" xfId="38799"/>
    <cellStyle name="Comma 2 4 4 6 4 3" xfId="32376"/>
    <cellStyle name="Comma 2 4 4 6 5" xfId="16251"/>
    <cellStyle name="Comma 2 4 4 6 5 2" xfId="35592"/>
    <cellStyle name="Comma 2 4 4 6 6" xfId="20947"/>
    <cellStyle name="Comma 2 4 4 6 7" xfId="29169"/>
    <cellStyle name="Comma 2 4 4 6 8" xfId="41966"/>
    <cellStyle name="Comma 2 4 4 7" xfId="3339"/>
    <cellStyle name="Comma 2 4 4 7 2" xfId="11100"/>
    <cellStyle name="Comma 2 4 4 7 2 2" xfId="19899"/>
    <cellStyle name="Comma 2 4 4 7 2 2 2" xfId="40942"/>
    <cellStyle name="Comma 2 4 4 7 2 2 3" xfId="34519"/>
    <cellStyle name="Comma 2 4 4 7 2 3" xfId="22098"/>
    <cellStyle name="Comma 2 4 4 7 2 3 2" xfId="37735"/>
    <cellStyle name="Comma 2 4 4 7 2 4" xfId="31312"/>
    <cellStyle name="Comma 2 4 4 7 2 5" xfId="43077"/>
    <cellStyle name="Comma 2 4 4 7 3" xfId="8322"/>
    <cellStyle name="Comma 2 4 4 7 3 2" xfId="18782"/>
    <cellStyle name="Comma 2 4 4 7 3 2 2" xfId="39825"/>
    <cellStyle name="Comma 2 4 4 7 3 2 3" xfId="33402"/>
    <cellStyle name="Comma 2 4 4 7 3 3" xfId="23272"/>
    <cellStyle name="Comma 2 4 4 7 3 3 2" xfId="36618"/>
    <cellStyle name="Comma 2 4 4 7 3 4" xfId="30195"/>
    <cellStyle name="Comma 2 4 4 7 3 5" xfId="44101"/>
    <cellStyle name="Comma 2 4 4 7 4" xfId="7248"/>
    <cellStyle name="Comma 2 4 4 7 4 2" xfId="17751"/>
    <cellStyle name="Comma 2 4 4 7 4 2 2" xfId="38800"/>
    <cellStyle name="Comma 2 4 4 7 4 3" xfId="32377"/>
    <cellStyle name="Comma 2 4 4 7 5" xfId="16439"/>
    <cellStyle name="Comma 2 4 4 7 5 2" xfId="35593"/>
    <cellStyle name="Comma 2 4 4 7 6" xfId="20948"/>
    <cellStyle name="Comma 2 4 4 7 7" xfId="29170"/>
    <cellStyle name="Comma 2 4 4 7 8" xfId="41967"/>
    <cellStyle name="Comma 2 4 4 8" xfId="4207"/>
    <cellStyle name="Comma 2 4 4 8 2" xfId="11101"/>
    <cellStyle name="Comma 2 4 4 8 2 2" xfId="19900"/>
    <cellStyle name="Comma 2 4 4 8 2 2 2" xfId="40943"/>
    <cellStyle name="Comma 2 4 4 8 2 2 3" xfId="34520"/>
    <cellStyle name="Comma 2 4 4 8 2 3" xfId="22099"/>
    <cellStyle name="Comma 2 4 4 8 2 3 2" xfId="37736"/>
    <cellStyle name="Comma 2 4 4 8 2 4" xfId="31313"/>
    <cellStyle name="Comma 2 4 4 8 2 5" xfId="43078"/>
    <cellStyle name="Comma 2 4 4 8 3" xfId="8323"/>
    <cellStyle name="Comma 2 4 4 8 3 2" xfId="18783"/>
    <cellStyle name="Comma 2 4 4 8 3 2 2" xfId="39826"/>
    <cellStyle name="Comma 2 4 4 8 3 2 3" xfId="33403"/>
    <cellStyle name="Comma 2 4 4 8 3 3" xfId="23273"/>
    <cellStyle name="Comma 2 4 4 8 3 3 2" xfId="36619"/>
    <cellStyle name="Comma 2 4 4 8 3 4" xfId="30196"/>
    <cellStyle name="Comma 2 4 4 8 3 5" xfId="44102"/>
    <cellStyle name="Comma 2 4 4 8 4" xfId="7249"/>
    <cellStyle name="Comma 2 4 4 8 4 2" xfId="17752"/>
    <cellStyle name="Comma 2 4 4 8 4 2 2" xfId="38801"/>
    <cellStyle name="Comma 2 4 4 8 4 3" xfId="32378"/>
    <cellStyle name="Comma 2 4 4 8 5" xfId="16627"/>
    <cellStyle name="Comma 2 4 4 8 5 2" xfId="35594"/>
    <cellStyle name="Comma 2 4 4 8 6" xfId="20949"/>
    <cellStyle name="Comma 2 4 4 8 7" xfId="29171"/>
    <cellStyle name="Comma 2 4 4 8 8" xfId="41968"/>
    <cellStyle name="Comma 2 4 4 9" xfId="5026"/>
    <cellStyle name="Comma 2 4 4 9 2" xfId="11102"/>
    <cellStyle name="Comma 2 4 4 9 2 2" xfId="19901"/>
    <cellStyle name="Comma 2 4 4 9 2 2 2" xfId="40944"/>
    <cellStyle name="Comma 2 4 4 9 2 2 3" xfId="34521"/>
    <cellStyle name="Comma 2 4 4 9 2 3" xfId="22100"/>
    <cellStyle name="Comma 2 4 4 9 2 3 2" xfId="37737"/>
    <cellStyle name="Comma 2 4 4 9 2 4" xfId="31314"/>
    <cellStyle name="Comma 2 4 4 9 2 5" xfId="43079"/>
    <cellStyle name="Comma 2 4 4 9 3" xfId="8324"/>
    <cellStyle name="Comma 2 4 4 9 3 2" xfId="18784"/>
    <cellStyle name="Comma 2 4 4 9 3 2 2" xfId="39827"/>
    <cellStyle name="Comma 2 4 4 9 3 2 3" xfId="33404"/>
    <cellStyle name="Comma 2 4 4 9 3 3" xfId="23274"/>
    <cellStyle name="Comma 2 4 4 9 3 3 2" xfId="36620"/>
    <cellStyle name="Comma 2 4 4 9 3 4" xfId="30197"/>
    <cellStyle name="Comma 2 4 4 9 3 5" xfId="44103"/>
    <cellStyle name="Comma 2 4 4 9 4" xfId="7250"/>
    <cellStyle name="Comma 2 4 4 9 4 2" xfId="17753"/>
    <cellStyle name="Comma 2 4 4 9 4 2 2" xfId="38802"/>
    <cellStyle name="Comma 2 4 4 9 4 3" xfId="32379"/>
    <cellStyle name="Comma 2 4 4 9 5" xfId="16841"/>
    <cellStyle name="Comma 2 4 4 9 5 2" xfId="35595"/>
    <cellStyle name="Comma 2 4 4 9 6" xfId="20950"/>
    <cellStyle name="Comma 2 4 4 9 7" xfId="29172"/>
    <cellStyle name="Comma 2 4 4 9 8" xfId="41969"/>
    <cellStyle name="Comma 2 4 5" xfId="1484"/>
    <cellStyle name="Comma 2 4 5 10" xfId="8325"/>
    <cellStyle name="Comma 2 4 5 10 2" xfId="18785"/>
    <cellStyle name="Comma 2 4 5 10 2 2" xfId="39828"/>
    <cellStyle name="Comma 2 4 5 10 2 3" xfId="33405"/>
    <cellStyle name="Comma 2 4 5 10 3" xfId="23275"/>
    <cellStyle name="Comma 2 4 5 10 3 2" xfId="36621"/>
    <cellStyle name="Comma 2 4 5 10 4" xfId="30198"/>
    <cellStyle name="Comma 2 4 5 10 5" xfId="44104"/>
    <cellStyle name="Comma 2 4 5 11" xfId="6591"/>
    <cellStyle name="Comma 2 4 5 11 2" xfId="17099"/>
    <cellStyle name="Comma 2 4 5 11 2 2" xfId="38153"/>
    <cellStyle name="Comma 2 4 5 11 3" xfId="31730"/>
    <cellStyle name="Comma 2 4 5 12" xfId="16054"/>
    <cellStyle name="Comma 2 4 5 12 2" xfId="34946"/>
    <cellStyle name="Comma 2 4 5 13" xfId="20951"/>
    <cellStyle name="Comma 2 4 5 14" xfId="28521"/>
    <cellStyle name="Comma 2 4 5 15" xfId="41970"/>
    <cellStyle name="Comma 2 4 5 2" xfId="1838"/>
    <cellStyle name="Comma 2 4 5 2 10" xfId="16116"/>
    <cellStyle name="Comma 2 4 5 2 10 2" xfId="34970"/>
    <cellStyle name="Comma 2 4 5 2 11" xfId="20952"/>
    <cellStyle name="Comma 2 4 5 2 12" xfId="28545"/>
    <cellStyle name="Comma 2 4 5 2 13" xfId="41971"/>
    <cellStyle name="Comma 2 4 5 2 2" xfId="2728"/>
    <cellStyle name="Comma 2 4 5 2 2 2" xfId="11103"/>
    <cellStyle name="Comma 2 4 5 2 2 2 2" xfId="19902"/>
    <cellStyle name="Comma 2 4 5 2 2 2 2 2" xfId="40945"/>
    <cellStyle name="Comma 2 4 5 2 2 2 2 3" xfId="34522"/>
    <cellStyle name="Comma 2 4 5 2 2 2 3" xfId="22101"/>
    <cellStyle name="Comma 2 4 5 2 2 2 3 2" xfId="37738"/>
    <cellStyle name="Comma 2 4 5 2 2 2 4" xfId="31315"/>
    <cellStyle name="Comma 2 4 5 2 2 2 5" xfId="43080"/>
    <cellStyle name="Comma 2 4 5 2 2 3" xfId="8327"/>
    <cellStyle name="Comma 2 4 5 2 2 3 2" xfId="18787"/>
    <cellStyle name="Comma 2 4 5 2 2 3 2 2" xfId="39830"/>
    <cellStyle name="Comma 2 4 5 2 2 3 2 3" xfId="33407"/>
    <cellStyle name="Comma 2 4 5 2 2 3 3" xfId="23277"/>
    <cellStyle name="Comma 2 4 5 2 2 3 3 2" xfId="36623"/>
    <cellStyle name="Comma 2 4 5 2 2 3 4" xfId="30200"/>
    <cellStyle name="Comma 2 4 5 2 2 3 5" xfId="44106"/>
    <cellStyle name="Comma 2 4 5 2 2 4" xfId="7251"/>
    <cellStyle name="Comma 2 4 5 2 2 4 2" xfId="17754"/>
    <cellStyle name="Comma 2 4 5 2 2 4 2 2" xfId="38803"/>
    <cellStyle name="Comma 2 4 5 2 2 4 3" xfId="32380"/>
    <cellStyle name="Comma 2 4 5 2 2 5" xfId="16306"/>
    <cellStyle name="Comma 2 4 5 2 2 5 2" xfId="35596"/>
    <cellStyle name="Comma 2 4 5 2 2 6" xfId="20953"/>
    <cellStyle name="Comma 2 4 5 2 2 7" xfId="29173"/>
    <cellStyle name="Comma 2 4 5 2 2 8" xfId="41972"/>
    <cellStyle name="Comma 2 4 5 2 3" xfId="3592"/>
    <cellStyle name="Comma 2 4 5 2 3 2" xfId="11104"/>
    <cellStyle name="Comma 2 4 5 2 3 2 2" xfId="19903"/>
    <cellStyle name="Comma 2 4 5 2 3 2 2 2" xfId="40946"/>
    <cellStyle name="Comma 2 4 5 2 3 2 2 3" xfId="34523"/>
    <cellStyle name="Comma 2 4 5 2 3 2 3" xfId="22102"/>
    <cellStyle name="Comma 2 4 5 2 3 2 3 2" xfId="37739"/>
    <cellStyle name="Comma 2 4 5 2 3 2 4" xfId="31316"/>
    <cellStyle name="Comma 2 4 5 2 3 2 5" xfId="43081"/>
    <cellStyle name="Comma 2 4 5 2 3 3" xfId="8328"/>
    <cellStyle name="Comma 2 4 5 2 3 3 2" xfId="18788"/>
    <cellStyle name="Comma 2 4 5 2 3 3 2 2" xfId="39831"/>
    <cellStyle name="Comma 2 4 5 2 3 3 2 3" xfId="33408"/>
    <cellStyle name="Comma 2 4 5 2 3 3 3" xfId="23278"/>
    <cellStyle name="Comma 2 4 5 2 3 3 3 2" xfId="36624"/>
    <cellStyle name="Comma 2 4 5 2 3 3 4" xfId="30201"/>
    <cellStyle name="Comma 2 4 5 2 3 3 5" xfId="44107"/>
    <cellStyle name="Comma 2 4 5 2 3 4" xfId="7252"/>
    <cellStyle name="Comma 2 4 5 2 3 4 2" xfId="17755"/>
    <cellStyle name="Comma 2 4 5 2 3 4 2 2" xfId="38804"/>
    <cellStyle name="Comma 2 4 5 2 3 4 3" xfId="32381"/>
    <cellStyle name="Comma 2 4 5 2 3 5" xfId="16494"/>
    <cellStyle name="Comma 2 4 5 2 3 5 2" xfId="35597"/>
    <cellStyle name="Comma 2 4 5 2 3 6" xfId="20954"/>
    <cellStyle name="Comma 2 4 5 2 3 7" xfId="29174"/>
    <cellStyle name="Comma 2 4 5 2 3 8" xfId="41973"/>
    <cellStyle name="Comma 2 4 5 2 4" xfId="4467"/>
    <cellStyle name="Comma 2 4 5 2 4 2" xfId="11105"/>
    <cellStyle name="Comma 2 4 5 2 4 2 2" xfId="19904"/>
    <cellStyle name="Comma 2 4 5 2 4 2 2 2" xfId="40947"/>
    <cellStyle name="Comma 2 4 5 2 4 2 2 3" xfId="34524"/>
    <cellStyle name="Comma 2 4 5 2 4 2 3" xfId="22103"/>
    <cellStyle name="Comma 2 4 5 2 4 2 3 2" xfId="37740"/>
    <cellStyle name="Comma 2 4 5 2 4 2 4" xfId="31317"/>
    <cellStyle name="Comma 2 4 5 2 4 2 5" xfId="43082"/>
    <cellStyle name="Comma 2 4 5 2 4 3" xfId="8329"/>
    <cellStyle name="Comma 2 4 5 2 4 3 2" xfId="18789"/>
    <cellStyle name="Comma 2 4 5 2 4 3 2 2" xfId="39832"/>
    <cellStyle name="Comma 2 4 5 2 4 3 2 3" xfId="33409"/>
    <cellStyle name="Comma 2 4 5 2 4 3 3" xfId="23279"/>
    <cellStyle name="Comma 2 4 5 2 4 3 3 2" xfId="36625"/>
    <cellStyle name="Comma 2 4 5 2 4 3 4" xfId="30202"/>
    <cellStyle name="Comma 2 4 5 2 4 3 5" xfId="44108"/>
    <cellStyle name="Comma 2 4 5 2 4 4" xfId="7253"/>
    <cellStyle name="Comma 2 4 5 2 4 4 2" xfId="17756"/>
    <cellStyle name="Comma 2 4 5 2 4 4 2 2" xfId="38805"/>
    <cellStyle name="Comma 2 4 5 2 4 4 3" xfId="32382"/>
    <cellStyle name="Comma 2 4 5 2 4 5" xfId="16682"/>
    <cellStyle name="Comma 2 4 5 2 4 5 2" xfId="35598"/>
    <cellStyle name="Comma 2 4 5 2 4 6" xfId="20955"/>
    <cellStyle name="Comma 2 4 5 2 4 7" xfId="29175"/>
    <cellStyle name="Comma 2 4 5 2 4 8" xfId="41974"/>
    <cellStyle name="Comma 2 4 5 2 5" xfId="5031"/>
    <cellStyle name="Comma 2 4 5 2 5 2" xfId="11106"/>
    <cellStyle name="Comma 2 4 5 2 5 2 2" xfId="19905"/>
    <cellStyle name="Comma 2 4 5 2 5 2 2 2" xfId="40948"/>
    <cellStyle name="Comma 2 4 5 2 5 2 2 3" xfId="34525"/>
    <cellStyle name="Comma 2 4 5 2 5 2 3" xfId="22104"/>
    <cellStyle name="Comma 2 4 5 2 5 2 3 2" xfId="37741"/>
    <cellStyle name="Comma 2 4 5 2 5 2 4" xfId="31318"/>
    <cellStyle name="Comma 2 4 5 2 5 2 5" xfId="43083"/>
    <cellStyle name="Comma 2 4 5 2 5 3" xfId="8330"/>
    <cellStyle name="Comma 2 4 5 2 5 3 2" xfId="18790"/>
    <cellStyle name="Comma 2 4 5 2 5 3 2 2" xfId="39833"/>
    <cellStyle name="Comma 2 4 5 2 5 3 2 3" xfId="33410"/>
    <cellStyle name="Comma 2 4 5 2 5 3 3" xfId="23280"/>
    <cellStyle name="Comma 2 4 5 2 5 3 3 2" xfId="36626"/>
    <cellStyle name="Comma 2 4 5 2 5 3 4" xfId="30203"/>
    <cellStyle name="Comma 2 4 5 2 5 3 5" xfId="44109"/>
    <cellStyle name="Comma 2 4 5 2 5 4" xfId="7254"/>
    <cellStyle name="Comma 2 4 5 2 5 4 2" xfId="17757"/>
    <cellStyle name="Comma 2 4 5 2 5 4 2 2" xfId="38806"/>
    <cellStyle name="Comma 2 4 5 2 5 4 3" xfId="32383"/>
    <cellStyle name="Comma 2 4 5 2 5 5" xfId="16846"/>
    <cellStyle name="Comma 2 4 5 2 5 5 2" xfId="35599"/>
    <cellStyle name="Comma 2 4 5 2 5 6" xfId="20956"/>
    <cellStyle name="Comma 2 4 5 2 5 7" xfId="29176"/>
    <cellStyle name="Comma 2 4 5 2 5 8" xfId="41975"/>
    <cellStyle name="Comma 2 4 5 2 6" xfId="5732"/>
    <cellStyle name="Comma 2 4 5 2 6 2" xfId="11107"/>
    <cellStyle name="Comma 2 4 5 2 6 2 2" xfId="19906"/>
    <cellStyle name="Comma 2 4 5 2 6 2 2 2" xfId="40949"/>
    <cellStyle name="Comma 2 4 5 2 6 2 2 3" xfId="34526"/>
    <cellStyle name="Comma 2 4 5 2 6 2 3" xfId="22105"/>
    <cellStyle name="Comma 2 4 5 2 6 2 3 2" xfId="37742"/>
    <cellStyle name="Comma 2 4 5 2 6 2 4" xfId="31319"/>
    <cellStyle name="Comma 2 4 5 2 6 2 5" xfId="43084"/>
    <cellStyle name="Comma 2 4 5 2 6 3" xfId="8331"/>
    <cellStyle name="Comma 2 4 5 2 6 3 2" xfId="18791"/>
    <cellStyle name="Comma 2 4 5 2 6 3 2 2" xfId="39834"/>
    <cellStyle name="Comma 2 4 5 2 6 3 2 3" xfId="33411"/>
    <cellStyle name="Comma 2 4 5 2 6 3 3" xfId="23281"/>
    <cellStyle name="Comma 2 4 5 2 6 3 3 2" xfId="36627"/>
    <cellStyle name="Comma 2 4 5 2 6 3 4" xfId="30204"/>
    <cellStyle name="Comma 2 4 5 2 6 3 5" xfId="44110"/>
    <cellStyle name="Comma 2 4 5 2 6 4" xfId="7255"/>
    <cellStyle name="Comma 2 4 5 2 6 4 2" xfId="17758"/>
    <cellStyle name="Comma 2 4 5 2 6 4 2 2" xfId="38807"/>
    <cellStyle name="Comma 2 4 5 2 6 4 3" xfId="32384"/>
    <cellStyle name="Comma 2 4 5 2 6 5" xfId="16970"/>
    <cellStyle name="Comma 2 4 5 2 6 5 2" xfId="35600"/>
    <cellStyle name="Comma 2 4 5 2 6 6" xfId="20957"/>
    <cellStyle name="Comma 2 4 5 2 6 7" xfId="29177"/>
    <cellStyle name="Comma 2 4 5 2 6 8" xfId="41976"/>
    <cellStyle name="Comma 2 4 5 2 7" xfId="10217"/>
    <cellStyle name="Comma 2 4 5 2 7 2" xfId="19271"/>
    <cellStyle name="Comma 2 4 5 2 7 2 2" xfId="40314"/>
    <cellStyle name="Comma 2 4 5 2 7 2 3" xfId="33891"/>
    <cellStyle name="Comma 2 4 5 2 7 3" xfId="21471"/>
    <cellStyle name="Comma 2 4 5 2 7 3 2" xfId="37107"/>
    <cellStyle name="Comma 2 4 5 2 7 4" xfId="30684"/>
    <cellStyle name="Comma 2 4 5 2 7 5" xfId="42450"/>
    <cellStyle name="Comma 2 4 5 2 8" xfId="8326"/>
    <cellStyle name="Comma 2 4 5 2 8 2" xfId="18786"/>
    <cellStyle name="Comma 2 4 5 2 8 2 2" xfId="39829"/>
    <cellStyle name="Comma 2 4 5 2 8 2 3" xfId="33406"/>
    <cellStyle name="Comma 2 4 5 2 8 3" xfId="23276"/>
    <cellStyle name="Comma 2 4 5 2 8 3 2" xfId="36622"/>
    <cellStyle name="Comma 2 4 5 2 8 4" xfId="30199"/>
    <cellStyle name="Comma 2 4 5 2 8 5" xfId="44105"/>
    <cellStyle name="Comma 2 4 5 2 9" xfId="6617"/>
    <cellStyle name="Comma 2 4 5 2 9 2" xfId="17124"/>
    <cellStyle name="Comma 2 4 5 2 9 2 2" xfId="38177"/>
    <cellStyle name="Comma 2 4 5 2 9 3" xfId="31754"/>
    <cellStyle name="Comma 2 4 5 3" xfId="2113"/>
    <cellStyle name="Comma 2 4 5 3 10" xfId="20958"/>
    <cellStyle name="Comma 2 4 5 3 11" xfId="29178"/>
    <cellStyle name="Comma 2 4 5 3 12" xfId="41977"/>
    <cellStyle name="Comma 2 4 5 3 2" xfId="2983"/>
    <cellStyle name="Comma 2 4 5 3 2 2" xfId="11109"/>
    <cellStyle name="Comma 2 4 5 3 2 2 2" xfId="19908"/>
    <cellStyle name="Comma 2 4 5 3 2 2 2 2" xfId="40951"/>
    <cellStyle name="Comma 2 4 5 3 2 2 2 3" xfId="34528"/>
    <cellStyle name="Comma 2 4 5 3 2 2 3" xfId="22107"/>
    <cellStyle name="Comma 2 4 5 3 2 2 3 2" xfId="37744"/>
    <cellStyle name="Comma 2 4 5 3 2 2 4" xfId="31321"/>
    <cellStyle name="Comma 2 4 5 3 2 2 5" xfId="43086"/>
    <cellStyle name="Comma 2 4 5 3 2 3" xfId="8333"/>
    <cellStyle name="Comma 2 4 5 3 2 3 2" xfId="18793"/>
    <cellStyle name="Comma 2 4 5 3 2 3 2 2" xfId="39836"/>
    <cellStyle name="Comma 2 4 5 3 2 3 2 3" xfId="33413"/>
    <cellStyle name="Comma 2 4 5 3 2 3 3" xfId="23283"/>
    <cellStyle name="Comma 2 4 5 3 2 3 3 2" xfId="36629"/>
    <cellStyle name="Comma 2 4 5 3 2 3 4" xfId="30206"/>
    <cellStyle name="Comma 2 4 5 3 2 3 5" xfId="44112"/>
    <cellStyle name="Comma 2 4 5 3 2 4" xfId="7257"/>
    <cellStyle name="Comma 2 4 5 3 2 4 2" xfId="17760"/>
    <cellStyle name="Comma 2 4 5 3 2 4 2 2" xfId="38809"/>
    <cellStyle name="Comma 2 4 5 3 2 4 3" xfId="32386"/>
    <cellStyle name="Comma 2 4 5 3 2 5" xfId="16361"/>
    <cellStyle name="Comma 2 4 5 3 2 5 2" xfId="35602"/>
    <cellStyle name="Comma 2 4 5 3 2 6" xfId="20959"/>
    <cellStyle name="Comma 2 4 5 3 2 7" xfId="29179"/>
    <cellStyle name="Comma 2 4 5 3 2 8" xfId="41978"/>
    <cellStyle name="Comma 2 4 5 3 3" xfId="3853"/>
    <cellStyle name="Comma 2 4 5 3 3 2" xfId="11110"/>
    <cellStyle name="Comma 2 4 5 3 3 2 2" xfId="19909"/>
    <cellStyle name="Comma 2 4 5 3 3 2 2 2" xfId="40952"/>
    <cellStyle name="Comma 2 4 5 3 3 2 2 3" xfId="34529"/>
    <cellStyle name="Comma 2 4 5 3 3 2 3" xfId="22108"/>
    <cellStyle name="Comma 2 4 5 3 3 2 3 2" xfId="37745"/>
    <cellStyle name="Comma 2 4 5 3 3 2 4" xfId="31322"/>
    <cellStyle name="Comma 2 4 5 3 3 2 5" xfId="43087"/>
    <cellStyle name="Comma 2 4 5 3 3 3" xfId="8334"/>
    <cellStyle name="Comma 2 4 5 3 3 3 2" xfId="18794"/>
    <cellStyle name="Comma 2 4 5 3 3 3 2 2" xfId="39837"/>
    <cellStyle name="Comma 2 4 5 3 3 3 2 3" xfId="33414"/>
    <cellStyle name="Comma 2 4 5 3 3 3 3" xfId="23284"/>
    <cellStyle name="Comma 2 4 5 3 3 3 3 2" xfId="36630"/>
    <cellStyle name="Comma 2 4 5 3 3 3 4" xfId="30207"/>
    <cellStyle name="Comma 2 4 5 3 3 3 5" xfId="44113"/>
    <cellStyle name="Comma 2 4 5 3 3 4" xfId="7258"/>
    <cellStyle name="Comma 2 4 5 3 3 4 2" xfId="17761"/>
    <cellStyle name="Comma 2 4 5 3 3 4 2 2" xfId="38810"/>
    <cellStyle name="Comma 2 4 5 3 3 4 3" xfId="32387"/>
    <cellStyle name="Comma 2 4 5 3 3 5" xfId="16549"/>
    <cellStyle name="Comma 2 4 5 3 3 5 2" xfId="35603"/>
    <cellStyle name="Comma 2 4 5 3 3 6" xfId="20960"/>
    <cellStyle name="Comma 2 4 5 3 3 7" xfId="29180"/>
    <cellStyle name="Comma 2 4 5 3 3 8" xfId="41979"/>
    <cellStyle name="Comma 2 4 5 3 4" xfId="4731"/>
    <cellStyle name="Comma 2 4 5 3 4 2" xfId="11111"/>
    <cellStyle name="Comma 2 4 5 3 4 2 2" xfId="19910"/>
    <cellStyle name="Comma 2 4 5 3 4 2 2 2" xfId="40953"/>
    <cellStyle name="Comma 2 4 5 3 4 2 2 3" xfId="34530"/>
    <cellStyle name="Comma 2 4 5 3 4 2 3" xfId="22109"/>
    <cellStyle name="Comma 2 4 5 3 4 2 3 2" xfId="37746"/>
    <cellStyle name="Comma 2 4 5 3 4 2 4" xfId="31323"/>
    <cellStyle name="Comma 2 4 5 3 4 2 5" xfId="43088"/>
    <cellStyle name="Comma 2 4 5 3 4 3" xfId="8335"/>
    <cellStyle name="Comma 2 4 5 3 4 3 2" xfId="18795"/>
    <cellStyle name="Comma 2 4 5 3 4 3 2 2" xfId="39838"/>
    <cellStyle name="Comma 2 4 5 3 4 3 2 3" xfId="33415"/>
    <cellStyle name="Comma 2 4 5 3 4 3 3" xfId="23285"/>
    <cellStyle name="Comma 2 4 5 3 4 3 3 2" xfId="36631"/>
    <cellStyle name="Comma 2 4 5 3 4 3 4" xfId="30208"/>
    <cellStyle name="Comma 2 4 5 3 4 3 5" xfId="44114"/>
    <cellStyle name="Comma 2 4 5 3 4 4" xfId="7259"/>
    <cellStyle name="Comma 2 4 5 3 4 4 2" xfId="17762"/>
    <cellStyle name="Comma 2 4 5 3 4 4 2 2" xfId="38811"/>
    <cellStyle name="Comma 2 4 5 3 4 4 3" xfId="32388"/>
    <cellStyle name="Comma 2 4 5 3 4 5" xfId="16737"/>
    <cellStyle name="Comma 2 4 5 3 4 5 2" xfId="35604"/>
    <cellStyle name="Comma 2 4 5 3 4 6" xfId="20961"/>
    <cellStyle name="Comma 2 4 5 3 4 7" xfId="29181"/>
    <cellStyle name="Comma 2 4 5 3 4 8" xfId="41980"/>
    <cellStyle name="Comma 2 4 5 3 5" xfId="5996"/>
    <cellStyle name="Comma 2 4 5 3 5 2" xfId="11112"/>
    <cellStyle name="Comma 2 4 5 3 5 2 2" xfId="19911"/>
    <cellStyle name="Comma 2 4 5 3 5 2 2 2" xfId="40954"/>
    <cellStyle name="Comma 2 4 5 3 5 2 2 3" xfId="34531"/>
    <cellStyle name="Comma 2 4 5 3 5 2 3" xfId="22110"/>
    <cellStyle name="Comma 2 4 5 3 5 2 3 2" xfId="37747"/>
    <cellStyle name="Comma 2 4 5 3 5 2 4" xfId="31324"/>
    <cellStyle name="Comma 2 4 5 3 5 2 5" xfId="43089"/>
    <cellStyle name="Comma 2 4 5 3 5 3" xfId="8336"/>
    <cellStyle name="Comma 2 4 5 3 5 3 2" xfId="18796"/>
    <cellStyle name="Comma 2 4 5 3 5 3 2 2" xfId="39839"/>
    <cellStyle name="Comma 2 4 5 3 5 3 2 3" xfId="33416"/>
    <cellStyle name="Comma 2 4 5 3 5 3 3" xfId="23286"/>
    <cellStyle name="Comma 2 4 5 3 5 3 3 2" xfId="36632"/>
    <cellStyle name="Comma 2 4 5 3 5 3 4" xfId="30209"/>
    <cellStyle name="Comma 2 4 5 3 5 3 5" xfId="44115"/>
    <cellStyle name="Comma 2 4 5 3 5 4" xfId="7260"/>
    <cellStyle name="Comma 2 4 5 3 5 4 2" xfId="17763"/>
    <cellStyle name="Comma 2 4 5 3 5 4 2 2" xfId="38812"/>
    <cellStyle name="Comma 2 4 5 3 5 4 3" xfId="32389"/>
    <cellStyle name="Comma 2 4 5 3 5 5" xfId="17025"/>
    <cellStyle name="Comma 2 4 5 3 5 5 2" xfId="35605"/>
    <cellStyle name="Comma 2 4 5 3 5 6" xfId="20962"/>
    <cellStyle name="Comma 2 4 5 3 5 7" xfId="29182"/>
    <cellStyle name="Comma 2 4 5 3 5 8" xfId="41981"/>
    <cellStyle name="Comma 2 4 5 3 6" xfId="11108"/>
    <cellStyle name="Comma 2 4 5 3 6 2" xfId="19907"/>
    <cellStyle name="Comma 2 4 5 3 6 2 2" xfId="40950"/>
    <cellStyle name="Comma 2 4 5 3 6 2 3" xfId="34527"/>
    <cellStyle name="Comma 2 4 5 3 6 3" xfId="22106"/>
    <cellStyle name="Comma 2 4 5 3 6 3 2" xfId="37743"/>
    <cellStyle name="Comma 2 4 5 3 6 4" xfId="31320"/>
    <cellStyle name="Comma 2 4 5 3 6 5" xfId="43085"/>
    <cellStyle name="Comma 2 4 5 3 7" xfId="8332"/>
    <cellStyle name="Comma 2 4 5 3 7 2" xfId="18792"/>
    <cellStyle name="Comma 2 4 5 3 7 2 2" xfId="39835"/>
    <cellStyle name="Comma 2 4 5 3 7 2 3" xfId="33412"/>
    <cellStyle name="Comma 2 4 5 3 7 3" xfId="23282"/>
    <cellStyle name="Comma 2 4 5 3 7 3 2" xfId="36628"/>
    <cellStyle name="Comma 2 4 5 3 7 4" xfId="30205"/>
    <cellStyle name="Comma 2 4 5 3 7 5" xfId="44111"/>
    <cellStyle name="Comma 2 4 5 3 8" xfId="7256"/>
    <cellStyle name="Comma 2 4 5 3 8 2" xfId="17759"/>
    <cellStyle name="Comma 2 4 5 3 8 2 2" xfId="38808"/>
    <cellStyle name="Comma 2 4 5 3 8 3" xfId="32385"/>
    <cellStyle name="Comma 2 4 5 3 9" xfId="16172"/>
    <cellStyle name="Comma 2 4 5 3 9 2" xfId="35601"/>
    <cellStyle name="Comma 2 4 5 4" xfId="2478"/>
    <cellStyle name="Comma 2 4 5 4 2" xfId="11113"/>
    <cellStyle name="Comma 2 4 5 4 2 2" xfId="19912"/>
    <cellStyle name="Comma 2 4 5 4 2 2 2" xfId="40955"/>
    <cellStyle name="Comma 2 4 5 4 2 2 3" xfId="34532"/>
    <cellStyle name="Comma 2 4 5 4 2 3" xfId="22111"/>
    <cellStyle name="Comma 2 4 5 4 2 3 2" xfId="37748"/>
    <cellStyle name="Comma 2 4 5 4 2 4" xfId="31325"/>
    <cellStyle name="Comma 2 4 5 4 2 5" xfId="43090"/>
    <cellStyle name="Comma 2 4 5 4 3" xfId="8337"/>
    <cellStyle name="Comma 2 4 5 4 3 2" xfId="18797"/>
    <cellStyle name="Comma 2 4 5 4 3 2 2" xfId="39840"/>
    <cellStyle name="Comma 2 4 5 4 3 2 3" xfId="33417"/>
    <cellStyle name="Comma 2 4 5 4 3 3" xfId="23287"/>
    <cellStyle name="Comma 2 4 5 4 3 3 2" xfId="36633"/>
    <cellStyle name="Comma 2 4 5 4 3 4" xfId="30210"/>
    <cellStyle name="Comma 2 4 5 4 3 5" xfId="44116"/>
    <cellStyle name="Comma 2 4 5 4 4" xfId="7261"/>
    <cellStyle name="Comma 2 4 5 4 4 2" xfId="17764"/>
    <cellStyle name="Comma 2 4 5 4 4 2 2" xfId="38813"/>
    <cellStyle name="Comma 2 4 5 4 4 3" xfId="32390"/>
    <cellStyle name="Comma 2 4 5 4 5" xfId="16253"/>
    <cellStyle name="Comma 2 4 5 4 5 2" xfId="35606"/>
    <cellStyle name="Comma 2 4 5 4 6" xfId="20963"/>
    <cellStyle name="Comma 2 4 5 4 7" xfId="29183"/>
    <cellStyle name="Comma 2 4 5 4 8" xfId="41982"/>
    <cellStyle name="Comma 2 4 5 5" xfId="3341"/>
    <cellStyle name="Comma 2 4 5 5 2" xfId="11114"/>
    <cellStyle name="Comma 2 4 5 5 2 2" xfId="19913"/>
    <cellStyle name="Comma 2 4 5 5 2 2 2" xfId="40956"/>
    <cellStyle name="Comma 2 4 5 5 2 2 3" xfId="34533"/>
    <cellStyle name="Comma 2 4 5 5 2 3" xfId="22112"/>
    <cellStyle name="Comma 2 4 5 5 2 3 2" xfId="37749"/>
    <cellStyle name="Comma 2 4 5 5 2 4" xfId="31326"/>
    <cellStyle name="Comma 2 4 5 5 2 5" xfId="43091"/>
    <cellStyle name="Comma 2 4 5 5 3" xfId="8338"/>
    <cellStyle name="Comma 2 4 5 5 3 2" xfId="18798"/>
    <cellStyle name="Comma 2 4 5 5 3 2 2" xfId="39841"/>
    <cellStyle name="Comma 2 4 5 5 3 2 3" xfId="33418"/>
    <cellStyle name="Comma 2 4 5 5 3 3" xfId="23288"/>
    <cellStyle name="Comma 2 4 5 5 3 3 2" xfId="36634"/>
    <cellStyle name="Comma 2 4 5 5 3 4" xfId="30211"/>
    <cellStyle name="Comma 2 4 5 5 3 5" xfId="44117"/>
    <cellStyle name="Comma 2 4 5 5 4" xfId="7262"/>
    <cellStyle name="Comma 2 4 5 5 4 2" xfId="17765"/>
    <cellStyle name="Comma 2 4 5 5 4 2 2" xfId="38814"/>
    <cellStyle name="Comma 2 4 5 5 4 3" xfId="32391"/>
    <cellStyle name="Comma 2 4 5 5 5" xfId="16441"/>
    <cellStyle name="Comma 2 4 5 5 5 2" xfId="35607"/>
    <cellStyle name="Comma 2 4 5 5 6" xfId="20964"/>
    <cellStyle name="Comma 2 4 5 5 7" xfId="29184"/>
    <cellStyle name="Comma 2 4 5 5 8" xfId="41983"/>
    <cellStyle name="Comma 2 4 5 6" xfId="4209"/>
    <cellStyle name="Comma 2 4 5 6 2" xfId="11115"/>
    <cellStyle name="Comma 2 4 5 6 2 2" xfId="19914"/>
    <cellStyle name="Comma 2 4 5 6 2 2 2" xfId="40957"/>
    <cellStyle name="Comma 2 4 5 6 2 2 3" xfId="34534"/>
    <cellStyle name="Comma 2 4 5 6 2 3" xfId="22113"/>
    <cellStyle name="Comma 2 4 5 6 2 3 2" xfId="37750"/>
    <cellStyle name="Comma 2 4 5 6 2 4" xfId="31327"/>
    <cellStyle name="Comma 2 4 5 6 2 5" xfId="43092"/>
    <cellStyle name="Comma 2 4 5 6 3" xfId="8339"/>
    <cellStyle name="Comma 2 4 5 6 3 2" xfId="18799"/>
    <cellStyle name="Comma 2 4 5 6 3 2 2" xfId="39842"/>
    <cellStyle name="Comma 2 4 5 6 3 2 3" xfId="33419"/>
    <cellStyle name="Comma 2 4 5 6 3 3" xfId="23289"/>
    <cellStyle name="Comma 2 4 5 6 3 3 2" xfId="36635"/>
    <cellStyle name="Comma 2 4 5 6 3 4" xfId="30212"/>
    <cellStyle name="Comma 2 4 5 6 3 5" xfId="44118"/>
    <cellStyle name="Comma 2 4 5 6 4" xfId="7263"/>
    <cellStyle name="Comma 2 4 5 6 4 2" xfId="17766"/>
    <cellStyle name="Comma 2 4 5 6 4 2 2" xfId="38815"/>
    <cellStyle name="Comma 2 4 5 6 4 3" xfId="32392"/>
    <cellStyle name="Comma 2 4 5 6 5" xfId="16629"/>
    <cellStyle name="Comma 2 4 5 6 5 2" xfId="35608"/>
    <cellStyle name="Comma 2 4 5 6 6" xfId="20965"/>
    <cellStyle name="Comma 2 4 5 6 7" xfId="29185"/>
    <cellStyle name="Comma 2 4 5 6 8" xfId="41984"/>
    <cellStyle name="Comma 2 4 5 7" xfId="5030"/>
    <cellStyle name="Comma 2 4 5 7 2" xfId="11116"/>
    <cellStyle name="Comma 2 4 5 7 2 2" xfId="19915"/>
    <cellStyle name="Comma 2 4 5 7 2 2 2" xfId="40958"/>
    <cellStyle name="Comma 2 4 5 7 2 2 3" xfId="34535"/>
    <cellStyle name="Comma 2 4 5 7 2 3" xfId="22114"/>
    <cellStyle name="Comma 2 4 5 7 2 3 2" xfId="37751"/>
    <cellStyle name="Comma 2 4 5 7 2 4" xfId="31328"/>
    <cellStyle name="Comma 2 4 5 7 2 5" xfId="43093"/>
    <cellStyle name="Comma 2 4 5 7 3" xfId="8340"/>
    <cellStyle name="Comma 2 4 5 7 3 2" xfId="18800"/>
    <cellStyle name="Comma 2 4 5 7 3 2 2" xfId="39843"/>
    <cellStyle name="Comma 2 4 5 7 3 2 3" xfId="33420"/>
    <cellStyle name="Comma 2 4 5 7 3 3" xfId="23290"/>
    <cellStyle name="Comma 2 4 5 7 3 3 2" xfId="36636"/>
    <cellStyle name="Comma 2 4 5 7 3 4" xfId="30213"/>
    <cellStyle name="Comma 2 4 5 7 3 5" xfId="44119"/>
    <cellStyle name="Comma 2 4 5 7 4" xfId="7264"/>
    <cellStyle name="Comma 2 4 5 7 4 2" xfId="17767"/>
    <cellStyle name="Comma 2 4 5 7 4 2 2" xfId="38816"/>
    <cellStyle name="Comma 2 4 5 7 4 3" xfId="32393"/>
    <cellStyle name="Comma 2 4 5 7 5" xfId="16845"/>
    <cellStyle name="Comma 2 4 5 7 5 2" xfId="35609"/>
    <cellStyle name="Comma 2 4 5 7 6" xfId="20966"/>
    <cellStyle name="Comma 2 4 5 7 7" xfId="29186"/>
    <cellStyle name="Comma 2 4 5 7 8" xfId="41985"/>
    <cellStyle name="Comma 2 4 5 8" xfId="5471"/>
    <cellStyle name="Comma 2 4 5 8 2" xfId="11117"/>
    <cellStyle name="Comma 2 4 5 8 2 2" xfId="19916"/>
    <cellStyle name="Comma 2 4 5 8 2 2 2" xfId="40959"/>
    <cellStyle name="Comma 2 4 5 8 2 2 3" xfId="34536"/>
    <cellStyle name="Comma 2 4 5 8 2 3" xfId="22115"/>
    <cellStyle name="Comma 2 4 5 8 2 3 2" xfId="37752"/>
    <cellStyle name="Comma 2 4 5 8 2 4" xfId="31329"/>
    <cellStyle name="Comma 2 4 5 8 2 5" xfId="43094"/>
    <cellStyle name="Comma 2 4 5 8 3" xfId="8341"/>
    <cellStyle name="Comma 2 4 5 8 3 2" xfId="18801"/>
    <cellStyle name="Comma 2 4 5 8 3 2 2" xfId="39844"/>
    <cellStyle name="Comma 2 4 5 8 3 2 3" xfId="33421"/>
    <cellStyle name="Comma 2 4 5 8 3 3" xfId="23291"/>
    <cellStyle name="Comma 2 4 5 8 3 3 2" xfId="36637"/>
    <cellStyle name="Comma 2 4 5 8 3 4" xfId="30214"/>
    <cellStyle name="Comma 2 4 5 8 3 5" xfId="44120"/>
    <cellStyle name="Comma 2 4 5 8 4" xfId="7265"/>
    <cellStyle name="Comma 2 4 5 8 4 2" xfId="17768"/>
    <cellStyle name="Comma 2 4 5 8 4 2 2" xfId="38817"/>
    <cellStyle name="Comma 2 4 5 8 4 3" xfId="32394"/>
    <cellStyle name="Comma 2 4 5 8 5" xfId="16917"/>
    <cellStyle name="Comma 2 4 5 8 5 2" xfId="35610"/>
    <cellStyle name="Comma 2 4 5 8 6" xfId="20967"/>
    <cellStyle name="Comma 2 4 5 8 7" xfId="29187"/>
    <cellStyle name="Comma 2 4 5 8 8" xfId="41986"/>
    <cellStyle name="Comma 2 4 5 9" xfId="10191"/>
    <cellStyle name="Comma 2 4 5 9 2" xfId="19246"/>
    <cellStyle name="Comma 2 4 5 9 2 2" xfId="40289"/>
    <cellStyle name="Comma 2 4 5 9 2 3" xfId="33866"/>
    <cellStyle name="Comma 2 4 5 9 3" xfId="21446"/>
    <cellStyle name="Comma 2 4 5 9 3 2" xfId="37082"/>
    <cellStyle name="Comma 2 4 5 9 4" xfId="30659"/>
    <cellStyle name="Comma 2 4 5 9 5" xfId="42425"/>
    <cellStyle name="Comma 2 4 6" xfId="1823"/>
    <cellStyle name="Comma 2 4 6 10" xfId="16101"/>
    <cellStyle name="Comma 2 4 6 10 2" xfId="34964"/>
    <cellStyle name="Comma 2 4 6 11" xfId="20968"/>
    <cellStyle name="Comma 2 4 6 12" xfId="28539"/>
    <cellStyle name="Comma 2 4 6 13" xfId="41987"/>
    <cellStyle name="Comma 2 4 6 2" xfId="2713"/>
    <cellStyle name="Comma 2 4 6 2 2" xfId="11118"/>
    <cellStyle name="Comma 2 4 6 2 2 2" xfId="19917"/>
    <cellStyle name="Comma 2 4 6 2 2 2 2" xfId="40960"/>
    <cellStyle name="Comma 2 4 6 2 2 2 3" xfId="34537"/>
    <cellStyle name="Comma 2 4 6 2 2 3" xfId="22116"/>
    <cellStyle name="Comma 2 4 6 2 2 3 2" xfId="37753"/>
    <cellStyle name="Comma 2 4 6 2 2 4" xfId="31330"/>
    <cellStyle name="Comma 2 4 6 2 2 5" xfId="43095"/>
    <cellStyle name="Comma 2 4 6 2 3" xfId="8343"/>
    <cellStyle name="Comma 2 4 6 2 3 2" xfId="18803"/>
    <cellStyle name="Comma 2 4 6 2 3 2 2" xfId="39846"/>
    <cellStyle name="Comma 2 4 6 2 3 2 3" xfId="33423"/>
    <cellStyle name="Comma 2 4 6 2 3 3" xfId="23293"/>
    <cellStyle name="Comma 2 4 6 2 3 3 2" xfId="36639"/>
    <cellStyle name="Comma 2 4 6 2 3 4" xfId="30216"/>
    <cellStyle name="Comma 2 4 6 2 3 5" xfId="44122"/>
    <cellStyle name="Comma 2 4 6 2 4" xfId="7266"/>
    <cellStyle name="Comma 2 4 6 2 4 2" xfId="17769"/>
    <cellStyle name="Comma 2 4 6 2 4 2 2" xfId="38818"/>
    <cellStyle name="Comma 2 4 6 2 4 3" xfId="32395"/>
    <cellStyle name="Comma 2 4 6 2 5" xfId="16291"/>
    <cellStyle name="Comma 2 4 6 2 5 2" xfId="35611"/>
    <cellStyle name="Comma 2 4 6 2 6" xfId="20969"/>
    <cellStyle name="Comma 2 4 6 2 7" xfId="29188"/>
    <cellStyle name="Comma 2 4 6 2 8" xfId="41988"/>
    <cellStyle name="Comma 2 4 6 3" xfId="3577"/>
    <cellStyle name="Comma 2 4 6 3 2" xfId="11119"/>
    <cellStyle name="Comma 2 4 6 3 2 2" xfId="19918"/>
    <cellStyle name="Comma 2 4 6 3 2 2 2" xfId="40961"/>
    <cellStyle name="Comma 2 4 6 3 2 2 3" xfId="34538"/>
    <cellStyle name="Comma 2 4 6 3 2 3" xfId="22117"/>
    <cellStyle name="Comma 2 4 6 3 2 3 2" xfId="37754"/>
    <cellStyle name="Comma 2 4 6 3 2 4" xfId="31331"/>
    <cellStyle name="Comma 2 4 6 3 2 5" xfId="43096"/>
    <cellStyle name="Comma 2 4 6 3 3" xfId="8344"/>
    <cellStyle name="Comma 2 4 6 3 3 2" xfId="18804"/>
    <cellStyle name="Comma 2 4 6 3 3 2 2" xfId="39847"/>
    <cellStyle name="Comma 2 4 6 3 3 2 3" xfId="33424"/>
    <cellStyle name="Comma 2 4 6 3 3 3" xfId="23294"/>
    <cellStyle name="Comma 2 4 6 3 3 3 2" xfId="36640"/>
    <cellStyle name="Comma 2 4 6 3 3 4" xfId="30217"/>
    <cellStyle name="Comma 2 4 6 3 3 5" xfId="44123"/>
    <cellStyle name="Comma 2 4 6 3 4" xfId="7267"/>
    <cellStyle name="Comma 2 4 6 3 4 2" xfId="17770"/>
    <cellStyle name="Comma 2 4 6 3 4 2 2" xfId="38819"/>
    <cellStyle name="Comma 2 4 6 3 4 3" xfId="32396"/>
    <cellStyle name="Comma 2 4 6 3 5" xfId="16479"/>
    <cellStyle name="Comma 2 4 6 3 5 2" xfId="35612"/>
    <cellStyle name="Comma 2 4 6 3 6" xfId="20970"/>
    <cellStyle name="Comma 2 4 6 3 7" xfId="29189"/>
    <cellStyle name="Comma 2 4 6 3 8" xfId="41989"/>
    <cellStyle name="Comma 2 4 6 4" xfId="4452"/>
    <cellStyle name="Comma 2 4 6 4 2" xfId="11120"/>
    <cellStyle name="Comma 2 4 6 4 2 2" xfId="19919"/>
    <cellStyle name="Comma 2 4 6 4 2 2 2" xfId="40962"/>
    <cellStyle name="Comma 2 4 6 4 2 2 3" xfId="34539"/>
    <cellStyle name="Comma 2 4 6 4 2 3" xfId="22118"/>
    <cellStyle name="Comma 2 4 6 4 2 3 2" xfId="37755"/>
    <cellStyle name="Comma 2 4 6 4 2 4" xfId="31332"/>
    <cellStyle name="Comma 2 4 6 4 2 5" xfId="43097"/>
    <cellStyle name="Comma 2 4 6 4 3" xfId="8345"/>
    <cellStyle name="Comma 2 4 6 4 3 2" xfId="18805"/>
    <cellStyle name="Comma 2 4 6 4 3 2 2" xfId="39848"/>
    <cellStyle name="Comma 2 4 6 4 3 2 3" xfId="33425"/>
    <cellStyle name="Comma 2 4 6 4 3 3" xfId="23295"/>
    <cellStyle name="Comma 2 4 6 4 3 3 2" xfId="36641"/>
    <cellStyle name="Comma 2 4 6 4 3 4" xfId="30218"/>
    <cellStyle name="Comma 2 4 6 4 3 5" xfId="44124"/>
    <cellStyle name="Comma 2 4 6 4 4" xfId="7268"/>
    <cellStyle name="Comma 2 4 6 4 4 2" xfId="17771"/>
    <cellStyle name="Comma 2 4 6 4 4 2 2" xfId="38820"/>
    <cellStyle name="Comma 2 4 6 4 4 3" xfId="32397"/>
    <cellStyle name="Comma 2 4 6 4 5" xfId="16667"/>
    <cellStyle name="Comma 2 4 6 4 5 2" xfId="35613"/>
    <cellStyle name="Comma 2 4 6 4 6" xfId="20971"/>
    <cellStyle name="Comma 2 4 6 4 7" xfId="29190"/>
    <cellStyle name="Comma 2 4 6 4 8" xfId="41990"/>
    <cellStyle name="Comma 2 4 6 5" xfId="5032"/>
    <cellStyle name="Comma 2 4 6 5 2" xfId="11121"/>
    <cellStyle name="Comma 2 4 6 5 2 2" xfId="19920"/>
    <cellStyle name="Comma 2 4 6 5 2 2 2" xfId="40963"/>
    <cellStyle name="Comma 2 4 6 5 2 2 3" xfId="34540"/>
    <cellStyle name="Comma 2 4 6 5 2 3" xfId="22119"/>
    <cellStyle name="Comma 2 4 6 5 2 3 2" xfId="37756"/>
    <cellStyle name="Comma 2 4 6 5 2 4" xfId="31333"/>
    <cellStyle name="Comma 2 4 6 5 2 5" xfId="43098"/>
    <cellStyle name="Comma 2 4 6 5 3" xfId="8346"/>
    <cellStyle name="Comma 2 4 6 5 3 2" xfId="18806"/>
    <cellStyle name="Comma 2 4 6 5 3 2 2" xfId="39849"/>
    <cellStyle name="Comma 2 4 6 5 3 2 3" xfId="33426"/>
    <cellStyle name="Comma 2 4 6 5 3 3" xfId="23296"/>
    <cellStyle name="Comma 2 4 6 5 3 3 2" xfId="36642"/>
    <cellStyle name="Comma 2 4 6 5 3 4" xfId="30219"/>
    <cellStyle name="Comma 2 4 6 5 3 5" xfId="44125"/>
    <cellStyle name="Comma 2 4 6 5 4" xfId="7269"/>
    <cellStyle name="Comma 2 4 6 5 4 2" xfId="17772"/>
    <cellStyle name="Comma 2 4 6 5 4 2 2" xfId="38821"/>
    <cellStyle name="Comma 2 4 6 5 4 3" xfId="32398"/>
    <cellStyle name="Comma 2 4 6 5 5" xfId="16847"/>
    <cellStyle name="Comma 2 4 6 5 5 2" xfId="35614"/>
    <cellStyle name="Comma 2 4 6 5 6" xfId="20972"/>
    <cellStyle name="Comma 2 4 6 5 7" xfId="29191"/>
    <cellStyle name="Comma 2 4 6 5 8" xfId="41991"/>
    <cellStyle name="Comma 2 4 6 6" xfId="5717"/>
    <cellStyle name="Comma 2 4 6 6 2" xfId="11122"/>
    <cellStyle name="Comma 2 4 6 6 2 2" xfId="19921"/>
    <cellStyle name="Comma 2 4 6 6 2 2 2" xfId="40964"/>
    <cellStyle name="Comma 2 4 6 6 2 2 3" xfId="34541"/>
    <cellStyle name="Comma 2 4 6 6 2 3" xfId="22120"/>
    <cellStyle name="Comma 2 4 6 6 2 3 2" xfId="37757"/>
    <cellStyle name="Comma 2 4 6 6 2 4" xfId="31334"/>
    <cellStyle name="Comma 2 4 6 6 2 5" xfId="43099"/>
    <cellStyle name="Comma 2 4 6 6 3" xfId="8347"/>
    <cellStyle name="Comma 2 4 6 6 3 2" xfId="18807"/>
    <cellStyle name="Comma 2 4 6 6 3 2 2" xfId="39850"/>
    <cellStyle name="Comma 2 4 6 6 3 2 3" xfId="33427"/>
    <cellStyle name="Comma 2 4 6 6 3 3" xfId="23297"/>
    <cellStyle name="Comma 2 4 6 6 3 3 2" xfId="36643"/>
    <cellStyle name="Comma 2 4 6 6 3 4" xfId="30220"/>
    <cellStyle name="Comma 2 4 6 6 3 5" xfId="44126"/>
    <cellStyle name="Comma 2 4 6 6 4" xfId="7270"/>
    <cellStyle name="Comma 2 4 6 6 4 2" xfId="17773"/>
    <cellStyle name="Comma 2 4 6 6 4 2 2" xfId="38822"/>
    <cellStyle name="Comma 2 4 6 6 4 3" xfId="32399"/>
    <cellStyle name="Comma 2 4 6 6 5" xfId="16955"/>
    <cellStyle name="Comma 2 4 6 6 5 2" xfId="35615"/>
    <cellStyle name="Comma 2 4 6 6 6" xfId="20973"/>
    <cellStyle name="Comma 2 4 6 6 7" xfId="29192"/>
    <cellStyle name="Comma 2 4 6 6 8" xfId="41992"/>
    <cellStyle name="Comma 2 4 6 7" xfId="10211"/>
    <cellStyle name="Comma 2 4 6 7 2" xfId="19265"/>
    <cellStyle name="Comma 2 4 6 7 2 2" xfId="40308"/>
    <cellStyle name="Comma 2 4 6 7 2 3" xfId="33885"/>
    <cellStyle name="Comma 2 4 6 7 3" xfId="21465"/>
    <cellStyle name="Comma 2 4 6 7 3 2" xfId="37101"/>
    <cellStyle name="Comma 2 4 6 7 4" xfId="30678"/>
    <cellStyle name="Comma 2 4 6 7 5" xfId="42444"/>
    <cellStyle name="Comma 2 4 6 8" xfId="8342"/>
    <cellStyle name="Comma 2 4 6 8 2" xfId="18802"/>
    <cellStyle name="Comma 2 4 6 8 2 2" xfId="39845"/>
    <cellStyle name="Comma 2 4 6 8 2 3" xfId="33422"/>
    <cellStyle name="Comma 2 4 6 8 3" xfId="23292"/>
    <cellStyle name="Comma 2 4 6 8 3 2" xfId="36638"/>
    <cellStyle name="Comma 2 4 6 8 4" xfId="30215"/>
    <cellStyle name="Comma 2 4 6 8 5" xfId="44121"/>
    <cellStyle name="Comma 2 4 6 9" xfId="6611"/>
    <cellStyle name="Comma 2 4 6 9 2" xfId="17118"/>
    <cellStyle name="Comma 2 4 6 9 2 2" xfId="38171"/>
    <cellStyle name="Comma 2 4 6 9 3" xfId="31748"/>
    <cellStyle name="Comma 2 4 7" xfId="2098"/>
    <cellStyle name="Comma 2 4 7 10" xfId="20974"/>
    <cellStyle name="Comma 2 4 7 11" xfId="29193"/>
    <cellStyle name="Comma 2 4 7 12" xfId="41993"/>
    <cellStyle name="Comma 2 4 7 2" xfId="2968"/>
    <cellStyle name="Comma 2 4 7 2 2" xfId="11124"/>
    <cellStyle name="Comma 2 4 7 2 2 2" xfId="19923"/>
    <cellStyle name="Comma 2 4 7 2 2 2 2" xfId="40966"/>
    <cellStyle name="Comma 2 4 7 2 2 2 3" xfId="34543"/>
    <cellStyle name="Comma 2 4 7 2 2 3" xfId="22122"/>
    <cellStyle name="Comma 2 4 7 2 2 3 2" xfId="37759"/>
    <cellStyle name="Comma 2 4 7 2 2 4" xfId="31336"/>
    <cellStyle name="Comma 2 4 7 2 2 5" xfId="43101"/>
    <cellStyle name="Comma 2 4 7 2 3" xfId="8349"/>
    <cellStyle name="Comma 2 4 7 2 3 2" xfId="18809"/>
    <cellStyle name="Comma 2 4 7 2 3 2 2" xfId="39852"/>
    <cellStyle name="Comma 2 4 7 2 3 2 3" xfId="33429"/>
    <cellStyle name="Comma 2 4 7 2 3 3" xfId="23299"/>
    <cellStyle name="Comma 2 4 7 2 3 3 2" xfId="36645"/>
    <cellStyle name="Comma 2 4 7 2 3 4" xfId="30222"/>
    <cellStyle name="Comma 2 4 7 2 3 5" xfId="44128"/>
    <cellStyle name="Comma 2 4 7 2 4" xfId="7272"/>
    <cellStyle name="Comma 2 4 7 2 4 2" xfId="17775"/>
    <cellStyle name="Comma 2 4 7 2 4 2 2" xfId="38824"/>
    <cellStyle name="Comma 2 4 7 2 4 3" xfId="32401"/>
    <cellStyle name="Comma 2 4 7 2 5" xfId="16346"/>
    <cellStyle name="Comma 2 4 7 2 5 2" xfId="35617"/>
    <cellStyle name="Comma 2 4 7 2 6" xfId="20975"/>
    <cellStyle name="Comma 2 4 7 2 7" xfId="29194"/>
    <cellStyle name="Comma 2 4 7 2 8" xfId="41994"/>
    <cellStyle name="Comma 2 4 7 3" xfId="3838"/>
    <cellStyle name="Comma 2 4 7 3 2" xfId="11125"/>
    <cellStyle name="Comma 2 4 7 3 2 2" xfId="19924"/>
    <cellStyle name="Comma 2 4 7 3 2 2 2" xfId="40967"/>
    <cellStyle name="Comma 2 4 7 3 2 2 3" xfId="34544"/>
    <cellStyle name="Comma 2 4 7 3 2 3" xfId="22123"/>
    <cellStyle name="Comma 2 4 7 3 2 3 2" xfId="37760"/>
    <cellStyle name="Comma 2 4 7 3 2 4" xfId="31337"/>
    <cellStyle name="Comma 2 4 7 3 2 5" xfId="43102"/>
    <cellStyle name="Comma 2 4 7 3 3" xfId="8350"/>
    <cellStyle name="Comma 2 4 7 3 3 2" xfId="18810"/>
    <cellStyle name="Comma 2 4 7 3 3 2 2" xfId="39853"/>
    <cellStyle name="Comma 2 4 7 3 3 2 3" xfId="33430"/>
    <cellStyle name="Comma 2 4 7 3 3 3" xfId="23300"/>
    <cellStyle name="Comma 2 4 7 3 3 3 2" xfId="36646"/>
    <cellStyle name="Comma 2 4 7 3 3 4" xfId="30223"/>
    <cellStyle name="Comma 2 4 7 3 3 5" xfId="44129"/>
    <cellStyle name="Comma 2 4 7 3 4" xfId="7273"/>
    <cellStyle name="Comma 2 4 7 3 4 2" xfId="17776"/>
    <cellStyle name="Comma 2 4 7 3 4 2 2" xfId="38825"/>
    <cellStyle name="Comma 2 4 7 3 4 3" xfId="32402"/>
    <cellStyle name="Comma 2 4 7 3 5" xfId="16534"/>
    <cellStyle name="Comma 2 4 7 3 5 2" xfId="35618"/>
    <cellStyle name="Comma 2 4 7 3 6" xfId="20976"/>
    <cellStyle name="Comma 2 4 7 3 7" xfId="29195"/>
    <cellStyle name="Comma 2 4 7 3 8" xfId="41995"/>
    <cellStyle name="Comma 2 4 7 4" xfId="4716"/>
    <cellStyle name="Comma 2 4 7 4 2" xfId="11126"/>
    <cellStyle name="Comma 2 4 7 4 2 2" xfId="19925"/>
    <cellStyle name="Comma 2 4 7 4 2 2 2" xfId="40968"/>
    <cellStyle name="Comma 2 4 7 4 2 2 3" xfId="34545"/>
    <cellStyle name="Comma 2 4 7 4 2 3" xfId="22124"/>
    <cellStyle name="Comma 2 4 7 4 2 3 2" xfId="37761"/>
    <cellStyle name="Comma 2 4 7 4 2 4" xfId="31338"/>
    <cellStyle name="Comma 2 4 7 4 2 5" xfId="43103"/>
    <cellStyle name="Comma 2 4 7 4 3" xfId="8351"/>
    <cellStyle name="Comma 2 4 7 4 3 2" xfId="18811"/>
    <cellStyle name="Comma 2 4 7 4 3 2 2" xfId="39854"/>
    <cellStyle name="Comma 2 4 7 4 3 2 3" xfId="33431"/>
    <cellStyle name="Comma 2 4 7 4 3 3" xfId="23301"/>
    <cellStyle name="Comma 2 4 7 4 3 3 2" xfId="36647"/>
    <cellStyle name="Comma 2 4 7 4 3 4" xfId="30224"/>
    <cellStyle name="Comma 2 4 7 4 3 5" xfId="44130"/>
    <cellStyle name="Comma 2 4 7 4 4" xfId="7274"/>
    <cellStyle name="Comma 2 4 7 4 4 2" xfId="17777"/>
    <cellStyle name="Comma 2 4 7 4 4 2 2" xfId="38826"/>
    <cellStyle name="Comma 2 4 7 4 4 3" xfId="32403"/>
    <cellStyle name="Comma 2 4 7 4 5" xfId="16722"/>
    <cellStyle name="Comma 2 4 7 4 5 2" xfId="35619"/>
    <cellStyle name="Comma 2 4 7 4 6" xfId="20977"/>
    <cellStyle name="Comma 2 4 7 4 7" xfId="29196"/>
    <cellStyle name="Comma 2 4 7 4 8" xfId="41996"/>
    <cellStyle name="Comma 2 4 7 5" xfId="5981"/>
    <cellStyle name="Comma 2 4 7 5 2" xfId="11127"/>
    <cellStyle name="Comma 2 4 7 5 2 2" xfId="19926"/>
    <cellStyle name="Comma 2 4 7 5 2 2 2" xfId="40969"/>
    <cellStyle name="Comma 2 4 7 5 2 2 3" xfId="34546"/>
    <cellStyle name="Comma 2 4 7 5 2 3" xfId="22125"/>
    <cellStyle name="Comma 2 4 7 5 2 3 2" xfId="37762"/>
    <cellStyle name="Comma 2 4 7 5 2 4" xfId="31339"/>
    <cellStyle name="Comma 2 4 7 5 2 5" xfId="43104"/>
    <cellStyle name="Comma 2 4 7 5 3" xfId="8352"/>
    <cellStyle name="Comma 2 4 7 5 3 2" xfId="18812"/>
    <cellStyle name="Comma 2 4 7 5 3 2 2" xfId="39855"/>
    <cellStyle name="Comma 2 4 7 5 3 2 3" xfId="33432"/>
    <cellStyle name="Comma 2 4 7 5 3 3" xfId="23302"/>
    <cellStyle name="Comma 2 4 7 5 3 3 2" xfId="36648"/>
    <cellStyle name="Comma 2 4 7 5 3 4" xfId="30225"/>
    <cellStyle name="Comma 2 4 7 5 3 5" xfId="44131"/>
    <cellStyle name="Comma 2 4 7 5 4" xfId="7275"/>
    <cellStyle name="Comma 2 4 7 5 4 2" xfId="17778"/>
    <cellStyle name="Comma 2 4 7 5 4 2 2" xfId="38827"/>
    <cellStyle name="Comma 2 4 7 5 4 3" xfId="32404"/>
    <cellStyle name="Comma 2 4 7 5 5" xfId="17010"/>
    <cellStyle name="Comma 2 4 7 5 5 2" xfId="35620"/>
    <cellStyle name="Comma 2 4 7 5 6" xfId="20978"/>
    <cellStyle name="Comma 2 4 7 5 7" xfId="29197"/>
    <cellStyle name="Comma 2 4 7 5 8" xfId="41997"/>
    <cellStyle name="Comma 2 4 7 6" xfId="11123"/>
    <cellStyle name="Comma 2 4 7 6 2" xfId="19922"/>
    <cellStyle name="Comma 2 4 7 6 2 2" xfId="40965"/>
    <cellStyle name="Comma 2 4 7 6 2 3" xfId="34542"/>
    <cellStyle name="Comma 2 4 7 6 3" xfId="22121"/>
    <cellStyle name="Comma 2 4 7 6 3 2" xfId="37758"/>
    <cellStyle name="Comma 2 4 7 6 4" xfId="31335"/>
    <cellStyle name="Comma 2 4 7 6 5" xfId="43100"/>
    <cellStyle name="Comma 2 4 7 7" xfId="8348"/>
    <cellStyle name="Comma 2 4 7 7 2" xfId="18808"/>
    <cellStyle name="Comma 2 4 7 7 2 2" xfId="39851"/>
    <cellStyle name="Comma 2 4 7 7 2 3" xfId="33428"/>
    <cellStyle name="Comma 2 4 7 7 3" xfId="23298"/>
    <cellStyle name="Comma 2 4 7 7 3 2" xfId="36644"/>
    <cellStyle name="Comma 2 4 7 7 4" xfId="30221"/>
    <cellStyle name="Comma 2 4 7 7 5" xfId="44127"/>
    <cellStyle name="Comma 2 4 7 8" xfId="7271"/>
    <cellStyle name="Comma 2 4 7 8 2" xfId="17774"/>
    <cellStyle name="Comma 2 4 7 8 2 2" xfId="38823"/>
    <cellStyle name="Comma 2 4 7 8 3" xfId="32400"/>
    <cellStyle name="Comma 2 4 7 9" xfId="16157"/>
    <cellStyle name="Comma 2 4 7 9 2" xfId="35616"/>
    <cellStyle name="Comma 2 4 8" xfId="2281"/>
    <cellStyle name="Comma 2 4 8 10" xfId="20979"/>
    <cellStyle name="Comma 2 4 8 11" xfId="29198"/>
    <cellStyle name="Comma 2 4 8 12" xfId="41998"/>
    <cellStyle name="Comma 2 4 8 2" xfId="3140"/>
    <cellStyle name="Comma 2 4 8 2 2" xfId="11129"/>
    <cellStyle name="Comma 2 4 8 2 2 2" xfId="19928"/>
    <cellStyle name="Comma 2 4 8 2 2 2 2" xfId="40971"/>
    <cellStyle name="Comma 2 4 8 2 2 2 3" xfId="34548"/>
    <cellStyle name="Comma 2 4 8 2 2 3" xfId="22127"/>
    <cellStyle name="Comma 2 4 8 2 2 3 2" xfId="37764"/>
    <cellStyle name="Comma 2 4 8 2 2 4" xfId="31341"/>
    <cellStyle name="Comma 2 4 8 2 2 5" xfId="43106"/>
    <cellStyle name="Comma 2 4 8 2 3" xfId="8354"/>
    <cellStyle name="Comma 2 4 8 2 3 2" xfId="18814"/>
    <cellStyle name="Comma 2 4 8 2 3 2 2" xfId="39857"/>
    <cellStyle name="Comma 2 4 8 2 3 2 3" xfId="33434"/>
    <cellStyle name="Comma 2 4 8 2 3 3" xfId="23304"/>
    <cellStyle name="Comma 2 4 8 2 3 3 2" xfId="36650"/>
    <cellStyle name="Comma 2 4 8 2 3 4" xfId="30227"/>
    <cellStyle name="Comma 2 4 8 2 3 5" xfId="44133"/>
    <cellStyle name="Comma 2 4 8 2 4" xfId="7277"/>
    <cellStyle name="Comma 2 4 8 2 4 2" xfId="17780"/>
    <cellStyle name="Comma 2 4 8 2 4 2 2" xfId="38829"/>
    <cellStyle name="Comma 2 4 8 2 4 3" xfId="32406"/>
    <cellStyle name="Comma 2 4 8 2 5" xfId="16384"/>
    <cellStyle name="Comma 2 4 8 2 5 2" xfId="35622"/>
    <cellStyle name="Comma 2 4 8 2 6" xfId="20980"/>
    <cellStyle name="Comma 2 4 8 2 7" xfId="29199"/>
    <cellStyle name="Comma 2 4 8 2 8" xfId="41999"/>
    <cellStyle name="Comma 2 4 8 3" xfId="4006"/>
    <cellStyle name="Comma 2 4 8 3 2" xfId="11130"/>
    <cellStyle name="Comma 2 4 8 3 2 2" xfId="19929"/>
    <cellStyle name="Comma 2 4 8 3 2 2 2" xfId="40972"/>
    <cellStyle name="Comma 2 4 8 3 2 2 3" xfId="34549"/>
    <cellStyle name="Comma 2 4 8 3 2 3" xfId="22128"/>
    <cellStyle name="Comma 2 4 8 3 2 3 2" xfId="37765"/>
    <cellStyle name="Comma 2 4 8 3 2 4" xfId="31342"/>
    <cellStyle name="Comma 2 4 8 3 2 5" xfId="43107"/>
    <cellStyle name="Comma 2 4 8 3 3" xfId="8355"/>
    <cellStyle name="Comma 2 4 8 3 3 2" xfId="18815"/>
    <cellStyle name="Comma 2 4 8 3 3 2 2" xfId="39858"/>
    <cellStyle name="Comma 2 4 8 3 3 2 3" xfId="33435"/>
    <cellStyle name="Comma 2 4 8 3 3 3" xfId="23305"/>
    <cellStyle name="Comma 2 4 8 3 3 3 2" xfId="36651"/>
    <cellStyle name="Comma 2 4 8 3 3 4" xfId="30228"/>
    <cellStyle name="Comma 2 4 8 3 3 5" xfId="44134"/>
    <cellStyle name="Comma 2 4 8 3 4" xfId="7278"/>
    <cellStyle name="Comma 2 4 8 3 4 2" xfId="17781"/>
    <cellStyle name="Comma 2 4 8 3 4 2 2" xfId="38830"/>
    <cellStyle name="Comma 2 4 8 3 4 3" xfId="32407"/>
    <cellStyle name="Comma 2 4 8 3 5" xfId="16572"/>
    <cellStyle name="Comma 2 4 8 3 5 2" xfId="35623"/>
    <cellStyle name="Comma 2 4 8 3 6" xfId="20981"/>
    <cellStyle name="Comma 2 4 8 3 7" xfId="29200"/>
    <cellStyle name="Comma 2 4 8 3 8" xfId="42000"/>
    <cellStyle name="Comma 2 4 8 4" xfId="4885"/>
    <cellStyle name="Comma 2 4 8 4 2" xfId="11131"/>
    <cellStyle name="Comma 2 4 8 4 2 2" xfId="19930"/>
    <cellStyle name="Comma 2 4 8 4 2 2 2" xfId="40973"/>
    <cellStyle name="Comma 2 4 8 4 2 2 3" xfId="34550"/>
    <cellStyle name="Comma 2 4 8 4 2 3" xfId="22129"/>
    <cellStyle name="Comma 2 4 8 4 2 3 2" xfId="37766"/>
    <cellStyle name="Comma 2 4 8 4 2 4" xfId="31343"/>
    <cellStyle name="Comma 2 4 8 4 2 5" xfId="43108"/>
    <cellStyle name="Comma 2 4 8 4 3" xfId="8356"/>
    <cellStyle name="Comma 2 4 8 4 3 2" xfId="18816"/>
    <cellStyle name="Comma 2 4 8 4 3 2 2" xfId="39859"/>
    <cellStyle name="Comma 2 4 8 4 3 2 3" xfId="33436"/>
    <cellStyle name="Comma 2 4 8 4 3 3" xfId="23306"/>
    <cellStyle name="Comma 2 4 8 4 3 3 2" xfId="36652"/>
    <cellStyle name="Comma 2 4 8 4 3 4" xfId="30229"/>
    <cellStyle name="Comma 2 4 8 4 3 5" xfId="44135"/>
    <cellStyle name="Comma 2 4 8 4 4" xfId="7279"/>
    <cellStyle name="Comma 2 4 8 4 4 2" xfId="17782"/>
    <cellStyle name="Comma 2 4 8 4 4 2 2" xfId="38831"/>
    <cellStyle name="Comma 2 4 8 4 4 3" xfId="32408"/>
    <cellStyle name="Comma 2 4 8 4 5" xfId="16760"/>
    <cellStyle name="Comma 2 4 8 4 5 2" xfId="35624"/>
    <cellStyle name="Comma 2 4 8 4 6" xfId="20982"/>
    <cellStyle name="Comma 2 4 8 4 7" xfId="29201"/>
    <cellStyle name="Comma 2 4 8 4 8" xfId="42001"/>
    <cellStyle name="Comma 2 4 8 5" xfId="6150"/>
    <cellStyle name="Comma 2 4 8 5 2" xfId="11132"/>
    <cellStyle name="Comma 2 4 8 5 2 2" xfId="19931"/>
    <cellStyle name="Comma 2 4 8 5 2 2 2" xfId="40974"/>
    <cellStyle name="Comma 2 4 8 5 2 2 3" xfId="34551"/>
    <cellStyle name="Comma 2 4 8 5 2 3" xfId="22130"/>
    <cellStyle name="Comma 2 4 8 5 2 3 2" xfId="37767"/>
    <cellStyle name="Comma 2 4 8 5 2 4" xfId="31344"/>
    <cellStyle name="Comma 2 4 8 5 2 5" xfId="43109"/>
    <cellStyle name="Comma 2 4 8 5 3" xfId="8357"/>
    <cellStyle name="Comma 2 4 8 5 3 2" xfId="18817"/>
    <cellStyle name="Comma 2 4 8 5 3 2 2" xfId="39860"/>
    <cellStyle name="Comma 2 4 8 5 3 2 3" xfId="33437"/>
    <cellStyle name="Comma 2 4 8 5 3 3" xfId="23307"/>
    <cellStyle name="Comma 2 4 8 5 3 3 2" xfId="36653"/>
    <cellStyle name="Comma 2 4 8 5 3 4" xfId="30230"/>
    <cellStyle name="Comma 2 4 8 5 3 5" xfId="44136"/>
    <cellStyle name="Comma 2 4 8 5 4" xfId="7280"/>
    <cellStyle name="Comma 2 4 8 5 4 2" xfId="17783"/>
    <cellStyle name="Comma 2 4 8 5 4 2 2" xfId="38832"/>
    <cellStyle name="Comma 2 4 8 5 4 3" xfId="32409"/>
    <cellStyle name="Comma 2 4 8 5 5" xfId="17048"/>
    <cellStyle name="Comma 2 4 8 5 5 2" xfId="35625"/>
    <cellStyle name="Comma 2 4 8 5 6" xfId="20983"/>
    <cellStyle name="Comma 2 4 8 5 7" xfId="29202"/>
    <cellStyle name="Comma 2 4 8 5 8" xfId="42002"/>
    <cellStyle name="Comma 2 4 8 6" xfId="11128"/>
    <cellStyle name="Comma 2 4 8 6 2" xfId="19927"/>
    <cellStyle name="Comma 2 4 8 6 2 2" xfId="40970"/>
    <cellStyle name="Comma 2 4 8 6 2 3" xfId="34547"/>
    <cellStyle name="Comma 2 4 8 6 3" xfId="22126"/>
    <cellStyle name="Comma 2 4 8 6 3 2" xfId="37763"/>
    <cellStyle name="Comma 2 4 8 6 4" xfId="31340"/>
    <cellStyle name="Comma 2 4 8 6 5" xfId="43105"/>
    <cellStyle name="Comma 2 4 8 7" xfId="8353"/>
    <cellStyle name="Comma 2 4 8 7 2" xfId="18813"/>
    <cellStyle name="Comma 2 4 8 7 2 2" xfId="39856"/>
    <cellStyle name="Comma 2 4 8 7 2 3" xfId="33433"/>
    <cellStyle name="Comma 2 4 8 7 3" xfId="23303"/>
    <cellStyle name="Comma 2 4 8 7 3 2" xfId="36649"/>
    <cellStyle name="Comma 2 4 8 7 4" xfId="30226"/>
    <cellStyle name="Comma 2 4 8 7 5" xfId="44132"/>
    <cellStyle name="Comma 2 4 8 8" xfId="7276"/>
    <cellStyle name="Comma 2 4 8 8 2" xfId="17779"/>
    <cellStyle name="Comma 2 4 8 8 2 2" xfId="38828"/>
    <cellStyle name="Comma 2 4 8 8 3" xfId="32405"/>
    <cellStyle name="Comma 2 4 8 9" xfId="16196"/>
    <cellStyle name="Comma 2 4 8 9 2" xfId="35621"/>
    <cellStyle name="Comma 2 4 9" xfId="2463"/>
    <cellStyle name="Comma 2 4 9 2" xfId="11133"/>
    <cellStyle name="Comma 2 4 9 2 2" xfId="19932"/>
    <cellStyle name="Comma 2 4 9 2 2 2" xfId="40975"/>
    <cellStyle name="Comma 2 4 9 2 2 3" xfId="34552"/>
    <cellStyle name="Comma 2 4 9 2 3" xfId="22131"/>
    <cellStyle name="Comma 2 4 9 2 3 2" xfId="37768"/>
    <cellStyle name="Comma 2 4 9 2 4" xfId="31345"/>
    <cellStyle name="Comma 2 4 9 2 5" xfId="43110"/>
    <cellStyle name="Comma 2 4 9 3" xfId="8358"/>
    <cellStyle name="Comma 2 4 9 3 2" xfId="18818"/>
    <cellStyle name="Comma 2 4 9 3 2 2" xfId="39861"/>
    <cellStyle name="Comma 2 4 9 3 2 3" xfId="33438"/>
    <cellStyle name="Comma 2 4 9 3 3" xfId="23308"/>
    <cellStyle name="Comma 2 4 9 3 3 2" xfId="36654"/>
    <cellStyle name="Comma 2 4 9 3 4" xfId="30231"/>
    <cellStyle name="Comma 2 4 9 3 5" xfId="44137"/>
    <cellStyle name="Comma 2 4 9 4" xfId="7281"/>
    <cellStyle name="Comma 2 4 9 4 2" xfId="17784"/>
    <cellStyle name="Comma 2 4 9 4 2 2" xfId="38833"/>
    <cellStyle name="Comma 2 4 9 4 3" xfId="32410"/>
    <cellStyle name="Comma 2 4 9 5" xfId="16238"/>
    <cellStyle name="Comma 2 4 9 5 2" xfId="35626"/>
    <cellStyle name="Comma 2 4 9 6" xfId="20984"/>
    <cellStyle name="Comma 2 4 9 7" xfId="29203"/>
    <cellStyle name="Comma 2 4 9 8" xfId="42003"/>
    <cellStyle name="Comma 2 5" xfId="1485"/>
    <cellStyle name="Comma 2 5 10" xfId="3342"/>
    <cellStyle name="Comma 2 5 10 2" xfId="11134"/>
    <cellStyle name="Comma 2 5 10 2 2" xfId="19933"/>
    <cellStyle name="Comma 2 5 10 2 2 2" xfId="40976"/>
    <cellStyle name="Comma 2 5 10 2 2 3" xfId="34553"/>
    <cellStyle name="Comma 2 5 10 2 3" xfId="22132"/>
    <cellStyle name="Comma 2 5 10 2 3 2" xfId="37769"/>
    <cellStyle name="Comma 2 5 10 2 4" xfId="31346"/>
    <cellStyle name="Comma 2 5 10 2 5" xfId="43111"/>
    <cellStyle name="Comma 2 5 10 3" xfId="8360"/>
    <cellStyle name="Comma 2 5 10 3 2" xfId="18820"/>
    <cellStyle name="Comma 2 5 10 3 2 2" xfId="39863"/>
    <cellStyle name="Comma 2 5 10 3 2 3" xfId="33440"/>
    <cellStyle name="Comma 2 5 10 3 3" xfId="23310"/>
    <cellStyle name="Comma 2 5 10 3 3 2" xfId="36656"/>
    <cellStyle name="Comma 2 5 10 3 4" xfId="30233"/>
    <cellStyle name="Comma 2 5 10 3 5" xfId="44139"/>
    <cellStyle name="Comma 2 5 10 4" xfId="7282"/>
    <cellStyle name="Comma 2 5 10 4 2" xfId="17785"/>
    <cellStyle name="Comma 2 5 10 4 2 2" xfId="38834"/>
    <cellStyle name="Comma 2 5 10 4 3" xfId="32411"/>
    <cellStyle name="Comma 2 5 10 5" xfId="16442"/>
    <cellStyle name="Comma 2 5 10 5 2" xfId="35627"/>
    <cellStyle name="Comma 2 5 10 6" xfId="20986"/>
    <cellStyle name="Comma 2 5 10 7" xfId="29204"/>
    <cellStyle name="Comma 2 5 10 8" xfId="42005"/>
    <cellStyle name="Comma 2 5 11" xfId="4210"/>
    <cellStyle name="Comma 2 5 11 2" xfId="11135"/>
    <cellStyle name="Comma 2 5 11 2 2" xfId="19934"/>
    <cellStyle name="Comma 2 5 11 2 2 2" xfId="40977"/>
    <cellStyle name="Comma 2 5 11 2 2 3" xfId="34554"/>
    <cellStyle name="Comma 2 5 11 2 3" xfId="22133"/>
    <cellStyle name="Comma 2 5 11 2 3 2" xfId="37770"/>
    <cellStyle name="Comma 2 5 11 2 4" xfId="31347"/>
    <cellStyle name="Comma 2 5 11 2 5" xfId="43112"/>
    <cellStyle name="Comma 2 5 11 3" xfId="8361"/>
    <cellStyle name="Comma 2 5 11 3 2" xfId="18821"/>
    <cellStyle name="Comma 2 5 11 3 2 2" xfId="39864"/>
    <cellStyle name="Comma 2 5 11 3 2 3" xfId="33441"/>
    <cellStyle name="Comma 2 5 11 3 3" xfId="23311"/>
    <cellStyle name="Comma 2 5 11 3 3 2" xfId="36657"/>
    <cellStyle name="Comma 2 5 11 3 4" xfId="30234"/>
    <cellStyle name="Comma 2 5 11 3 5" xfId="44140"/>
    <cellStyle name="Comma 2 5 11 4" xfId="7283"/>
    <cellStyle name="Comma 2 5 11 4 2" xfId="17786"/>
    <cellStyle name="Comma 2 5 11 4 2 2" xfId="38835"/>
    <cellStyle name="Comma 2 5 11 4 3" xfId="32412"/>
    <cellStyle name="Comma 2 5 11 5" xfId="16630"/>
    <cellStyle name="Comma 2 5 11 5 2" xfId="35628"/>
    <cellStyle name="Comma 2 5 11 6" xfId="20987"/>
    <cellStyle name="Comma 2 5 11 7" xfId="29205"/>
    <cellStyle name="Comma 2 5 11 8" xfId="42006"/>
    <cellStyle name="Comma 2 5 12" xfId="5033"/>
    <cellStyle name="Comma 2 5 12 2" xfId="11136"/>
    <cellStyle name="Comma 2 5 12 2 2" xfId="19935"/>
    <cellStyle name="Comma 2 5 12 2 2 2" xfId="40978"/>
    <cellStyle name="Comma 2 5 12 2 2 3" xfId="34555"/>
    <cellStyle name="Comma 2 5 12 2 3" xfId="22134"/>
    <cellStyle name="Comma 2 5 12 2 3 2" xfId="37771"/>
    <cellStyle name="Comma 2 5 12 2 4" xfId="31348"/>
    <cellStyle name="Comma 2 5 12 2 5" xfId="43113"/>
    <cellStyle name="Comma 2 5 12 3" xfId="8362"/>
    <cellStyle name="Comma 2 5 12 3 2" xfId="18822"/>
    <cellStyle name="Comma 2 5 12 3 2 2" xfId="39865"/>
    <cellStyle name="Comma 2 5 12 3 2 3" xfId="33442"/>
    <cellStyle name="Comma 2 5 12 3 3" xfId="23312"/>
    <cellStyle name="Comma 2 5 12 3 3 2" xfId="36658"/>
    <cellStyle name="Comma 2 5 12 3 4" xfId="30235"/>
    <cellStyle name="Comma 2 5 12 3 5" xfId="44141"/>
    <cellStyle name="Comma 2 5 12 4" xfId="7284"/>
    <cellStyle name="Comma 2 5 12 4 2" xfId="17787"/>
    <cellStyle name="Comma 2 5 12 4 2 2" xfId="38836"/>
    <cellStyle name="Comma 2 5 12 4 3" xfId="32413"/>
    <cellStyle name="Comma 2 5 12 5" xfId="16848"/>
    <cellStyle name="Comma 2 5 12 5 2" xfId="35629"/>
    <cellStyle name="Comma 2 5 12 6" xfId="20988"/>
    <cellStyle name="Comma 2 5 12 7" xfId="29206"/>
    <cellStyle name="Comma 2 5 12 8" xfId="42007"/>
    <cellStyle name="Comma 2 5 13" xfId="5472"/>
    <cellStyle name="Comma 2 5 13 2" xfId="11137"/>
    <cellStyle name="Comma 2 5 13 2 2" xfId="19936"/>
    <cellStyle name="Comma 2 5 13 2 2 2" xfId="40979"/>
    <cellStyle name="Comma 2 5 13 2 2 3" xfId="34556"/>
    <cellStyle name="Comma 2 5 13 2 3" xfId="22135"/>
    <cellStyle name="Comma 2 5 13 2 3 2" xfId="37772"/>
    <cellStyle name="Comma 2 5 13 2 4" xfId="31349"/>
    <cellStyle name="Comma 2 5 13 2 5" xfId="43114"/>
    <cellStyle name="Comma 2 5 13 3" xfId="8363"/>
    <cellStyle name="Comma 2 5 13 3 2" xfId="18823"/>
    <cellStyle name="Comma 2 5 13 3 2 2" xfId="39866"/>
    <cellStyle name="Comma 2 5 13 3 2 3" xfId="33443"/>
    <cellStyle name="Comma 2 5 13 3 3" xfId="23313"/>
    <cellStyle name="Comma 2 5 13 3 3 2" xfId="36659"/>
    <cellStyle name="Comma 2 5 13 3 4" xfId="30236"/>
    <cellStyle name="Comma 2 5 13 3 5" xfId="44142"/>
    <cellStyle name="Comma 2 5 13 4" xfId="7285"/>
    <cellStyle name="Comma 2 5 13 4 2" xfId="17788"/>
    <cellStyle name="Comma 2 5 13 4 2 2" xfId="38837"/>
    <cellStyle name="Comma 2 5 13 4 3" xfId="32414"/>
    <cellStyle name="Comma 2 5 13 5" xfId="16918"/>
    <cellStyle name="Comma 2 5 13 5 2" xfId="35630"/>
    <cellStyle name="Comma 2 5 13 6" xfId="20989"/>
    <cellStyle name="Comma 2 5 13 7" xfId="29207"/>
    <cellStyle name="Comma 2 5 13 8" xfId="42008"/>
    <cellStyle name="Comma 2 5 14" xfId="10205"/>
    <cellStyle name="Comma 2 5 14 2" xfId="19259"/>
    <cellStyle name="Comma 2 5 14 2 2" xfId="40302"/>
    <cellStyle name="Comma 2 5 14 2 3" xfId="33879"/>
    <cellStyle name="Comma 2 5 14 3" xfId="21459"/>
    <cellStyle name="Comma 2 5 14 3 2" xfId="37095"/>
    <cellStyle name="Comma 2 5 14 4" xfId="30672"/>
    <cellStyle name="Comma 2 5 14 5" xfId="42438"/>
    <cellStyle name="Comma 2 5 15" xfId="8359"/>
    <cellStyle name="Comma 2 5 15 2" xfId="18819"/>
    <cellStyle name="Comma 2 5 15 2 2" xfId="39862"/>
    <cellStyle name="Comma 2 5 15 2 3" xfId="33439"/>
    <cellStyle name="Comma 2 5 15 3" xfId="23309"/>
    <cellStyle name="Comma 2 5 15 3 2" xfId="36655"/>
    <cellStyle name="Comma 2 5 15 4" xfId="30232"/>
    <cellStyle name="Comma 2 5 15 5" xfId="44138"/>
    <cellStyle name="Comma 2 5 16" xfId="6605"/>
    <cellStyle name="Comma 2 5 16 2" xfId="17112"/>
    <cellStyle name="Comma 2 5 16 2 2" xfId="38165"/>
    <cellStyle name="Comma 2 5 16 3" xfId="31742"/>
    <cellStyle name="Comma 2 5 17" xfId="16055"/>
    <cellStyle name="Comma 2 5 17 2" xfId="34958"/>
    <cellStyle name="Comma 2 5 18" xfId="20985"/>
    <cellStyle name="Comma 2 5 19" xfId="28533"/>
    <cellStyle name="Comma 2 5 2" xfId="1486"/>
    <cellStyle name="Comma 2 5 2 10" xfId="4211"/>
    <cellStyle name="Comma 2 5 2 10 2" xfId="11138"/>
    <cellStyle name="Comma 2 5 2 10 2 2" xfId="19937"/>
    <cellStyle name="Comma 2 5 2 10 2 2 2" xfId="40980"/>
    <cellStyle name="Comma 2 5 2 10 2 2 3" xfId="34557"/>
    <cellStyle name="Comma 2 5 2 10 2 3" xfId="22136"/>
    <cellStyle name="Comma 2 5 2 10 2 3 2" xfId="37773"/>
    <cellStyle name="Comma 2 5 2 10 2 4" xfId="31350"/>
    <cellStyle name="Comma 2 5 2 10 2 5" xfId="43115"/>
    <cellStyle name="Comma 2 5 2 10 3" xfId="8365"/>
    <cellStyle name="Comma 2 5 2 10 3 2" xfId="18825"/>
    <cellStyle name="Comma 2 5 2 10 3 2 2" xfId="39868"/>
    <cellStyle name="Comma 2 5 2 10 3 2 3" xfId="33445"/>
    <cellStyle name="Comma 2 5 2 10 3 3" xfId="23315"/>
    <cellStyle name="Comma 2 5 2 10 3 3 2" xfId="36661"/>
    <cellStyle name="Comma 2 5 2 10 3 4" xfId="30238"/>
    <cellStyle name="Comma 2 5 2 10 3 5" xfId="44144"/>
    <cellStyle name="Comma 2 5 2 10 4" xfId="7286"/>
    <cellStyle name="Comma 2 5 2 10 4 2" xfId="17789"/>
    <cellStyle name="Comma 2 5 2 10 4 2 2" xfId="38838"/>
    <cellStyle name="Comma 2 5 2 10 4 3" xfId="32415"/>
    <cellStyle name="Comma 2 5 2 10 5" xfId="16631"/>
    <cellStyle name="Comma 2 5 2 10 5 2" xfId="35631"/>
    <cellStyle name="Comma 2 5 2 10 6" xfId="20991"/>
    <cellStyle name="Comma 2 5 2 10 7" xfId="29208"/>
    <cellStyle name="Comma 2 5 2 10 8" xfId="42010"/>
    <cellStyle name="Comma 2 5 2 11" xfId="5034"/>
    <cellStyle name="Comma 2 5 2 11 2" xfId="11139"/>
    <cellStyle name="Comma 2 5 2 11 2 2" xfId="19938"/>
    <cellStyle name="Comma 2 5 2 11 2 2 2" xfId="40981"/>
    <cellStyle name="Comma 2 5 2 11 2 2 3" xfId="34558"/>
    <cellStyle name="Comma 2 5 2 11 2 3" xfId="22137"/>
    <cellStyle name="Comma 2 5 2 11 2 3 2" xfId="37774"/>
    <cellStyle name="Comma 2 5 2 11 2 4" xfId="31351"/>
    <cellStyle name="Comma 2 5 2 11 2 5" xfId="43116"/>
    <cellStyle name="Comma 2 5 2 11 3" xfId="8366"/>
    <cellStyle name="Comma 2 5 2 11 3 2" xfId="18826"/>
    <cellStyle name="Comma 2 5 2 11 3 2 2" xfId="39869"/>
    <cellStyle name="Comma 2 5 2 11 3 2 3" xfId="33446"/>
    <cellStyle name="Comma 2 5 2 11 3 3" xfId="23316"/>
    <cellStyle name="Comma 2 5 2 11 3 3 2" xfId="36662"/>
    <cellStyle name="Comma 2 5 2 11 3 4" xfId="30239"/>
    <cellStyle name="Comma 2 5 2 11 3 5" xfId="44145"/>
    <cellStyle name="Comma 2 5 2 11 4" xfId="7287"/>
    <cellStyle name="Comma 2 5 2 11 4 2" xfId="17790"/>
    <cellStyle name="Comma 2 5 2 11 4 2 2" xfId="38839"/>
    <cellStyle name="Comma 2 5 2 11 4 3" xfId="32416"/>
    <cellStyle name="Comma 2 5 2 11 5" xfId="16849"/>
    <cellStyle name="Comma 2 5 2 11 5 2" xfId="35632"/>
    <cellStyle name="Comma 2 5 2 11 6" xfId="20992"/>
    <cellStyle name="Comma 2 5 2 11 7" xfId="29209"/>
    <cellStyle name="Comma 2 5 2 11 8" xfId="42011"/>
    <cellStyle name="Comma 2 5 2 12" xfId="5473"/>
    <cellStyle name="Comma 2 5 2 12 2" xfId="11140"/>
    <cellStyle name="Comma 2 5 2 12 2 2" xfId="19939"/>
    <cellStyle name="Comma 2 5 2 12 2 2 2" xfId="40982"/>
    <cellStyle name="Comma 2 5 2 12 2 2 3" xfId="34559"/>
    <cellStyle name="Comma 2 5 2 12 2 3" xfId="22138"/>
    <cellStyle name="Comma 2 5 2 12 2 3 2" xfId="37775"/>
    <cellStyle name="Comma 2 5 2 12 2 4" xfId="31352"/>
    <cellStyle name="Comma 2 5 2 12 2 5" xfId="43117"/>
    <cellStyle name="Comma 2 5 2 12 3" xfId="8367"/>
    <cellStyle name="Comma 2 5 2 12 3 2" xfId="18827"/>
    <cellStyle name="Comma 2 5 2 12 3 2 2" xfId="39870"/>
    <cellStyle name="Comma 2 5 2 12 3 2 3" xfId="33447"/>
    <cellStyle name="Comma 2 5 2 12 3 3" xfId="23317"/>
    <cellStyle name="Comma 2 5 2 12 3 3 2" xfId="36663"/>
    <cellStyle name="Comma 2 5 2 12 3 4" xfId="30240"/>
    <cellStyle name="Comma 2 5 2 12 3 5" xfId="44146"/>
    <cellStyle name="Comma 2 5 2 12 4" xfId="7288"/>
    <cellStyle name="Comma 2 5 2 12 4 2" xfId="17791"/>
    <cellStyle name="Comma 2 5 2 12 4 2 2" xfId="38840"/>
    <cellStyle name="Comma 2 5 2 12 4 3" xfId="32417"/>
    <cellStyle name="Comma 2 5 2 12 5" xfId="16919"/>
    <cellStyle name="Comma 2 5 2 12 5 2" xfId="35633"/>
    <cellStyle name="Comma 2 5 2 12 6" xfId="20993"/>
    <cellStyle name="Comma 2 5 2 12 7" xfId="29210"/>
    <cellStyle name="Comma 2 5 2 12 8" xfId="42012"/>
    <cellStyle name="Comma 2 5 2 13" xfId="10255"/>
    <cellStyle name="Comma 2 5 2 13 2" xfId="19308"/>
    <cellStyle name="Comma 2 5 2 13 2 2" xfId="40351"/>
    <cellStyle name="Comma 2 5 2 13 2 3" xfId="33928"/>
    <cellStyle name="Comma 2 5 2 13 3" xfId="21508"/>
    <cellStyle name="Comma 2 5 2 13 3 2" xfId="37144"/>
    <cellStyle name="Comma 2 5 2 13 4" xfId="30721"/>
    <cellStyle name="Comma 2 5 2 13 5" xfId="42487"/>
    <cellStyle name="Comma 2 5 2 14" xfId="8364"/>
    <cellStyle name="Comma 2 5 2 14 2" xfId="18824"/>
    <cellStyle name="Comma 2 5 2 14 2 2" xfId="39867"/>
    <cellStyle name="Comma 2 5 2 14 2 3" xfId="33444"/>
    <cellStyle name="Comma 2 5 2 14 3" xfId="23314"/>
    <cellStyle name="Comma 2 5 2 14 3 2" xfId="36660"/>
    <cellStyle name="Comma 2 5 2 14 4" xfId="30237"/>
    <cellStyle name="Comma 2 5 2 14 5" xfId="44143"/>
    <cellStyle name="Comma 2 5 2 15" xfId="6654"/>
    <cellStyle name="Comma 2 5 2 15 2" xfId="17161"/>
    <cellStyle name="Comma 2 5 2 15 2 2" xfId="38214"/>
    <cellStyle name="Comma 2 5 2 15 3" xfId="31791"/>
    <cellStyle name="Comma 2 5 2 16" xfId="16056"/>
    <cellStyle name="Comma 2 5 2 16 2" xfId="35007"/>
    <cellStyle name="Comma 2 5 2 17" xfId="20990"/>
    <cellStyle name="Comma 2 5 2 18" xfId="28582"/>
    <cellStyle name="Comma 2 5 2 19" xfId="42009"/>
    <cellStyle name="Comma 2 5 2 2" xfId="1487"/>
    <cellStyle name="Comma 2 5 2 2 10" xfId="5035"/>
    <cellStyle name="Comma 2 5 2 2 10 2" xfId="11141"/>
    <cellStyle name="Comma 2 5 2 2 10 2 2" xfId="19940"/>
    <cellStyle name="Comma 2 5 2 2 10 2 2 2" xfId="40983"/>
    <cellStyle name="Comma 2 5 2 2 10 2 2 3" xfId="34560"/>
    <cellStyle name="Comma 2 5 2 2 10 2 3" xfId="22139"/>
    <cellStyle name="Comma 2 5 2 2 10 2 3 2" xfId="37776"/>
    <cellStyle name="Comma 2 5 2 2 10 2 4" xfId="31353"/>
    <cellStyle name="Comma 2 5 2 2 10 2 5" xfId="43118"/>
    <cellStyle name="Comma 2 5 2 2 10 3" xfId="8369"/>
    <cellStyle name="Comma 2 5 2 2 10 3 2" xfId="18829"/>
    <cellStyle name="Comma 2 5 2 2 10 3 2 2" xfId="39872"/>
    <cellStyle name="Comma 2 5 2 2 10 3 2 3" xfId="33449"/>
    <cellStyle name="Comma 2 5 2 2 10 3 3" xfId="23319"/>
    <cellStyle name="Comma 2 5 2 2 10 3 3 2" xfId="36665"/>
    <cellStyle name="Comma 2 5 2 2 10 3 4" xfId="30242"/>
    <cellStyle name="Comma 2 5 2 2 10 3 5" xfId="44148"/>
    <cellStyle name="Comma 2 5 2 2 10 4" xfId="7289"/>
    <cellStyle name="Comma 2 5 2 2 10 4 2" xfId="17792"/>
    <cellStyle name="Comma 2 5 2 2 10 4 2 2" xfId="38841"/>
    <cellStyle name="Comma 2 5 2 2 10 4 3" xfId="32418"/>
    <cellStyle name="Comma 2 5 2 2 10 5" xfId="16850"/>
    <cellStyle name="Comma 2 5 2 2 10 5 2" xfId="35634"/>
    <cellStyle name="Comma 2 5 2 2 10 6" xfId="20995"/>
    <cellStyle name="Comma 2 5 2 2 10 7" xfId="29211"/>
    <cellStyle name="Comma 2 5 2 2 10 8" xfId="42014"/>
    <cellStyle name="Comma 2 5 2 2 11" xfId="5474"/>
    <cellStyle name="Comma 2 5 2 2 11 2" xfId="11142"/>
    <cellStyle name="Comma 2 5 2 2 11 2 2" xfId="19941"/>
    <cellStyle name="Comma 2 5 2 2 11 2 2 2" xfId="40984"/>
    <cellStyle name="Comma 2 5 2 2 11 2 2 3" xfId="34561"/>
    <cellStyle name="Comma 2 5 2 2 11 2 3" xfId="22140"/>
    <cellStyle name="Comma 2 5 2 2 11 2 3 2" xfId="37777"/>
    <cellStyle name="Comma 2 5 2 2 11 2 4" xfId="31354"/>
    <cellStyle name="Comma 2 5 2 2 11 2 5" xfId="43119"/>
    <cellStyle name="Comma 2 5 2 2 11 3" xfId="8370"/>
    <cellStyle name="Comma 2 5 2 2 11 3 2" xfId="18830"/>
    <cellStyle name="Comma 2 5 2 2 11 3 2 2" xfId="39873"/>
    <cellStyle name="Comma 2 5 2 2 11 3 2 3" xfId="33450"/>
    <cellStyle name="Comma 2 5 2 2 11 3 3" xfId="23320"/>
    <cellStyle name="Comma 2 5 2 2 11 3 3 2" xfId="36666"/>
    <cellStyle name="Comma 2 5 2 2 11 3 4" xfId="30243"/>
    <cellStyle name="Comma 2 5 2 2 11 3 5" xfId="44149"/>
    <cellStyle name="Comma 2 5 2 2 11 4" xfId="7290"/>
    <cellStyle name="Comma 2 5 2 2 11 4 2" xfId="17793"/>
    <cellStyle name="Comma 2 5 2 2 11 4 2 2" xfId="38842"/>
    <cellStyle name="Comma 2 5 2 2 11 4 3" xfId="32419"/>
    <cellStyle name="Comma 2 5 2 2 11 5" xfId="16920"/>
    <cellStyle name="Comma 2 5 2 2 11 5 2" xfId="35635"/>
    <cellStyle name="Comma 2 5 2 2 11 6" xfId="20996"/>
    <cellStyle name="Comma 2 5 2 2 11 7" xfId="29212"/>
    <cellStyle name="Comma 2 5 2 2 11 8" xfId="42015"/>
    <cellStyle name="Comma 2 5 2 2 12" xfId="10190"/>
    <cellStyle name="Comma 2 5 2 2 12 2" xfId="19245"/>
    <cellStyle name="Comma 2 5 2 2 12 2 2" xfId="40288"/>
    <cellStyle name="Comma 2 5 2 2 12 2 3" xfId="33865"/>
    <cellStyle name="Comma 2 5 2 2 12 3" xfId="21445"/>
    <cellStyle name="Comma 2 5 2 2 12 3 2" xfId="37081"/>
    <cellStyle name="Comma 2 5 2 2 12 4" xfId="30658"/>
    <cellStyle name="Comma 2 5 2 2 12 5" xfId="42424"/>
    <cellStyle name="Comma 2 5 2 2 13" xfId="8368"/>
    <cellStyle name="Comma 2 5 2 2 13 2" xfId="18828"/>
    <cellStyle name="Comma 2 5 2 2 13 2 2" xfId="39871"/>
    <cellStyle name="Comma 2 5 2 2 13 2 3" xfId="33448"/>
    <cellStyle name="Comma 2 5 2 2 13 3" xfId="23318"/>
    <cellStyle name="Comma 2 5 2 2 13 3 2" xfId="36664"/>
    <cellStyle name="Comma 2 5 2 2 13 4" xfId="30241"/>
    <cellStyle name="Comma 2 5 2 2 13 5" xfId="44147"/>
    <cellStyle name="Comma 2 5 2 2 14" xfId="6590"/>
    <cellStyle name="Comma 2 5 2 2 14 2" xfId="17098"/>
    <cellStyle name="Comma 2 5 2 2 14 2 2" xfId="38152"/>
    <cellStyle name="Comma 2 5 2 2 14 3" xfId="31729"/>
    <cellStyle name="Comma 2 5 2 2 15" xfId="16057"/>
    <cellStyle name="Comma 2 5 2 2 15 2" xfId="34945"/>
    <cellStyle name="Comma 2 5 2 2 16" xfId="20994"/>
    <cellStyle name="Comma 2 5 2 2 17" xfId="28520"/>
    <cellStyle name="Comma 2 5 2 2 18" xfId="42013"/>
    <cellStyle name="Comma 2 5 2 2 2" xfId="1488"/>
    <cellStyle name="Comma 2 5 2 2 2 10" xfId="5475"/>
    <cellStyle name="Comma 2 5 2 2 2 10 2" xfId="11143"/>
    <cellStyle name="Comma 2 5 2 2 2 10 2 2" xfId="19942"/>
    <cellStyle name="Comma 2 5 2 2 2 10 2 2 2" xfId="40985"/>
    <cellStyle name="Comma 2 5 2 2 2 10 2 2 3" xfId="34562"/>
    <cellStyle name="Comma 2 5 2 2 2 10 2 3" xfId="22141"/>
    <cellStyle name="Comma 2 5 2 2 2 10 2 3 2" xfId="37778"/>
    <cellStyle name="Comma 2 5 2 2 2 10 2 4" xfId="31355"/>
    <cellStyle name="Comma 2 5 2 2 2 10 2 5" xfId="43120"/>
    <cellStyle name="Comma 2 5 2 2 2 10 3" xfId="8372"/>
    <cellStyle name="Comma 2 5 2 2 2 10 3 2" xfId="18832"/>
    <cellStyle name="Comma 2 5 2 2 2 10 3 2 2" xfId="39875"/>
    <cellStyle name="Comma 2 5 2 2 2 10 3 2 3" xfId="33452"/>
    <cellStyle name="Comma 2 5 2 2 2 10 3 3" xfId="23322"/>
    <cellStyle name="Comma 2 5 2 2 2 10 3 3 2" xfId="36668"/>
    <cellStyle name="Comma 2 5 2 2 2 10 3 4" xfId="30245"/>
    <cellStyle name="Comma 2 5 2 2 2 10 3 5" xfId="44151"/>
    <cellStyle name="Comma 2 5 2 2 2 10 4" xfId="7291"/>
    <cellStyle name="Comma 2 5 2 2 2 10 4 2" xfId="17794"/>
    <cellStyle name="Comma 2 5 2 2 2 10 4 2 2" xfId="38843"/>
    <cellStyle name="Comma 2 5 2 2 2 10 4 3" xfId="32420"/>
    <cellStyle name="Comma 2 5 2 2 2 10 5" xfId="16921"/>
    <cellStyle name="Comma 2 5 2 2 2 10 5 2" xfId="35636"/>
    <cellStyle name="Comma 2 5 2 2 2 10 6" xfId="20998"/>
    <cellStyle name="Comma 2 5 2 2 2 10 7" xfId="29213"/>
    <cellStyle name="Comma 2 5 2 2 2 10 8" xfId="42017"/>
    <cellStyle name="Comma 2 5 2 2 2 11" xfId="10256"/>
    <cellStyle name="Comma 2 5 2 2 2 11 2" xfId="19309"/>
    <cellStyle name="Comma 2 5 2 2 2 11 2 2" xfId="40352"/>
    <cellStyle name="Comma 2 5 2 2 2 11 2 3" xfId="33929"/>
    <cellStyle name="Comma 2 5 2 2 2 11 3" xfId="21509"/>
    <cellStyle name="Comma 2 5 2 2 2 11 3 2" xfId="37145"/>
    <cellStyle name="Comma 2 5 2 2 2 11 4" xfId="30722"/>
    <cellStyle name="Comma 2 5 2 2 2 11 5" xfId="42488"/>
    <cellStyle name="Comma 2 5 2 2 2 12" xfId="8371"/>
    <cellStyle name="Comma 2 5 2 2 2 12 2" xfId="18831"/>
    <cellStyle name="Comma 2 5 2 2 2 12 2 2" xfId="39874"/>
    <cellStyle name="Comma 2 5 2 2 2 12 2 3" xfId="33451"/>
    <cellStyle name="Comma 2 5 2 2 2 12 3" xfId="23321"/>
    <cellStyle name="Comma 2 5 2 2 2 12 3 2" xfId="36667"/>
    <cellStyle name="Comma 2 5 2 2 2 12 4" xfId="30244"/>
    <cellStyle name="Comma 2 5 2 2 2 12 5" xfId="44150"/>
    <cellStyle name="Comma 2 5 2 2 2 13" xfId="6655"/>
    <cellStyle name="Comma 2 5 2 2 2 13 2" xfId="17162"/>
    <cellStyle name="Comma 2 5 2 2 2 13 2 2" xfId="38215"/>
    <cellStyle name="Comma 2 5 2 2 2 13 3" xfId="31792"/>
    <cellStyle name="Comma 2 5 2 2 2 14" xfId="16058"/>
    <cellStyle name="Comma 2 5 2 2 2 14 2" xfId="35008"/>
    <cellStyle name="Comma 2 5 2 2 2 15" xfId="20997"/>
    <cellStyle name="Comma 2 5 2 2 2 16" xfId="28583"/>
    <cellStyle name="Comma 2 5 2 2 2 17" xfId="42016"/>
    <cellStyle name="Comma 2 5 2 2 2 2" xfId="1489"/>
    <cellStyle name="Comma 2 5 2 2 2 2 10" xfId="8373"/>
    <cellStyle name="Comma 2 5 2 2 2 2 10 2" xfId="18833"/>
    <cellStyle name="Comma 2 5 2 2 2 2 10 2 2" xfId="39876"/>
    <cellStyle name="Comma 2 5 2 2 2 2 10 2 3" xfId="33453"/>
    <cellStyle name="Comma 2 5 2 2 2 2 10 3" xfId="23323"/>
    <cellStyle name="Comma 2 5 2 2 2 2 10 3 2" xfId="36669"/>
    <cellStyle name="Comma 2 5 2 2 2 2 10 4" xfId="30246"/>
    <cellStyle name="Comma 2 5 2 2 2 2 10 5" xfId="44152"/>
    <cellStyle name="Comma 2 5 2 2 2 2 11" xfId="6656"/>
    <cellStyle name="Comma 2 5 2 2 2 2 11 2" xfId="17163"/>
    <cellStyle name="Comma 2 5 2 2 2 2 11 2 2" xfId="38216"/>
    <cellStyle name="Comma 2 5 2 2 2 2 11 3" xfId="31793"/>
    <cellStyle name="Comma 2 5 2 2 2 2 12" xfId="16059"/>
    <cellStyle name="Comma 2 5 2 2 2 2 12 2" xfId="35009"/>
    <cellStyle name="Comma 2 5 2 2 2 2 13" xfId="20999"/>
    <cellStyle name="Comma 2 5 2 2 2 2 14" xfId="28584"/>
    <cellStyle name="Comma 2 5 2 2 2 2 15" xfId="42018"/>
    <cellStyle name="Comma 2 5 2 2 2 2 2" xfId="1843"/>
    <cellStyle name="Comma 2 5 2 2 2 2 2 10" xfId="16121"/>
    <cellStyle name="Comma 2 5 2 2 2 2 2 10 2" xfId="35010"/>
    <cellStyle name="Comma 2 5 2 2 2 2 2 11" xfId="21000"/>
    <cellStyle name="Comma 2 5 2 2 2 2 2 12" xfId="28585"/>
    <cellStyle name="Comma 2 5 2 2 2 2 2 13" xfId="42019"/>
    <cellStyle name="Comma 2 5 2 2 2 2 2 2" xfId="2733"/>
    <cellStyle name="Comma 2 5 2 2 2 2 2 2 2" xfId="11144"/>
    <cellStyle name="Comma 2 5 2 2 2 2 2 2 2 2" xfId="19943"/>
    <cellStyle name="Comma 2 5 2 2 2 2 2 2 2 2 2" xfId="40986"/>
    <cellStyle name="Comma 2 5 2 2 2 2 2 2 2 2 3" xfId="34563"/>
    <cellStyle name="Comma 2 5 2 2 2 2 2 2 2 3" xfId="22142"/>
    <cellStyle name="Comma 2 5 2 2 2 2 2 2 2 3 2" xfId="37779"/>
    <cellStyle name="Comma 2 5 2 2 2 2 2 2 2 4" xfId="31356"/>
    <cellStyle name="Comma 2 5 2 2 2 2 2 2 2 5" xfId="43121"/>
    <cellStyle name="Comma 2 5 2 2 2 2 2 2 3" xfId="8375"/>
    <cellStyle name="Comma 2 5 2 2 2 2 2 2 3 2" xfId="18835"/>
    <cellStyle name="Comma 2 5 2 2 2 2 2 2 3 2 2" xfId="39878"/>
    <cellStyle name="Comma 2 5 2 2 2 2 2 2 3 2 3" xfId="33455"/>
    <cellStyle name="Comma 2 5 2 2 2 2 2 2 3 3" xfId="23325"/>
    <cellStyle name="Comma 2 5 2 2 2 2 2 2 3 3 2" xfId="36671"/>
    <cellStyle name="Comma 2 5 2 2 2 2 2 2 3 4" xfId="30248"/>
    <cellStyle name="Comma 2 5 2 2 2 2 2 2 3 5" xfId="44154"/>
    <cellStyle name="Comma 2 5 2 2 2 2 2 2 4" xfId="7292"/>
    <cellStyle name="Comma 2 5 2 2 2 2 2 2 4 2" xfId="17795"/>
    <cellStyle name="Comma 2 5 2 2 2 2 2 2 4 2 2" xfId="38844"/>
    <cellStyle name="Comma 2 5 2 2 2 2 2 2 4 3" xfId="32421"/>
    <cellStyle name="Comma 2 5 2 2 2 2 2 2 5" xfId="16311"/>
    <cellStyle name="Comma 2 5 2 2 2 2 2 2 5 2" xfId="35637"/>
    <cellStyle name="Comma 2 5 2 2 2 2 2 2 6" xfId="21001"/>
    <cellStyle name="Comma 2 5 2 2 2 2 2 2 7" xfId="29214"/>
    <cellStyle name="Comma 2 5 2 2 2 2 2 2 8" xfId="42020"/>
    <cellStyle name="Comma 2 5 2 2 2 2 2 3" xfId="3597"/>
    <cellStyle name="Comma 2 5 2 2 2 2 2 3 2" xfId="11145"/>
    <cellStyle name="Comma 2 5 2 2 2 2 2 3 2 2" xfId="19944"/>
    <cellStyle name="Comma 2 5 2 2 2 2 2 3 2 2 2" xfId="40987"/>
    <cellStyle name="Comma 2 5 2 2 2 2 2 3 2 2 3" xfId="34564"/>
    <cellStyle name="Comma 2 5 2 2 2 2 2 3 2 3" xfId="22143"/>
    <cellStyle name="Comma 2 5 2 2 2 2 2 3 2 3 2" xfId="37780"/>
    <cellStyle name="Comma 2 5 2 2 2 2 2 3 2 4" xfId="31357"/>
    <cellStyle name="Comma 2 5 2 2 2 2 2 3 2 5" xfId="43122"/>
    <cellStyle name="Comma 2 5 2 2 2 2 2 3 3" xfId="8376"/>
    <cellStyle name="Comma 2 5 2 2 2 2 2 3 3 2" xfId="18836"/>
    <cellStyle name="Comma 2 5 2 2 2 2 2 3 3 2 2" xfId="39879"/>
    <cellStyle name="Comma 2 5 2 2 2 2 2 3 3 2 3" xfId="33456"/>
    <cellStyle name="Comma 2 5 2 2 2 2 2 3 3 3" xfId="23326"/>
    <cellStyle name="Comma 2 5 2 2 2 2 2 3 3 3 2" xfId="36672"/>
    <cellStyle name="Comma 2 5 2 2 2 2 2 3 3 4" xfId="30249"/>
    <cellStyle name="Comma 2 5 2 2 2 2 2 3 3 5" xfId="44155"/>
    <cellStyle name="Comma 2 5 2 2 2 2 2 3 4" xfId="7293"/>
    <cellStyle name="Comma 2 5 2 2 2 2 2 3 4 2" xfId="17796"/>
    <cellStyle name="Comma 2 5 2 2 2 2 2 3 4 2 2" xfId="38845"/>
    <cellStyle name="Comma 2 5 2 2 2 2 2 3 4 3" xfId="32422"/>
    <cellStyle name="Comma 2 5 2 2 2 2 2 3 5" xfId="16499"/>
    <cellStyle name="Comma 2 5 2 2 2 2 2 3 5 2" xfId="35638"/>
    <cellStyle name="Comma 2 5 2 2 2 2 2 3 6" xfId="21002"/>
    <cellStyle name="Comma 2 5 2 2 2 2 2 3 7" xfId="29215"/>
    <cellStyle name="Comma 2 5 2 2 2 2 2 3 8" xfId="42021"/>
    <cellStyle name="Comma 2 5 2 2 2 2 2 4" xfId="4472"/>
    <cellStyle name="Comma 2 5 2 2 2 2 2 4 2" xfId="11146"/>
    <cellStyle name="Comma 2 5 2 2 2 2 2 4 2 2" xfId="19945"/>
    <cellStyle name="Comma 2 5 2 2 2 2 2 4 2 2 2" xfId="40988"/>
    <cellStyle name="Comma 2 5 2 2 2 2 2 4 2 2 3" xfId="34565"/>
    <cellStyle name="Comma 2 5 2 2 2 2 2 4 2 3" xfId="22144"/>
    <cellStyle name="Comma 2 5 2 2 2 2 2 4 2 3 2" xfId="37781"/>
    <cellStyle name="Comma 2 5 2 2 2 2 2 4 2 4" xfId="31358"/>
    <cellStyle name="Comma 2 5 2 2 2 2 2 4 2 5" xfId="43123"/>
    <cellStyle name="Comma 2 5 2 2 2 2 2 4 3" xfId="8377"/>
    <cellStyle name="Comma 2 5 2 2 2 2 2 4 3 2" xfId="18837"/>
    <cellStyle name="Comma 2 5 2 2 2 2 2 4 3 2 2" xfId="39880"/>
    <cellStyle name="Comma 2 5 2 2 2 2 2 4 3 2 3" xfId="33457"/>
    <cellStyle name="Comma 2 5 2 2 2 2 2 4 3 3" xfId="23327"/>
    <cellStyle name="Comma 2 5 2 2 2 2 2 4 3 3 2" xfId="36673"/>
    <cellStyle name="Comma 2 5 2 2 2 2 2 4 3 4" xfId="30250"/>
    <cellStyle name="Comma 2 5 2 2 2 2 2 4 3 5" xfId="44156"/>
    <cellStyle name="Comma 2 5 2 2 2 2 2 4 4" xfId="7294"/>
    <cellStyle name="Comma 2 5 2 2 2 2 2 4 4 2" xfId="17797"/>
    <cellStyle name="Comma 2 5 2 2 2 2 2 4 4 2 2" xfId="38846"/>
    <cellStyle name="Comma 2 5 2 2 2 2 2 4 4 3" xfId="32423"/>
    <cellStyle name="Comma 2 5 2 2 2 2 2 4 5" xfId="16687"/>
    <cellStyle name="Comma 2 5 2 2 2 2 2 4 5 2" xfId="35639"/>
    <cellStyle name="Comma 2 5 2 2 2 2 2 4 6" xfId="21003"/>
    <cellStyle name="Comma 2 5 2 2 2 2 2 4 7" xfId="29216"/>
    <cellStyle name="Comma 2 5 2 2 2 2 2 4 8" xfId="42022"/>
    <cellStyle name="Comma 2 5 2 2 2 2 2 5" xfId="5038"/>
    <cellStyle name="Comma 2 5 2 2 2 2 2 5 2" xfId="11147"/>
    <cellStyle name="Comma 2 5 2 2 2 2 2 5 2 2" xfId="19946"/>
    <cellStyle name="Comma 2 5 2 2 2 2 2 5 2 2 2" xfId="40989"/>
    <cellStyle name="Comma 2 5 2 2 2 2 2 5 2 2 3" xfId="34566"/>
    <cellStyle name="Comma 2 5 2 2 2 2 2 5 2 3" xfId="22145"/>
    <cellStyle name="Comma 2 5 2 2 2 2 2 5 2 3 2" xfId="37782"/>
    <cellStyle name="Comma 2 5 2 2 2 2 2 5 2 4" xfId="31359"/>
    <cellStyle name="Comma 2 5 2 2 2 2 2 5 2 5" xfId="43124"/>
    <cellStyle name="Comma 2 5 2 2 2 2 2 5 3" xfId="8378"/>
    <cellStyle name="Comma 2 5 2 2 2 2 2 5 3 2" xfId="18838"/>
    <cellStyle name="Comma 2 5 2 2 2 2 2 5 3 2 2" xfId="39881"/>
    <cellStyle name="Comma 2 5 2 2 2 2 2 5 3 2 3" xfId="33458"/>
    <cellStyle name="Comma 2 5 2 2 2 2 2 5 3 3" xfId="23328"/>
    <cellStyle name="Comma 2 5 2 2 2 2 2 5 3 3 2" xfId="36674"/>
    <cellStyle name="Comma 2 5 2 2 2 2 2 5 3 4" xfId="30251"/>
    <cellStyle name="Comma 2 5 2 2 2 2 2 5 3 5" xfId="44157"/>
    <cellStyle name="Comma 2 5 2 2 2 2 2 5 4" xfId="7295"/>
    <cellStyle name="Comma 2 5 2 2 2 2 2 5 4 2" xfId="17798"/>
    <cellStyle name="Comma 2 5 2 2 2 2 2 5 4 2 2" xfId="38847"/>
    <cellStyle name="Comma 2 5 2 2 2 2 2 5 4 3" xfId="32424"/>
    <cellStyle name="Comma 2 5 2 2 2 2 2 5 5" xfId="16853"/>
    <cellStyle name="Comma 2 5 2 2 2 2 2 5 5 2" xfId="35640"/>
    <cellStyle name="Comma 2 5 2 2 2 2 2 5 6" xfId="21004"/>
    <cellStyle name="Comma 2 5 2 2 2 2 2 5 7" xfId="29217"/>
    <cellStyle name="Comma 2 5 2 2 2 2 2 5 8" xfId="42023"/>
    <cellStyle name="Comma 2 5 2 2 2 2 2 6" xfId="5737"/>
    <cellStyle name="Comma 2 5 2 2 2 2 2 6 2" xfId="11148"/>
    <cellStyle name="Comma 2 5 2 2 2 2 2 6 2 2" xfId="19947"/>
    <cellStyle name="Comma 2 5 2 2 2 2 2 6 2 2 2" xfId="40990"/>
    <cellStyle name="Comma 2 5 2 2 2 2 2 6 2 2 3" xfId="34567"/>
    <cellStyle name="Comma 2 5 2 2 2 2 2 6 2 3" xfId="22146"/>
    <cellStyle name="Comma 2 5 2 2 2 2 2 6 2 3 2" xfId="37783"/>
    <cellStyle name="Comma 2 5 2 2 2 2 2 6 2 4" xfId="31360"/>
    <cellStyle name="Comma 2 5 2 2 2 2 2 6 2 5" xfId="43125"/>
    <cellStyle name="Comma 2 5 2 2 2 2 2 6 3" xfId="8379"/>
    <cellStyle name="Comma 2 5 2 2 2 2 2 6 3 2" xfId="18839"/>
    <cellStyle name="Comma 2 5 2 2 2 2 2 6 3 2 2" xfId="39882"/>
    <cellStyle name="Comma 2 5 2 2 2 2 2 6 3 2 3" xfId="33459"/>
    <cellStyle name="Comma 2 5 2 2 2 2 2 6 3 3" xfId="23329"/>
    <cellStyle name="Comma 2 5 2 2 2 2 2 6 3 3 2" xfId="36675"/>
    <cellStyle name="Comma 2 5 2 2 2 2 2 6 3 4" xfId="30252"/>
    <cellStyle name="Comma 2 5 2 2 2 2 2 6 3 5" xfId="44158"/>
    <cellStyle name="Comma 2 5 2 2 2 2 2 6 4" xfId="7296"/>
    <cellStyle name="Comma 2 5 2 2 2 2 2 6 4 2" xfId="17799"/>
    <cellStyle name="Comma 2 5 2 2 2 2 2 6 4 2 2" xfId="38848"/>
    <cellStyle name="Comma 2 5 2 2 2 2 2 6 4 3" xfId="32425"/>
    <cellStyle name="Comma 2 5 2 2 2 2 2 6 5" xfId="16975"/>
    <cellStyle name="Comma 2 5 2 2 2 2 2 6 5 2" xfId="35641"/>
    <cellStyle name="Comma 2 5 2 2 2 2 2 6 6" xfId="21005"/>
    <cellStyle name="Comma 2 5 2 2 2 2 2 6 7" xfId="29218"/>
    <cellStyle name="Comma 2 5 2 2 2 2 2 6 8" xfId="42024"/>
    <cellStyle name="Comma 2 5 2 2 2 2 2 7" xfId="10258"/>
    <cellStyle name="Comma 2 5 2 2 2 2 2 7 2" xfId="19311"/>
    <cellStyle name="Comma 2 5 2 2 2 2 2 7 2 2" xfId="40354"/>
    <cellStyle name="Comma 2 5 2 2 2 2 2 7 2 3" xfId="33931"/>
    <cellStyle name="Comma 2 5 2 2 2 2 2 7 3" xfId="21511"/>
    <cellStyle name="Comma 2 5 2 2 2 2 2 7 3 2" xfId="37147"/>
    <cellStyle name="Comma 2 5 2 2 2 2 2 7 4" xfId="30724"/>
    <cellStyle name="Comma 2 5 2 2 2 2 2 7 5" xfId="42490"/>
    <cellStyle name="Comma 2 5 2 2 2 2 2 8" xfId="8374"/>
    <cellStyle name="Comma 2 5 2 2 2 2 2 8 2" xfId="18834"/>
    <cellStyle name="Comma 2 5 2 2 2 2 2 8 2 2" xfId="39877"/>
    <cellStyle name="Comma 2 5 2 2 2 2 2 8 2 3" xfId="33454"/>
    <cellStyle name="Comma 2 5 2 2 2 2 2 8 3" xfId="23324"/>
    <cellStyle name="Comma 2 5 2 2 2 2 2 8 3 2" xfId="36670"/>
    <cellStyle name="Comma 2 5 2 2 2 2 2 8 4" xfId="30247"/>
    <cellStyle name="Comma 2 5 2 2 2 2 2 8 5" xfId="44153"/>
    <cellStyle name="Comma 2 5 2 2 2 2 2 9" xfId="6657"/>
    <cellStyle name="Comma 2 5 2 2 2 2 2 9 2" xfId="17164"/>
    <cellStyle name="Comma 2 5 2 2 2 2 2 9 2 2" xfId="38217"/>
    <cellStyle name="Comma 2 5 2 2 2 2 2 9 3" xfId="31794"/>
    <cellStyle name="Comma 2 5 2 2 2 2 3" xfId="2118"/>
    <cellStyle name="Comma 2 5 2 2 2 2 3 10" xfId="21006"/>
    <cellStyle name="Comma 2 5 2 2 2 2 3 11" xfId="29219"/>
    <cellStyle name="Comma 2 5 2 2 2 2 3 12" xfId="42025"/>
    <cellStyle name="Comma 2 5 2 2 2 2 3 2" xfId="2988"/>
    <cellStyle name="Comma 2 5 2 2 2 2 3 2 2" xfId="11150"/>
    <cellStyle name="Comma 2 5 2 2 2 2 3 2 2 2" xfId="19949"/>
    <cellStyle name="Comma 2 5 2 2 2 2 3 2 2 2 2" xfId="40992"/>
    <cellStyle name="Comma 2 5 2 2 2 2 3 2 2 2 3" xfId="34569"/>
    <cellStyle name="Comma 2 5 2 2 2 2 3 2 2 3" xfId="22148"/>
    <cellStyle name="Comma 2 5 2 2 2 2 3 2 2 3 2" xfId="37785"/>
    <cellStyle name="Comma 2 5 2 2 2 2 3 2 2 4" xfId="31362"/>
    <cellStyle name="Comma 2 5 2 2 2 2 3 2 2 5" xfId="43127"/>
    <cellStyle name="Comma 2 5 2 2 2 2 3 2 3" xfId="8381"/>
    <cellStyle name="Comma 2 5 2 2 2 2 3 2 3 2" xfId="18841"/>
    <cellStyle name="Comma 2 5 2 2 2 2 3 2 3 2 2" xfId="39884"/>
    <cellStyle name="Comma 2 5 2 2 2 2 3 2 3 2 3" xfId="33461"/>
    <cellStyle name="Comma 2 5 2 2 2 2 3 2 3 3" xfId="23331"/>
    <cellStyle name="Comma 2 5 2 2 2 2 3 2 3 3 2" xfId="36677"/>
    <cellStyle name="Comma 2 5 2 2 2 2 3 2 3 4" xfId="30254"/>
    <cellStyle name="Comma 2 5 2 2 2 2 3 2 3 5" xfId="44160"/>
    <cellStyle name="Comma 2 5 2 2 2 2 3 2 4" xfId="7298"/>
    <cellStyle name="Comma 2 5 2 2 2 2 3 2 4 2" xfId="17801"/>
    <cellStyle name="Comma 2 5 2 2 2 2 3 2 4 2 2" xfId="38850"/>
    <cellStyle name="Comma 2 5 2 2 2 2 3 2 4 3" xfId="32427"/>
    <cellStyle name="Comma 2 5 2 2 2 2 3 2 5" xfId="16366"/>
    <cellStyle name="Comma 2 5 2 2 2 2 3 2 5 2" xfId="35643"/>
    <cellStyle name="Comma 2 5 2 2 2 2 3 2 6" xfId="21007"/>
    <cellStyle name="Comma 2 5 2 2 2 2 3 2 7" xfId="29220"/>
    <cellStyle name="Comma 2 5 2 2 2 2 3 2 8" xfId="42026"/>
    <cellStyle name="Comma 2 5 2 2 2 2 3 3" xfId="3858"/>
    <cellStyle name="Comma 2 5 2 2 2 2 3 3 2" xfId="11151"/>
    <cellStyle name="Comma 2 5 2 2 2 2 3 3 2 2" xfId="19950"/>
    <cellStyle name="Comma 2 5 2 2 2 2 3 3 2 2 2" xfId="40993"/>
    <cellStyle name="Comma 2 5 2 2 2 2 3 3 2 2 3" xfId="34570"/>
    <cellStyle name="Comma 2 5 2 2 2 2 3 3 2 3" xfId="22149"/>
    <cellStyle name="Comma 2 5 2 2 2 2 3 3 2 3 2" xfId="37786"/>
    <cellStyle name="Comma 2 5 2 2 2 2 3 3 2 4" xfId="31363"/>
    <cellStyle name="Comma 2 5 2 2 2 2 3 3 2 5" xfId="43128"/>
    <cellStyle name="Comma 2 5 2 2 2 2 3 3 3" xfId="8382"/>
    <cellStyle name="Comma 2 5 2 2 2 2 3 3 3 2" xfId="18842"/>
    <cellStyle name="Comma 2 5 2 2 2 2 3 3 3 2 2" xfId="39885"/>
    <cellStyle name="Comma 2 5 2 2 2 2 3 3 3 2 3" xfId="33462"/>
    <cellStyle name="Comma 2 5 2 2 2 2 3 3 3 3" xfId="23332"/>
    <cellStyle name="Comma 2 5 2 2 2 2 3 3 3 3 2" xfId="36678"/>
    <cellStyle name="Comma 2 5 2 2 2 2 3 3 3 4" xfId="30255"/>
    <cellStyle name="Comma 2 5 2 2 2 2 3 3 3 5" xfId="44161"/>
    <cellStyle name="Comma 2 5 2 2 2 2 3 3 4" xfId="7299"/>
    <cellStyle name="Comma 2 5 2 2 2 2 3 3 4 2" xfId="17802"/>
    <cellStyle name="Comma 2 5 2 2 2 2 3 3 4 2 2" xfId="38851"/>
    <cellStyle name="Comma 2 5 2 2 2 2 3 3 4 3" xfId="32428"/>
    <cellStyle name="Comma 2 5 2 2 2 2 3 3 5" xfId="16554"/>
    <cellStyle name="Comma 2 5 2 2 2 2 3 3 5 2" xfId="35644"/>
    <cellStyle name="Comma 2 5 2 2 2 2 3 3 6" xfId="21008"/>
    <cellStyle name="Comma 2 5 2 2 2 2 3 3 7" xfId="29221"/>
    <cellStyle name="Comma 2 5 2 2 2 2 3 3 8" xfId="42027"/>
    <cellStyle name="Comma 2 5 2 2 2 2 3 4" xfId="4736"/>
    <cellStyle name="Comma 2 5 2 2 2 2 3 4 2" xfId="11152"/>
    <cellStyle name="Comma 2 5 2 2 2 2 3 4 2 2" xfId="19951"/>
    <cellStyle name="Comma 2 5 2 2 2 2 3 4 2 2 2" xfId="40994"/>
    <cellStyle name="Comma 2 5 2 2 2 2 3 4 2 2 3" xfId="34571"/>
    <cellStyle name="Comma 2 5 2 2 2 2 3 4 2 3" xfId="22150"/>
    <cellStyle name="Comma 2 5 2 2 2 2 3 4 2 3 2" xfId="37787"/>
    <cellStyle name="Comma 2 5 2 2 2 2 3 4 2 4" xfId="31364"/>
    <cellStyle name="Comma 2 5 2 2 2 2 3 4 2 5" xfId="43129"/>
    <cellStyle name="Comma 2 5 2 2 2 2 3 4 3" xfId="8383"/>
    <cellStyle name="Comma 2 5 2 2 2 2 3 4 3 2" xfId="18843"/>
    <cellStyle name="Comma 2 5 2 2 2 2 3 4 3 2 2" xfId="39886"/>
    <cellStyle name="Comma 2 5 2 2 2 2 3 4 3 2 3" xfId="33463"/>
    <cellStyle name="Comma 2 5 2 2 2 2 3 4 3 3" xfId="23333"/>
    <cellStyle name="Comma 2 5 2 2 2 2 3 4 3 3 2" xfId="36679"/>
    <cellStyle name="Comma 2 5 2 2 2 2 3 4 3 4" xfId="30256"/>
    <cellStyle name="Comma 2 5 2 2 2 2 3 4 3 5" xfId="44162"/>
    <cellStyle name="Comma 2 5 2 2 2 2 3 4 4" xfId="7300"/>
    <cellStyle name="Comma 2 5 2 2 2 2 3 4 4 2" xfId="17803"/>
    <cellStyle name="Comma 2 5 2 2 2 2 3 4 4 2 2" xfId="38852"/>
    <cellStyle name="Comma 2 5 2 2 2 2 3 4 4 3" xfId="32429"/>
    <cellStyle name="Comma 2 5 2 2 2 2 3 4 5" xfId="16742"/>
    <cellStyle name="Comma 2 5 2 2 2 2 3 4 5 2" xfId="35645"/>
    <cellStyle name="Comma 2 5 2 2 2 2 3 4 6" xfId="21009"/>
    <cellStyle name="Comma 2 5 2 2 2 2 3 4 7" xfId="29222"/>
    <cellStyle name="Comma 2 5 2 2 2 2 3 4 8" xfId="42028"/>
    <cellStyle name="Comma 2 5 2 2 2 2 3 5" xfId="6001"/>
    <cellStyle name="Comma 2 5 2 2 2 2 3 5 2" xfId="11153"/>
    <cellStyle name="Comma 2 5 2 2 2 2 3 5 2 2" xfId="19952"/>
    <cellStyle name="Comma 2 5 2 2 2 2 3 5 2 2 2" xfId="40995"/>
    <cellStyle name="Comma 2 5 2 2 2 2 3 5 2 2 3" xfId="34572"/>
    <cellStyle name="Comma 2 5 2 2 2 2 3 5 2 3" xfId="22151"/>
    <cellStyle name="Comma 2 5 2 2 2 2 3 5 2 3 2" xfId="37788"/>
    <cellStyle name="Comma 2 5 2 2 2 2 3 5 2 4" xfId="31365"/>
    <cellStyle name="Comma 2 5 2 2 2 2 3 5 2 5" xfId="43130"/>
    <cellStyle name="Comma 2 5 2 2 2 2 3 5 3" xfId="8384"/>
    <cellStyle name="Comma 2 5 2 2 2 2 3 5 3 2" xfId="18844"/>
    <cellStyle name="Comma 2 5 2 2 2 2 3 5 3 2 2" xfId="39887"/>
    <cellStyle name="Comma 2 5 2 2 2 2 3 5 3 2 3" xfId="33464"/>
    <cellStyle name="Comma 2 5 2 2 2 2 3 5 3 3" xfId="23334"/>
    <cellStyle name="Comma 2 5 2 2 2 2 3 5 3 3 2" xfId="36680"/>
    <cellStyle name="Comma 2 5 2 2 2 2 3 5 3 4" xfId="30257"/>
    <cellStyle name="Comma 2 5 2 2 2 2 3 5 3 5" xfId="44163"/>
    <cellStyle name="Comma 2 5 2 2 2 2 3 5 4" xfId="7301"/>
    <cellStyle name="Comma 2 5 2 2 2 2 3 5 4 2" xfId="17804"/>
    <cellStyle name="Comma 2 5 2 2 2 2 3 5 4 2 2" xfId="38853"/>
    <cellStyle name="Comma 2 5 2 2 2 2 3 5 4 3" xfId="32430"/>
    <cellStyle name="Comma 2 5 2 2 2 2 3 5 5" xfId="17030"/>
    <cellStyle name="Comma 2 5 2 2 2 2 3 5 5 2" xfId="35646"/>
    <cellStyle name="Comma 2 5 2 2 2 2 3 5 6" xfId="21010"/>
    <cellStyle name="Comma 2 5 2 2 2 2 3 5 7" xfId="29223"/>
    <cellStyle name="Comma 2 5 2 2 2 2 3 5 8" xfId="42029"/>
    <cellStyle name="Comma 2 5 2 2 2 2 3 6" xfId="11149"/>
    <cellStyle name="Comma 2 5 2 2 2 2 3 6 2" xfId="19948"/>
    <cellStyle name="Comma 2 5 2 2 2 2 3 6 2 2" xfId="40991"/>
    <cellStyle name="Comma 2 5 2 2 2 2 3 6 2 3" xfId="34568"/>
    <cellStyle name="Comma 2 5 2 2 2 2 3 6 3" xfId="22147"/>
    <cellStyle name="Comma 2 5 2 2 2 2 3 6 3 2" xfId="37784"/>
    <cellStyle name="Comma 2 5 2 2 2 2 3 6 4" xfId="31361"/>
    <cellStyle name="Comma 2 5 2 2 2 2 3 6 5" xfId="43126"/>
    <cellStyle name="Comma 2 5 2 2 2 2 3 7" xfId="8380"/>
    <cellStyle name="Comma 2 5 2 2 2 2 3 7 2" xfId="18840"/>
    <cellStyle name="Comma 2 5 2 2 2 2 3 7 2 2" xfId="39883"/>
    <cellStyle name="Comma 2 5 2 2 2 2 3 7 2 3" xfId="33460"/>
    <cellStyle name="Comma 2 5 2 2 2 2 3 7 3" xfId="23330"/>
    <cellStyle name="Comma 2 5 2 2 2 2 3 7 3 2" xfId="36676"/>
    <cellStyle name="Comma 2 5 2 2 2 2 3 7 4" xfId="30253"/>
    <cellStyle name="Comma 2 5 2 2 2 2 3 7 5" xfId="44159"/>
    <cellStyle name="Comma 2 5 2 2 2 2 3 8" xfId="7297"/>
    <cellStyle name="Comma 2 5 2 2 2 2 3 8 2" xfId="17800"/>
    <cellStyle name="Comma 2 5 2 2 2 2 3 8 2 2" xfId="38849"/>
    <cellStyle name="Comma 2 5 2 2 2 2 3 8 3" xfId="32426"/>
    <cellStyle name="Comma 2 5 2 2 2 2 3 9" xfId="16177"/>
    <cellStyle name="Comma 2 5 2 2 2 2 3 9 2" xfId="35642"/>
    <cellStyle name="Comma 2 5 2 2 2 2 4" xfId="2483"/>
    <cellStyle name="Comma 2 5 2 2 2 2 4 2" xfId="11154"/>
    <cellStyle name="Comma 2 5 2 2 2 2 4 2 2" xfId="19953"/>
    <cellStyle name="Comma 2 5 2 2 2 2 4 2 2 2" xfId="40996"/>
    <cellStyle name="Comma 2 5 2 2 2 2 4 2 2 3" xfId="34573"/>
    <cellStyle name="Comma 2 5 2 2 2 2 4 2 3" xfId="22152"/>
    <cellStyle name="Comma 2 5 2 2 2 2 4 2 3 2" xfId="37789"/>
    <cellStyle name="Comma 2 5 2 2 2 2 4 2 4" xfId="31366"/>
    <cellStyle name="Comma 2 5 2 2 2 2 4 2 5" xfId="43131"/>
    <cellStyle name="Comma 2 5 2 2 2 2 4 3" xfId="8385"/>
    <cellStyle name="Comma 2 5 2 2 2 2 4 3 2" xfId="18845"/>
    <cellStyle name="Comma 2 5 2 2 2 2 4 3 2 2" xfId="39888"/>
    <cellStyle name="Comma 2 5 2 2 2 2 4 3 2 3" xfId="33465"/>
    <cellStyle name="Comma 2 5 2 2 2 2 4 3 3" xfId="23335"/>
    <cellStyle name="Comma 2 5 2 2 2 2 4 3 3 2" xfId="36681"/>
    <cellStyle name="Comma 2 5 2 2 2 2 4 3 4" xfId="30258"/>
    <cellStyle name="Comma 2 5 2 2 2 2 4 3 5" xfId="44164"/>
    <cellStyle name="Comma 2 5 2 2 2 2 4 4" xfId="7302"/>
    <cellStyle name="Comma 2 5 2 2 2 2 4 4 2" xfId="17805"/>
    <cellStyle name="Comma 2 5 2 2 2 2 4 4 2 2" xfId="38854"/>
    <cellStyle name="Comma 2 5 2 2 2 2 4 4 3" xfId="32431"/>
    <cellStyle name="Comma 2 5 2 2 2 2 4 5" xfId="16258"/>
    <cellStyle name="Comma 2 5 2 2 2 2 4 5 2" xfId="35647"/>
    <cellStyle name="Comma 2 5 2 2 2 2 4 6" xfId="21011"/>
    <cellStyle name="Comma 2 5 2 2 2 2 4 7" xfId="29224"/>
    <cellStyle name="Comma 2 5 2 2 2 2 4 8" xfId="42030"/>
    <cellStyle name="Comma 2 5 2 2 2 2 5" xfId="3346"/>
    <cellStyle name="Comma 2 5 2 2 2 2 5 2" xfId="11155"/>
    <cellStyle name="Comma 2 5 2 2 2 2 5 2 2" xfId="19954"/>
    <cellStyle name="Comma 2 5 2 2 2 2 5 2 2 2" xfId="40997"/>
    <cellStyle name="Comma 2 5 2 2 2 2 5 2 2 3" xfId="34574"/>
    <cellStyle name="Comma 2 5 2 2 2 2 5 2 3" xfId="22153"/>
    <cellStyle name="Comma 2 5 2 2 2 2 5 2 3 2" xfId="37790"/>
    <cellStyle name="Comma 2 5 2 2 2 2 5 2 4" xfId="31367"/>
    <cellStyle name="Comma 2 5 2 2 2 2 5 2 5" xfId="43132"/>
    <cellStyle name="Comma 2 5 2 2 2 2 5 3" xfId="8386"/>
    <cellStyle name="Comma 2 5 2 2 2 2 5 3 2" xfId="18846"/>
    <cellStyle name="Comma 2 5 2 2 2 2 5 3 2 2" xfId="39889"/>
    <cellStyle name="Comma 2 5 2 2 2 2 5 3 2 3" xfId="33466"/>
    <cellStyle name="Comma 2 5 2 2 2 2 5 3 3" xfId="23336"/>
    <cellStyle name="Comma 2 5 2 2 2 2 5 3 3 2" xfId="36682"/>
    <cellStyle name="Comma 2 5 2 2 2 2 5 3 4" xfId="30259"/>
    <cellStyle name="Comma 2 5 2 2 2 2 5 3 5" xfId="44165"/>
    <cellStyle name="Comma 2 5 2 2 2 2 5 4" xfId="7303"/>
    <cellStyle name="Comma 2 5 2 2 2 2 5 4 2" xfId="17806"/>
    <cellStyle name="Comma 2 5 2 2 2 2 5 4 2 2" xfId="38855"/>
    <cellStyle name="Comma 2 5 2 2 2 2 5 4 3" xfId="32432"/>
    <cellStyle name="Comma 2 5 2 2 2 2 5 5" xfId="16446"/>
    <cellStyle name="Comma 2 5 2 2 2 2 5 5 2" xfId="35648"/>
    <cellStyle name="Comma 2 5 2 2 2 2 5 6" xfId="21012"/>
    <cellStyle name="Comma 2 5 2 2 2 2 5 7" xfId="29225"/>
    <cellStyle name="Comma 2 5 2 2 2 2 5 8" xfId="42031"/>
    <cellStyle name="Comma 2 5 2 2 2 2 6" xfId="4214"/>
    <cellStyle name="Comma 2 5 2 2 2 2 6 2" xfId="11156"/>
    <cellStyle name="Comma 2 5 2 2 2 2 6 2 2" xfId="19955"/>
    <cellStyle name="Comma 2 5 2 2 2 2 6 2 2 2" xfId="40998"/>
    <cellStyle name="Comma 2 5 2 2 2 2 6 2 2 3" xfId="34575"/>
    <cellStyle name="Comma 2 5 2 2 2 2 6 2 3" xfId="22154"/>
    <cellStyle name="Comma 2 5 2 2 2 2 6 2 3 2" xfId="37791"/>
    <cellStyle name="Comma 2 5 2 2 2 2 6 2 4" xfId="31368"/>
    <cellStyle name="Comma 2 5 2 2 2 2 6 2 5" xfId="43133"/>
    <cellStyle name="Comma 2 5 2 2 2 2 6 3" xfId="8387"/>
    <cellStyle name="Comma 2 5 2 2 2 2 6 3 2" xfId="18847"/>
    <cellStyle name="Comma 2 5 2 2 2 2 6 3 2 2" xfId="39890"/>
    <cellStyle name="Comma 2 5 2 2 2 2 6 3 2 3" xfId="33467"/>
    <cellStyle name="Comma 2 5 2 2 2 2 6 3 3" xfId="23337"/>
    <cellStyle name="Comma 2 5 2 2 2 2 6 3 3 2" xfId="36683"/>
    <cellStyle name="Comma 2 5 2 2 2 2 6 3 4" xfId="30260"/>
    <cellStyle name="Comma 2 5 2 2 2 2 6 3 5" xfId="44166"/>
    <cellStyle name="Comma 2 5 2 2 2 2 6 4" xfId="7304"/>
    <cellStyle name="Comma 2 5 2 2 2 2 6 4 2" xfId="17807"/>
    <cellStyle name="Comma 2 5 2 2 2 2 6 4 2 2" xfId="38856"/>
    <cellStyle name="Comma 2 5 2 2 2 2 6 4 3" xfId="32433"/>
    <cellStyle name="Comma 2 5 2 2 2 2 6 5" xfId="16634"/>
    <cellStyle name="Comma 2 5 2 2 2 2 6 5 2" xfId="35649"/>
    <cellStyle name="Comma 2 5 2 2 2 2 6 6" xfId="21013"/>
    <cellStyle name="Comma 2 5 2 2 2 2 6 7" xfId="29226"/>
    <cellStyle name="Comma 2 5 2 2 2 2 6 8" xfId="42032"/>
    <cellStyle name="Comma 2 5 2 2 2 2 7" xfId="5037"/>
    <cellStyle name="Comma 2 5 2 2 2 2 7 2" xfId="11157"/>
    <cellStyle name="Comma 2 5 2 2 2 2 7 2 2" xfId="19956"/>
    <cellStyle name="Comma 2 5 2 2 2 2 7 2 2 2" xfId="40999"/>
    <cellStyle name="Comma 2 5 2 2 2 2 7 2 2 3" xfId="34576"/>
    <cellStyle name="Comma 2 5 2 2 2 2 7 2 3" xfId="22155"/>
    <cellStyle name="Comma 2 5 2 2 2 2 7 2 3 2" xfId="37792"/>
    <cellStyle name="Comma 2 5 2 2 2 2 7 2 4" xfId="31369"/>
    <cellStyle name="Comma 2 5 2 2 2 2 7 2 5" xfId="43134"/>
    <cellStyle name="Comma 2 5 2 2 2 2 7 3" xfId="8388"/>
    <cellStyle name="Comma 2 5 2 2 2 2 7 3 2" xfId="18848"/>
    <cellStyle name="Comma 2 5 2 2 2 2 7 3 2 2" xfId="39891"/>
    <cellStyle name="Comma 2 5 2 2 2 2 7 3 2 3" xfId="33468"/>
    <cellStyle name="Comma 2 5 2 2 2 2 7 3 3" xfId="23338"/>
    <cellStyle name="Comma 2 5 2 2 2 2 7 3 3 2" xfId="36684"/>
    <cellStyle name="Comma 2 5 2 2 2 2 7 3 4" xfId="30261"/>
    <cellStyle name="Comma 2 5 2 2 2 2 7 3 5" xfId="44167"/>
    <cellStyle name="Comma 2 5 2 2 2 2 7 4" xfId="7305"/>
    <cellStyle name="Comma 2 5 2 2 2 2 7 4 2" xfId="17808"/>
    <cellStyle name="Comma 2 5 2 2 2 2 7 4 2 2" xfId="38857"/>
    <cellStyle name="Comma 2 5 2 2 2 2 7 4 3" xfId="32434"/>
    <cellStyle name="Comma 2 5 2 2 2 2 7 5" xfId="16852"/>
    <cellStyle name="Comma 2 5 2 2 2 2 7 5 2" xfId="35650"/>
    <cellStyle name="Comma 2 5 2 2 2 2 7 6" xfId="21014"/>
    <cellStyle name="Comma 2 5 2 2 2 2 7 7" xfId="29227"/>
    <cellStyle name="Comma 2 5 2 2 2 2 7 8" xfId="42033"/>
    <cellStyle name="Comma 2 5 2 2 2 2 8" xfId="5476"/>
    <cellStyle name="Comma 2 5 2 2 2 2 8 2" xfId="11158"/>
    <cellStyle name="Comma 2 5 2 2 2 2 8 2 2" xfId="19957"/>
    <cellStyle name="Comma 2 5 2 2 2 2 8 2 2 2" xfId="41000"/>
    <cellStyle name="Comma 2 5 2 2 2 2 8 2 2 3" xfId="34577"/>
    <cellStyle name="Comma 2 5 2 2 2 2 8 2 3" xfId="22156"/>
    <cellStyle name="Comma 2 5 2 2 2 2 8 2 3 2" xfId="37793"/>
    <cellStyle name="Comma 2 5 2 2 2 2 8 2 4" xfId="31370"/>
    <cellStyle name="Comma 2 5 2 2 2 2 8 2 5" xfId="43135"/>
    <cellStyle name="Comma 2 5 2 2 2 2 8 3" xfId="8389"/>
    <cellStyle name="Comma 2 5 2 2 2 2 8 3 2" xfId="18849"/>
    <cellStyle name="Comma 2 5 2 2 2 2 8 3 2 2" xfId="39892"/>
    <cellStyle name="Comma 2 5 2 2 2 2 8 3 2 3" xfId="33469"/>
    <cellStyle name="Comma 2 5 2 2 2 2 8 3 3" xfId="23339"/>
    <cellStyle name="Comma 2 5 2 2 2 2 8 3 3 2" xfId="36685"/>
    <cellStyle name="Comma 2 5 2 2 2 2 8 3 4" xfId="30262"/>
    <cellStyle name="Comma 2 5 2 2 2 2 8 3 5" xfId="44168"/>
    <cellStyle name="Comma 2 5 2 2 2 2 8 4" xfId="7306"/>
    <cellStyle name="Comma 2 5 2 2 2 2 8 4 2" xfId="17809"/>
    <cellStyle name="Comma 2 5 2 2 2 2 8 4 2 2" xfId="38858"/>
    <cellStyle name="Comma 2 5 2 2 2 2 8 4 3" xfId="32435"/>
    <cellStyle name="Comma 2 5 2 2 2 2 8 5" xfId="16922"/>
    <cellStyle name="Comma 2 5 2 2 2 2 8 5 2" xfId="35651"/>
    <cellStyle name="Comma 2 5 2 2 2 2 8 6" xfId="21015"/>
    <cellStyle name="Comma 2 5 2 2 2 2 8 7" xfId="29228"/>
    <cellStyle name="Comma 2 5 2 2 2 2 8 8" xfId="42034"/>
    <cellStyle name="Comma 2 5 2 2 2 2 9" xfId="10257"/>
    <cellStyle name="Comma 2 5 2 2 2 2 9 2" xfId="19310"/>
    <cellStyle name="Comma 2 5 2 2 2 2 9 2 2" xfId="40353"/>
    <cellStyle name="Comma 2 5 2 2 2 2 9 2 3" xfId="33930"/>
    <cellStyle name="Comma 2 5 2 2 2 2 9 3" xfId="21510"/>
    <cellStyle name="Comma 2 5 2 2 2 2 9 3 2" xfId="37146"/>
    <cellStyle name="Comma 2 5 2 2 2 2 9 4" xfId="30723"/>
    <cellStyle name="Comma 2 5 2 2 2 2 9 5" xfId="42489"/>
    <cellStyle name="Comma 2 5 2 2 2 3" xfId="1842"/>
    <cellStyle name="Comma 2 5 2 2 2 3 10" xfId="16120"/>
    <cellStyle name="Comma 2 5 2 2 2 3 10 2" xfId="35011"/>
    <cellStyle name="Comma 2 5 2 2 2 3 11" xfId="21016"/>
    <cellStyle name="Comma 2 5 2 2 2 3 12" xfId="28586"/>
    <cellStyle name="Comma 2 5 2 2 2 3 13" xfId="42035"/>
    <cellStyle name="Comma 2 5 2 2 2 3 2" xfId="2732"/>
    <cellStyle name="Comma 2 5 2 2 2 3 2 2" xfId="11159"/>
    <cellStyle name="Comma 2 5 2 2 2 3 2 2 2" xfId="19958"/>
    <cellStyle name="Comma 2 5 2 2 2 3 2 2 2 2" xfId="41001"/>
    <cellStyle name="Comma 2 5 2 2 2 3 2 2 2 3" xfId="34578"/>
    <cellStyle name="Comma 2 5 2 2 2 3 2 2 3" xfId="22157"/>
    <cellStyle name="Comma 2 5 2 2 2 3 2 2 3 2" xfId="37794"/>
    <cellStyle name="Comma 2 5 2 2 2 3 2 2 4" xfId="31371"/>
    <cellStyle name="Comma 2 5 2 2 2 3 2 2 5" xfId="43136"/>
    <cellStyle name="Comma 2 5 2 2 2 3 2 3" xfId="8391"/>
    <cellStyle name="Comma 2 5 2 2 2 3 2 3 2" xfId="18851"/>
    <cellStyle name="Comma 2 5 2 2 2 3 2 3 2 2" xfId="39894"/>
    <cellStyle name="Comma 2 5 2 2 2 3 2 3 2 3" xfId="33471"/>
    <cellStyle name="Comma 2 5 2 2 2 3 2 3 3" xfId="23341"/>
    <cellStyle name="Comma 2 5 2 2 2 3 2 3 3 2" xfId="36687"/>
    <cellStyle name="Comma 2 5 2 2 2 3 2 3 4" xfId="30264"/>
    <cellStyle name="Comma 2 5 2 2 2 3 2 3 5" xfId="44170"/>
    <cellStyle name="Comma 2 5 2 2 2 3 2 4" xfId="7307"/>
    <cellStyle name="Comma 2 5 2 2 2 3 2 4 2" xfId="17810"/>
    <cellStyle name="Comma 2 5 2 2 2 3 2 4 2 2" xfId="38859"/>
    <cellStyle name="Comma 2 5 2 2 2 3 2 4 3" xfId="32436"/>
    <cellStyle name="Comma 2 5 2 2 2 3 2 5" xfId="16310"/>
    <cellStyle name="Comma 2 5 2 2 2 3 2 5 2" xfId="35652"/>
    <cellStyle name="Comma 2 5 2 2 2 3 2 6" xfId="21017"/>
    <cellStyle name="Comma 2 5 2 2 2 3 2 7" xfId="29229"/>
    <cellStyle name="Comma 2 5 2 2 2 3 2 8" xfId="42036"/>
    <cellStyle name="Comma 2 5 2 2 2 3 3" xfId="3596"/>
    <cellStyle name="Comma 2 5 2 2 2 3 3 2" xfId="11160"/>
    <cellStyle name="Comma 2 5 2 2 2 3 3 2 2" xfId="19959"/>
    <cellStyle name="Comma 2 5 2 2 2 3 3 2 2 2" xfId="41002"/>
    <cellStyle name="Comma 2 5 2 2 2 3 3 2 2 3" xfId="34579"/>
    <cellStyle name="Comma 2 5 2 2 2 3 3 2 3" xfId="22158"/>
    <cellStyle name="Comma 2 5 2 2 2 3 3 2 3 2" xfId="37795"/>
    <cellStyle name="Comma 2 5 2 2 2 3 3 2 4" xfId="31372"/>
    <cellStyle name="Comma 2 5 2 2 2 3 3 2 5" xfId="43137"/>
    <cellStyle name="Comma 2 5 2 2 2 3 3 3" xfId="8392"/>
    <cellStyle name="Comma 2 5 2 2 2 3 3 3 2" xfId="18852"/>
    <cellStyle name="Comma 2 5 2 2 2 3 3 3 2 2" xfId="39895"/>
    <cellStyle name="Comma 2 5 2 2 2 3 3 3 2 3" xfId="33472"/>
    <cellStyle name="Comma 2 5 2 2 2 3 3 3 3" xfId="23342"/>
    <cellStyle name="Comma 2 5 2 2 2 3 3 3 3 2" xfId="36688"/>
    <cellStyle name="Comma 2 5 2 2 2 3 3 3 4" xfId="30265"/>
    <cellStyle name="Comma 2 5 2 2 2 3 3 3 5" xfId="44171"/>
    <cellStyle name="Comma 2 5 2 2 2 3 3 4" xfId="7308"/>
    <cellStyle name="Comma 2 5 2 2 2 3 3 4 2" xfId="17811"/>
    <cellStyle name="Comma 2 5 2 2 2 3 3 4 2 2" xfId="38860"/>
    <cellStyle name="Comma 2 5 2 2 2 3 3 4 3" xfId="32437"/>
    <cellStyle name="Comma 2 5 2 2 2 3 3 5" xfId="16498"/>
    <cellStyle name="Comma 2 5 2 2 2 3 3 5 2" xfId="35653"/>
    <cellStyle name="Comma 2 5 2 2 2 3 3 6" xfId="21018"/>
    <cellStyle name="Comma 2 5 2 2 2 3 3 7" xfId="29230"/>
    <cellStyle name="Comma 2 5 2 2 2 3 3 8" xfId="42037"/>
    <cellStyle name="Comma 2 5 2 2 2 3 4" xfId="4471"/>
    <cellStyle name="Comma 2 5 2 2 2 3 4 2" xfId="11161"/>
    <cellStyle name="Comma 2 5 2 2 2 3 4 2 2" xfId="19960"/>
    <cellStyle name="Comma 2 5 2 2 2 3 4 2 2 2" xfId="41003"/>
    <cellStyle name="Comma 2 5 2 2 2 3 4 2 2 3" xfId="34580"/>
    <cellStyle name="Comma 2 5 2 2 2 3 4 2 3" xfId="22159"/>
    <cellStyle name="Comma 2 5 2 2 2 3 4 2 3 2" xfId="37796"/>
    <cellStyle name="Comma 2 5 2 2 2 3 4 2 4" xfId="31373"/>
    <cellStyle name="Comma 2 5 2 2 2 3 4 2 5" xfId="43138"/>
    <cellStyle name="Comma 2 5 2 2 2 3 4 3" xfId="8393"/>
    <cellStyle name="Comma 2 5 2 2 2 3 4 3 2" xfId="18853"/>
    <cellStyle name="Comma 2 5 2 2 2 3 4 3 2 2" xfId="39896"/>
    <cellStyle name="Comma 2 5 2 2 2 3 4 3 2 3" xfId="33473"/>
    <cellStyle name="Comma 2 5 2 2 2 3 4 3 3" xfId="23343"/>
    <cellStyle name="Comma 2 5 2 2 2 3 4 3 3 2" xfId="36689"/>
    <cellStyle name="Comma 2 5 2 2 2 3 4 3 4" xfId="30266"/>
    <cellStyle name="Comma 2 5 2 2 2 3 4 3 5" xfId="44172"/>
    <cellStyle name="Comma 2 5 2 2 2 3 4 4" xfId="7309"/>
    <cellStyle name="Comma 2 5 2 2 2 3 4 4 2" xfId="17812"/>
    <cellStyle name="Comma 2 5 2 2 2 3 4 4 2 2" xfId="38861"/>
    <cellStyle name="Comma 2 5 2 2 2 3 4 4 3" xfId="32438"/>
    <cellStyle name="Comma 2 5 2 2 2 3 4 5" xfId="16686"/>
    <cellStyle name="Comma 2 5 2 2 2 3 4 5 2" xfId="35654"/>
    <cellStyle name="Comma 2 5 2 2 2 3 4 6" xfId="21019"/>
    <cellStyle name="Comma 2 5 2 2 2 3 4 7" xfId="29231"/>
    <cellStyle name="Comma 2 5 2 2 2 3 4 8" xfId="42038"/>
    <cellStyle name="Comma 2 5 2 2 2 3 5" xfId="5039"/>
    <cellStyle name="Comma 2 5 2 2 2 3 5 2" xfId="11162"/>
    <cellStyle name="Comma 2 5 2 2 2 3 5 2 2" xfId="19961"/>
    <cellStyle name="Comma 2 5 2 2 2 3 5 2 2 2" xfId="41004"/>
    <cellStyle name="Comma 2 5 2 2 2 3 5 2 2 3" xfId="34581"/>
    <cellStyle name="Comma 2 5 2 2 2 3 5 2 3" xfId="22160"/>
    <cellStyle name="Comma 2 5 2 2 2 3 5 2 3 2" xfId="37797"/>
    <cellStyle name="Comma 2 5 2 2 2 3 5 2 4" xfId="31374"/>
    <cellStyle name="Comma 2 5 2 2 2 3 5 2 5" xfId="43139"/>
    <cellStyle name="Comma 2 5 2 2 2 3 5 3" xfId="8394"/>
    <cellStyle name="Comma 2 5 2 2 2 3 5 3 2" xfId="18854"/>
    <cellStyle name="Comma 2 5 2 2 2 3 5 3 2 2" xfId="39897"/>
    <cellStyle name="Comma 2 5 2 2 2 3 5 3 2 3" xfId="33474"/>
    <cellStyle name="Comma 2 5 2 2 2 3 5 3 3" xfId="23344"/>
    <cellStyle name="Comma 2 5 2 2 2 3 5 3 3 2" xfId="36690"/>
    <cellStyle name="Comma 2 5 2 2 2 3 5 3 4" xfId="30267"/>
    <cellStyle name="Comma 2 5 2 2 2 3 5 3 5" xfId="44173"/>
    <cellStyle name="Comma 2 5 2 2 2 3 5 4" xfId="7310"/>
    <cellStyle name="Comma 2 5 2 2 2 3 5 4 2" xfId="17813"/>
    <cellStyle name="Comma 2 5 2 2 2 3 5 4 2 2" xfId="38862"/>
    <cellStyle name="Comma 2 5 2 2 2 3 5 4 3" xfId="32439"/>
    <cellStyle name="Comma 2 5 2 2 2 3 5 5" xfId="16854"/>
    <cellStyle name="Comma 2 5 2 2 2 3 5 5 2" xfId="35655"/>
    <cellStyle name="Comma 2 5 2 2 2 3 5 6" xfId="21020"/>
    <cellStyle name="Comma 2 5 2 2 2 3 5 7" xfId="29232"/>
    <cellStyle name="Comma 2 5 2 2 2 3 5 8" xfId="42039"/>
    <cellStyle name="Comma 2 5 2 2 2 3 6" xfId="5736"/>
    <cellStyle name="Comma 2 5 2 2 2 3 6 2" xfId="11163"/>
    <cellStyle name="Comma 2 5 2 2 2 3 6 2 2" xfId="19962"/>
    <cellStyle name="Comma 2 5 2 2 2 3 6 2 2 2" xfId="41005"/>
    <cellStyle name="Comma 2 5 2 2 2 3 6 2 2 3" xfId="34582"/>
    <cellStyle name="Comma 2 5 2 2 2 3 6 2 3" xfId="22161"/>
    <cellStyle name="Comma 2 5 2 2 2 3 6 2 3 2" xfId="37798"/>
    <cellStyle name="Comma 2 5 2 2 2 3 6 2 4" xfId="31375"/>
    <cellStyle name="Comma 2 5 2 2 2 3 6 2 5" xfId="43140"/>
    <cellStyle name="Comma 2 5 2 2 2 3 6 3" xfId="8395"/>
    <cellStyle name="Comma 2 5 2 2 2 3 6 3 2" xfId="18855"/>
    <cellStyle name="Comma 2 5 2 2 2 3 6 3 2 2" xfId="39898"/>
    <cellStyle name="Comma 2 5 2 2 2 3 6 3 2 3" xfId="33475"/>
    <cellStyle name="Comma 2 5 2 2 2 3 6 3 3" xfId="23345"/>
    <cellStyle name="Comma 2 5 2 2 2 3 6 3 3 2" xfId="36691"/>
    <cellStyle name="Comma 2 5 2 2 2 3 6 3 4" xfId="30268"/>
    <cellStyle name="Comma 2 5 2 2 2 3 6 3 5" xfId="44174"/>
    <cellStyle name="Comma 2 5 2 2 2 3 6 4" xfId="7311"/>
    <cellStyle name="Comma 2 5 2 2 2 3 6 4 2" xfId="17814"/>
    <cellStyle name="Comma 2 5 2 2 2 3 6 4 2 2" xfId="38863"/>
    <cellStyle name="Comma 2 5 2 2 2 3 6 4 3" xfId="32440"/>
    <cellStyle name="Comma 2 5 2 2 2 3 6 5" xfId="16974"/>
    <cellStyle name="Comma 2 5 2 2 2 3 6 5 2" xfId="35656"/>
    <cellStyle name="Comma 2 5 2 2 2 3 6 6" xfId="21021"/>
    <cellStyle name="Comma 2 5 2 2 2 3 6 7" xfId="29233"/>
    <cellStyle name="Comma 2 5 2 2 2 3 6 8" xfId="42040"/>
    <cellStyle name="Comma 2 5 2 2 2 3 7" xfId="10259"/>
    <cellStyle name="Comma 2 5 2 2 2 3 7 2" xfId="19312"/>
    <cellStyle name="Comma 2 5 2 2 2 3 7 2 2" xfId="40355"/>
    <cellStyle name="Comma 2 5 2 2 2 3 7 2 3" xfId="33932"/>
    <cellStyle name="Comma 2 5 2 2 2 3 7 3" xfId="21512"/>
    <cellStyle name="Comma 2 5 2 2 2 3 7 3 2" xfId="37148"/>
    <cellStyle name="Comma 2 5 2 2 2 3 7 4" xfId="30725"/>
    <cellStyle name="Comma 2 5 2 2 2 3 7 5" xfId="42491"/>
    <cellStyle name="Comma 2 5 2 2 2 3 8" xfId="8390"/>
    <cellStyle name="Comma 2 5 2 2 2 3 8 2" xfId="18850"/>
    <cellStyle name="Comma 2 5 2 2 2 3 8 2 2" xfId="39893"/>
    <cellStyle name="Comma 2 5 2 2 2 3 8 2 3" xfId="33470"/>
    <cellStyle name="Comma 2 5 2 2 2 3 8 3" xfId="23340"/>
    <cellStyle name="Comma 2 5 2 2 2 3 8 3 2" xfId="36686"/>
    <cellStyle name="Comma 2 5 2 2 2 3 8 4" xfId="30263"/>
    <cellStyle name="Comma 2 5 2 2 2 3 8 5" xfId="44169"/>
    <cellStyle name="Comma 2 5 2 2 2 3 9" xfId="6658"/>
    <cellStyle name="Comma 2 5 2 2 2 3 9 2" xfId="17165"/>
    <cellStyle name="Comma 2 5 2 2 2 3 9 2 2" xfId="38218"/>
    <cellStyle name="Comma 2 5 2 2 2 3 9 3" xfId="31795"/>
    <cellStyle name="Comma 2 5 2 2 2 4" xfId="2117"/>
    <cellStyle name="Comma 2 5 2 2 2 4 10" xfId="21022"/>
    <cellStyle name="Comma 2 5 2 2 2 4 11" xfId="29234"/>
    <cellStyle name="Comma 2 5 2 2 2 4 12" xfId="42041"/>
    <cellStyle name="Comma 2 5 2 2 2 4 2" xfId="2987"/>
    <cellStyle name="Comma 2 5 2 2 2 4 2 2" xfId="11165"/>
    <cellStyle name="Comma 2 5 2 2 2 4 2 2 2" xfId="19964"/>
    <cellStyle name="Comma 2 5 2 2 2 4 2 2 2 2" xfId="41007"/>
    <cellStyle name="Comma 2 5 2 2 2 4 2 2 2 3" xfId="34584"/>
    <cellStyle name="Comma 2 5 2 2 2 4 2 2 3" xfId="22163"/>
    <cellStyle name="Comma 2 5 2 2 2 4 2 2 3 2" xfId="37800"/>
    <cellStyle name="Comma 2 5 2 2 2 4 2 2 4" xfId="31377"/>
    <cellStyle name="Comma 2 5 2 2 2 4 2 2 5" xfId="43142"/>
    <cellStyle name="Comma 2 5 2 2 2 4 2 3" xfId="8397"/>
    <cellStyle name="Comma 2 5 2 2 2 4 2 3 2" xfId="18857"/>
    <cellStyle name="Comma 2 5 2 2 2 4 2 3 2 2" xfId="39900"/>
    <cellStyle name="Comma 2 5 2 2 2 4 2 3 2 3" xfId="33477"/>
    <cellStyle name="Comma 2 5 2 2 2 4 2 3 3" xfId="23347"/>
    <cellStyle name="Comma 2 5 2 2 2 4 2 3 3 2" xfId="36693"/>
    <cellStyle name="Comma 2 5 2 2 2 4 2 3 4" xfId="30270"/>
    <cellStyle name="Comma 2 5 2 2 2 4 2 3 5" xfId="44176"/>
    <cellStyle name="Comma 2 5 2 2 2 4 2 4" xfId="7313"/>
    <cellStyle name="Comma 2 5 2 2 2 4 2 4 2" xfId="17816"/>
    <cellStyle name="Comma 2 5 2 2 2 4 2 4 2 2" xfId="38865"/>
    <cellStyle name="Comma 2 5 2 2 2 4 2 4 3" xfId="32442"/>
    <cellStyle name="Comma 2 5 2 2 2 4 2 5" xfId="16365"/>
    <cellStyle name="Comma 2 5 2 2 2 4 2 5 2" xfId="35658"/>
    <cellStyle name="Comma 2 5 2 2 2 4 2 6" xfId="21023"/>
    <cellStyle name="Comma 2 5 2 2 2 4 2 7" xfId="29235"/>
    <cellStyle name="Comma 2 5 2 2 2 4 2 8" xfId="42042"/>
    <cellStyle name="Comma 2 5 2 2 2 4 3" xfId="3857"/>
    <cellStyle name="Comma 2 5 2 2 2 4 3 2" xfId="11166"/>
    <cellStyle name="Comma 2 5 2 2 2 4 3 2 2" xfId="19965"/>
    <cellStyle name="Comma 2 5 2 2 2 4 3 2 2 2" xfId="41008"/>
    <cellStyle name="Comma 2 5 2 2 2 4 3 2 2 3" xfId="34585"/>
    <cellStyle name="Comma 2 5 2 2 2 4 3 2 3" xfId="22164"/>
    <cellStyle name="Comma 2 5 2 2 2 4 3 2 3 2" xfId="37801"/>
    <cellStyle name="Comma 2 5 2 2 2 4 3 2 4" xfId="31378"/>
    <cellStyle name="Comma 2 5 2 2 2 4 3 2 5" xfId="43143"/>
    <cellStyle name="Comma 2 5 2 2 2 4 3 3" xfId="8398"/>
    <cellStyle name="Comma 2 5 2 2 2 4 3 3 2" xfId="18858"/>
    <cellStyle name="Comma 2 5 2 2 2 4 3 3 2 2" xfId="39901"/>
    <cellStyle name="Comma 2 5 2 2 2 4 3 3 2 3" xfId="33478"/>
    <cellStyle name="Comma 2 5 2 2 2 4 3 3 3" xfId="23348"/>
    <cellStyle name="Comma 2 5 2 2 2 4 3 3 3 2" xfId="36694"/>
    <cellStyle name="Comma 2 5 2 2 2 4 3 3 4" xfId="30271"/>
    <cellStyle name="Comma 2 5 2 2 2 4 3 3 5" xfId="44177"/>
    <cellStyle name="Comma 2 5 2 2 2 4 3 4" xfId="7314"/>
    <cellStyle name="Comma 2 5 2 2 2 4 3 4 2" xfId="17817"/>
    <cellStyle name="Comma 2 5 2 2 2 4 3 4 2 2" xfId="38866"/>
    <cellStyle name="Comma 2 5 2 2 2 4 3 4 3" xfId="32443"/>
    <cellStyle name="Comma 2 5 2 2 2 4 3 5" xfId="16553"/>
    <cellStyle name="Comma 2 5 2 2 2 4 3 5 2" xfId="35659"/>
    <cellStyle name="Comma 2 5 2 2 2 4 3 6" xfId="21024"/>
    <cellStyle name="Comma 2 5 2 2 2 4 3 7" xfId="29236"/>
    <cellStyle name="Comma 2 5 2 2 2 4 3 8" xfId="42043"/>
    <cellStyle name="Comma 2 5 2 2 2 4 4" xfId="4735"/>
    <cellStyle name="Comma 2 5 2 2 2 4 4 2" xfId="11167"/>
    <cellStyle name="Comma 2 5 2 2 2 4 4 2 2" xfId="19966"/>
    <cellStyle name="Comma 2 5 2 2 2 4 4 2 2 2" xfId="41009"/>
    <cellStyle name="Comma 2 5 2 2 2 4 4 2 2 3" xfId="34586"/>
    <cellStyle name="Comma 2 5 2 2 2 4 4 2 3" xfId="22165"/>
    <cellStyle name="Comma 2 5 2 2 2 4 4 2 3 2" xfId="37802"/>
    <cellStyle name="Comma 2 5 2 2 2 4 4 2 4" xfId="31379"/>
    <cellStyle name="Comma 2 5 2 2 2 4 4 2 5" xfId="43144"/>
    <cellStyle name="Comma 2 5 2 2 2 4 4 3" xfId="8399"/>
    <cellStyle name="Comma 2 5 2 2 2 4 4 3 2" xfId="18859"/>
    <cellStyle name="Comma 2 5 2 2 2 4 4 3 2 2" xfId="39902"/>
    <cellStyle name="Comma 2 5 2 2 2 4 4 3 2 3" xfId="33479"/>
    <cellStyle name="Comma 2 5 2 2 2 4 4 3 3" xfId="23349"/>
    <cellStyle name="Comma 2 5 2 2 2 4 4 3 3 2" xfId="36695"/>
    <cellStyle name="Comma 2 5 2 2 2 4 4 3 4" xfId="30272"/>
    <cellStyle name="Comma 2 5 2 2 2 4 4 3 5" xfId="44178"/>
    <cellStyle name="Comma 2 5 2 2 2 4 4 4" xfId="7315"/>
    <cellStyle name="Comma 2 5 2 2 2 4 4 4 2" xfId="17818"/>
    <cellStyle name="Comma 2 5 2 2 2 4 4 4 2 2" xfId="38867"/>
    <cellStyle name="Comma 2 5 2 2 2 4 4 4 3" xfId="32444"/>
    <cellStyle name="Comma 2 5 2 2 2 4 4 5" xfId="16741"/>
    <cellStyle name="Comma 2 5 2 2 2 4 4 5 2" xfId="35660"/>
    <cellStyle name="Comma 2 5 2 2 2 4 4 6" xfId="21025"/>
    <cellStyle name="Comma 2 5 2 2 2 4 4 7" xfId="29237"/>
    <cellStyle name="Comma 2 5 2 2 2 4 4 8" xfId="42044"/>
    <cellStyle name="Comma 2 5 2 2 2 4 5" xfId="6000"/>
    <cellStyle name="Comma 2 5 2 2 2 4 5 2" xfId="11168"/>
    <cellStyle name="Comma 2 5 2 2 2 4 5 2 2" xfId="19967"/>
    <cellStyle name="Comma 2 5 2 2 2 4 5 2 2 2" xfId="41010"/>
    <cellStyle name="Comma 2 5 2 2 2 4 5 2 2 3" xfId="34587"/>
    <cellStyle name="Comma 2 5 2 2 2 4 5 2 3" xfId="22166"/>
    <cellStyle name="Comma 2 5 2 2 2 4 5 2 3 2" xfId="37803"/>
    <cellStyle name="Comma 2 5 2 2 2 4 5 2 4" xfId="31380"/>
    <cellStyle name="Comma 2 5 2 2 2 4 5 2 5" xfId="43145"/>
    <cellStyle name="Comma 2 5 2 2 2 4 5 3" xfId="8400"/>
    <cellStyle name="Comma 2 5 2 2 2 4 5 3 2" xfId="18860"/>
    <cellStyle name="Comma 2 5 2 2 2 4 5 3 2 2" xfId="39903"/>
    <cellStyle name="Comma 2 5 2 2 2 4 5 3 2 3" xfId="33480"/>
    <cellStyle name="Comma 2 5 2 2 2 4 5 3 3" xfId="23350"/>
    <cellStyle name="Comma 2 5 2 2 2 4 5 3 3 2" xfId="36696"/>
    <cellStyle name="Comma 2 5 2 2 2 4 5 3 4" xfId="30273"/>
    <cellStyle name="Comma 2 5 2 2 2 4 5 3 5" xfId="44179"/>
    <cellStyle name="Comma 2 5 2 2 2 4 5 4" xfId="7316"/>
    <cellStyle name="Comma 2 5 2 2 2 4 5 4 2" xfId="17819"/>
    <cellStyle name="Comma 2 5 2 2 2 4 5 4 2 2" xfId="38868"/>
    <cellStyle name="Comma 2 5 2 2 2 4 5 4 3" xfId="32445"/>
    <cellStyle name="Comma 2 5 2 2 2 4 5 5" xfId="17029"/>
    <cellStyle name="Comma 2 5 2 2 2 4 5 5 2" xfId="35661"/>
    <cellStyle name="Comma 2 5 2 2 2 4 5 6" xfId="21026"/>
    <cellStyle name="Comma 2 5 2 2 2 4 5 7" xfId="29238"/>
    <cellStyle name="Comma 2 5 2 2 2 4 5 8" xfId="42045"/>
    <cellStyle name="Comma 2 5 2 2 2 4 6" xfId="11164"/>
    <cellStyle name="Comma 2 5 2 2 2 4 6 2" xfId="19963"/>
    <cellStyle name="Comma 2 5 2 2 2 4 6 2 2" xfId="41006"/>
    <cellStyle name="Comma 2 5 2 2 2 4 6 2 3" xfId="34583"/>
    <cellStyle name="Comma 2 5 2 2 2 4 6 3" xfId="22162"/>
    <cellStyle name="Comma 2 5 2 2 2 4 6 3 2" xfId="37799"/>
    <cellStyle name="Comma 2 5 2 2 2 4 6 4" xfId="31376"/>
    <cellStyle name="Comma 2 5 2 2 2 4 6 5" xfId="43141"/>
    <cellStyle name="Comma 2 5 2 2 2 4 7" xfId="8396"/>
    <cellStyle name="Comma 2 5 2 2 2 4 7 2" xfId="18856"/>
    <cellStyle name="Comma 2 5 2 2 2 4 7 2 2" xfId="39899"/>
    <cellStyle name="Comma 2 5 2 2 2 4 7 2 3" xfId="33476"/>
    <cellStyle name="Comma 2 5 2 2 2 4 7 3" xfId="23346"/>
    <cellStyle name="Comma 2 5 2 2 2 4 7 3 2" xfId="36692"/>
    <cellStyle name="Comma 2 5 2 2 2 4 7 4" xfId="30269"/>
    <cellStyle name="Comma 2 5 2 2 2 4 7 5" xfId="44175"/>
    <cellStyle name="Comma 2 5 2 2 2 4 8" xfId="7312"/>
    <cellStyle name="Comma 2 5 2 2 2 4 8 2" xfId="17815"/>
    <cellStyle name="Comma 2 5 2 2 2 4 8 2 2" xfId="38864"/>
    <cellStyle name="Comma 2 5 2 2 2 4 8 3" xfId="32441"/>
    <cellStyle name="Comma 2 5 2 2 2 4 9" xfId="16176"/>
    <cellStyle name="Comma 2 5 2 2 2 4 9 2" xfId="35657"/>
    <cellStyle name="Comma 2 5 2 2 2 5" xfId="2358"/>
    <cellStyle name="Comma 2 5 2 2 2 5 10" xfId="21027"/>
    <cellStyle name="Comma 2 5 2 2 2 5 11" xfId="29239"/>
    <cellStyle name="Comma 2 5 2 2 2 5 12" xfId="42046"/>
    <cellStyle name="Comma 2 5 2 2 2 5 2" xfId="3217"/>
    <cellStyle name="Comma 2 5 2 2 2 5 2 2" xfId="11170"/>
    <cellStyle name="Comma 2 5 2 2 2 5 2 2 2" xfId="19969"/>
    <cellStyle name="Comma 2 5 2 2 2 5 2 2 2 2" xfId="41012"/>
    <cellStyle name="Comma 2 5 2 2 2 5 2 2 2 3" xfId="34589"/>
    <cellStyle name="Comma 2 5 2 2 2 5 2 2 3" xfId="22168"/>
    <cellStyle name="Comma 2 5 2 2 2 5 2 2 3 2" xfId="37805"/>
    <cellStyle name="Comma 2 5 2 2 2 5 2 2 4" xfId="31382"/>
    <cellStyle name="Comma 2 5 2 2 2 5 2 2 5" xfId="43147"/>
    <cellStyle name="Comma 2 5 2 2 2 5 2 3" xfId="8402"/>
    <cellStyle name="Comma 2 5 2 2 2 5 2 3 2" xfId="18862"/>
    <cellStyle name="Comma 2 5 2 2 2 5 2 3 2 2" xfId="39905"/>
    <cellStyle name="Comma 2 5 2 2 2 5 2 3 2 3" xfId="33482"/>
    <cellStyle name="Comma 2 5 2 2 2 5 2 3 3" xfId="23352"/>
    <cellStyle name="Comma 2 5 2 2 2 5 2 3 3 2" xfId="36698"/>
    <cellStyle name="Comma 2 5 2 2 2 5 2 3 4" xfId="30275"/>
    <cellStyle name="Comma 2 5 2 2 2 5 2 3 5" xfId="44181"/>
    <cellStyle name="Comma 2 5 2 2 2 5 2 4" xfId="7318"/>
    <cellStyle name="Comma 2 5 2 2 2 5 2 4 2" xfId="17821"/>
    <cellStyle name="Comma 2 5 2 2 2 5 2 4 2 2" xfId="38870"/>
    <cellStyle name="Comma 2 5 2 2 2 5 2 4 3" xfId="32447"/>
    <cellStyle name="Comma 2 5 2 2 2 5 2 5" xfId="16406"/>
    <cellStyle name="Comma 2 5 2 2 2 5 2 5 2" xfId="35663"/>
    <cellStyle name="Comma 2 5 2 2 2 5 2 6" xfId="21028"/>
    <cellStyle name="Comma 2 5 2 2 2 5 2 7" xfId="29240"/>
    <cellStyle name="Comma 2 5 2 2 2 5 2 8" xfId="42047"/>
    <cellStyle name="Comma 2 5 2 2 2 5 3" xfId="4083"/>
    <cellStyle name="Comma 2 5 2 2 2 5 3 2" xfId="11171"/>
    <cellStyle name="Comma 2 5 2 2 2 5 3 2 2" xfId="19970"/>
    <cellStyle name="Comma 2 5 2 2 2 5 3 2 2 2" xfId="41013"/>
    <cellStyle name="Comma 2 5 2 2 2 5 3 2 2 3" xfId="34590"/>
    <cellStyle name="Comma 2 5 2 2 2 5 3 2 3" xfId="22169"/>
    <cellStyle name="Comma 2 5 2 2 2 5 3 2 3 2" xfId="37806"/>
    <cellStyle name="Comma 2 5 2 2 2 5 3 2 4" xfId="31383"/>
    <cellStyle name="Comma 2 5 2 2 2 5 3 2 5" xfId="43148"/>
    <cellStyle name="Comma 2 5 2 2 2 5 3 3" xfId="8403"/>
    <cellStyle name="Comma 2 5 2 2 2 5 3 3 2" xfId="18863"/>
    <cellStyle name="Comma 2 5 2 2 2 5 3 3 2 2" xfId="39906"/>
    <cellStyle name="Comma 2 5 2 2 2 5 3 3 2 3" xfId="33483"/>
    <cellStyle name="Comma 2 5 2 2 2 5 3 3 3" xfId="23353"/>
    <cellStyle name="Comma 2 5 2 2 2 5 3 3 3 2" xfId="36699"/>
    <cellStyle name="Comma 2 5 2 2 2 5 3 3 4" xfId="30276"/>
    <cellStyle name="Comma 2 5 2 2 2 5 3 3 5" xfId="44182"/>
    <cellStyle name="Comma 2 5 2 2 2 5 3 4" xfId="7319"/>
    <cellStyle name="Comma 2 5 2 2 2 5 3 4 2" xfId="17822"/>
    <cellStyle name="Comma 2 5 2 2 2 5 3 4 2 2" xfId="38871"/>
    <cellStyle name="Comma 2 5 2 2 2 5 3 4 3" xfId="32448"/>
    <cellStyle name="Comma 2 5 2 2 2 5 3 5" xfId="16594"/>
    <cellStyle name="Comma 2 5 2 2 2 5 3 5 2" xfId="35664"/>
    <cellStyle name="Comma 2 5 2 2 2 5 3 6" xfId="21029"/>
    <cellStyle name="Comma 2 5 2 2 2 5 3 7" xfId="29241"/>
    <cellStyle name="Comma 2 5 2 2 2 5 3 8" xfId="42048"/>
    <cellStyle name="Comma 2 5 2 2 2 5 4" xfId="4962"/>
    <cellStyle name="Comma 2 5 2 2 2 5 4 2" xfId="11172"/>
    <cellStyle name="Comma 2 5 2 2 2 5 4 2 2" xfId="19971"/>
    <cellStyle name="Comma 2 5 2 2 2 5 4 2 2 2" xfId="41014"/>
    <cellStyle name="Comma 2 5 2 2 2 5 4 2 2 3" xfId="34591"/>
    <cellStyle name="Comma 2 5 2 2 2 5 4 2 3" xfId="22170"/>
    <cellStyle name="Comma 2 5 2 2 2 5 4 2 3 2" xfId="37807"/>
    <cellStyle name="Comma 2 5 2 2 2 5 4 2 4" xfId="31384"/>
    <cellStyle name="Comma 2 5 2 2 2 5 4 2 5" xfId="43149"/>
    <cellStyle name="Comma 2 5 2 2 2 5 4 3" xfId="8404"/>
    <cellStyle name="Comma 2 5 2 2 2 5 4 3 2" xfId="18864"/>
    <cellStyle name="Comma 2 5 2 2 2 5 4 3 2 2" xfId="39907"/>
    <cellStyle name="Comma 2 5 2 2 2 5 4 3 2 3" xfId="33484"/>
    <cellStyle name="Comma 2 5 2 2 2 5 4 3 3" xfId="23354"/>
    <cellStyle name="Comma 2 5 2 2 2 5 4 3 3 2" xfId="36700"/>
    <cellStyle name="Comma 2 5 2 2 2 5 4 3 4" xfId="30277"/>
    <cellStyle name="Comma 2 5 2 2 2 5 4 3 5" xfId="44183"/>
    <cellStyle name="Comma 2 5 2 2 2 5 4 4" xfId="7320"/>
    <cellStyle name="Comma 2 5 2 2 2 5 4 4 2" xfId="17823"/>
    <cellStyle name="Comma 2 5 2 2 2 5 4 4 2 2" xfId="38872"/>
    <cellStyle name="Comma 2 5 2 2 2 5 4 4 3" xfId="32449"/>
    <cellStyle name="Comma 2 5 2 2 2 5 4 5" xfId="16782"/>
    <cellStyle name="Comma 2 5 2 2 2 5 4 5 2" xfId="35665"/>
    <cellStyle name="Comma 2 5 2 2 2 5 4 6" xfId="21030"/>
    <cellStyle name="Comma 2 5 2 2 2 5 4 7" xfId="29242"/>
    <cellStyle name="Comma 2 5 2 2 2 5 4 8" xfId="42049"/>
    <cellStyle name="Comma 2 5 2 2 2 5 5" xfId="6227"/>
    <cellStyle name="Comma 2 5 2 2 2 5 5 2" xfId="11173"/>
    <cellStyle name="Comma 2 5 2 2 2 5 5 2 2" xfId="19972"/>
    <cellStyle name="Comma 2 5 2 2 2 5 5 2 2 2" xfId="41015"/>
    <cellStyle name="Comma 2 5 2 2 2 5 5 2 2 3" xfId="34592"/>
    <cellStyle name="Comma 2 5 2 2 2 5 5 2 3" xfId="22171"/>
    <cellStyle name="Comma 2 5 2 2 2 5 5 2 3 2" xfId="37808"/>
    <cellStyle name="Comma 2 5 2 2 2 5 5 2 4" xfId="31385"/>
    <cellStyle name="Comma 2 5 2 2 2 5 5 2 5" xfId="43150"/>
    <cellStyle name="Comma 2 5 2 2 2 5 5 3" xfId="8405"/>
    <cellStyle name="Comma 2 5 2 2 2 5 5 3 2" xfId="18865"/>
    <cellStyle name="Comma 2 5 2 2 2 5 5 3 2 2" xfId="39908"/>
    <cellStyle name="Comma 2 5 2 2 2 5 5 3 2 3" xfId="33485"/>
    <cellStyle name="Comma 2 5 2 2 2 5 5 3 3" xfId="23355"/>
    <cellStyle name="Comma 2 5 2 2 2 5 5 3 3 2" xfId="36701"/>
    <cellStyle name="Comma 2 5 2 2 2 5 5 3 4" xfId="30278"/>
    <cellStyle name="Comma 2 5 2 2 2 5 5 3 5" xfId="44184"/>
    <cellStyle name="Comma 2 5 2 2 2 5 5 4" xfId="7321"/>
    <cellStyle name="Comma 2 5 2 2 2 5 5 4 2" xfId="17824"/>
    <cellStyle name="Comma 2 5 2 2 2 5 5 4 2 2" xfId="38873"/>
    <cellStyle name="Comma 2 5 2 2 2 5 5 4 3" xfId="32450"/>
    <cellStyle name="Comma 2 5 2 2 2 5 5 5" xfId="17070"/>
    <cellStyle name="Comma 2 5 2 2 2 5 5 5 2" xfId="35666"/>
    <cellStyle name="Comma 2 5 2 2 2 5 5 6" xfId="21031"/>
    <cellStyle name="Comma 2 5 2 2 2 5 5 7" xfId="29243"/>
    <cellStyle name="Comma 2 5 2 2 2 5 5 8" xfId="42050"/>
    <cellStyle name="Comma 2 5 2 2 2 5 6" xfId="11169"/>
    <cellStyle name="Comma 2 5 2 2 2 5 6 2" xfId="19968"/>
    <cellStyle name="Comma 2 5 2 2 2 5 6 2 2" xfId="41011"/>
    <cellStyle name="Comma 2 5 2 2 2 5 6 2 3" xfId="34588"/>
    <cellStyle name="Comma 2 5 2 2 2 5 6 3" xfId="22167"/>
    <cellStyle name="Comma 2 5 2 2 2 5 6 3 2" xfId="37804"/>
    <cellStyle name="Comma 2 5 2 2 2 5 6 4" xfId="31381"/>
    <cellStyle name="Comma 2 5 2 2 2 5 6 5" xfId="43146"/>
    <cellStyle name="Comma 2 5 2 2 2 5 7" xfId="8401"/>
    <cellStyle name="Comma 2 5 2 2 2 5 7 2" xfId="18861"/>
    <cellStyle name="Comma 2 5 2 2 2 5 7 2 2" xfId="39904"/>
    <cellStyle name="Comma 2 5 2 2 2 5 7 2 3" xfId="33481"/>
    <cellStyle name="Comma 2 5 2 2 2 5 7 3" xfId="23351"/>
    <cellStyle name="Comma 2 5 2 2 2 5 7 3 2" xfId="36697"/>
    <cellStyle name="Comma 2 5 2 2 2 5 7 4" xfId="30274"/>
    <cellStyle name="Comma 2 5 2 2 2 5 7 5" xfId="44180"/>
    <cellStyle name="Comma 2 5 2 2 2 5 8" xfId="7317"/>
    <cellStyle name="Comma 2 5 2 2 2 5 8 2" xfId="17820"/>
    <cellStyle name="Comma 2 5 2 2 2 5 8 2 2" xfId="38869"/>
    <cellStyle name="Comma 2 5 2 2 2 5 8 3" xfId="32446"/>
    <cellStyle name="Comma 2 5 2 2 2 5 9" xfId="16218"/>
    <cellStyle name="Comma 2 5 2 2 2 5 9 2" xfId="35662"/>
    <cellStyle name="Comma 2 5 2 2 2 6" xfId="2482"/>
    <cellStyle name="Comma 2 5 2 2 2 6 2" xfId="11174"/>
    <cellStyle name="Comma 2 5 2 2 2 6 2 2" xfId="19973"/>
    <cellStyle name="Comma 2 5 2 2 2 6 2 2 2" xfId="41016"/>
    <cellStyle name="Comma 2 5 2 2 2 6 2 2 3" xfId="34593"/>
    <cellStyle name="Comma 2 5 2 2 2 6 2 3" xfId="22172"/>
    <cellStyle name="Comma 2 5 2 2 2 6 2 3 2" xfId="37809"/>
    <cellStyle name="Comma 2 5 2 2 2 6 2 4" xfId="31386"/>
    <cellStyle name="Comma 2 5 2 2 2 6 2 5" xfId="43151"/>
    <cellStyle name="Comma 2 5 2 2 2 6 3" xfId="8406"/>
    <cellStyle name="Comma 2 5 2 2 2 6 3 2" xfId="18866"/>
    <cellStyle name="Comma 2 5 2 2 2 6 3 2 2" xfId="39909"/>
    <cellStyle name="Comma 2 5 2 2 2 6 3 2 3" xfId="33486"/>
    <cellStyle name="Comma 2 5 2 2 2 6 3 3" xfId="23356"/>
    <cellStyle name="Comma 2 5 2 2 2 6 3 3 2" xfId="36702"/>
    <cellStyle name="Comma 2 5 2 2 2 6 3 4" xfId="30279"/>
    <cellStyle name="Comma 2 5 2 2 2 6 3 5" xfId="44185"/>
    <cellStyle name="Comma 2 5 2 2 2 6 4" xfId="7322"/>
    <cellStyle name="Comma 2 5 2 2 2 6 4 2" xfId="17825"/>
    <cellStyle name="Comma 2 5 2 2 2 6 4 2 2" xfId="38874"/>
    <cellStyle name="Comma 2 5 2 2 2 6 4 3" xfId="32451"/>
    <cellStyle name="Comma 2 5 2 2 2 6 5" xfId="16257"/>
    <cellStyle name="Comma 2 5 2 2 2 6 5 2" xfId="35667"/>
    <cellStyle name="Comma 2 5 2 2 2 6 6" xfId="21032"/>
    <cellStyle name="Comma 2 5 2 2 2 6 7" xfId="29244"/>
    <cellStyle name="Comma 2 5 2 2 2 6 8" xfId="42051"/>
    <cellStyle name="Comma 2 5 2 2 2 7" xfId="3345"/>
    <cellStyle name="Comma 2 5 2 2 2 7 2" xfId="11175"/>
    <cellStyle name="Comma 2 5 2 2 2 7 2 2" xfId="19974"/>
    <cellStyle name="Comma 2 5 2 2 2 7 2 2 2" xfId="41017"/>
    <cellStyle name="Comma 2 5 2 2 2 7 2 2 3" xfId="34594"/>
    <cellStyle name="Comma 2 5 2 2 2 7 2 3" xfId="22173"/>
    <cellStyle name="Comma 2 5 2 2 2 7 2 3 2" xfId="37810"/>
    <cellStyle name="Comma 2 5 2 2 2 7 2 4" xfId="31387"/>
    <cellStyle name="Comma 2 5 2 2 2 7 2 5" xfId="43152"/>
    <cellStyle name="Comma 2 5 2 2 2 7 3" xfId="8407"/>
    <cellStyle name="Comma 2 5 2 2 2 7 3 2" xfId="18867"/>
    <cellStyle name="Comma 2 5 2 2 2 7 3 2 2" xfId="39910"/>
    <cellStyle name="Comma 2 5 2 2 2 7 3 2 3" xfId="33487"/>
    <cellStyle name="Comma 2 5 2 2 2 7 3 3" xfId="23357"/>
    <cellStyle name="Comma 2 5 2 2 2 7 3 3 2" xfId="36703"/>
    <cellStyle name="Comma 2 5 2 2 2 7 3 4" xfId="30280"/>
    <cellStyle name="Comma 2 5 2 2 2 7 3 5" xfId="44186"/>
    <cellStyle name="Comma 2 5 2 2 2 7 4" xfId="7323"/>
    <cellStyle name="Comma 2 5 2 2 2 7 4 2" xfId="17826"/>
    <cellStyle name="Comma 2 5 2 2 2 7 4 2 2" xfId="38875"/>
    <cellStyle name="Comma 2 5 2 2 2 7 4 3" xfId="32452"/>
    <cellStyle name="Comma 2 5 2 2 2 7 5" xfId="16445"/>
    <cellStyle name="Comma 2 5 2 2 2 7 5 2" xfId="35668"/>
    <cellStyle name="Comma 2 5 2 2 2 7 6" xfId="21033"/>
    <cellStyle name="Comma 2 5 2 2 2 7 7" xfId="29245"/>
    <cellStyle name="Comma 2 5 2 2 2 7 8" xfId="42052"/>
    <cellStyle name="Comma 2 5 2 2 2 8" xfId="4213"/>
    <cellStyle name="Comma 2 5 2 2 2 8 2" xfId="11176"/>
    <cellStyle name="Comma 2 5 2 2 2 8 2 2" xfId="19975"/>
    <cellStyle name="Comma 2 5 2 2 2 8 2 2 2" xfId="41018"/>
    <cellStyle name="Comma 2 5 2 2 2 8 2 2 3" xfId="34595"/>
    <cellStyle name="Comma 2 5 2 2 2 8 2 3" xfId="22174"/>
    <cellStyle name="Comma 2 5 2 2 2 8 2 3 2" xfId="37811"/>
    <cellStyle name="Comma 2 5 2 2 2 8 2 4" xfId="31388"/>
    <cellStyle name="Comma 2 5 2 2 2 8 2 5" xfId="43153"/>
    <cellStyle name="Comma 2 5 2 2 2 8 3" xfId="8408"/>
    <cellStyle name="Comma 2 5 2 2 2 8 3 2" xfId="18868"/>
    <cellStyle name="Comma 2 5 2 2 2 8 3 2 2" xfId="39911"/>
    <cellStyle name="Comma 2 5 2 2 2 8 3 2 3" xfId="33488"/>
    <cellStyle name="Comma 2 5 2 2 2 8 3 3" xfId="23358"/>
    <cellStyle name="Comma 2 5 2 2 2 8 3 3 2" xfId="36704"/>
    <cellStyle name="Comma 2 5 2 2 2 8 3 4" xfId="30281"/>
    <cellStyle name="Comma 2 5 2 2 2 8 3 5" xfId="44187"/>
    <cellStyle name="Comma 2 5 2 2 2 8 4" xfId="7324"/>
    <cellStyle name="Comma 2 5 2 2 2 8 4 2" xfId="17827"/>
    <cellStyle name="Comma 2 5 2 2 2 8 4 2 2" xfId="38876"/>
    <cellStyle name="Comma 2 5 2 2 2 8 4 3" xfId="32453"/>
    <cellStyle name="Comma 2 5 2 2 2 8 5" xfId="16633"/>
    <cellStyle name="Comma 2 5 2 2 2 8 5 2" xfId="35669"/>
    <cellStyle name="Comma 2 5 2 2 2 8 6" xfId="21034"/>
    <cellStyle name="Comma 2 5 2 2 2 8 7" xfId="29246"/>
    <cellStyle name="Comma 2 5 2 2 2 8 8" xfId="42053"/>
    <cellStyle name="Comma 2 5 2 2 2 9" xfId="5036"/>
    <cellStyle name="Comma 2 5 2 2 2 9 2" xfId="11177"/>
    <cellStyle name="Comma 2 5 2 2 2 9 2 2" xfId="19976"/>
    <cellStyle name="Comma 2 5 2 2 2 9 2 2 2" xfId="41019"/>
    <cellStyle name="Comma 2 5 2 2 2 9 2 2 3" xfId="34596"/>
    <cellStyle name="Comma 2 5 2 2 2 9 2 3" xfId="22175"/>
    <cellStyle name="Comma 2 5 2 2 2 9 2 3 2" xfId="37812"/>
    <cellStyle name="Comma 2 5 2 2 2 9 2 4" xfId="31389"/>
    <cellStyle name="Comma 2 5 2 2 2 9 2 5" xfId="43154"/>
    <cellStyle name="Comma 2 5 2 2 2 9 3" xfId="8409"/>
    <cellStyle name="Comma 2 5 2 2 2 9 3 2" xfId="18869"/>
    <cellStyle name="Comma 2 5 2 2 2 9 3 2 2" xfId="39912"/>
    <cellStyle name="Comma 2 5 2 2 2 9 3 2 3" xfId="33489"/>
    <cellStyle name="Comma 2 5 2 2 2 9 3 3" xfId="23359"/>
    <cellStyle name="Comma 2 5 2 2 2 9 3 3 2" xfId="36705"/>
    <cellStyle name="Comma 2 5 2 2 2 9 3 4" xfId="30282"/>
    <cellStyle name="Comma 2 5 2 2 2 9 3 5" xfId="44188"/>
    <cellStyle name="Comma 2 5 2 2 2 9 4" xfId="7325"/>
    <cellStyle name="Comma 2 5 2 2 2 9 4 2" xfId="17828"/>
    <cellStyle name="Comma 2 5 2 2 2 9 4 2 2" xfId="38877"/>
    <cellStyle name="Comma 2 5 2 2 2 9 4 3" xfId="32454"/>
    <cellStyle name="Comma 2 5 2 2 2 9 5" xfId="16851"/>
    <cellStyle name="Comma 2 5 2 2 2 9 5 2" xfId="35670"/>
    <cellStyle name="Comma 2 5 2 2 2 9 6" xfId="21035"/>
    <cellStyle name="Comma 2 5 2 2 2 9 7" xfId="29247"/>
    <cellStyle name="Comma 2 5 2 2 2 9 8" xfId="42054"/>
    <cellStyle name="Comma 2 5 2 2 3" xfId="1490"/>
    <cellStyle name="Comma 2 5 2 2 3 10" xfId="8410"/>
    <cellStyle name="Comma 2 5 2 2 3 10 2" xfId="18870"/>
    <cellStyle name="Comma 2 5 2 2 3 10 2 2" xfId="39913"/>
    <cellStyle name="Comma 2 5 2 2 3 10 2 3" xfId="33490"/>
    <cellStyle name="Comma 2 5 2 2 3 10 3" xfId="23360"/>
    <cellStyle name="Comma 2 5 2 2 3 10 3 2" xfId="36706"/>
    <cellStyle name="Comma 2 5 2 2 3 10 4" xfId="30283"/>
    <cellStyle name="Comma 2 5 2 2 3 10 5" xfId="44189"/>
    <cellStyle name="Comma 2 5 2 2 3 11" xfId="6659"/>
    <cellStyle name="Comma 2 5 2 2 3 11 2" xfId="17166"/>
    <cellStyle name="Comma 2 5 2 2 3 11 2 2" xfId="38219"/>
    <cellStyle name="Comma 2 5 2 2 3 11 3" xfId="31796"/>
    <cellStyle name="Comma 2 5 2 2 3 12" xfId="16060"/>
    <cellStyle name="Comma 2 5 2 2 3 12 2" xfId="35012"/>
    <cellStyle name="Comma 2 5 2 2 3 13" xfId="21036"/>
    <cellStyle name="Comma 2 5 2 2 3 14" xfId="28587"/>
    <cellStyle name="Comma 2 5 2 2 3 15" xfId="42055"/>
    <cellStyle name="Comma 2 5 2 2 3 2" xfId="1844"/>
    <cellStyle name="Comma 2 5 2 2 3 2 10" xfId="16122"/>
    <cellStyle name="Comma 2 5 2 2 3 2 10 2" xfId="35013"/>
    <cellStyle name="Comma 2 5 2 2 3 2 11" xfId="21037"/>
    <cellStyle name="Comma 2 5 2 2 3 2 12" xfId="28588"/>
    <cellStyle name="Comma 2 5 2 2 3 2 13" xfId="42056"/>
    <cellStyle name="Comma 2 5 2 2 3 2 2" xfId="2734"/>
    <cellStyle name="Comma 2 5 2 2 3 2 2 2" xfId="11178"/>
    <cellStyle name="Comma 2 5 2 2 3 2 2 2 2" xfId="19977"/>
    <cellStyle name="Comma 2 5 2 2 3 2 2 2 2 2" xfId="41020"/>
    <cellStyle name="Comma 2 5 2 2 3 2 2 2 2 3" xfId="34597"/>
    <cellStyle name="Comma 2 5 2 2 3 2 2 2 3" xfId="22176"/>
    <cellStyle name="Comma 2 5 2 2 3 2 2 2 3 2" xfId="37813"/>
    <cellStyle name="Comma 2 5 2 2 3 2 2 2 4" xfId="31390"/>
    <cellStyle name="Comma 2 5 2 2 3 2 2 2 5" xfId="43155"/>
    <cellStyle name="Comma 2 5 2 2 3 2 2 3" xfId="8412"/>
    <cellStyle name="Comma 2 5 2 2 3 2 2 3 2" xfId="18872"/>
    <cellStyle name="Comma 2 5 2 2 3 2 2 3 2 2" xfId="39915"/>
    <cellStyle name="Comma 2 5 2 2 3 2 2 3 2 3" xfId="33492"/>
    <cellStyle name="Comma 2 5 2 2 3 2 2 3 3" xfId="23362"/>
    <cellStyle name="Comma 2 5 2 2 3 2 2 3 3 2" xfId="36708"/>
    <cellStyle name="Comma 2 5 2 2 3 2 2 3 4" xfId="30285"/>
    <cellStyle name="Comma 2 5 2 2 3 2 2 3 5" xfId="44191"/>
    <cellStyle name="Comma 2 5 2 2 3 2 2 4" xfId="7326"/>
    <cellStyle name="Comma 2 5 2 2 3 2 2 4 2" xfId="17829"/>
    <cellStyle name="Comma 2 5 2 2 3 2 2 4 2 2" xfId="38878"/>
    <cellStyle name="Comma 2 5 2 2 3 2 2 4 3" xfId="32455"/>
    <cellStyle name="Comma 2 5 2 2 3 2 2 5" xfId="16312"/>
    <cellStyle name="Comma 2 5 2 2 3 2 2 5 2" xfId="35671"/>
    <cellStyle name="Comma 2 5 2 2 3 2 2 6" xfId="21038"/>
    <cellStyle name="Comma 2 5 2 2 3 2 2 7" xfId="29248"/>
    <cellStyle name="Comma 2 5 2 2 3 2 2 8" xfId="42057"/>
    <cellStyle name="Comma 2 5 2 2 3 2 3" xfId="3598"/>
    <cellStyle name="Comma 2 5 2 2 3 2 3 2" xfId="11179"/>
    <cellStyle name="Comma 2 5 2 2 3 2 3 2 2" xfId="19978"/>
    <cellStyle name="Comma 2 5 2 2 3 2 3 2 2 2" xfId="41021"/>
    <cellStyle name="Comma 2 5 2 2 3 2 3 2 2 3" xfId="34598"/>
    <cellStyle name="Comma 2 5 2 2 3 2 3 2 3" xfId="22177"/>
    <cellStyle name="Comma 2 5 2 2 3 2 3 2 3 2" xfId="37814"/>
    <cellStyle name="Comma 2 5 2 2 3 2 3 2 4" xfId="31391"/>
    <cellStyle name="Comma 2 5 2 2 3 2 3 2 5" xfId="43156"/>
    <cellStyle name="Comma 2 5 2 2 3 2 3 3" xfId="8413"/>
    <cellStyle name="Comma 2 5 2 2 3 2 3 3 2" xfId="18873"/>
    <cellStyle name="Comma 2 5 2 2 3 2 3 3 2 2" xfId="39916"/>
    <cellStyle name="Comma 2 5 2 2 3 2 3 3 2 3" xfId="33493"/>
    <cellStyle name="Comma 2 5 2 2 3 2 3 3 3" xfId="23363"/>
    <cellStyle name="Comma 2 5 2 2 3 2 3 3 3 2" xfId="36709"/>
    <cellStyle name="Comma 2 5 2 2 3 2 3 3 4" xfId="30286"/>
    <cellStyle name="Comma 2 5 2 2 3 2 3 3 5" xfId="44192"/>
    <cellStyle name="Comma 2 5 2 2 3 2 3 4" xfId="7327"/>
    <cellStyle name="Comma 2 5 2 2 3 2 3 4 2" xfId="17830"/>
    <cellStyle name="Comma 2 5 2 2 3 2 3 4 2 2" xfId="38879"/>
    <cellStyle name="Comma 2 5 2 2 3 2 3 4 3" xfId="32456"/>
    <cellStyle name="Comma 2 5 2 2 3 2 3 5" xfId="16500"/>
    <cellStyle name="Comma 2 5 2 2 3 2 3 5 2" xfId="35672"/>
    <cellStyle name="Comma 2 5 2 2 3 2 3 6" xfId="21039"/>
    <cellStyle name="Comma 2 5 2 2 3 2 3 7" xfId="29249"/>
    <cellStyle name="Comma 2 5 2 2 3 2 3 8" xfId="42058"/>
    <cellStyle name="Comma 2 5 2 2 3 2 4" xfId="4473"/>
    <cellStyle name="Comma 2 5 2 2 3 2 4 2" xfId="11180"/>
    <cellStyle name="Comma 2 5 2 2 3 2 4 2 2" xfId="19979"/>
    <cellStyle name="Comma 2 5 2 2 3 2 4 2 2 2" xfId="41022"/>
    <cellStyle name="Comma 2 5 2 2 3 2 4 2 2 3" xfId="34599"/>
    <cellStyle name="Comma 2 5 2 2 3 2 4 2 3" xfId="22178"/>
    <cellStyle name="Comma 2 5 2 2 3 2 4 2 3 2" xfId="37815"/>
    <cellStyle name="Comma 2 5 2 2 3 2 4 2 4" xfId="31392"/>
    <cellStyle name="Comma 2 5 2 2 3 2 4 2 5" xfId="43157"/>
    <cellStyle name="Comma 2 5 2 2 3 2 4 3" xfId="8414"/>
    <cellStyle name="Comma 2 5 2 2 3 2 4 3 2" xfId="18874"/>
    <cellStyle name="Comma 2 5 2 2 3 2 4 3 2 2" xfId="39917"/>
    <cellStyle name="Comma 2 5 2 2 3 2 4 3 2 3" xfId="33494"/>
    <cellStyle name="Comma 2 5 2 2 3 2 4 3 3" xfId="23364"/>
    <cellStyle name="Comma 2 5 2 2 3 2 4 3 3 2" xfId="36710"/>
    <cellStyle name="Comma 2 5 2 2 3 2 4 3 4" xfId="30287"/>
    <cellStyle name="Comma 2 5 2 2 3 2 4 3 5" xfId="44193"/>
    <cellStyle name="Comma 2 5 2 2 3 2 4 4" xfId="7328"/>
    <cellStyle name="Comma 2 5 2 2 3 2 4 4 2" xfId="17831"/>
    <cellStyle name="Comma 2 5 2 2 3 2 4 4 2 2" xfId="38880"/>
    <cellStyle name="Comma 2 5 2 2 3 2 4 4 3" xfId="32457"/>
    <cellStyle name="Comma 2 5 2 2 3 2 4 5" xfId="16688"/>
    <cellStyle name="Comma 2 5 2 2 3 2 4 5 2" xfId="35673"/>
    <cellStyle name="Comma 2 5 2 2 3 2 4 6" xfId="21040"/>
    <cellStyle name="Comma 2 5 2 2 3 2 4 7" xfId="29250"/>
    <cellStyle name="Comma 2 5 2 2 3 2 4 8" xfId="42059"/>
    <cellStyle name="Comma 2 5 2 2 3 2 5" xfId="5041"/>
    <cellStyle name="Comma 2 5 2 2 3 2 5 2" xfId="11181"/>
    <cellStyle name="Comma 2 5 2 2 3 2 5 2 2" xfId="19980"/>
    <cellStyle name="Comma 2 5 2 2 3 2 5 2 2 2" xfId="41023"/>
    <cellStyle name="Comma 2 5 2 2 3 2 5 2 2 3" xfId="34600"/>
    <cellStyle name="Comma 2 5 2 2 3 2 5 2 3" xfId="22179"/>
    <cellStyle name="Comma 2 5 2 2 3 2 5 2 3 2" xfId="37816"/>
    <cellStyle name="Comma 2 5 2 2 3 2 5 2 4" xfId="31393"/>
    <cellStyle name="Comma 2 5 2 2 3 2 5 2 5" xfId="43158"/>
    <cellStyle name="Comma 2 5 2 2 3 2 5 3" xfId="8415"/>
    <cellStyle name="Comma 2 5 2 2 3 2 5 3 2" xfId="18875"/>
    <cellStyle name="Comma 2 5 2 2 3 2 5 3 2 2" xfId="39918"/>
    <cellStyle name="Comma 2 5 2 2 3 2 5 3 2 3" xfId="33495"/>
    <cellStyle name="Comma 2 5 2 2 3 2 5 3 3" xfId="23365"/>
    <cellStyle name="Comma 2 5 2 2 3 2 5 3 3 2" xfId="36711"/>
    <cellStyle name="Comma 2 5 2 2 3 2 5 3 4" xfId="30288"/>
    <cellStyle name="Comma 2 5 2 2 3 2 5 3 5" xfId="44194"/>
    <cellStyle name="Comma 2 5 2 2 3 2 5 4" xfId="7329"/>
    <cellStyle name="Comma 2 5 2 2 3 2 5 4 2" xfId="17832"/>
    <cellStyle name="Comma 2 5 2 2 3 2 5 4 2 2" xfId="38881"/>
    <cellStyle name="Comma 2 5 2 2 3 2 5 4 3" xfId="32458"/>
    <cellStyle name="Comma 2 5 2 2 3 2 5 5" xfId="16856"/>
    <cellStyle name="Comma 2 5 2 2 3 2 5 5 2" xfId="35674"/>
    <cellStyle name="Comma 2 5 2 2 3 2 5 6" xfId="21041"/>
    <cellStyle name="Comma 2 5 2 2 3 2 5 7" xfId="29251"/>
    <cellStyle name="Comma 2 5 2 2 3 2 5 8" xfId="42060"/>
    <cellStyle name="Comma 2 5 2 2 3 2 6" xfId="5738"/>
    <cellStyle name="Comma 2 5 2 2 3 2 6 2" xfId="11182"/>
    <cellStyle name="Comma 2 5 2 2 3 2 6 2 2" xfId="19981"/>
    <cellStyle name="Comma 2 5 2 2 3 2 6 2 2 2" xfId="41024"/>
    <cellStyle name="Comma 2 5 2 2 3 2 6 2 2 3" xfId="34601"/>
    <cellStyle name="Comma 2 5 2 2 3 2 6 2 3" xfId="22180"/>
    <cellStyle name="Comma 2 5 2 2 3 2 6 2 3 2" xfId="37817"/>
    <cellStyle name="Comma 2 5 2 2 3 2 6 2 4" xfId="31394"/>
    <cellStyle name="Comma 2 5 2 2 3 2 6 2 5" xfId="43159"/>
    <cellStyle name="Comma 2 5 2 2 3 2 6 3" xfId="8416"/>
    <cellStyle name="Comma 2 5 2 2 3 2 6 3 2" xfId="18876"/>
    <cellStyle name="Comma 2 5 2 2 3 2 6 3 2 2" xfId="39919"/>
    <cellStyle name="Comma 2 5 2 2 3 2 6 3 2 3" xfId="33496"/>
    <cellStyle name="Comma 2 5 2 2 3 2 6 3 3" xfId="23366"/>
    <cellStyle name="Comma 2 5 2 2 3 2 6 3 3 2" xfId="36712"/>
    <cellStyle name="Comma 2 5 2 2 3 2 6 3 4" xfId="30289"/>
    <cellStyle name="Comma 2 5 2 2 3 2 6 3 5" xfId="44195"/>
    <cellStyle name="Comma 2 5 2 2 3 2 6 4" xfId="7330"/>
    <cellStyle name="Comma 2 5 2 2 3 2 6 4 2" xfId="17833"/>
    <cellStyle name="Comma 2 5 2 2 3 2 6 4 2 2" xfId="38882"/>
    <cellStyle name="Comma 2 5 2 2 3 2 6 4 3" xfId="32459"/>
    <cellStyle name="Comma 2 5 2 2 3 2 6 5" xfId="16976"/>
    <cellStyle name="Comma 2 5 2 2 3 2 6 5 2" xfId="35675"/>
    <cellStyle name="Comma 2 5 2 2 3 2 6 6" xfId="21042"/>
    <cellStyle name="Comma 2 5 2 2 3 2 6 7" xfId="29252"/>
    <cellStyle name="Comma 2 5 2 2 3 2 6 8" xfId="42061"/>
    <cellStyle name="Comma 2 5 2 2 3 2 7" xfId="10261"/>
    <cellStyle name="Comma 2 5 2 2 3 2 7 2" xfId="19314"/>
    <cellStyle name="Comma 2 5 2 2 3 2 7 2 2" xfId="40357"/>
    <cellStyle name="Comma 2 5 2 2 3 2 7 2 3" xfId="33934"/>
    <cellStyle name="Comma 2 5 2 2 3 2 7 3" xfId="21514"/>
    <cellStyle name="Comma 2 5 2 2 3 2 7 3 2" xfId="37150"/>
    <cellStyle name="Comma 2 5 2 2 3 2 7 4" xfId="30727"/>
    <cellStyle name="Comma 2 5 2 2 3 2 7 5" xfId="42493"/>
    <cellStyle name="Comma 2 5 2 2 3 2 8" xfId="8411"/>
    <cellStyle name="Comma 2 5 2 2 3 2 8 2" xfId="18871"/>
    <cellStyle name="Comma 2 5 2 2 3 2 8 2 2" xfId="39914"/>
    <cellStyle name="Comma 2 5 2 2 3 2 8 2 3" xfId="33491"/>
    <cellStyle name="Comma 2 5 2 2 3 2 8 3" xfId="23361"/>
    <cellStyle name="Comma 2 5 2 2 3 2 8 3 2" xfId="36707"/>
    <cellStyle name="Comma 2 5 2 2 3 2 8 4" xfId="30284"/>
    <cellStyle name="Comma 2 5 2 2 3 2 8 5" xfId="44190"/>
    <cellStyle name="Comma 2 5 2 2 3 2 9" xfId="6660"/>
    <cellStyle name="Comma 2 5 2 2 3 2 9 2" xfId="17167"/>
    <cellStyle name="Comma 2 5 2 2 3 2 9 2 2" xfId="38220"/>
    <cellStyle name="Comma 2 5 2 2 3 2 9 3" xfId="31797"/>
    <cellStyle name="Comma 2 5 2 2 3 3" xfId="2119"/>
    <cellStyle name="Comma 2 5 2 2 3 3 10" xfId="21043"/>
    <cellStyle name="Comma 2 5 2 2 3 3 11" xfId="29253"/>
    <cellStyle name="Comma 2 5 2 2 3 3 12" xfId="42062"/>
    <cellStyle name="Comma 2 5 2 2 3 3 2" xfId="2989"/>
    <cellStyle name="Comma 2 5 2 2 3 3 2 2" xfId="11184"/>
    <cellStyle name="Comma 2 5 2 2 3 3 2 2 2" xfId="19983"/>
    <cellStyle name="Comma 2 5 2 2 3 3 2 2 2 2" xfId="41026"/>
    <cellStyle name="Comma 2 5 2 2 3 3 2 2 2 3" xfId="34603"/>
    <cellStyle name="Comma 2 5 2 2 3 3 2 2 3" xfId="22182"/>
    <cellStyle name="Comma 2 5 2 2 3 3 2 2 3 2" xfId="37819"/>
    <cellStyle name="Comma 2 5 2 2 3 3 2 2 4" xfId="31396"/>
    <cellStyle name="Comma 2 5 2 2 3 3 2 2 5" xfId="43161"/>
    <cellStyle name="Comma 2 5 2 2 3 3 2 3" xfId="8418"/>
    <cellStyle name="Comma 2 5 2 2 3 3 2 3 2" xfId="18878"/>
    <cellStyle name="Comma 2 5 2 2 3 3 2 3 2 2" xfId="39921"/>
    <cellStyle name="Comma 2 5 2 2 3 3 2 3 2 3" xfId="33498"/>
    <cellStyle name="Comma 2 5 2 2 3 3 2 3 3" xfId="23368"/>
    <cellStyle name="Comma 2 5 2 2 3 3 2 3 3 2" xfId="36714"/>
    <cellStyle name="Comma 2 5 2 2 3 3 2 3 4" xfId="30291"/>
    <cellStyle name="Comma 2 5 2 2 3 3 2 3 5" xfId="44197"/>
    <cellStyle name="Comma 2 5 2 2 3 3 2 4" xfId="7332"/>
    <cellStyle name="Comma 2 5 2 2 3 3 2 4 2" xfId="17835"/>
    <cellStyle name="Comma 2 5 2 2 3 3 2 4 2 2" xfId="38884"/>
    <cellStyle name="Comma 2 5 2 2 3 3 2 4 3" xfId="32461"/>
    <cellStyle name="Comma 2 5 2 2 3 3 2 5" xfId="16367"/>
    <cellStyle name="Comma 2 5 2 2 3 3 2 5 2" xfId="35677"/>
    <cellStyle name="Comma 2 5 2 2 3 3 2 6" xfId="21044"/>
    <cellStyle name="Comma 2 5 2 2 3 3 2 7" xfId="29254"/>
    <cellStyle name="Comma 2 5 2 2 3 3 2 8" xfId="42063"/>
    <cellStyle name="Comma 2 5 2 2 3 3 3" xfId="3859"/>
    <cellStyle name="Comma 2 5 2 2 3 3 3 2" xfId="11185"/>
    <cellStyle name="Comma 2 5 2 2 3 3 3 2 2" xfId="19984"/>
    <cellStyle name="Comma 2 5 2 2 3 3 3 2 2 2" xfId="41027"/>
    <cellStyle name="Comma 2 5 2 2 3 3 3 2 2 3" xfId="34604"/>
    <cellStyle name="Comma 2 5 2 2 3 3 3 2 3" xfId="22183"/>
    <cellStyle name="Comma 2 5 2 2 3 3 3 2 3 2" xfId="37820"/>
    <cellStyle name="Comma 2 5 2 2 3 3 3 2 4" xfId="31397"/>
    <cellStyle name="Comma 2 5 2 2 3 3 3 2 5" xfId="43162"/>
    <cellStyle name="Comma 2 5 2 2 3 3 3 3" xfId="8419"/>
    <cellStyle name="Comma 2 5 2 2 3 3 3 3 2" xfId="18879"/>
    <cellStyle name="Comma 2 5 2 2 3 3 3 3 2 2" xfId="39922"/>
    <cellStyle name="Comma 2 5 2 2 3 3 3 3 2 3" xfId="33499"/>
    <cellStyle name="Comma 2 5 2 2 3 3 3 3 3" xfId="23369"/>
    <cellStyle name="Comma 2 5 2 2 3 3 3 3 3 2" xfId="36715"/>
    <cellStyle name="Comma 2 5 2 2 3 3 3 3 4" xfId="30292"/>
    <cellStyle name="Comma 2 5 2 2 3 3 3 3 5" xfId="44198"/>
    <cellStyle name="Comma 2 5 2 2 3 3 3 4" xfId="7333"/>
    <cellStyle name="Comma 2 5 2 2 3 3 3 4 2" xfId="17836"/>
    <cellStyle name="Comma 2 5 2 2 3 3 3 4 2 2" xfId="38885"/>
    <cellStyle name="Comma 2 5 2 2 3 3 3 4 3" xfId="32462"/>
    <cellStyle name="Comma 2 5 2 2 3 3 3 5" xfId="16555"/>
    <cellStyle name="Comma 2 5 2 2 3 3 3 5 2" xfId="35678"/>
    <cellStyle name="Comma 2 5 2 2 3 3 3 6" xfId="21045"/>
    <cellStyle name="Comma 2 5 2 2 3 3 3 7" xfId="29255"/>
    <cellStyle name="Comma 2 5 2 2 3 3 3 8" xfId="42064"/>
    <cellStyle name="Comma 2 5 2 2 3 3 4" xfId="4737"/>
    <cellStyle name="Comma 2 5 2 2 3 3 4 2" xfId="11186"/>
    <cellStyle name="Comma 2 5 2 2 3 3 4 2 2" xfId="19985"/>
    <cellStyle name="Comma 2 5 2 2 3 3 4 2 2 2" xfId="41028"/>
    <cellStyle name="Comma 2 5 2 2 3 3 4 2 2 3" xfId="34605"/>
    <cellStyle name="Comma 2 5 2 2 3 3 4 2 3" xfId="22184"/>
    <cellStyle name="Comma 2 5 2 2 3 3 4 2 3 2" xfId="37821"/>
    <cellStyle name="Comma 2 5 2 2 3 3 4 2 4" xfId="31398"/>
    <cellStyle name="Comma 2 5 2 2 3 3 4 2 5" xfId="43163"/>
    <cellStyle name="Comma 2 5 2 2 3 3 4 3" xfId="8420"/>
    <cellStyle name="Comma 2 5 2 2 3 3 4 3 2" xfId="18880"/>
    <cellStyle name="Comma 2 5 2 2 3 3 4 3 2 2" xfId="39923"/>
    <cellStyle name="Comma 2 5 2 2 3 3 4 3 2 3" xfId="33500"/>
    <cellStyle name="Comma 2 5 2 2 3 3 4 3 3" xfId="23370"/>
    <cellStyle name="Comma 2 5 2 2 3 3 4 3 3 2" xfId="36716"/>
    <cellStyle name="Comma 2 5 2 2 3 3 4 3 4" xfId="30293"/>
    <cellStyle name="Comma 2 5 2 2 3 3 4 3 5" xfId="44199"/>
    <cellStyle name="Comma 2 5 2 2 3 3 4 4" xfId="7334"/>
    <cellStyle name="Comma 2 5 2 2 3 3 4 4 2" xfId="17837"/>
    <cellStyle name="Comma 2 5 2 2 3 3 4 4 2 2" xfId="38886"/>
    <cellStyle name="Comma 2 5 2 2 3 3 4 4 3" xfId="32463"/>
    <cellStyle name="Comma 2 5 2 2 3 3 4 5" xfId="16743"/>
    <cellStyle name="Comma 2 5 2 2 3 3 4 5 2" xfId="35679"/>
    <cellStyle name="Comma 2 5 2 2 3 3 4 6" xfId="21046"/>
    <cellStyle name="Comma 2 5 2 2 3 3 4 7" xfId="29256"/>
    <cellStyle name="Comma 2 5 2 2 3 3 4 8" xfId="42065"/>
    <cellStyle name="Comma 2 5 2 2 3 3 5" xfId="6002"/>
    <cellStyle name="Comma 2 5 2 2 3 3 5 2" xfId="11187"/>
    <cellStyle name="Comma 2 5 2 2 3 3 5 2 2" xfId="19986"/>
    <cellStyle name="Comma 2 5 2 2 3 3 5 2 2 2" xfId="41029"/>
    <cellStyle name="Comma 2 5 2 2 3 3 5 2 2 3" xfId="34606"/>
    <cellStyle name="Comma 2 5 2 2 3 3 5 2 3" xfId="22185"/>
    <cellStyle name="Comma 2 5 2 2 3 3 5 2 3 2" xfId="37822"/>
    <cellStyle name="Comma 2 5 2 2 3 3 5 2 4" xfId="31399"/>
    <cellStyle name="Comma 2 5 2 2 3 3 5 2 5" xfId="43164"/>
    <cellStyle name="Comma 2 5 2 2 3 3 5 3" xfId="8421"/>
    <cellStyle name="Comma 2 5 2 2 3 3 5 3 2" xfId="18881"/>
    <cellStyle name="Comma 2 5 2 2 3 3 5 3 2 2" xfId="39924"/>
    <cellStyle name="Comma 2 5 2 2 3 3 5 3 2 3" xfId="33501"/>
    <cellStyle name="Comma 2 5 2 2 3 3 5 3 3" xfId="23371"/>
    <cellStyle name="Comma 2 5 2 2 3 3 5 3 3 2" xfId="36717"/>
    <cellStyle name="Comma 2 5 2 2 3 3 5 3 4" xfId="30294"/>
    <cellStyle name="Comma 2 5 2 2 3 3 5 3 5" xfId="44200"/>
    <cellStyle name="Comma 2 5 2 2 3 3 5 4" xfId="7335"/>
    <cellStyle name="Comma 2 5 2 2 3 3 5 4 2" xfId="17838"/>
    <cellStyle name="Comma 2 5 2 2 3 3 5 4 2 2" xfId="38887"/>
    <cellStyle name="Comma 2 5 2 2 3 3 5 4 3" xfId="32464"/>
    <cellStyle name="Comma 2 5 2 2 3 3 5 5" xfId="17031"/>
    <cellStyle name="Comma 2 5 2 2 3 3 5 5 2" xfId="35680"/>
    <cellStyle name="Comma 2 5 2 2 3 3 5 6" xfId="21047"/>
    <cellStyle name="Comma 2 5 2 2 3 3 5 7" xfId="29257"/>
    <cellStyle name="Comma 2 5 2 2 3 3 5 8" xfId="42066"/>
    <cellStyle name="Comma 2 5 2 2 3 3 6" xfId="11183"/>
    <cellStyle name="Comma 2 5 2 2 3 3 6 2" xfId="19982"/>
    <cellStyle name="Comma 2 5 2 2 3 3 6 2 2" xfId="41025"/>
    <cellStyle name="Comma 2 5 2 2 3 3 6 2 3" xfId="34602"/>
    <cellStyle name="Comma 2 5 2 2 3 3 6 3" xfId="22181"/>
    <cellStyle name="Comma 2 5 2 2 3 3 6 3 2" xfId="37818"/>
    <cellStyle name="Comma 2 5 2 2 3 3 6 4" xfId="31395"/>
    <cellStyle name="Comma 2 5 2 2 3 3 6 5" xfId="43160"/>
    <cellStyle name="Comma 2 5 2 2 3 3 7" xfId="8417"/>
    <cellStyle name="Comma 2 5 2 2 3 3 7 2" xfId="18877"/>
    <cellStyle name="Comma 2 5 2 2 3 3 7 2 2" xfId="39920"/>
    <cellStyle name="Comma 2 5 2 2 3 3 7 2 3" xfId="33497"/>
    <cellStyle name="Comma 2 5 2 2 3 3 7 3" xfId="23367"/>
    <cellStyle name="Comma 2 5 2 2 3 3 7 3 2" xfId="36713"/>
    <cellStyle name="Comma 2 5 2 2 3 3 7 4" xfId="30290"/>
    <cellStyle name="Comma 2 5 2 2 3 3 7 5" xfId="44196"/>
    <cellStyle name="Comma 2 5 2 2 3 3 8" xfId="7331"/>
    <cellStyle name="Comma 2 5 2 2 3 3 8 2" xfId="17834"/>
    <cellStyle name="Comma 2 5 2 2 3 3 8 2 2" xfId="38883"/>
    <cellStyle name="Comma 2 5 2 2 3 3 8 3" xfId="32460"/>
    <cellStyle name="Comma 2 5 2 2 3 3 9" xfId="16178"/>
    <cellStyle name="Comma 2 5 2 2 3 3 9 2" xfId="35676"/>
    <cellStyle name="Comma 2 5 2 2 3 4" xfId="2484"/>
    <cellStyle name="Comma 2 5 2 2 3 4 2" xfId="11188"/>
    <cellStyle name="Comma 2 5 2 2 3 4 2 2" xfId="19987"/>
    <cellStyle name="Comma 2 5 2 2 3 4 2 2 2" xfId="41030"/>
    <cellStyle name="Comma 2 5 2 2 3 4 2 2 3" xfId="34607"/>
    <cellStyle name="Comma 2 5 2 2 3 4 2 3" xfId="22186"/>
    <cellStyle name="Comma 2 5 2 2 3 4 2 3 2" xfId="37823"/>
    <cellStyle name="Comma 2 5 2 2 3 4 2 4" xfId="31400"/>
    <cellStyle name="Comma 2 5 2 2 3 4 2 5" xfId="43165"/>
    <cellStyle name="Comma 2 5 2 2 3 4 3" xfId="8422"/>
    <cellStyle name="Comma 2 5 2 2 3 4 3 2" xfId="18882"/>
    <cellStyle name="Comma 2 5 2 2 3 4 3 2 2" xfId="39925"/>
    <cellStyle name="Comma 2 5 2 2 3 4 3 2 3" xfId="33502"/>
    <cellStyle name="Comma 2 5 2 2 3 4 3 3" xfId="23372"/>
    <cellStyle name="Comma 2 5 2 2 3 4 3 3 2" xfId="36718"/>
    <cellStyle name="Comma 2 5 2 2 3 4 3 4" xfId="30295"/>
    <cellStyle name="Comma 2 5 2 2 3 4 3 5" xfId="44201"/>
    <cellStyle name="Comma 2 5 2 2 3 4 4" xfId="7336"/>
    <cellStyle name="Comma 2 5 2 2 3 4 4 2" xfId="17839"/>
    <cellStyle name="Comma 2 5 2 2 3 4 4 2 2" xfId="38888"/>
    <cellStyle name="Comma 2 5 2 2 3 4 4 3" xfId="32465"/>
    <cellStyle name="Comma 2 5 2 2 3 4 5" xfId="16259"/>
    <cellStyle name="Comma 2 5 2 2 3 4 5 2" xfId="35681"/>
    <cellStyle name="Comma 2 5 2 2 3 4 6" xfId="21048"/>
    <cellStyle name="Comma 2 5 2 2 3 4 7" xfId="29258"/>
    <cellStyle name="Comma 2 5 2 2 3 4 8" xfId="42067"/>
    <cellStyle name="Comma 2 5 2 2 3 5" xfId="3347"/>
    <cellStyle name="Comma 2 5 2 2 3 5 2" xfId="11189"/>
    <cellStyle name="Comma 2 5 2 2 3 5 2 2" xfId="19988"/>
    <cellStyle name="Comma 2 5 2 2 3 5 2 2 2" xfId="41031"/>
    <cellStyle name="Comma 2 5 2 2 3 5 2 2 3" xfId="34608"/>
    <cellStyle name="Comma 2 5 2 2 3 5 2 3" xfId="22187"/>
    <cellStyle name="Comma 2 5 2 2 3 5 2 3 2" xfId="37824"/>
    <cellStyle name="Comma 2 5 2 2 3 5 2 4" xfId="31401"/>
    <cellStyle name="Comma 2 5 2 2 3 5 2 5" xfId="43166"/>
    <cellStyle name="Comma 2 5 2 2 3 5 3" xfId="8423"/>
    <cellStyle name="Comma 2 5 2 2 3 5 3 2" xfId="18883"/>
    <cellStyle name="Comma 2 5 2 2 3 5 3 2 2" xfId="39926"/>
    <cellStyle name="Comma 2 5 2 2 3 5 3 2 3" xfId="33503"/>
    <cellStyle name="Comma 2 5 2 2 3 5 3 3" xfId="23373"/>
    <cellStyle name="Comma 2 5 2 2 3 5 3 3 2" xfId="36719"/>
    <cellStyle name="Comma 2 5 2 2 3 5 3 4" xfId="30296"/>
    <cellStyle name="Comma 2 5 2 2 3 5 3 5" xfId="44202"/>
    <cellStyle name="Comma 2 5 2 2 3 5 4" xfId="7337"/>
    <cellStyle name="Comma 2 5 2 2 3 5 4 2" xfId="17840"/>
    <cellStyle name="Comma 2 5 2 2 3 5 4 2 2" xfId="38889"/>
    <cellStyle name="Comma 2 5 2 2 3 5 4 3" xfId="32466"/>
    <cellStyle name="Comma 2 5 2 2 3 5 5" xfId="16447"/>
    <cellStyle name="Comma 2 5 2 2 3 5 5 2" xfId="35682"/>
    <cellStyle name="Comma 2 5 2 2 3 5 6" xfId="21049"/>
    <cellStyle name="Comma 2 5 2 2 3 5 7" xfId="29259"/>
    <cellStyle name="Comma 2 5 2 2 3 5 8" xfId="42068"/>
    <cellStyle name="Comma 2 5 2 2 3 6" xfId="4215"/>
    <cellStyle name="Comma 2 5 2 2 3 6 2" xfId="11190"/>
    <cellStyle name="Comma 2 5 2 2 3 6 2 2" xfId="19989"/>
    <cellStyle name="Comma 2 5 2 2 3 6 2 2 2" xfId="41032"/>
    <cellStyle name="Comma 2 5 2 2 3 6 2 2 3" xfId="34609"/>
    <cellStyle name="Comma 2 5 2 2 3 6 2 3" xfId="22188"/>
    <cellStyle name="Comma 2 5 2 2 3 6 2 3 2" xfId="37825"/>
    <cellStyle name="Comma 2 5 2 2 3 6 2 4" xfId="31402"/>
    <cellStyle name="Comma 2 5 2 2 3 6 2 5" xfId="43167"/>
    <cellStyle name="Comma 2 5 2 2 3 6 3" xfId="8424"/>
    <cellStyle name="Comma 2 5 2 2 3 6 3 2" xfId="18884"/>
    <cellStyle name="Comma 2 5 2 2 3 6 3 2 2" xfId="39927"/>
    <cellStyle name="Comma 2 5 2 2 3 6 3 2 3" xfId="33504"/>
    <cellStyle name="Comma 2 5 2 2 3 6 3 3" xfId="23374"/>
    <cellStyle name="Comma 2 5 2 2 3 6 3 3 2" xfId="36720"/>
    <cellStyle name="Comma 2 5 2 2 3 6 3 4" xfId="30297"/>
    <cellStyle name="Comma 2 5 2 2 3 6 3 5" xfId="44203"/>
    <cellStyle name="Comma 2 5 2 2 3 6 4" xfId="7338"/>
    <cellStyle name="Comma 2 5 2 2 3 6 4 2" xfId="17841"/>
    <cellStyle name="Comma 2 5 2 2 3 6 4 2 2" xfId="38890"/>
    <cellStyle name="Comma 2 5 2 2 3 6 4 3" xfId="32467"/>
    <cellStyle name="Comma 2 5 2 2 3 6 5" xfId="16635"/>
    <cellStyle name="Comma 2 5 2 2 3 6 5 2" xfId="35683"/>
    <cellStyle name="Comma 2 5 2 2 3 6 6" xfId="21050"/>
    <cellStyle name="Comma 2 5 2 2 3 6 7" xfId="29260"/>
    <cellStyle name="Comma 2 5 2 2 3 6 8" xfId="42069"/>
    <cellStyle name="Comma 2 5 2 2 3 7" xfId="5040"/>
    <cellStyle name="Comma 2 5 2 2 3 7 2" xfId="11191"/>
    <cellStyle name="Comma 2 5 2 2 3 7 2 2" xfId="19990"/>
    <cellStyle name="Comma 2 5 2 2 3 7 2 2 2" xfId="41033"/>
    <cellStyle name="Comma 2 5 2 2 3 7 2 2 3" xfId="34610"/>
    <cellStyle name="Comma 2 5 2 2 3 7 2 3" xfId="22189"/>
    <cellStyle name="Comma 2 5 2 2 3 7 2 3 2" xfId="37826"/>
    <cellStyle name="Comma 2 5 2 2 3 7 2 4" xfId="31403"/>
    <cellStyle name="Comma 2 5 2 2 3 7 2 5" xfId="43168"/>
    <cellStyle name="Comma 2 5 2 2 3 7 3" xfId="8425"/>
    <cellStyle name="Comma 2 5 2 2 3 7 3 2" xfId="18885"/>
    <cellStyle name="Comma 2 5 2 2 3 7 3 2 2" xfId="39928"/>
    <cellStyle name="Comma 2 5 2 2 3 7 3 2 3" xfId="33505"/>
    <cellStyle name="Comma 2 5 2 2 3 7 3 3" xfId="23375"/>
    <cellStyle name="Comma 2 5 2 2 3 7 3 3 2" xfId="36721"/>
    <cellStyle name="Comma 2 5 2 2 3 7 3 4" xfId="30298"/>
    <cellStyle name="Comma 2 5 2 2 3 7 3 5" xfId="44204"/>
    <cellStyle name="Comma 2 5 2 2 3 7 4" xfId="7339"/>
    <cellStyle name="Comma 2 5 2 2 3 7 4 2" xfId="17842"/>
    <cellStyle name="Comma 2 5 2 2 3 7 4 2 2" xfId="38891"/>
    <cellStyle name="Comma 2 5 2 2 3 7 4 3" xfId="32468"/>
    <cellStyle name="Comma 2 5 2 2 3 7 5" xfId="16855"/>
    <cellStyle name="Comma 2 5 2 2 3 7 5 2" xfId="35684"/>
    <cellStyle name="Comma 2 5 2 2 3 7 6" xfId="21051"/>
    <cellStyle name="Comma 2 5 2 2 3 7 7" xfId="29261"/>
    <cellStyle name="Comma 2 5 2 2 3 7 8" xfId="42070"/>
    <cellStyle name="Comma 2 5 2 2 3 8" xfId="5477"/>
    <cellStyle name="Comma 2 5 2 2 3 8 2" xfId="11192"/>
    <cellStyle name="Comma 2 5 2 2 3 8 2 2" xfId="19991"/>
    <cellStyle name="Comma 2 5 2 2 3 8 2 2 2" xfId="41034"/>
    <cellStyle name="Comma 2 5 2 2 3 8 2 2 3" xfId="34611"/>
    <cellStyle name="Comma 2 5 2 2 3 8 2 3" xfId="22190"/>
    <cellStyle name="Comma 2 5 2 2 3 8 2 3 2" xfId="37827"/>
    <cellStyle name="Comma 2 5 2 2 3 8 2 4" xfId="31404"/>
    <cellStyle name="Comma 2 5 2 2 3 8 2 5" xfId="43169"/>
    <cellStyle name="Comma 2 5 2 2 3 8 3" xfId="8426"/>
    <cellStyle name="Comma 2 5 2 2 3 8 3 2" xfId="18886"/>
    <cellStyle name="Comma 2 5 2 2 3 8 3 2 2" xfId="39929"/>
    <cellStyle name="Comma 2 5 2 2 3 8 3 2 3" xfId="33506"/>
    <cellStyle name="Comma 2 5 2 2 3 8 3 3" xfId="23376"/>
    <cellStyle name="Comma 2 5 2 2 3 8 3 3 2" xfId="36722"/>
    <cellStyle name="Comma 2 5 2 2 3 8 3 4" xfId="30299"/>
    <cellStyle name="Comma 2 5 2 2 3 8 3 5" xfId="44205"/>
    <cellStyle name="Comma 2 5 2 2 3 8 4" xfId="7340"/>
    <cellStyle name="Comma 2 5 2 2 3 8 4 2" xfId="17843"/>
    <cellStyle name="Comma 2 5 2 2 3 8 4 2 2" xfId="38892"/>
    <cellStyle name="Comma 2 5 2 2 3 8 4 3" xfId="32469"/>
    <cellStyle name="Comma 2 5 2 2 3 8 5" xfId="16923"/>
    <cellStyle name="Comma 2 5 2 2 3 8 5 2" xfId="35685"/>
    <cellStyle name="Comma 2 5 2 2 3 8 6" xfId="21052"/>
    <cellStyle name="Comma 2 5 2 2 3 8 7" xfId="29262"/>
    <cellStyle name="Comma 2 5 2 2 3 8 8" xfId="42071"/>
    <cellStyle name="Comma 2 5 2 2 3 9" xfId="10260"/>
    <cellStyle name="Comma 2 5 2 2 3 9 2" xfId="19313"/>
    <cellStyle name="Comma 2 5 2 2 3 9 2 2" xfId="40356"/>
    <cellStyle name="Comma 2 5 2 2 3 9 2 3" xfId="33933"/>
    <cellStyle name="Comma 2 5 2 2 3 9 3" xfId="21513"/>
    <cellStyle name="Comma 2 5 2 2 3 9 3 2" xfId="37149"/>
    <cellStyle name="Comma 2 5 2 2 3 9 4" xfId="30726"/>
    <cellStyle name="Comma 2 5 2 2 3 9 5" xfId="42492"/>
    <cellStyle name="Comma 2 5 2 2 4" xfId="1841"/>
    <cellStyle name="Comma 2 5 2 2 4 10" xfId="16119"/>
    <cellStyle name="Comma 2 5 2 2 4 10 2" xfId="35014"/>
    <cellStyle name="Comma 2 5 2 2 4 11" xfId="21053"/>
    <cellStyle name="Comma 2 5 2 2 4 12" xfId="28589"/>
    <cellStyle name="Comma 2 5 2 2 4 13" xfId="42072"/>
    <cellStyle name="Comma 2 5 2 2 4 2" xfId="2731"/>
    <cellStyle name="Comma 2 5 2 2 4 2 2" xfId="11193"/>
    <cellStyle name="Comma 2 5 2 2 4 2 2 2" xfId="19992"/>
    <cellStyle name="Comma 2 5 2 2 4 2 2 2 2" xfId="41035"/>
    <cellStyle name="Comma 2 5 2 2 4 2 2 2 3" xfId="34612"/>
    <cellStyle name="Comma 2 5 2 2 4 2 2 3" xfId="22191"/>
    <cellStyle name="Comma 2 5 2 2 4 2 2 3 2" xfId="37828"/>
    <cellStyle name="Comma 2 5 2 2 4 2 2 4" xfId="31405"/>
    <cellStyle name="Comma 2 5 2 2 4 2 2 5" xfId="43170"/>
    <cellStyle name="Comma 2 5 2 2 4 2 3" xfId="8428"/>
    <cellStyle name="Comma 2 5 2 2 4 2 3 2" xfId="18888"/>
    <cellStyle name="Comma 2 5 2 2 4 2 3 2 2" xfId="39931"/>
    <cellStyle name="Comma 2 5 2 2 4 2 3 2 3" xfId="33508"/>
    <cellStyle name="Comma 2 5 2 2 4 2 3 3" xfId="23378"/>
    <cellStyle name="Comma 2 5 2 2 4 2 3 3 2" xfId="36724"/>
    <cellStyle name="Comma 2 5 2 2 4 2 3 4" xfId="30301"/>
    <cellStyle name="Comma 2 5 2 2 4 2 3 5" xfId="44207"/>
    <cellStyle name="Comma 2 5 2 2 4 2 4" xfId="7341"/>
    <cellStyle name="Comma 2 5 2 2 4 2 4 2" xfId="17844"/>
    <cellStyle name="Comma 2 5 2 2 4 2 4 2 2" xfId="38893"/>
    <cellStyle name="Comma 2 5 2 2 4 2 4 3" xfId="32470"/>
    <cellStyle name="Comma 2 5 2 2 4 2 5" xfId="16309"/>
    <cellStyle name="Comma 2 5 2 2 4 2 5 2" xfId="35686"/>
    <cellStyle name="Comma 2 5 2 2 4 2 6" xfId="21054"/>
    <cellStyle name="Comma 2 5 2 2 4 2 7" xfId="29263"/>
    <cellStyle name="Comma 2 5 2 2 4 2 8" xfId="42073"/>
    <cellStyle name="Comma 2 5 2 2 4 3" xfId="3595"/>
    <cellStyle name="Comma 2 5 2 2 4 3 2" xfId="11194"/>
    <cellStyle name="Comma 2 5 2 2 4 3 2 2" xfId="19993"/>
    <cellStyle name="Comma 2 5 2 2 4 3 2 2 2" xfId="41036"/>
    <cellStyle name="Comma 2 5 2 2 4 3 2 2 3" xfId="34613"/>
    <cellStyle name="Comma 2 5 2 2 4 3 2 3" xfId="22192"/>
    <cellStyle name="Comma 2 5 2 2 4 3 2 3 2" xfId="37829"/>
    <cellStyle name="Comma 2 5 2 2 4 3 2 4" xfId="31406"/>
    <cellStyle name="Comma 2 5 2 2 4 3 2 5" xfId="43171"/>
    <cellStyle name="Comma 2 5 2 2 4 3 3" xfId="8429"/>
    <cellStyle name="Comma 2 5 2 2 4 3 3 2" xfId="18889"/>
    <cellStyle name="Comma 2 5 2 2 4 3 3 2 2" xfId="39932"/>
    <cellStyle name="Comma 2 5 2 2 4 3 3 2 3" xfId="33509"/>
    <cellStyle name="Comma 2 5 2 2 4 3 3 3" xfId="23379"/>
    <cellStyle name="Comma 2 5 2 2 4 3 3 3 2" xfId="36725"/>
    <cellStyle name="Comma 2 5 2 2 4 3 3 4" xfId="30302"/>
    <cellStyle name="Comma 2 5 2 2 4 3 3 5" xfId="44208"/>
    <cellStyle name="Comma 2 5 2 2 4 3 4" xfId="7342"/>
    <cellStyle name="Comma 2 5 2 2 4 3 4 2" xfId="17845"/>
    <cellStyle name="Comma 2 5 2 2 4 3 4 2 2" xfId="38894"/>
    <cellStyle name="Comma 2 5 2 2 4 3 4 3" xfId="32471"/>
    <cellStyle name="Comma 2 5 2 2 4 3 5" xfId="16497"/>
    <cellStyle name="Comma 2 5 2 2 4 3 5 2" xfId="35687"/>
    <cellStyle name="Comma 2 5 2 2 4 3 6" xfId="21055"/>
    <cellStyle name="Comma 2 5 2 2 4 3 7" xfId="29264"/>
    <cellStyle name="Comma 2 5 2 2 4 3 8" xfId="42074"/>
    <cellStyle name="Comma 2 5 2 2 4 4" xfId="4470"/>
    <cellStyle name="Comma 2 5 2 2 4 4 2" xfId="11195"/>
    <cellStyle name="Comma 2 5 2 2 4 4 2 2" xfId="19994"/>
    <cellStyle name="Comma 2 5 2 2 4 4 2 2 2" xfId="41037"/>
    <cellStyle name="Comma 2 5 2 2 4 4 2 2 3" xfId="34614"/>
    <cellStyle name="Comma 2 5 2 2 4 4 2 3" xfId="22193"/>
    <cellStyle name="Comma 2 5 2 2 4 4 2 3 2" xfId="37830"/>
    <cellStyle name="Comma 2 5 2 2 4 4 2 4" xfId="31407"/>
    <cellStyle name="Comma 2 5 2 2 4 4 2 5" xfId="43172"/>
    <cellStyle name="Comma 2 5 2 2 4 4 3" xfId="8430"/>
    <cellStyle name="Comma 2 5 2 2 4 4 3 2" xfId="18890"/>
    <cellStyle name="Comma 2 5 2 2 4 4 3 2 2" xfId="39933"/>
    <cellStyle name="Comma 2 5 2 2 4 4 3 2 3" xfId="33510"/>
    <cellStyle name="Comma 2 5 2 2 4 4 3 3" xfId="23380"/>
    <cellStyle name="Comma 2 5 2 2 4 4 3 3 2" xfId="36726"/>
    <cellStyle name="Comma 2 5 2 2 4 4 3 4" xfId="30303"/>
    <cellStyle name="Comma 2 5 2 2 4 4 3 5" xfId="44209"/>
    <cellStyle name="Comma 2 5 2 2 4 4 4" xfId="7343"/>
    <cellStyle name="Comma 2 5 2 2 4 4 4 2" xfId="17846"/>
    <cellStyle name="Comma 2 5 2 2 4 4 4 2 2" xfId="38895"/>
    <cellStyle name="Comma 2 5 2 2 4 4 4 3" xfId="32472"/>
    <cellStyle name="Comma 2 5 2 2 4 4 5" xfId="16685"/>
    <cellStyle name="Comma 2 5 2 2 4 4 5 2" xfId="35688"/>
    <cellStyle name="Comma 2 5 2 2 4 4 6" xfId="21056"/>
    <cellStyle name="Comma 2 5 2 2 4 4 7" xfId="29265"/>
    <cellStyle name="Comma 2 5 2 2 4 4 8" xfId="42075"/>
    <cellStyle name="Comma 2 5 2 2 4 5" xfId="5042"/>
    <cellStyle name="Comma 2 5 2 2 4 5 2" xfId="11196"/>
    <cellStyle name="Comma 2 5 2 2 4 5 2 2" xfId="19995"/>
    <cellStyle name="Comma 2 5 2 2 4 5 2 2 2" xfId="41038"/>
    <cellStyle name="Comma 2 5 2 2 4 5 2 2 3" xfId="34615"/>
    <cellStyle name="Comma 2 5 2 2 4 5 2 3" xfId="22194"/>
    <cellStyle name="Comma 2 5 2 2 4 5 2 3 2" xfId="37831"/>
    <cellStyle name="Comma 2 5 2 2 4 5 2 4" xfId="31408"/>
    <cellStyle name="Comma 2 5 2 2 4 5 2 5" xfId="43173"/>
    <cellStyle name="Comma 2 5 2 2 4 5 3" xfId="8431"/>
    <cellStyle name="Comma 2 5 2 2 4 5 3 2" xfId="18891"/>
    <cellStyle name="Comma 2 5 2 2 4 5 3 2 2" xfId="39934"/>
    <cellStyle name="Comma 2 5 2 2 4 5 3 2 3" xfId="33511"/>
    <cellStyle name="Comma 2 5 2 2 4 5 3 3" xfId="23381"/>
    <cellStyle name="Comma 2 5 2 2 4 5 3 3 2" xfId="36727"/>
    <cellStyle name="Comma 2 5 2 2 4 5 3 4" xfId="30304"/>
    <cellStyle name="Comma 2 5 2 2 4 5 3 5" xfId="44210"/>
    <cellStyle name="Comma 2 5 2 2 4 5 4" xfId="7344"/>
    <cellStyle name="Comma 2 5 2 2 4 5 4 2" xfId="17847"/>
    <cellStyle name="Comma 2 5 2 2 4 5 4 2 2" xfId="38896"/>
    <cellStyle name="Comma 2 5 2 2 4 5 4 3" xfId="32473"/>
    <cellStyle name="Comma 2 5 2 2 4 5 5" xfId="16857"/>
    <cellStyle name="Comma 2 5 2 2 4 5 5 2" xfId="35689"/>
    <cellStyle name="Comma 2 5 2 2 4 5 6" xfId="21057"/>
    <cellStyle name="Comma 2 5 2 2 4 5 7" xfId="29266"/>
    <cellStyle name="Comma 2 5 2 2 4 5 8" xfId="42076"/>
    <cellStyle name="Comma 2 5 2 2 4 6" xfId="5735"/>
    <cellStyle name="Comma 2 5 2 2 4 6 2" xfId="11197"/>
    <cellStyle name="Comma 2 5 2 2 4 6 2 2" xfId="19996"/>
    <cellStyle name="Comma 2 5 2 2 4 6 2 2 2" xfId="41039"/>
    <cellStyle name="Comma 2 5 2 2 4 6 2 2 3" xfId="34616"/>
    <cellStyle name="Comma 2 5 2 2 4 6 2 3" xfId="22195"/>
    <cellStyle name="Comma 2 5 2 2 4 6 2 3 2" xfId="37832"/>
    <cellStyle name="Comma 2 5 2 2 4 6 2 4" xfId="31409"/>
    <cellStyle name="Comma 2 5 2 2 4 6 2 5" xfId="43174"/>
    <cellStyle name="Comma 2 5 2 2 4 6 3" xfId="8432"/>
    <cellStyle name="Comma 2 5 2 2 4 6 3 2" xfId="18892"/>
    <cellStyle name="Comma 2 5 2 2 4 6 3 2 2" xfId="39935"/>
    <cellStyle name="Comma 2 5 2 2 4 6 3 2 3" xfId="33512"/>
    <cellStyle name="Comma 2 5 2 2 4 6 3 3" xfId="23382"/>
    <cellStyle name="Comma 2 5 2 2 4 6 3 3 2" xfId="36728"/>
    <cellStyle name="Comma 2 5 2 2 4 6 3 4" xfId="30305"/>
    <cellStyle name="Comma 2 5 2 2 4 6 3 5" xfId="44211"/>
    <cellStyle name="Comma 2 5 2 2 4 6 4" xfId="7345"/>
    <cellStyle name="Comma 2 5 2 2 4 6 4 2" xfId="17848"/>
    <cellStyle name="Comma 2 5 2 2 4 6 4 2 2" xfId="38897"/>
    <cellStyle name="Comma 2 5 2 2 4 6 4 3" xfId="32474"/>
    <cellStyle name="Comma 2 5 2 2 4 6 5" xfId="16973"/>
    <cellStyle name="Comma 2 5 2 2 4 6 5 2" xfId="35690"/>
    <cellStyle name="Comma 2 5 2 2 4 6 6" xfId="21058"/>
    <cellStyle name="Comma 2 5 2 2 4 6 7" xfId="29267"/>
    <cellStyle name="Comma 2 5 2 2 4 6 8" xfId="42077"/>
    <cellStyle name="Comma 2 5 2 2 4 7" xfId="10262"/>
    <cellStyle name="Comma 2 5 2 2 4 7 2" xfId="19315"/>
    <cellStyle name="Comma 2 5 2 2 4 7 2 2" xfId="40358"/>
    <cellStyle name="Comma 2 5 2 2 4 7 2 3" xfId="33935"/>
    <cellStyle name="Comma 2 5 2 2 4 7 3" xfId="21515"/>
    <cellStyle name="Comma 2 5 2 2 4 7 3 2" xfId="37151"/>
    <cellStyle name="Comma 2 5 2 2 4 7 4" xfId="30728"/>
    <cellStyle name="Comma 2 5 2 2 4 7 5" xfId="42494"/>
    <cellStyle name="Comma 2 5 2 2 4 8" xfId="8427"/>
    <cellStyle name="Comma 2 5 2 2 4 8 2" xfId="18887"/>
    <cellStyle name="Comma 2 5 2 2 4 8 2 2" xfId="39930"/>
    <cellStyle name="Comma 2 5 2 2 4 8 2 3" xfId="33507"/>
    <cellStyle name="Comma 2 5 2 2 4 8 3" xfId="23377"/>
    <cellStyle name="Comma 2 5 2 2 4 8 3 2" xfId="36723"/>
    <cellStyle name="Comma 2 5 2 2 4 8 4" xfId="30300"/>
    <cellStyle name="Comma 2 5 2 2 4 8 5" xfId="44206"/>
    <cellStyle name="Comma 2 5 2 2 4 9" xfId="6661"/>
    <cellStyle name="Comma 2 5 2 2 4 9 2" xfId="17168"/>
    <cellStyle name="Comma 2 5 2 2 4 9 2 2" xfId="38221"/>
    <cellStyle name="Comma 2 5 2 2 4 9 3" xfId="31798"/>
    <cellStyle name="Comma 2 5 2 2 5" xfId="2116"/>
    <cellStyle name="Comma 2 5 2 2 5 10" xfId="21059"/>
    <cellStyle name="Comma 2 5 2 2 5 11" xfId="29268"/>
    <cellStyle name="Comma 2 5 2 2 5 12" xfId="42078"/>
    <cellStyle name="Comma 2 5 2 2 5 2" xfId="2986"/>
    <cellStyle name="Comma 2 5 2 2 5 2 2" xfId="11199"/>
    <cellStyle name="Comma 2 5 2 2 5 2 2 2" xfId="19998"/>
    <cellStyle name="Comma 2 5 2 2 5 2 2 2 2" xfId="41041"/>
    <cellStyle name="Comma 2 5 2 2 5 2 2 2 3" xfId="34618"/>
    <cellStyle name="Comma 2 5 2 2 5 2 2 3" xfId="22197"/>
    <cellStyle name="Comma 2 5 2 2 5 2 2 3 2" xfId="37834"/>
    <cellStyle name="Comma 2 5 2 2 5 2 2 4" xfId="31411"/>
    <cellStyle name="Comma 2 5 2 2 5 2 2 5" xfId="43176"/>
    <cellStyle name="Comma 2 5 2 2 5 2 3" xfId="8434"/>
    <cellStyle name="Comma 2 5 2 2 5 2 3 2" xfId="18894"/>
    <cellStyle name="Comma 2 5 2 2 5 2 3 2 2" xfId="39937"/>
    <cellStyle name="Comma 2 5 2 2 5 2 3 2 3" xfId="33514"/>
    <cellStyle name="Comma 2 5 2 2 5 2 3 3" xfId="23384"/>
    <cellStyle name="Comma 2 5 2 2 5 2 3 3 2" xfId="36730"/>
    <cellStyle name="Comma 2 5 2 2 5 2 3 4" xfId="30307"/>
    <cellStyle name="Comma 2 5 2 2 5 2 3 5" xfId="44213"/>
    <cellStyle name="Comma 2 5 2 2 5 2 4" xfId="7347"/>
    <cellStyle name="Comma 2 5 2 2 5 2 4 2" xfId="17850"/>
    <cellStyle name="Comma 2 5 2 2 5 2 4 2 2" xfId="38899"/>
    <cellStyle name="Comma 2 5 2 2 5 2 4 3" xfId="32476"/>
    <cellStyle name="Comma 2 5 2 2 5 2 5" xfId="16364"/>
    <cellStyle name="Comma 2 5 2 2 5 2 5 2" xfId="35692"/>
    <cellStyle name="Comma 2 5 2 2 5 2 6" xfId="21060"/>
    <cellStyle name="Comma 2 5 2 2 5 2 7" xfId="29269"/>
    <cellStyle name="Comma 2 5 2 2 5 2 8" xfId="42079"/>
    <cellStyle name="Comma 2 5 2 2 5 3" xfId="3856"/>
    <cellStyle name="Comma 2 5 2 2 5 3 2" xfId="11200"/>
    <cellStyle name="Comma 2 5 2 2 5 3 2 2" xfId="19999"/>
    <cellStyle name="Comma 2 5 2 2 5 3 2 2 2" xfId="41042"/>
    <cellStyle name="Comma 2 5 2 2 5 3 2 2 3" xfId="34619"/>
    <cellStyle name="Comma 2 5 2 2 5 3 2 3" xfId="22198"/>
    <cellStyle name="Comma 2 5 2 2 5 3 2 3 2" xfId="37835"/>
    <cellStyle name="Comma 2 5 2 2 5 3 2 4" xfId="31412"/>
    <cellStyle name="Comma 2 5 2 2 5 3 2 5" xfId="43177"/>
    <cellStyle name="Comma 2 5 2 2 5 3 3" xfId="8435"/>
    <cellStyle name="Comma 2 5 2 2 5 3 3 2" xfId="18895"/>
    <cellStyle name="Comma 2 5 2 2 5 3 3 2 2" xfId="39938"/>
    <cellStyle name="Comma 2 5 2 2 5 3 3 2 3" xfId="33515"/>
    <cellStyle name="Comma 2 5 2 2 5 3 3 3" xfId="23385"/>
    <cellStyle name="Comma 2 5 2 2 5 3 3 3 2" xfId="36731"/>
    <cellStyle name="Comma 2 5 2 2 5 3 3 4" xfId="30308"/>
    <cellStyle name="Comma 2 5 2 2 5 3 3 5" xfId="44214"/>
    <cellStyle name="Comma 2 5 2 2 5 3 4" xfId="7348"/>
    <cellStyle name="Comma 2 5 2 2 5 3 4 2" xfId="17851"/>
    <cellStyle name="Comma 2 5 2 2 5 3 4 2 2" xfId="38900"/>
    <cellStyle name="Comma 2 5 2 2 5 3 4 3" xfId="32477"/>
    <cellStyle name="Comma 2 5 2 2 5 3 5" xfId="16552"/>
    <cellStyle name="Comma 2 5 2 2 5 3 5 2" xfId="35693"/>
    <cellStyle name="Comma 2 5 2 2 5 3 6" xfId="21061"/>
    <cellStyle name="Comma 2 5 2 2 5 3 7" xfId="29270"/>
    <cellStyle name="Comma 2 5 2 2 5 3 8" xfId="42080"/>
    <cellStyle name="Comma 2 5 2 2 5 4" xfId="4734"/>
    <cellStyle name="Comma 2 5 2 2 5 4 2" xfId="11201"/>
    <cellStyle name="Comma 2 5 2 2 5 4 2 2" xfId="20000"/>
    <cellStyle name="Comma 2 5 2 2 5 4 2 2 2" xfId="41043"/>
    <cellStyle name="Comma 2 5 2 2 5 4 2 2 3" xfId="34620"/>
    <cellStyle name="Comma 2 5 2 2 5 4 2 3" xfId="22199"/>
    <cellStyle name="Comma 2 5 2 2 5 4 2 3 2" xfId="37836"/>
    <cellStyle name="Comma 2 5 2 2 5 4 2 4" xfId="31413"/>
    <cellStyle name="Comma 2 5 2 2 5 4 2 5" xfId="43178"/>
    <cellStyle name="Comma 2 5 2 2 5 4 3" xfId="8436"/>
    <cellStyle name="Comma 2 5 2 2 5 4 3 2" xfId="18896"/>
    <cellStyle name="Comma 2 5 2 2 5 4 3 2 2" xfId="39939"/>
    <cellStyle name="Comma 2 5 2 2 5 4 3 2 3" xfId="33516"/>
    <cellStyle name="Comma 2 5 2 2 5 4 3 3" xfId="23386"/>
    <cellStyle name="Comma 2 5 2 2 5 4 3 3 2" xfId="36732"/>
    <cellStyle name="Comma 2 5 2 2 5 4 3 4" xfId="30309"/>
    <cellStyle name="Comma 2 5 2 2 5 4 3 5" xfId="44215"/>
    <cellStyle name="Comma 2 5 2 2 5 4 4" xfId="7349"/>
    <cellStyle name="Comma 2 5 2 2 5 4 4 2" xfId="17852"/>
    <cellStyle name="Comma 2 5 2 2 5 4 4 2 2" xfId="38901"/>
    <cellStyle name="Comma 2 5 2 2 5 4 4 3" xfId="32478"/>
    <cellStyle name="Comma 2 5 2 2 5 4 5" xfId="16740"/>
    <cellStyle name="Comma 2 5 2 2 5 4 5 2" xfId="35694"/>
    <cellStyle name="Comma 2 5 2 2 5 4 6" xfId="21062"/>
    <cellStyle name="Comma 2 5 2 2 5 4 7" xfId="29271"/>
    <cellStyle name="Comma 2 5 2 2 5 4 8" xfId="42081"/>
    <cellStyle name="Comma 2 5 2 2 5 5" xfId="5999"/>
    <cellStyle name="Comma 2 5 2 2 5 5 2" xfId="11202"/>
    <cellStyle name="Comma 2 5 2 2 5 5 2 2" xfId="20001"/>
    <cellStyle name="Comma 2 5 2 2 5 5 2 2 2" xfId="41044"/>
    <cellStyle name="Comma 2 5 2 2 5 5 2 2 3" xfId="34621"/>
    <cellStyle name="Comma 2 5 2 2 5 5 2 3" xfId="22200"/>
    <cellStyle name="Comma 2 5 2 2 5 5 2 3 2" xfId="37837"/>
    <cellStyle name="Comma 2 5 2 2 5 5 2 4" xfId="31414"/>
    <cellStyle name="Comma 2 5 2 2 5 5 2 5" xfId="43179"/>
    <cellStyle name="Comma 2 5 2 2 5 5 3" xfId="8437"/>
    <cellStyle name="Comma 2 5 2 2 5 5 3 2" xfId="18897"/>
    <cellStyle name="Comma 2 5 2 2 5 5 3 2 2" xfId="39940"/>
    <cellStyle name="Comma 2 5 2 2 5 5 3 2 3" xfId="33517"/>
    <cellStyle name="Comma 2 5 2 2 5 5 3 3" xfId="23387"/>
    <cellStyle name="Comma 2 5 2 2 5 5 3 3 2" xfId="36733"/>
    <cellStyle name="Comma 2 5 2 2 5 5 3 4" xfId="30310"/>
    <cellStyle name="Comma 2 5 2 2 5 5 3 5" xfId="44216"/>
    <cellStyle name="Comma 2 5 2 2 5 5 4" xfId="7350"/>
    <cellStyle name="Comma 2 5 2 2 5 5 4 2" xfId="17853"/>
    <cellStyle name="Comma 2 5 2 2 5 5 4 2 2" xfId="38902"/>
    <cellStyle name="Comma 2 5 2 2 5 5 4 3" xfId="32479"/>
    <cellStyle name="Comma 2 5 2 2 5 5 5" xfId="17028"/>
    <cellStyle name="Comma 2 5 2 2 5 5 5 2" xfId="35695"/>
    <cellStyle name="Comma 2 5 2 2 5 5 6" xfId="21063"/>
    <cellStyle name="Comma 2 5 2 2 5 5 7" xfId="29272"/>
    <cellStyle name="Comma 2 5 2 2 5 5 8" xfId="42082"/>
    <cellStyle name="Comma 2 5 2 2 5 6" xfId="11198"/>
    <cellStyle name="Comma 2 5 2 2 5 6 2" xfId="19997"/>
    <cellStyle name="Comma 2 5 2 2 5 6 2 2" xfId="41040"/>
    <cellStyle name="Comma 2 5 2 2 5 6 2 3" xfId="34617"/>
    <cellStyle name="Comma 2 5 2 2 5 6 3" xfId="22196"/>
    <cellStyle name="Comma 2 5 2 2 5 6 3 2" xfId="37833"/>
    <cellStyle name="Comma 2 5 2 2 5 6 4" xfId="31410"/>
    <cellStyle name="Comma 2 5 2 2 5 6 5" xfId="43175"/>
    <cellStyle name="Comma 2 5 2 2 5 7" xfId="8433"/>
    <cellStyle name="Comma 2 5 2 2 5 7 2" xfId="18893"/>
    <cellStyle name="Comma 2 5 2 2 5 7 2 2" xfId="39936"/>
    <cellStyle name="Comma 2 5 2 2 5 7 2 3" xfId="33513"/>
    <cellStyle name="Comma 2 5 2 2 5 7 3" xfId="23383"/>
    <cellStyle name="Comma 2 5 2 2 5 7 3 2" xfId="36729"/>
    <cellStyle name="Comma 2 5 2 2 5 7 4" xfId="30306"/>
    <cellStyle name="Comma 2 5 2 2 5 7 5" xfId="44212"/>
    <cellStyle name="Comma 2 5 2 2 5 8" xfId="7346"/>
    <cellStyle name="Comma 2 5 2 2 5 8 2" xfId="17849"/>
    <cellStyle name="Comma 2 5 2 2 5 8 2 2" xfId="38898"/>
    <cellStyle name="Comma 2 5 2 2 5 8 3" xfId="32475"/>
    <cellStyle name="Comma 2 5 2 2 5 9" xfId="16175"/>
    <cellStyle name="Comma 2 5 2 2 5 9 2" xfId="35691"/>
    <cellStyle name="Comma 2 5 2 2 6" xfId="2314"/>
    <cellStyle name="Comma 2 5 2 2 6 10" xfId="21064"/>
    <cellStyle name="Comma 2 5 2 2 6 11" xfId="29273"/>
    <cellStyle name="Comma 2 5 2 2 6 12" xfId="42083"/>
    <cellStyle name="Comma 2 5 2 2 6 2" xfId="3173"/>
    <cellStyle name="Comma 2 5 2 2 6 2 2" xfId="11204"/>
    <cellStyle name="Comma 2 5 2 2 6 2 2 2" xfId="20003"/>
    <cellStyle name="Comma 2 5 2 2 6 2 2 2 2" xfId="41046"/>
    <cellStyle name="Comma 2 5 2 2 6 2 2 2 3" xfId="34623"/>
    <cellStyle name="Comma 2 5 2 2 6 2 2 3" xfId="22202"/>
    <cellStyle name="Comma 2 5 2 2 6 2 2 3 2" xfId="37839"/>
    <cellStyle name="Comma 2 5 2 2 6 2 2 4" xfId="31416"/>
    <cellStyle name="Comma 2 5 2 2 6 2 2 5" xfId="43181"/>
    <cellStyle name="Comma 2 5 2 2 6 2 3" xfId="8439"/>
    <cellStyle name="Comma 2 5 2 2 6 2 3 2" xfId="18899"/>
    <cellStyle name="Comma 2 5 2 2 6 2 3 2 2" xfId="39942"/>
    <cellStyle name="Comma 2 5 2 2 6 2 3 2 3" xfId="33519"/>
    <cellStyle name="Comma 2 5 2 2 6 2 3 3" xfId="23389"/>
    <cellStyle name="Comma 2 5 2 2 6 2 3 3 2" xfId="36735"/>
    <cellStyle name="Comma 2 5 2 2 6 2 3 4" xfId="30312"/>
    <cellStyle name="Comma 2 5 2 2 6 2 3 5" xfId="44218"/>
    <cellStyle name="Comma 2 5 2 2 6 2 4" xfId="7352"/>
    <cellStyle name="Comma 2 5 2 2 6 2 4 2" xfId="17855"/>
    <cellStyle name="Comma 2 5 2 2 6 2 4 2 2" xfId="38904"/>
    <cellStyle name="Comma 2 5 2 2 6 2 4 3" xfId="32481"/>
    <cellStyle name="Comma 2 5 2 2 6 2 5" xfId="16394"/>
    <cellStyle name="Comma 2 5 2 2 6 2 5 2" xfId="35697"/>
    <cellStyle name="Comma 2 5 2 2 6 2 6" xfId="21065"/>
    <cellStyle name="Comma 2 5 2 2 6 2 7" xfId="29274"/>
    <cellStyle name="Comma 2 5 2 2 6 2 8" xfId="42084"/>
    <cellStyle name="Comma 2 5 2 2 6 3" xfId="4039"/>
    <cellStyle name="Comma 2 5 2 2 6 3 2" xfId="11205"/>
    <cellStyle name="Comma 2 5 2 2 6 3 2 2" xfId="20004"/>
    <cellStyle name="Comma 2 5 2 2 6 3 2 2 2" xfId="41047"/>
    <cellStyle name="Comma 2 5 2 2 6 3 2 2 3" xfId="34624"/>
    <cellStyle name="Comma 2 5 2 2 6 3 2 3" xfId="22203"/>
    <cellStyle name="Comma 2 5 2 2 6 3 2 3 2" xfId="37840"/>
    <cellStyle name="Comma 2 5 2 2 6 3 2 4" xfId="31417"/>
    <cellStyle name="Comma 2 5 2 2 6 3 2 5" xfId="43182"/>
    <cellStyle name="Comma 2 5 2 2 6 3 3" xfId="8440"/>
    <cellStyle name="Comma 2 5 2 2 6 3 3 2" xfId="18900"/>
    <cellStyle name="Comma 2 5 2 2 6 3 3 2 2" xfId="39943"/>
    <cellStyle name="Comma 2 5 2 2 6 3 3 2 3" xfId="33520"/>
    <cellStyle name="Comma 2 5 2 2 6 3 3 3" xfId="23390"/>
    <cellStyle name="Comma 2 5 2 2 6 3 3 3 2" xfId="36736"/>
    <cellStyle name="Comma 2 5 2 2 6 3 3 4" xfId="30313"/>
    <cellStyle name="Comma 2 5 2 2 6 3 3 5" xfId="44219"/>
    <cellStyle name="Comma 2 5 2 2 6 3 4" xfId="7353"/>
    <cellStyle name="Comma 2 5 2 2 6 3 4 2" xfId="17856"/>
    <cellStyle name="Comma 2 5 2 2 6 3 4 2 2" xfId="38905"/>
    <cellStyle name="Comma 2 5 2 2 6 3 4 3" xfId="32482"/>
    <cellStyle name="Comma 2 5 2 2 6 3 5" xfId="16582"/>
    <cellStyle name="Comma 2 5 2 2 6 3 5 2" xfId="35698"/>
    <cellStyle name="Comma 2 5 2 2 6 3 6" xfId="21066"/>
    <cellStyle name="Comma 2 5 2 2 6 3 7" xfId="29275"/>
    <cellStyle name="Comma 2 5 2 2 6 3 8" xfId="42085"/>
    <cellStyle name="Comma 2 5 2 2 6 4" xfId="4918"/>
    <cellStyle name="Comma 2 5 2 2 6 4 2" xfId="11206"/>
    <cellStyle name="Comma 2 5 2 2 6 4 2 2" xfId="20005"/>
    <cellStyle name="Comma 2 5 2 2 6 4 2 2 2" xfId="41048"/>
    <cellStyle name="Comma 2 5 2 2 6 4 2 2 3" xfId="34625"/>
    <cellStyle name="Comma 2 5 2 2 6 4 2 3" xfId="22204"/>
    <cellStyle name="Comma 2 5 2 2 6 4 2 3 2" xfId="37841"/>
    <cellStyle name="Comma 2 5 2 2 6 4 2 4" xfId="31418"/>
    <cellStyle name="Comma 2 5 2 2 6 4 2 5" xfId="43183"/>
    <cellStyle name="Comma 2 5 2 2 6 4 3" xfId="8441"/>
    <cellStyle name="Comma 2 5 2 2 6 4 3 2" xfId="18901"/>
    <cellStyle name="Comma 2 5 2 2 6 4 3 2 2" xfId="39944"/>
    <cellStyle name="Comma 2 5 2 2 6 4 3 2 3" xfId="33521"/>
    <cellStyle name="Comma 2 5 2 2 6 4 3 3" xfId="23391"/>
    <cellStyle name="Comma 2 5 2 2 6 4 3 3 2" xfId="36737"/>
    <cellStyle name="Comma 2 5 2 2 6 4 3 4" xfId="30314"/>
    <cellStyle name="Comma 2 5 2 2 6 4 3 5" xfId="44220"/>
    <cellStyle name="Comma 2 5 2 2 6 4 4" xfId="7354"/>
    <cellStyle name="Comma 2 5 2 2 6 4 4 2" xfId="17857"/>
    <cellStyle name="Comma 2 5 2 2 6 4 4 2 2" xfId="38906"/>
    <cellStyle name="Comma 2 5 2 2 6 4 4 3" xfId="32483"/>
    <cellStyle name="Comma 2 5 2 2 6 4 5" xfId="16770"/>
    <cellStyle name="Comma 2 5 2 2 6 4 5 2" xfId="35699"/>
    <cellStyle name="Comma 2 5 2 2 6 4 6" xfId="21067"/>
    <cellStyle name="Comma 2 5 2 2 6 4 7" xfId="29276"/>
    <cellStyle name="Comma 2 5 2 2 6 4 8" xfId="42086"/>
    <cellStyle name="Comma 2 5 2 2 6 5" xfId="6183"/>
    <cellStyle name="Comma 2 5 2 2 6 5 2" xfId="11207"/>
    <cellStyle name="Comma 2 5 2 2 6 5 2 2" xfId="20006"/>
    <cellStyle name="Comma 2 5 2 2 6 5 2 2 2" xfId="41049"/>
    <cellStyle name="Comma 2 5 2 2 6 5 2 2 3" xfId="34626"/>
    <cellStyle name="Comma 2 5 2 2 6 5 2 3" xfId="22205"/>
    <cellStyle name="Comma 2 5 2 2 6 5 2 3 2" xfId="37842"/>
    <cellStyle name="Comma 2 5 2 2 6 5 2 4" xfId="31419"/>
    <cellStyle name="Comma 2 5 2 2 6 5 2 5" xfId="43184"/>
    <cellStyle name="Comma 2 5 2 2 6 5 3" xfId="8442"/>
    <cellStyle name="Comma 2 5 2 2 6 5 3 2" xfId="18902"/>
    <cellStyle name="Comma 2 5 2 2 6 5 3 2 2" xfId="39945"/>
    <cellStyle name="Comma 2 5 2 2 6 5 3 2 3" xfId="33522"/>
    <cellStyle name="Comma 2 5 2 2 6 5 3 3" xfId="23392"/>
    <cellStyle name="Comma 2 5 2 2 6 5 3 3 2" xfId="36738"/>
    <cellStyle name="Comma 2 5 2 2 6 5 3 4" xfId="30315"/>
    <cellStyle name="Comma 2 5 2 2 6 5 3 5" xfId="44221"/>
    <cellStyle name="Comma 2 5 2 2 6 5 4" xfId="7355"/>
    <cellStyle name="Comma 2 5 2 2 6 5 4 2" xfId="17858"/>
    <cellStyle name="Comma 2 5 2 2 6 5 4 2 2" xfId="38907"/>
    <cellStyle name="Comma 2 5 2 2 6 5 4 3" xfId="32484"/>
    <cellStyle name="Comma 2 5 2 2 6 5 5" xfId="17058"/>
    <cellStyle name="Comma 2 5 2 2 6 5 5 2" xfId="35700"/>
    <cellStyle name="Comma 2 5 2 2 6 5 6" xfId="21068"/>
    <cellStyle name="Comma 2 5 2 2 6 5 7" xfId="29277"/>
    <cellStyle name="Comma 2 5 2 2 6 5 8" xfId="42087"/>
    <cellStyle name="Comma 2 5 2 2 6 6" xfId="11203"/>
    <cellStyle name="Comma 2 5 2 2 6 6 2" xfId="20002"/>
    <cellStyle name="Comma 2 5 2 2 6 6 2 2" xfId="41045"/>
    <cellStyle name="Comma 2 5 2 2 6 6 2 3" xfId="34622"/>
    <cellStyle name="Comma 2 5 2 2 6 6 3" xfId="22201"/>
    <cellStyle name="Comma 2 5 2 2 6 6 3 2" xfId="37838"/>
    <cellStyle name="Comma 2 5 2 2 6 6 4" xfId="31415"/>
    <cellStyle name="Comma 2 5 2 2 6 6 5" xfId="43180"/>
    <cellStyle name="Comma 2 5 2 2 6 7" xfId="8438"/>
    <cellStyle name="Comma 2 5 2 2 6 7 2" xfId="18898"/>
    <cellStyle name="Comma 2 5 2 2 6 7 2 2" xfId="39941"/>
    <cellStyle name="Comma 2 5 2 2 6 7 2 3" xfId="33518"/>
    <cellStyle name="Comma 2 5 2 2 6 7 3" xfId="23388"/>
    <cellStyle name="Comma 2 5 2 2 6 7 3 2" xfId="36734"/>
    <cellStyle name="Comma 2 5 2 2 6 7 4" xfId="30311"/>
    <cellStyle name="Comma 2 5 2 2 6 7 5" xfId="44217"/>
    <cellStyle name="Comma 2 5 2 2 6 8" xfId="7351"/>
    <cellStyle name="Comma 2 5 2 2 6 8 2" xfId="17854"/>
    <cellStyle name="Comma 2 5 2 2 6 8 2 2" xfId="38903"/>
    <cellStyle name="Comma 2 5 2 2 6 8 3" xfId="32480"/>
    <cellStyle name="Comma 2 5 2 2 6 9" xfId="16206"/>
    <cellStyle name="Comma 2 5 2 2 6 9 2" xfId="35696"/>
    <cellStyle name="Comma 2 5 2 2 7" xfId="2481"/>
    <cellStyle name="Comma 2 5 2 2 7 2" xfId="11208"/>
    <cellStyle name="Comma 2 5 2 2 7 2 2" xfId="20007"/>
    <cellStyle name="Comma 2 5 2 2 7 2 2 2" xfId="41050"/>
    <cellStyle name="Comma 2 5 2 2 7 2 2 3" xfId="34627"/>
    <cellStyle name="Comma 2 5 2 2 7 2 3" xfId="22206"/>
    <cellStyle name="Comma 2 5 2 2 7 2 3 2" xfId="37843"/>
    <cellStyle name="Comma 2 5 2 2 7 2 4" xfId="31420"/>
    <cellStyle name="Comma 2 5 2 2 7 2 5" xfId="43185"/>
    <cellStyle name="Comma 2 5 2 2 7 3" xfId="8443"/>
    <cellStyle name="Comma 2 5 2 2 7 3 2" xfId="18903"/>
    <cellStyle name="Comma 2 5 2 2 7 3 2 2" xfId="39946"/>
    <cellStyle name="Comma 2 5 2 2 7 3 2 3" xfId="33523"/>
    <cellStyle name="Comma 2 5 2 2 7 3 3" xfId="23393"/>
    <cellStyle name="Comma 2 5 2 2 7 3 3 2" xfId="36739"/>
    <cellStyle name="Comma 2 5 2 2 7 3 4" xfId="30316"/>
    <cellStyle name="Comma 2 5 2 2 7 3 5" xfId="44222"/>
    <cellStyle name="Comma 2 5 2 2 7 4" xfId="7356"/>
    <cellStyle name="Comma 2 5 2 2 7 4 2" xfId="17859"/>
    <cellStyle name="Comma 2 5 2 2 7 4 2 2" xfId="38908"/>
    <cellStyle name="Comma 2 5 2 2 7 4 3" xfId="32485"/>
    <cellStyle name="Comma 2 5 2 2 7 5" xfId="16256"/>
    <cellStyle name="Comma 2 5 2 2 7 5 2" xfId="35701"/>
    <cellStyle name="Comma 2 5 2 2 7 6" xfId="21069"/>
    <cellStyle name="Comma 2 5 2 2 7 7" xfId="29278"/>
    <cellStyle name="Comma 2 5 2 2 7 8" xfId="42088"/>
    <cellStyle name="Comma 2 5 2 2 8" xfId="3344"/>
    <cellStyle name="Comma 2 5 2 2 8 2" xfId="11209"/>
    <cellStyle name="Comma 2 5 2 2 8 2 2" xfId="20008"/>
    <cellStyle name="Comma 2 5 2 2 8 2 2 2" xfId="41051"/>
    <cellStyle name="Comma 2 5 2 2 8 2 2 3" xfId="34628"/>
    <cellStyle name="Comma 2 5 2 2 8 2 3" xfId="22207"/>
    <cellStyle name="Comma 2 5 2 2 8 2 3 2" xfId="37844"/>
    <cellStyle name="Comma 2 5 2 2 8 2 4" xfId="31421"/>
    <cellStyle name="Comma 2 5 2 2 8 2 5" xfId="43186"/>
    <cellStyle name="Comma 2 5 2 2 8 3" xfId="8444"/>
    <cellStyle name="Comma 2 5 2 2 8 3 2" xfId="18904"/>
    <cellStyle name="Comma 2 5 2 2 8 3 2 2" xfId="39947"/>
    <cellStyle name="Comma 2 5 2 2 8 3 2 3" xfId="33524"/>
    <cellStyle name="Comma 2 5 2 2 8 3 3" xfId="23394"/>
    <cellStyle name="Comma 2 5 2 2 8 3 3 2" xfId="36740"/>
    <cellStyle name="Comma 2 5 2 2 8 3 4" xfId="30317"/>
    <cellStyle name="Comma 2 5 2 2 8 3 5" xfId="44223"/>
    <cellStyle name="Comma 2 5 2 2 8 4" xfId="7357"/>
    <cellStyle name="Comma 2 5 2 2 8 4 2" xfId="17860"/>
    <cellStyle name="Comma 2 5 2 2 8 4 2 2" xfId="38909"/>
    <cellStyle name="Comma 2 5 2 2 8 4 3" xfId="32486"/>
    <cellStyle name="Comma 2 5 2 2 8 5" xfId="16444"/>
    <cellStyle name="Comma 2 5 2 2 8 5 2" xfId="35702"/>
    <cellStyle name="Comma 2 5 2 2 8 6" xfId="21070"/>
    <cellStyle name="Comma 2 5 2 2 8 7" xfId="29279"/>
    <cellStyle name="Comma 2 5 2 2 8 8" xfId="42089"/>
    <cellStyle name="Comma 2 5 2 2 9" xfId="4212"/>
    <cellStyle name="Comma 2 5 2 2 9 2" xfId="11210"/>
    <cellStyle name="Comma 2 5 2 2 9 2 2" xfId="20009"/>
    <cellStyle name="Comma 2 5 2 2 9 2 2 2" xfId="41052"/>
    <cellStyle name="Comma 2 5 2 2 9 2 2 3" xfId="34629"/>
    <cellStyle name="Comma 2 5 2 2 9 2 3" xfId="22208"/>
    <cellStyle name="Comma 2 5 2 2 9 2 3 2" xfId="37845"/>
    <cellStyle name="Comma 2 5 2 2 9 2 4" xfId="31422"/>
    <cellStyle name="Comma 2 5 2 2 9 2 5" xfId="43187"/>
    <cellStyle name="Comma 2 5 2 2 9 3" xfId="8445"/>
    <cellStyle name="Comma 2 5 2 2 9 3 2" xfId="18905"/>
    <cellStyle name="Comma 2 5 2 2 9 3 2 2" xfId="39948"/>
    <cellStyle name="Comma 2 5 2 2 9 3 2 3" xfId="33525"/>
    <cellStyle name="Comma 2 5 2 2 9 3 3" xfId="23395"/>
    <cellStyle name="Comma 2 5 2 2 9 3 3 2" xfId="36741"/>
    <cellStyle name="Comma 2 5 2 2 9 3 4" xfId="30318"/>
    <cellStyle name="Comma 2 5 2 2 9 3 5" xfId="44224"/>
    <cellStyle name="Comma 2 5 2 2 9 4" xfId="7358"/>
    <cellStyle name="Comma 2 5 2 2 9 4 2" xfId="17861"/>
    <cellStyle name="Comma 2 5 2 2 9 4 2 2" xfId="38910"/>
    <cellStyle name="Comma 2 5 2 2 9 4 3" xfId="32487"/>
    <cellStyle name="Comma 2 5 2 2 9 5" xfId="16632"/>
    <cellStyle name="Comma 2 5 2 2 9 5 2" xfId="35703"/>
    <cellStyle name="Comma 2 5 2 2 9 6" xfId="21071"/>
    <cellStyle name="Comma 2 5 2 2 9 7" xfId="29280"/>
    <cellStyle name="Comma 2 5 2 2 9 8" xfId="42090"/>
    <cellStyle name="Comma 2 5 2 3" xfId="1491"/>
    <cellStyle name="Comma 2 5 2 3 10" xfId="5478"/>
    <cellStyle name="Comma 2 5 2 3 10 2" xfId="11211"/>
    <cellStyle name="Comma 2 5 2 3 10 2 2" xfId="20010"/>
    <cellStyle name="Comma 2 5 2 3 10 2 2 2" xfId="41053"/>
    <cellStyle name="Comma 2 5 2 3 10 2 2 3" xfId="34630"/>
    <cellStyle name="Comma 2 5 2 3 10 2 3" xfId="22209"/>
    <cellStyle name="Comma 2 5 2 3 10 2 3 2" xfId="37846"/>
    <cellStyle name="Comma 2 5 2 3 10 2 4" xfId="31423"/>
    <cellStyle name="Comma 2 5 2 3 10 2 5" xfId="43188"/>
    <cellStyle name="Comma 2 5 2 3 10 3" xfId="8447"/>
    <cellStyle name="Comma 2 5 2 3 10 3 2" xfId="18907"/>
    <cellStyle name="Comma 2 5 2 3 10 3 2 2" xfId="39950"/>
    <cellStyle name="Comma 2 5 2 3 10 3 2 3" xfId="33527"/>
    <cellStyle name="Comma 2 5 2 3 10 3 3" xfId="23397"/>
    <cellStyle name="Comma 2 5 2 3 10 3 3 2" xfId="36743"/>
    <cellStyle name="Comma 2 5 2 3 10 3 4" xfId="30320"/>
    <cellStyle name="Comma 2 5 2 3 10 3 5" xfId="44226"/>
    <cellStyle name="Comma 2 5 2 3 10 4" xfId="7359"/>
    <cellStyle name="Comma 2 5 2 3 10 4 2" xfId="17862"/>
    <cellStyle name="Comma 2 5 2 3 10 4 2 2" xfId="38911"/>
    <cellStyle name="Comma 2 5 2 3 10 4 3" xfId="32488"/>
    <cellStyle name="Comma 2 5 2 3 10 5" xfId="16924"/>
    <cellStyle name="Comma 2 5 2 3 10 5 2" xfId="35704"/>
    <cellStyle name="Comma 2 5 2 3 10 6" xfId="21073"/>
    <cellStyle name="Comma 2 5 2 3 10 7" xfId="29281"/>
    <cellStyle name="Comma 2 5 2 3 10 8" xfId="42092"/>
    <cellStyle name="Comma 2 5 2 3 11" xfId="10263"/>
    <cellStyle name="Comma 2 5 2 3 11 2" xfId="19316"/>
    <cellStyle name="Comma 2 5 2 3 11 2 2" xfId="40359"/>
    <cellStyle name="Comma 2 5 2 3 11 2 3" xfId="33936"/>
    <cellStyle name="Comma 2 5 2 3 11 3" xfId="21516"/>
    <cellStyle name="Comma 2 5 2 3 11 3 2" xfId="37152"/>
    <cellStyle name="Comma 2 5 2 3 11 4" xfId="30729"/>
    <cellStyle name="Comma 2 5 2 3 11 5" xfId="42495"/>
    <cellStyle name="Comma 2 5 2 3 12" xfId="8446"/>
    <cellStyle name="Comma 2 5 2 3 12 2" xfId="18906"/>
    <cellStyle name="Comma 2 5 2 3 12 2 2" xfId="39949"/>
    <cellStyle name="Comma 2 5 2 3 12 2 3" xfId="33526"/>
    <cellStyle name="Comma 2 5 2 3 12 3" xfId="23396"/>
    <cellStyle name="Comma 2 5 2 3 12 3 2" xfId="36742"/>
    <cellStyle name="Comma 2 5 2 3 12 4" xfId="30319"/>
    <cellStyle name="Comma 2 5 2 3 12 5" xfId="44225"/>
    <cellStyle name="Comma 2 5 2 3 13" xfId="6662"/>
    <cellStyle name="Comma 2 5 2 3 13 2" xfId="17169"/>
    <cellStyle name="Comma 2 5 2 3 13 2 2" xfId="38222"/>
    <cellStyle name="Comma 2 5 2 3 13 3" xfId="31799"/>
    <cellStyle name="Comma 2 5 2 3 14" xfId="16061"/>
    <cellStyle name="Comma 2 5 2 3 14 2" xfId="35015"/>
    <cellStyle name="Comma 2 5 2 3 15" xfId="21072"/>
    <cellStyle name="Comma 2 5 2 3 16" xfId="28590"/>
    <cellStyle name="Comma 2 5 2 3 17" xfId="42091"/>
    <cellStyle name="Comma 2 5 2 3 2" xfId="1492"/>
    <cellStyle name="Comma 2 5 2 3 2 10" xfId="8448"/>
    <cellStyle name="Comma 2 5 2 3 2 10 2" xfId="18908"/>
    <cellStyle name="Comma 2 5 2 3 2 10 2 2" xfId="39951"/>
    <cellStyle name="Comma 2 5 2 3 2 10 2 3" xfId="33528"/>
    <cellStyle name="Comma 2 5 2 3 2 10 3" xfId="23398"/>
    <cellStyle name="Comma 2 5 2 3 2 10 3 2" xfId="36744"/>
    <cellStyle name="Comma 2 5 2 3 2 10 4" xfId="30321"/>
    <cellStyle name="Comma 2 5 2 3 2 10 5" xfId="44227"/>
    <cellStyle name="Comma 2 5 2 3 2 11" xfId="6663"/>
    <cellStyle name="Comma 2 5 2 3 2 11 2" xfId="17170"/>
    <cellStyle name="Comma 2 5 2 3 2 11 2 2" xfId="38223"/>
    <cellStyle name="Comma 2 5 2 3 2 11 3" xfId="31800"/>
    <cellStyle name="Comma 2 5 2 3 2 12" xfId="16062"/>
    <cellStyle name="Comma 2 5 2 3 2 12 2" xfId="35016"/>
    <cellStyle name="Comma 2 5 2 3 2 13" xfId="21074"/>
    <cellStyle name="Comma 2 5 2 3 2 14" xfId="28591"/>
    <cellStyle name="Comma 2 5 2 3 2 15" xfId="42093"/>
    <cellStyle name="Comma 2 5 2 3 2 2" xfId="1846"/>
    <cellStyle name="Comma 2 5 2 3 2 2 10" xfId="16124"/>
    <cellStyle name="Comma 2 5 2 3 2 2 10 2" xfId="35017"/>
    <cellStyle name="Comma 2 5 2 3 2 2 11" xfId="21075"/>
    <cellStyle name="Comma 2 5 2 3 2 2 12" xfId="28592"/>
    <cellStyle name="Comma 2 5 2 3 2 2 13" xfId="42094"/>
    <cellStyle name="Comma 2 5 2 3 2 2 2" xfId="2736"/>
    <cellStyle name="Comma 2 5 2 3 2 2 2 2" xfId="11212"/>
    <cellStyle name="Comma 2 5 2 3 2 2 2 2 2" xfId="20011"/>
    <cellStyle name="Comma 2 5 2 3 2 2 2 2 2 2" xfId="41054"/>
    <cellStyle name="Comma 2 5 2 3 2 2 2 2 2 3" xfId="34631"/>
    <cellStyle name="Comma 2 5 2 3 2 2 2 2 3" xfId="22210"/>
    <cellStyle name="Comma 2 5 2 3 2 2 2 2 3 2" xfId="37847"/>
    <cellStyle name="Comma 2 5 2 3 2 2 2 2 4" xfId="31424"/>
    <cellStyle name="Comma 2 5 2 3 2 2 2 2 5" xfId="43189"/>
    <cellStyle name="Comma 2 5 2 3 2 2 2 3" xfId="8450"/>
    <cellStyle name="Comma 2 5 2 3 2 2 2 3 2" xfId="18910"/>
    <cellStyle name="Comma 2 5 2 3 2 2 2 3 2 2" xfId="39953"/>
    <cellStyle name="Comma 2 5 2 3 2 2 2 3 2 3" xfId="33530"/>
    <cellStyle name="Comma 2 5 2 3 2 2 2 3 3" xfId="23400"/>
    <cellStyle name="Comma 2 5 2 3 2 2 2 3 3 2" xfId="36746"/>
    <cellStyle name="Comma 2 5 2 3 2 2 2 3 4" xfId="30323"/>
    <cellStyle name="Comma 2 5 2 3 2 2 2 3 5" xfId="44229"/>
    <cellStyle name="Comma 2 5 2 3 2 2 2 4" xfId="7360"/>
    <cellStyle name="Comma 2 5 2 3 2 2 2 4 2" xfId="17863"/>
    <cellStyle name="Comma 2 5 2 3 2 2 2 4 2 2" xfId="38912"/>
    <cellStyle name="Comma 2 5 2 3 2 2 2 4 3" xfId="32489"/>
    <cellStyle name="Comma 2 5 2 3 2 2 2 5" xfId="16314"/>
    <cellStyle name="Comma 2 5 2 3 2 2 2 5 2" xfId="35705"/>
    <cellStyle name="Comma 2 5 2 3 2 2 2 6" xfId="21076"/>
    <cellStyle name="Comma 2 5 2 3 2 2 2 7" xfId="29282"/>
    <cellStyle name="Comma 2 5 2 3 2 2 2 8" xfId="42095"/>
    <cellStyle name="Comma 2 5 2 3 2 2 3" xfId="3600"/>
    <cellStyle name="Comma 2 5 2 3 2 2 3 2" xfId="11213"/>
    <cellStyle name="Comma 2 5 2 3 2 2 3 2 2" xfId="20012"/>
    <cellStyle name="Comma 2 5 2 3 2 2 3 2 2 2" xfId="41055"/>
    <cellStyle name="Comma 2 5 2 3 2 2 3 2 2 3" xfId="34632"/>
    <cellStyle name="Comma 2 5 2 3 2 2 3 2 3" xfId="22211"/>
    <cellStyle name="Comma 2 5 2 3 2 2 3 2 3 2" xfId="37848"/>
    <cellStyle name="Comma 2 5 2 3 2 2 3 2 4" xfId="31425"/>
    <cellStyle name="Comma 2 5 2 3 2 2 3 2 5" xfId="43190"/>
    <cellStyle name="Comma 2 5 2 3 2 2 3 3" xfId="8451"/>
    <cellStyle name="Comma 2 5 2 3 2 2 3 3 2" xfId="18911"/>
    <cellStyle name="Comma 2 5 2 3 2 2 3 3 2 2" xfId="39954"/>
    <cellStyle name="Comma 2 5 2 3 2 2 3 3 2 3" xfId="33531"/>
    <cellStyle name="Comma 2 5 2 3 2 2 3 3 3" xfId="23401"/>
    <cellStyle name="Comma 2 5 2 3 2 2 3 3 3 2" xfId="36747"/>
    <cellStyle name="Comma 2 5 2 3 2 2 3 3 4" xfId="30324"/>
    <cellStyle name="Comma 2 5 2 3 2 2 3 3 5" xfId="44230"/>
    <cellStyle name="Comma 2 5 2 3 2 2 3 4" xfId="7361"/>
    <cellStyle name="Comma 2 5 2 3 2 2 3 4 2" xfId="17864"/>
    <cellStyle name="Comma 2 5 2 3 2 2 3 4 2 2" xfId="38913"/>
    <cellStyle name="Comma 2 5 2 3 2 2 3 4 3" xfId="32490"/>
    <cellStyle name="Comma 2 5 2 3 2 2 3 5" xfId="16502"/>
    <cellStyle name="Comma 2 5 2 3 2 2 3 5 2" xfId="35706"/>
    <cellStyle name="Comma 2 5 2 3 2 2 3 6" xfId="21077"/>
    <cellStyle name="Comma 2 5 2 3 2 2 3 7" xfId="29283"/>
    <cellStyle name="Comma 2 5 2 3 2 2 3 8" xfId="42096"/>
    <cellStyle name="Comma 2 5 2 3 2 2 4" xfId="4475"/>
    <cellStyle name="Comma 2 5 2 3 2 2 4 2" xfId="11214"/>
    <cellStyle name="Comma 2 5 2 3 2 2 4 2 2" xfId="20013"/>
    <cellStyle name="Comma 2 5 2 3 2 2 4 2 2 2" xfId="41056"/>
    <cellStyle name="Comma 2 5 2 3 2 2 4 2 2 3" xfId="34633"/>
    <cellStyle name="Comma 2 5 2 3 2 2 4 2 3" xfId="22212"/>
    <cellStyle name="Comma 2 5 2 3 2 2 4 2 3 2" xfId="37849"/>
    <cellStyle name="Comma 2 5 2 3 2 2 4 2 4" xfId="31426"/>
    <cellStyle name="Comma 2 5 2 3 2 2 4 2 5" xfId="43191"/>
    <cellStyle name="Comma 2 5 2 3 2 2 4 3" xfId="8452"/>
    <cellStyle name="Comma 2 5 2 3 2 2 4 3 2" xfId="18912"/>
    <cellStyle name="Comma 2 5 2 3 2 2 4 3 2 2" xfId="39955"/>
    <cellStyle name="Comma 2 5 2 3 2 2 4 3 2 3" xfId="33532"/>
    <cellStyle name="Comma 2 5 2 3 2 2 4 3 3" xfId="23402"/>
    <cellStyle name="Comma 2 5 2 3 2 2 4 3 3 2" xfId="36748"/>
    <cellStyle name="Comma 2 5 2 3 2 2 4 3 4" xfId="30325"/>
    <cellStyle name="Comma 2 5 2 3 2 2 4 3 5" xfId="44231"/>
    <cellStyle name="Comma 2 5 2 3 2 2 4 4" xfId="7362"/>
    <cellStyle name="Comma 2 5 2 3 2 2 4 4 2" xfId="17865"/>
    <cellStyle name="Comma 2 5 2 3 2 2 4 4 2 2" xfId="38914"/>
    <cellStyle name="Comma 2 5 2 3 2 2 4 4 3" xfId="32491"/>
    <cellStyle name="Comma 2 5 2 3 2 2 4 5" xfId="16690"/>
    <cellStyle name="Comma 2 5 2 3 2 2 4 5 2" xfId="35707"/>
    <cellStyle name="Comma 2 5 2 3 2 2 4 6" xfId="21078"/>
    <cellStyle name="Comma 2 5 2 3 2 2 4 7" xfId="29284"/>
    <cellStyle name="Comma 2 5 2 3 2 2 4 8" xfId="42097"/>
    <cellStyle name="Comma 2 5 2 3 2 2 5" xfId="5045"/>
    <cellStyle name="Comma 2 5 2 3 2 2 5 2" xfId="11215"/>
    <cellStyle name="Comma 2 5 2 3 2 2 5 2 2" xfId="20014"/>
    <cellStyle name="Comma 2 5 2 3 2 2 5 2 2 2" xfId="41057"/>
    <cellStyle name="Comma 2 5 2 3 2 2 5 2 2 3" xfId="34634"/>
    <cellStyle name="Comma 2 5 2 3 2 2 5 2 3" xfId="22213"/>
    <cellStyle name="Comma 2 5 2 3 2 2 5 2 3 2" xfId="37850"/>
    <cellStyle name="Comma 2 5 2 3 2 2 5 2 4" xfId="31427"/>
    <cellStyle name="Comma 2 5 2 3 2 2 5 2 5" xfId="43192"/>
    <cellStyle name="Comma 2 5 2 3 2 2 5 3" xfId="8453"/>
    <cellStyle name="Comma 2 5 2 3 2 2 5 3 2" xfId="18913"/>
    <cellStyle name="Comma 2 5 2 3 2 2 5 3 2 2" xfId="39956"/>
    <cellStyle name="Comma 2 5 2 3 2 2 5 3 2 3" xfId="33533"/>
    <cellStyle name="Comma 2 5 2 3 2 2 5 3 3" xfId="23403"/>
    <cellStyle name="Comma 2 5 2 3 2 2 5 3 3 2" xfId="36749"/>
    <cellStyle name="Comma 2 5 2 3 2 2 5 3 4" xfId="30326"/>
    <cellStyle name="Comma 2 5 2 3 2 2 5 3 5" xfId="44232"/>
    <cellStyle name="Comma 2 5 2 3 2 2 5 4" xfId="7363"/>
    <cellStyle name="Comma 2 5 2 3 2 2 5 4 2" xfId="17866"/>
    <cellStyle name="Comma 2 5 2 3 2 2 5 4 2 2" xfId="38915"/>
    <cellStyle name="Comma 2 5 2 3 2 2 5 4 3" xfId="32492"/>
    <cellStyle name="Comma 2 5 2 3 2 2 5 5" xfId="16860"/>
    <cellStyle name="Comma 2 5 2 3 2 2 5 5 2" xfId="35708"/>
    <cellStyle name="Comma 2 5 2 3 2 2 5 6" xfId="21079"/>
    <cellStyle name="Comma 2 5 2 3 2 2 5 7" xfId="29285"/>
    <cellStyle name="Comma 2 5 2 3 2 2 5 8" xfId="42098"/>
    <cellStyle name="Comma 2 5 2 3 2 2 6" xfId="5740"/>
    <cellStyle name="Comma 2 5 2 3 2 2 6 2" xfId="11216"/>
    <cellStyle name="Comma 2 5 2 3 2 2 6 2 2" xfId="20015"/>
    <cellStyle name="Comma 2 5 2 3 2 2 6 2 2 2" xfId="41058"/>
    <cellStyle name="Comma 2 5 2 3 2 2 6 2 2 3" xfId="34635"/>
    <cellStyle name="Comma 2 5 2 3 2 2 6 2 3" xfId="22214"/>
    <cellStyle name="Comma 2 5 2 3 2 2 6 2 3 2" xfId="37851"/>
    <cellStyle name="Comma 2 5 2 3 2 2 6 2 4" xfId="31428"/>
    <cellStyle name="Comma 2 5 2 3 2 2 6 2 5" xfId="43193"/>
    <cellStyle name="Comma 2 5 2 3 2 2 6 3" xfId="8454"/>
    <cellStyle name="Comma 2 5 2 3 2 2 6 3 2" xfId="18914"/>
    <cellStyle name="Comma 2 5 2 3 2 2 6 3 2 2" xfId="39957"/>
    <cellStyle name="Comma 2 5 2 3 2 2 6 3 2 3" xfId="33534"/>
    <cellStyle name="Comma 2 5 2 3 2 2 6 3 3" xfId="23404"/>
    <cellStyle name="Comma 2 5 2 3 2 2 6 3 3 2" xfId="36750"/>
    <cellStyle name="Comma 2 5 2 3 2 2 6 3 4" xfId="30327"/>
    <cellStyle name="Comma 2 5 2 3 2 2 6 3 5" xfId="44233"/>
    <cellStyle name="Comma 2 5 2 3 2 2 6 4" xfId="7364"/>
    <cellStyle name="Comma 2 5 2 3 2 2 6 4 2" xfId="17867"/>
    <cellStyle name="Comma 2 5 2 3 2 2 6 4 2 2" xfId="38916"/>
    <cellStyle name="Comma 2 5 2 3 2 2 6 4 3" xfId="32493"/>
    <cellStyle name="Comma 2 5 2 3 2 2 6 5" xfId="16978"/>
    <cellStyle name="Comma 2 5 2 3 2 2 6 5 2" xfId="35709"/>
    <cellStyle name="Comma 2 5 2 3 2 2 6 6" xfId="21080"/>
    <cellStyle name="Comma 2 5 2 3 2 2 6 7" xfId="29286"/>
    <cellStyle name="Comma 2 5 2 3 2 2 6 8" xfId="42099"/>
    <cellStyle name="Comma 2 5 2 3 2 2 7" xfId="10265"/>
    <cellStyle name="Comma 2 5 2 3 2 2 7 2" xfId="19318"/>
    <cellStyle name="Comma 2 5 2 3 2 2 7 2 2" xfId="40361"/>
    <cellStyle name="Comma 2 5 2 3 2 2 7 2 3" xfId="33938"/>
    <cellStyle name="Comma 2 5 2 3 2 2 7 3" xfId="21518"/>
    <cellStyle name="Comma 2 5 2 3 2 2 7 3 2" xfId="37154"/>
    <cellStyle name="Comma 2 5 2 3 2 2 7 4" xfId="30731"/>
    <cellStyle name="Comma 2 5 2 3 2 2 7 5" xfId="42497"/>
    <cellStyle name="Comma 2 5 2 3 2 2 8" xfId="8449"/>
    <cellStyle name="Comma 2 5 2 3 2 2 8 2" xfId="18909"/>
    <cellStyle name="Comma 2 5 2 3 2 2 8 2 2" xfId="39952"/>
    <cellStyle name="Comma 2 5 2 3 2 2 8 2 3" xfId="33529"/>
    <cellStyle name="Comma 2 5 2 3 2 2 8 3" xfId="23399"/>
    <cellStyle name="Comma 2 5 2 3 2 2 8 3 2" xfId="36745"/>
    <cellStyle name="Comma 2 5 2 3 2 2 8 4" xfId="30322"/>
    <cellStyle name="Comma 2 5 2 3 2 2 8 5" xfId="44228"/>
    <cellStyle name="Comma 2 5 2 3 2 2 9" xfId="6664"/>
    <cellStyle name="Comma 2 5 2 3 2 2 9 2" xfId="17171"/>
    <cellStyle name="Comma 2 5 2 3 2 2 9 2 2" xfId="38224"/>
    <cellStyle name="Comma 2 5 2 3 2 2 9 3" xfId="31801"/>
    <cellStyle name="Comma 2 5 2 3 2 3" xfId="2121"/>
    <cellStyle name="Comma 2 5 2 3 2 3 10" xfId="21081"/>
    <cellStyle name="Comma 2 5 2 3 2 3 11" xfId="29287"/>
    <cellStyle name="Comma 2 5 2 3 2 3 12" xfId="42100"/>
    <cellStyle name="Comma 2 5 2 3 2 3 2" xfId="2991"/>
    <cellStyle name="Comma 2 5 2 3 2 3 2 2" xfId="11218"/>
    <cellStyle name="Comma 2 5 2 3 2 3 2 2 2" xfId="20017"/>
    <cellStyle name="Comma 2 5 2 3 2 3 2 2 2 2" xfId="41060"/>
    <cellStyle name="Comma 2 5 2 3 2 3 2 2 2 3" xfId="34637"/>
    <cellStyle name="Comma 2 5 2 3 2 3 2 2 3" xfId="22216"/>
    <cellStyle name="Comma 2 5 2 3 2 3 2 2 3 2" xfId="37853"/>
    <cellStyle name="Comma 2 5 2 3 2 3 2 2 4" xfId="31430"/>
    <cellStyle name="Comma 2 5 2 3 2 3 2 2 5" xfId="43195"/>
    <cellStyle name="Comma 2 5 2 3 2 3 2 3" xfId="8456"/>
    <cellStyle name="Comma 2 5 2 3 2 3 2 3 2" xfId="18916"/>
    <cellStyle name="Comma 2 5 2 3 2 3 2 3 2 2" xfId="39959"/>
    <cellStyle name="Comma 2 5 2 3 2 3 2 3 2 3" xfId="33536"/>
    <cellStyle name="Comma 2 5 2 3 2 3 2 3 3" xfId="23406"/>
    <cellStyle name="Comma 2 5 2 3 2 3 2 3 3 2" xfId="36752"/>
    <cellStyle name="Comma 2 5 2 3 2 3 2 3 4" xfId="30329"/>
    <cellStyle name="Comma 2 5 2 3 2 3 2 3 5" xfId="44235"/>
    <cellStyle name="Comma 2 5 2 3 2 3 2 4" xfId="7366"/>
    <cellStyle name="Comma 2 5 2 3 2 3 2 4 2" xfId="17869"/>
    <cellStyle name="Comma 2 5 2 3 2 3 2 4 2 2" xfId="38918"/>
    <cellStyle name="Comma 2 5 2 3 2 3 2 4 3" xfId="32495"/>
    <cellStyle name="Comma 2 5 2 3 2 3 2 5" xfId="16369"/>
    <cellStyle name="Comma 2 5 2 3 2 3 2 5 2" xfId="35711"/>
    <cellStyle name="Comma 2 5 2 3 2 3 2 6" xfId="21082"/>
    <cellStyle name="Comma 2 5 2 3 2 3 2 7" xfId="29288"/>
    <cellStyle name="Comma 2 5 2 3 2 3 2 8" xfId="42101"/>
    <cellStyle name="Comma 2 5 2 3 2 3 3" xfId="3861"/>
    <cellStyle name="Comma 2 5 2 3 2 3 3 2" xfId="11219"/>
    <cellStyle name="Comma 2 5 2 3 2 3 3 2 2" xfId="20018"/>
    <cellStyle name="Comma 2 5 2 3 2 3 3 2 2 2" xfId="41061"/>
    <cellStyle name="Comma 2 5 2 3 2 3 3 2 2 3" xfId="34638"/>
    <cellStyle name="Comma 2 5 2 3 2 3 3 2 3" xfId="22217"/>
    <cellStyle name="Comma 2 5 2 3 2 3 3 2 3 2" xfId="37854"/>
    <cellStyle name="Comma 2 5 2 3 2 3 3 2 4" xfId="31431"/>
    <cellStyle name="Comma 2 5 2 3 2 3 3 2 5" xfId="43196"/>
    <cellStyle name="Comma 2 5 2 3 2 3 3 3" xfId="8457"/>
    <cellStyle name="Comma 2 5 2 3 2 3 3 3 2" xfId="18917"/>
    <cellStyle name="Comma 2 5 2 3 2 3 3 3 2 2" xfId="39960"/>
    <cellStyle name="Comma 2 5 2 3 2 3 3 3 2 3" xfId="33537"/>
    <cellStyle name="Comma 2 5 2 3 2 3 3 3 3" xfId="23407"/>
    <cellStyle name="Comma 2 5 2 3 2 3 3 3 3 2" xfId="36753"/>
    <cellStyle name="Comma 2 5 2 3 2 3 3 3 4" xfId="30330"/>
    <cellStyle name="Comma 2 5 2 3 2 3 3 3 5" xfId="44236"/>
    <cellStyle name="Comma 2 5 2 3 2 3 3 4" xfId="7367"/>
    <cellStyle name="Comma 2 5 2 3 2 3 3 4 2" xfId="17870"/>
    <cellStyle name="Comma 2 5 2 3 2 3 3 4 2 2" xfId="38919"/>
    <cellStyle name="Comma 2 5 2 3 2 3 3 4 3" xfId="32496"/>
    <cellStyle name="Comma 2 5 2 3 2 3 3 5" xfId="16557"/>
    <cellStyle name="Comma 2 5 2 3 2 3 3 5 2" xfId="35712"/>
    <cellStyle name="Comma 2 5 2 3 2 3 3 6" xfId="21083"/>
    <cellStyle name="Comma 2 5 2 3 2 3 3 7" xfId="29289"/>
    <cellStyle name="Comma 2 5 2 3 2 3 3 8" xfId="42102"/>
    <cellStyle name="Comma 2 5 2 3 2 3 4" xfId="4739"/>
    <cellStyle name="Comma 2 5 2 3 2 3 4 2" xfId="11220"/>
    <cellStyle name="Comma 2 5 2 3 2 3 4 2 2" xfId="20019"/>
    <cellStyle name="Comma 2 5 2 3 2 3 4 2 2 2" xfId="41062"/>
    <cellStyle name="Comma 2 5 2 3 2 3 4 2 2 3" xfId="34639"/>
    <cellStyle name="Comma 2 5 2 3 2 3 4 2 3" xfId="22218"/>
    <cellStyle name="Comma 2 5 2 3 2 3 4 2 3 2" xfId="37855"/>
    <cellStyle name="Comma 2 5 2 3 2 3 4 2 4" xfId="31432"/>
    <cellStyle name="Comma 2 5 2 3 2 3 4 2 5" xfId="43197"/>
    <cellStyle name="Comma 2 5 2 3 2 3 4 3" xfId="8458"/>
    <cellStyle name="Comma 2 5 2 3 2 3 4 3 2" xfId="18918"/>
    <cellStyle name="Comma 2 5 2 3 2 3 4 3 2 2" xfId="39961"/>
    <cellStyle name="Comma 2 5 2 3 2 3 4 3 2 3" xfId="33538"/>
    <cellStyle name="Comma 2 5 2 3 2 3 4 3 3" xfId="23408"/>
    <cellStyle name="Comma 2 5 2 3 2 3 4 3 3 2" xfId="36754"/>
    <cellStyle name="Comma 2 5 2 3 2 3 4 3 4" xfId="30331"/>
    <cellStyle name="Comma 2 5 2 3 2 3 4 3 5" xfId="44237"/>
    <cellStyle name="Comma 2 5 2 3 2 3 4 4" xfId="7368"/>
    <cellStyle name="Comma 2 5 2 3 2 3 4 4 2" xfId="17871"/>
    <cellStyle name="Comma 2 5 2 3 2 3 4 4 2 2" xfId="38920"/>
    <cellStyle name="Comma 2 5 2 3 2 3 4 4 3" xfId="32497"/>
    <cellStyle name="Comma 2 5 2 3 2 3 4 5" xfId="16745"/>
    <cellStyle name="Comma 2 5 2 3 2 3 4 5 2" xfId="35713"/>
    <cellStyle name="Comma 2 5 2 3 2 3 4 6" xfId="21084"/>
    <cellStyle name="Comma 2 5 2 3 2 3 4 7" xfId="29290"/>
    <cellStyle name="Comma 2 5 2 3 2 3 4 8" xfId="42103"/>
    <cellStyle name="Comma 2 5 2 3 2 3 5" xfId="6004"/>
    <cellStyle name="Comma 2 5 2 3 2 3 5 2" xfId="11221"/>
    <cellStyle name="Comma 2 5 2 3 2 3 5 2 2" xfId="20020"/>
    <cellStyle name="Comma 2 5 2 3 2 3 5 2 2 2" xfId="41063"/>
    <cellStyle name="Comma 2 5 2 3 2 3 5 2 2 3" xfId="34640"/>
    <cellStyle name="Comma 2 5 2 3 2 3 5 2 3" xfId="22219"/>
    <cellStyle name="Comma 2 5 2 3 2 3 5 2 3 2" xfId="37856"/>
    <cellStyle name="Comma 2 5 2 3 2 3 5 2 4" xfId="31433"/>
    <cellStyle name="Comma 2 5 2 3 2 3 5 2 5" xfId="43198"/>
    <cellStyle name="Comma 2 5 2 3 2 3 5 3" xfId="8459"/>
    <cellStyle name="Comma 2 5 2 3 2 3 5 3 2" xfId="18919"/>
    <cellStyle name="Comma 2 5 2 3 2 3 5 3 2 2" xfId="39962"/>
    <cellStyle name="Comma 2 5 2 3 2 3 5 3 2 3" xfId="33539"/>
    <cellStyle name="Comma 2 5 2 3 2 3 5 3 3" xfId="23409"/>
    <cellStyle name="Comma 2 5 2 3 2 3 5 3 3 2" xfId="36755"/>
    <cellStyle name="Comma 2 5 2 3 2 3 5 3 4" xfId="30332"/>
    <cellStyle name="Comma 2 5 2 3 2 3 5 3 5" xfId="44238"/>
    <cellStyle name="Comma 2 5 2 3 2 3 5 4" xfId="7369"/>
    <cellStyle name="Comma 2 5 2 3 2 3 5 4 2" xfId="17872"/>
    <cellStyle name="Comma 2 5 2 3 2 3 5 4 2 2" xfId="38921"/>
    <cellStyle name="Comma 2 5 2 3 2 3 5 4 3" xfId="32498"/>
    <cellStyle name="Comma 2 5 2 3 2 3 5 5" xfId="17033"/>
    <cellStyle name="Comma 2 5 2 3 2 3 5 5 2" xfId="35714"/>
    <cellStyle name="Comma 2 5 2 3 2 3 5 6" xfId="21085"/>
    <cellStyle name="Comma 2 5 2 3 2 3 5 7" xfId="29291"/>
    <cellStyle name="Comma 2 5 2 3 2 3 5 8" xfId="42104"/>
    <cellStyle name="Comma 2 5 2 3 2 3 6" xfId="11217"/>
    <cellStyle name="Comma 2 5 2 3 2 3 6 2" xfId="20016"/>
    <cellStyle name="Comma 2 5 2 3 2 3 6 2 2" xfId="41059"/>
    <cellStyle name="Comma 2 5 2 3 2 3 6 2 3" xfId="34636"/>
    <cellStyle name="Comma 2 5 2 3 2 3 6 3" xfId="22215"/>
    <cellStyle name="Comma 2 5 2 3 2 3 6 3 2" xfId="37852"/>
    <cellStyle name="Comma 2 5 2 3 2 3 6 4" xfId="31429"/>
    <cellStyle name="Comma 2 5 2 3 2 3 6 5" xfId="43194"/>
    <cellStyle name="Comma 2 5 2 3 2 3 7" xfId="8455"/>
    <cellStyle name="Comma 2 5 2 3 2 3 7 2" xfId="18915"/>
    <cellStyle name="Comma 2 5 2 3 2 3 7 2 2" xfId="39958"/>
    <cellStyle name="Comma 2 5 2 3 2 3 7 2 3" xfId="33535"/>
    <cellStyle name="Comma 2 5 2 3 2 3 7 3" xfId="23405"/>
    <cellStyle name="Comma 2 5 2 3 2 3 7 3 2" xfId="36751"/>
    <cellStyle name="Comma 2 5 2 3 2 3 7 4" xfId="30328"/>
    <cellStyle name="Comma 2 5 2 3 2 3 7 5" xfId="44234"/>
    <cellStyle name="Comma 2 5 2 3 2 3 8" xfId="7365"/>
    <cellStyle name="Comma 2 5 2 3 2 3 8 2" xfId="17868"/>
    <cellStyle name="Comma 2 5 2 3 2 3 8 2 2" xfId="38917"/>
    <cellStyle name="Comma 2 5 2 3 2 3 8 3" xfId="32494"/>
    <cellStyle name="Comma 2 5 2 3 2 3 9" xfId="16180"/>
    <cellStyle name="Comma 2 5 2 3 2 3 9 2" xfId="35710"/>
    <cellStyle name="Comma 2 5 2 3 2 4" xfId="2486"/>
    <cellStyle name="Comma 2 5 2 3 2 4 2" xfId="11222"/>
    <cellStyle name="Comma 2 5 2 3 2 4 2 2" xfId="20021"/>
    <cellStyle name="Comma 2 5 2 3 2 4 2 2 2" xfId="41064"/>
    <cellStyle name="Comma 2 5 2 3 2 4 2 2 3" xfId="34641"/>
    <cellStyle name="Comma 2 5 2 3 2 4 2 3" xfId="22220"/>
    <cellStyle name="Comma 2 5 2 3 2 4 2 3 2" xfId="37857"/>
    <cellStyle name="Comma 2 5 2 3 2 4 2 4" xfId="31434"/>
    <cellStyle name="Comma 2 5 2 3 2 4 2 5" xfId="43199"/>
    <cellStyle name="Comma 2 5 2 3 2 4 3" xfId="8460"/>
    <cellStyle name="Comma 2 5 2 3 2 4 3 2" xfId="18920"/>
    <cellStyle name="Comma 2 5 2 3 2 4 3 2 2" xfId="39963"/>
    <cellStyle name="Comma 2 5 2 3 2 4 3 2 3" xfId="33540"/>
    <cellStyle name="Comma 2 5 2 3 2 4 3 3" xfId="23410"/>
    <cellStyle name="Comma 2 5 2 3 2 4 3 3 2" xfId="36756"/>
    <cellStyle name="Comma 2 5 2 3 2 4 3 4" xfId="30333"/>
    <cellStyle name="Comma 2 5 2 3 2 4 3 5" xfId="44239"/>
    <cellStyle name="Comma 2 5 2 3 2 4 4" xfId="7370"/>
    <cellStyle name="Comma 2 5 2 3 2 4 4 2" xfId="17873"/>
    <cellStyle name="Comma 2 5 2 3 2 4 4 2 2" xfId="38922"/>
    <cellStyle name="Comma 2 5 2 3 2 4 4 3" xfId="32499"/>
    <cellStyle name="Comma 2 5 2 3 2 4 5" xfId="16261"/>
    <cellStyle name="Comma 2 5 2 3 2 4 5 2" xfId="35715"/>
    <cellStyle name="Comma 2 5 2 3 2 4 6" xfId="21086"/>
    <cellStyle name="Comma 2 5 2 3 2 4 7" xfId="29292"/>
    <cellStyle name="Comma 2 5 2 3 2 4 8" xfId="42105"/>
    <cellStyle name="Comma 2 5 2 3 2 5" xfId="3349"/>
    <cellStyle name="Comma 2 5 2 3 2 5 2" xfId="11223"/>
    <cellStyle name="Comma 2 5 2 3 2 5 2 2" xfId="20022"/>
    <cellStyle name="Comma 2 5 2 3 2 5 2 2 2" xfId="41065"/>
    <cellStyle name="Comma 2 5 2 3 2 5 2 2 3" xfId="34642"/>
    <cellStyle name="Comma 2 5 2 3 2 5 2 3" xfId="22221"/>
    <cellStyle name="Comma 2 5 2 3 2 5 2 3 2" xfId="37858"/>
    <cellStyle name="Comma 2 5 2 3 2 5 2 4" xfId="31435"/>
    <cellStyle name="Comma 2 5 2 3 2 5 2 5" xfId="43200"/>
    <cellStyle name="Comma 2 5 2 3 2 5 3" xfId="8461"/>
    <cellStyle name="Comma 2 5 2 3 2 5 3 2" xfId="18921"/>
    <cellStyle name="Comma 2 5 2 3 2 5 3 2 2" xfId="39964"/>
    <cellStyle name="Comma 2 5 2 3 2 5 3 2 3" xfId="33541"/>
    <cellStyle name="Comma 2 5 2 3 2 5 3 3" xfId="23411"/>
    <cellStyle name="Comma 2 5 2 3 2 5 3 3 2" xfId="36757"/>
    <cellStyle name="Comma 2 5 2 3 2 5 3 4" xfId="30334"/>
    <cellStyle name="Comma 2 5 2 3 2 5 3 5" xfId="44240"/>
    <cellStyle name="Comma 2 5 2 3 2 5 4" xfId="7371"/>
    <cellStyle name="Comma 2 5 2 3 2 5 4 2" xfId="17874"/>
    <cellStyle name="Comma 2 5 2 3 2 5 4 2 2" xfId="38923"/>
    <cellStyle name="Comma 2 5 2 3 2 5 4 3" xfId="32500"/>
    <cellStyle name="Comma 2 5 2 3 2 5 5" xfId="16449"/>
    <cellStyle name="Comma 2 5 2 3 2 5 5 2" xfId="35716"/>
    <cellStyle name="Comma 2 5 2 3 2 5 6" xfId="21087"/>
    <cellStyle name="Comma 2 5 2 3 2 5 7" xfId="29293"/>
    <cellStyle name="Comma 2 5 2 3 2 5 8" xfId="42106"/>
    <cellStyle name="Comma 2 5 2 3 2 6" xfId="4217"/>
    <cellStyle name="Comma 2 5 2 3 2 6 2" xfId="11224"/>
    <cellStyle name="Comma 2 5 2 3 2 6 2 2" xfId="20023"/>
    <cellStyle name="Comma 2 5 2 3 2 6 2 2 2" xfId="41066"/>
    <cellStyle name="Comma 2 5 2 3 2 6 2 2 3" xfId="34643"/>
    <cellStyle name="Comma 2 5 2 3 2 6 2 3" xfId="22222"/>
    <cellStyle name="Comma 2 5 2 3 2 6 2 3 2" xfId="37859"/>
    <cellStyle name="Comma 2 5 2 3 2 6 2 4" xfId="31436"/>
    <cellStyle name="Comma 2 5 2 3 2 6 2 5" xfId="43201"/>
    <cellStyle name="Comma 2 5 2 3 2 6 3" xfId="8462"/>
    <cellStyle name="Comma 2 5 2 3 2 6 3 2" xfId="18922"/>
    <cellStyle name="Comma 2 5 2 3 2 6 3 2 2" xfId="39965"/>
    <cellStyle name="Comma 2 5 2 3 2 6 3 2 3" xfId="33542"/>
    <cellStyle name="Comma 2 5 2 3 2 6 3 3" xfId="23412"/>
    <cellStyle name="Comma 2 5 2 3 2 6 3 3 2" xfId="36758"/>
    <cellStyle name="Comma 2 5 2 3 2 6 3 4" xfId="30335"/>
    <cellStyle name="Comma 2 5 2 3 2 6 3 5" xfId="44241"/>
    <cellStyle name="Comma 2 5 2 3 2 6 4" xfId="7372"/>
    <cellStyle name="Comma 2 5 2 3 2 6 4 2" xfId="17875"/>
    <cellStyle name="Comma 2 5 2 3 2 6 4 2 2" xfId="38924"/>
    <cellStyle name="Comma 2 5 2 3 2 6 4 3" xfId="32501"/>
    <cellStyle name="Comma 2 5 2 3 2 6 5" xfId="16637"/>
    <cellStyle name="Comma 2 5 2 3 2 6 5 2" xfId="35717"/>
    <cellStyle name="Comma 2 5 2 3 2 6 6" xfId="21088"/>
    <cellStyle name="Comma 2 5 2 3 2 6 7" xfId="29294"/>
    <cellStyle name="Comma 2 5 2 3 2 6 8" xfId="42107"/>
    <cellStyle name="Comma 2 5 2 3 2 7" xfId="5044"/>
    <cellStyle name="Comma 2 5 2 3 2 7 2" xfId="11225"/>
    <cellStyle name="Comma 2 5 2 3 2 7 2 2" xfId="20024"/>
    <cellStyle name="Comma 2 5 2 3 2 7 2 2 2" xfId="41067"/>
    <cellStyle name="Comma 2 5 2 3 2 7 2 2 3" xfId="34644"/>
    <cellStyle name="Comma 2 5 2 3 2 7 2 3" xfId="22223"/>
    <cellStyle name="Comma 2 5 2 3 2 7 2 3 2" xfId="37860"/>
    <cellStyle name="Comma 2 5 2 3 2 7 2 4" xfId="31437"/>
    <cellStyle name="Comma 2 5 2 3 2 7 2 5" xfId="43202"/>
    <cellStyle name="Comma 2 5 2 3 2 7 3" xfId="8463"/>
    <cellStyle name="Comma 2 5 2 3 2 7 3 2" xfId="18923"/>
    <cellStyle name="Comma 2 5 2 3 2 7 3 2 2" xfId="39966"/>
    <cellStyle name="Comma 2 5 2 3 2 7 3 2 3" xfId="33543"/>
    <cellStyle name="Comma 2 5 2 3 2 7 3 3" xfId="23413"/>
    <cellStyle name="Comma 2 5 2 3 2 7 3 3 2" xfId="36759"/>
    <cellStyle name="Comma 2 5 2 3 2 7 3 4" xfId="30336"/>
    <cellStyle name="Comma 2 5 2 3 2 7 3 5" xfId="44242"/>
    <cellStyle name="Comma 2 5 2 3 2 7 4" xfId="7373"/>
    <cellStyle name="Comma 2 5 2 3 2 7 4 2" xfId="17876"/>
    <cellStyle name="Comma 2 5 2 3 2 7 4 2 2" xfId="38925"/>
    <cellStyle name="Comma 2 5 2 3 2 7 4 3" xfId="32502"/>
    <cellStyle name="Comma 2 5 2 3 2 7 5" xfId="16859"/>
    <cellStyle name="Comma 2 5 2 3 2 7 5 2" xfId="35718"/>
    <cellStyle name="Comma 2 5 2 3 2 7 6" xfId="21089"/>
    <cellStyle name="Comma 2 5 2 3 2 7 7" xfId="29295"/>
    <cellStyle name="Comma 2 5 2 3 2 7 8" xfId="42108"/>
    <cellStyle name="Comma 2 5 2 3 2 8" xfId="5479"/>
    <cellStyle name="Comma 2 5 2 3 2 8 2" xfId="11226"/>
    <cellStyle name="Comma 2 5 2 3 2 8 2 2" xfId="20025"/>
    <cellStyle name="Comma 2 5 2 3 2 8 2 2 2" xfId="41068"/>
    <cellStyle name="Comma 2 5 2 3 2 8 2 2 3" xfId="34645"/>
    <cellStyle name="Comma 2 5 2 3 2 8 2 3" xfId="22224"/>
    <cellStyle name="Comma 2 5 2 3 2 8 2 3 2" xfId="37861"/>
    <cellStyle name="Comma 2 5 2 3 2 8 2 4" xfId="31438"/>
    <cellStyle name="Comma 2 5 2 3 2 8 2 5" xfId="43203"/>
    <cellStyle name="Comma 2 5 2 3 2 8 3" xfId="8464"/>
    <cellStyle name="Comma 2 5 2 3 2 8 3 2" xfId="18924"/>
    <cellStyle name="Comma 2 5 2 3 2 8 3 2 2" xfId="39967"/>
    <cellStyle name="Comma 2 5 2 3 2 8 3 2 3" xfId="33544"/>
    <cellStyle name="Comma 2 5 2 3 2 8 3 3" xfId="23414"/>
    <cellStyle name="Comma 2 5 2 3 2 8 3 3 2" xfId="36760"/>
    <cellStyle name="Comma 2 5 2 3 2 8 3 4" xfId="30337"/>
    <cellStyle name="Comma 2 5 2 3 2 8 3 5" xfId="44243"/>
    <cellStyle name="Comma 2 5 2 3 2 8 4" xfId="7374"/>
    <cellStyle name="Comma 2 5 2 3 2 8 4 2" xfId="17877"/>
    <cellStyle name="Comma 2 5 2 3 2 8 4 2 2" xfId="38926"/>
    <cellStyle name="Comma 2 5 2 3 2 8 4 3" xfId="32503"/>
    <cellStyle name="Comma 2 5 2 3 2 8 5" xfId="16925"/>
    <cellStyle name="Comma 2 5 2 3 2 8 5 2" xfId="35719"/>
    <cellStyle name="Comma 2 5 2 3 2 8 6" xfId="21090"/>
    <cellStyle name="Comma 2 5 2 3 2 8 7" xfId="29296"/>
    <cellStyle name="Comma 2 5 2 3 2 8 8" xfId="42109"/>
    <cellStyle name="Comma 2 5 2 3 2 9" xfId="10264"/>
    <cellStyle name="Comma 2 5 2 3 2 9 2" xfId="19317"/>
    <cellStyle name="Comma 2 5 2 3 2 9 2 2" xfId="40360"/>
    <cellStyle name="Comma 2 5 2 3 2 9 2 3" xfId="33937"/>
    <cellStyle name="Comma 2 5 2 3 2 9 3" xfId="21517"/>
    <cellStyle name="Comma 2 5 2 3 2 9 3 2" xfId="37153"/>
    <cellStyle name="Comma 2 5 2 3 2 9 4" xfId="30730"/>
    <cellStyle name="Comma 2 5 2 3 2 9 5" xfId="42496"/>
    <cellStyle name="Comma 2 5 2 3 3" xfId="1845"/>
    <cellStyle name="Comma 2 5 2 3 3 10" xfId="16123"/>
    <cellStyle name="Comma 2 5 2 3 3 10 2" xfId="35018"/>
    <cellStyle name="Comma 2 5 2 3 3 11" xfId="21091"/>
    <cellStyle name="Comma 2 5 2 3 3 12" xfId="28593"/>
    <cellStyle name="Comma 2 5 2 3 3 13" xfId="42110"/>
    <cellStyle name="Comma 2 5 2 3 3 2" xfId="2735"/>
    <cellStyle name="Comma 2 5 2 3 3 2 2" xfId="11227"/>
    <cellStyle name="Comma 2 5 2 3 3 2 2 2" xfId="20026"/>
    <cellStyle name="Comma 2 5 2 3 3 2 2 2 2" xfId="41069"/>
    <cellStyle name="Comma 2 5 2 3 3 2 2 2 3" xfId="34646"/>
    <cellStyle name="Comma 2 5 2 3 3 2 2 3" xfId="22225"/>
    <cellStyle name="Comma 2 5 2 3 3 2 2 3 2" xfId="37862"/>
    <cellStyle name="Comma 2 5 2 3 3 2 2 4" xfId="31439"/>
    <cellStyle name="Comma 2 5 2 3 3 2 2 5" xfId="43204"/>
    <cellStyle name="Comma 2 5 2 3 3 2 3" xfId="8466"/>
    <cellStyle name="Comma 2 5 2 3 3 2 3 2" xfId="18926"/>
    <cellStyle name="Comma 2 5 2 3 3 2 3 2 2" xfId="39969"/>
    <cellStyle name="Comma 2 5 2 3 3 2 3 2 3" xfId="33546"/>
    <cellStyle name="Comma 2 5 2 3 3 2 3 3" xfId="23416"/>
    <cellStyle name="Comma 2 5 2 3 3 2 3 3 2" xfId="36762"/>
    <cellStyle name="Comma 2 5 2 3 3 2 3 4" xfId="30339"/>
    <cellStyle name="Comma 2 5 2 3 3 2 3 5" xfId="44245"/>
    <cellStyle name="Comma 2 5 2 3 3 2 4" xfId="7375"/>
    <cellStyle name="Comma 2 5 2 3 3 2 4 2" xfId="17878"/>
    <cellStyle name="Comma 2 5 2 3 3 2 4 2 2" xfId="38927"/>
    <cellStyle name="Comma 2 5 2 3 3 2 4 3" xfId="32504"/>
    <cellStyle name="Comma 2 5 2 3 3 2 5" xfId="16313"/>
    <cellStyle name="Comma 2 5 2 3 3 2 5 2" xfId="35720"/>
    <cellStyle name="Comma 2 5 2 3 3 2 6" xfId="21092"/>
    <cellStyle name="Comma 2 5 2 3 3 2 7" xfId="29297"/>
    <cellStyle name="Comma 2 5 2 3 3 2 8" xfId="42111"/>
    <cellStyle name="Comma 2 5 2 3 3 3" xfId="3599"/>
    <cellStyle name="Comma 2 5 2 3 3 3 2" xfId="11228"/>
    <cellStyle name="Comma 2 5 2 3 3 3 2 2" xfId="20027"/>
    <cellStyle name="Comma 2 5 2 3 3 3 2 2 2" xfId="41070"/>
    <cellStyle name="Comma 2 5 2 3 3 3 2 2 3" xfId="34647"/>
    <cellStyle name="Comma 2 5 2 3 3 3 2 3" xfId="22226"/>
    <cellStyle name="Comma 2 5 2 3 3 3 2 3 2" xfId="37863"/>
    <cellStyle name="Comma 2 5 2 3 3 3 2 4" xfId="31440"/>
    <cellStyle name="Comma 2 5 2 3 3 3 2 5" xfId="43205"/>
    <cellStyle name="Comma 2 5 2 3 3 3 3" xfId="8467"/>
    <cellStyle name="Comma 2 5 2 3 3 3 3 2" xfId="18927"/>
    <cellStyle name="Comma 2 5 2 3 3 3 3 2 2" xfId="39970"/>
    <cellStyle name="Comma 2 5 2 3 3 3 3 2 3" xfId="33547"/>
    <cellStyle name="Comma 2 5 2 3 3 3 3 3" xfId="23417"/>
    <cellStyle name="Comma 2 5 2 3 3 3 3 3 2" xfId="36763"/>
    <cellStyle name="Comma 2 5 2 3 3 3 3 4" xfId="30340"/>
    <cellStyle name="Comma 2 5 2 3 3 3 3 5" xfId="44246"/>
    <cellStyle name="Comma 2 5 2 3 3 3 4" xfId="7376"/>
    <cellStyle name="Comma 2 5 2 3 3 3 4 2" xfId="17879"/>
    <cellStyle name="Comma 2 5 2 3 3 3 4 2 2" xfId="38928"/>
    <cellStyle name="Comma 2 5 2 3 3 3 4 3" xfId="32505"/>
    <cellStyle name="Comma 2 5 2 3 3 3 5" xfId="16501"/>
    <cellStyle name="Comma 2 5 2 3 3 3 5 2" xfId="35721"/>
    <cellStyle name="Comma 2 5 2 3 3 3 6" xfId="21093"/>
    <cellStyle name="Comma 2 5 2 3 3 3 7" xfId="29298"/>
    <cellStyle name="Comma 2 5 2 3 3 3 8" xfId="42112"/>
    <cellStyle name="Comma 2 5 2 3 3 4" xfId="4474"/>
    <cellStyle name="Comma 2 5 2 3 3 4 2" xfId="11229"/>
    <cellStyle name="Comma 2 5 2 3 3 4 2 2" xfId="20028"/>
    <cellStyle name="Comma 2 5 2 3 3 4 2 2 2" xfId="41071"/>
    <cellStyle name="Comma 2 5 2 3 3 4 2 2 3" xfId="34648"/>
    <cellStyle name="Comma 2 5 2 3 3 4 2 3" xfId="22227"/>
    <cellStyle name="Comma 2 5 2 3 3 4 2 3 2" xfId="37864"/>
    <cellStyle name="Comma 2 5 2 3 3 4 2 4" xfId="31441"/>
    <cellStyle name="Comma 2 5 2 3 3 4 2 5" xfId="43206"/>
    <cellStyle name="Comma 2 5 2 3 3 4 3" xfId="8468"/>
    <cellStyle name="Comma 2 5 2 3 3 4 3 2" xfId="18928"/>
    <cellStyle name="Comma 2 5 2 3 3 4 3 2 2" xfId="39971"/>
    <cellStyle name="Comma 2 5 2 3 3 4 3 2 3" xfId="33548"/>
    <cellStyle name="Comma 2 5 2 3 3 4 3 3" xfId="23418"/>
    <cellStyle name="Comma 2 5 2 3 3 4 3 3 2" xfId="36764"/>
    <cellStyle name="Comma 2 5 2 3 3 4 3 4" xfId="30341"/>
    <cellStyle name="Comma 2 5 2 3 3 4 3 5" xfId="44247"/>
    <cellStyle name="Comma 2 5 2 3 3 4 4" xfId="7377"/>
    <cellStyle name="Comma 2 5 2 3 3 4 4 2" xfId="17880"/>
    <cellStyle name="Comma 2 5 2 3 3 4 4 2 2" xfId="38929"/>
    <cellStyle name="Comma 2 5 2 3 3 4 4 3" xfId="32506"/>
    <cellStyle name="Comma 2 5 2 3 3 4 5" xfId="16689"/>
    <cellStyle name="Comma 2 5 2 3 3 4 5 2" xfId="35722"/>
    <cellStyle name="Comma 2 5 2 3 3 4 6" xfId="21094"/>
    <cellStyle name="Comma 2 5 2 3 3 4 7" xfId="29299"/>
    <cellStyle name="Comma 2 5 2 3 3 4 8" xfId="42113"/>
    <cellStyle name="Comma 2 5 2 3 3 5" xfId="5046"/>
    <cellStyle name="Comma 2 5 2 3 3 5 2" xfId="11230"/>
    <cellStyle name="Comma 2 5 2 3 3 5 2 2" xfId="20029"/>
    <cellStyle name="Comma 2 5 2 3 3 5 2 2 2" xfId="41072"/>
    <cellStyle name="Comma 2 5 2 3 3 5 2 2 3" xfId="34649"/>
    <cellStyle name="Comma 2 5 2 3 3 5 2 3" xfId="22228"/>
    <cellStyle name="Comma 2 5 2 3 3 5 2 3 2" xfId="37865"/>
    <cellStyle name="Comma 2 5 2 3 3 5 2 4" xfId="31442"/>
    <cellStyle name="Comma 2 5 2 3 3 5 2 5" xfId="43207"/>
    <cellStyle name="Comma 2 5 2 3 3 5 3" xfId="8469"/>
    <cellStyle name="Comma 2 5 2 3 3 5 3 2" xfId="18929"/>
    <cellStyle name="Comma 2 5 2 3 3 5 3 2 2" xfId="39972"/>
    <cellStyle name="Comma 2 5 2 3 3 5 3 2 3" xfId="33549"/>
    <cellStyle name="Comma 2 5 2 3 3 5 3 3" xfId="23419"/>
    <cellStyle name="Comma 2 5 2 3 3 5 3 3 2" xfId="36765"/>
    <cellStyle name="Comma 2 5 2 3 3 5 3 4" xfId="30342"/>
    <cellStyle name="Comma 2 5 2 3 3 5 3 5" xfId="44248"/>
    <cellStyle name="Comma 2 5 2 3 3 5 4" xfId="7378"/>
    <cellStyle name="Comma 2 5 2 3 3 5 4 2" xfId="17881"/>
    <cellStyle name="Comma 2 5 2 3 3 5 4 2 2" xfId="38930"/>
    <cellStyle name="Comma 2 5 2 3 3 5 4 3" xfId="32507"/>
    <cellStyle name="Comma 2 5 2 3 3 5 5" xfId="16861"/>
    <cellStyle name="Comma 2 5 2 3 3 5 5 2" xfId="35723"/>
    <cellStyle name="Comma 2 5 2 3 3 5 6" xfId="21095"/>
    <cellStyle name="Comma 2 5 2 3 3 5 7" xfId="29300"/>
    <cellStyle name="Comma 2 5 2 3 3 5 8" xfId="42114"/>
    <cellStyle name="Comma 2 5 2 3 3 6" xfId="5739"/>
    <cellStyle name="Comma 2 5 2 3 3 6 2" xfId="11231"/>
    <cellStyle name="Comma 2 5 2 3 3 6 2 2" xfId="20030"/>
    <cellStyle name="Comma 2 5 2 3 3 6 2 2 2" xfId="41073"/>
    <cellStyle name="Comma 2 5 2 3 3 6 2 2 3" xfId="34650"/>
    <cellStyle name="Comma 2 5 2 3 3 6 2 3" xfId="22229"/>
    <cellStyle name="Comma 2 5 2 3 3 6 2 3 2" xfId="37866"/>
    <cellStyle name="Comma 2 5 2 3 3 6 2 4" xfId="31443"/>
    <cellStyle name="Comma 2 5 2 3 3 6 2 5" xfId="43208"/>
    <cellStyle name="Comma 2 5 2 3 3 6 3" xfId="8470"/>
    <cellStyle name="Comma 2 5 2 3 3 6 3 2" xfId="18930"/>
    <cellStyle name="Comma 2 5 2 3 3 6 3 2 2" xfId="39973"/>
    <cellStyle name="Comma 2 5 2 3 3 6 3 2 3" xfId="33550"/>
    <cellStyle name="Comma 2 5 2 3 3 6 3 3" xfId="23420"/>
    <cellStyle name="Comma 2 5 2 3 3 6 3 3 2" xfId="36766"/>
    <cellStyle name="Comma 2 5 2 3 3 6 3 4" xfId="30343"/>
    <cellStyle name="Comma 2 5 2 3 3 6 3 5" xfId="44249"/>
    <cellStyle name="Comma 2 5 2 3 3 6 4" xfId="7379"/>
    <cellStyle name="Comma 2 5 2 3 3 6 4 2" xfId="17882"/>
    <cellStyle name="Comma 2 5 2 3 3 6 4 2 2" xfId="38931"/>
    <cellStyle name="Comma 2 5 2 3 3 6 4 3" xfId="32508"/>
    <cellStyle name="Comma 2 5 2 3 3 6 5" xfId="16977"/>
    <cellStyle name="Comma 2 5 2 3 3 6 5 2" xfId="35724"/>
    <cellStyle name="Comma 2 5 2 3 3 6 6" xfId="21096"/>
    <cellStyle name="Comma 2 5 2 3 3 6 7" xfId="29301"/>
    <cellStyle name="Comma 2 5 2 3 3 6 8" xfId="42115"/>
    <cellStyle name="Comma 2 5 2 3 3 7" xfId="10266"/>
    <cellStyle name="Comma 2 5 2 3 3 7 2" xfId="19319"/>
    <cellStyle name="Comma 2 5 2 3 3 7 2 2" xfId="40362"/>
    <cellStyle name="Comma 2 5 2 3 3 7 2 3" xfId="33939"/>
    <cellStyle name="Comma 2 5 2 3 3 7 3" xfId="21519"/>
    <cellStyle name="Comma 2 5 2 3 3 7 3 2" xfId="37155"/>
    <cellStyle name="Comma 2 5 2 3 3 7 4" xfId="30732"/>
    <cellStyle name="Comma 2 5 2 3 3 7 5" xfId="42498"/>
    <cellStyle name="Comma 2 5 2 3 3 8" xfId="8465"/>
    <cellStyle name="Comma 2 5 2 3 3 8 2" xfId="18925"/>
    <cellStyle name="Comma 2 5 2 3 3 8 2 2" xfId="39968"/>
    <cellStyle name="Comma 2 5 2 3 3 8 2 3" xfId="33545"/>
    <cellStyle name="Comma 2 5 2 3 3 8 3" xfId="23415"/>
    <cellStyle name="Comma 2 5 2 3 3 8 3 2" xfId="36761"/>
    <cellStyle name="Comma 2 5 2 3 3 8 4" xfId="30338"/>
    <cellStyle name="Comma 2 5 2 3 3 8 5" xfId="44244"/>
    <cellStyle name="Comma 2 5 2 3 3 9" xfId="6665"/>
    <cellStyle name="Comma 2 5 2 3 3 9 2" xfId="17172"/>
    <cellStyle name="Comma 2 5 2 3 3 9 2 2" xfId="38225"/>
    <cellStyle name="Comma 2 5 2 3 3 9 3" xfId="31802"/>
    <cellStyle name="Comma 2 5 2 3 4" xfId="2120"/>
    <cellStyle name="Comma 2 5 2 3 4 10" xfId="21097"/>
    <cellStyle name="Comma 2 5 2 3 4 11" xfId="29302"/>
    <cellStyle name="Comma 2 5 2 3 4 12" xfId="42116"/>
    <cellStyle name="Comma 2 5 2 3 4 2" xfId="2990"/>
    <cellStyle name="Comma 2 5 2 3 4 2 2" xfId="11233"/>
    <cellStyle name="Comma 2 5 2 3 4 2 2 2" xfId="20032"/>
    <cellStyle name="Comma 2 5 2 3 4 2 2 2 2" xfId="41075"/>
    <cellStyle name="Comma 2 5 2 3 4 2 2 2 3" xfId="34652"/>
    <cellStyle name="Comma 2 5 2 3 4 2 2 3" xfId="22231"/>
    <cellStyle name="Comma 2 5 2 3 4 2 2 3 2" xfId="37868"/>
    <cellStyle name="Comma 2 5 2 3 4 2 2 4" xfId="31445"/>
    <cellStyle name="Comma 2 5 2 3 4 2 2 5" xfId="43210"/>
    <cellStyle name="Comma 2 5 2 3 4 2 3" xfId="8472"/>
    <cellStyle name="Comma 2 5 2 3 4 2 3 2" xfId="18932"/>
    <cellStyle name="Comma 2 5 2 3 4 2 3 2 2" xfId="39975"/>
    <cellStyle name="Comma 2 5 2 3 4 2 3 2 3" xfId="33552"/>
    <cellStyle name="Comma 2 5 2 3 4 2 3 3" xfId="23422"/>
    <cellStyle name="Comma 2 5 2 3 4 2 3 3 2" xfId="36768"/>
    <cellStyle name="Comma 2 5 2 3 4 2 3 4" xfId="30345"/>
    <cellStyle name="Comma 2 5 2 3 4 2 3 5" xfId="44251"/>
    <cellStyle name="Comma 2 5 2 3 4 2 4" xfId="7381"/>
    <cellStyle name="Comma 2 5 2 3 4 2 4 2" xfId="17884"/>
    <cellStyle name="Comma 2 5 2 3 4 2 4 2 2" xfId="38933"/>
    <cellStyle name="Comma 2 5 2 3 4 2 4 3" xfId="32510"/>
    <cellStyle name="Comma 2 5 2 3 4 2 5" xfId="16368"/>
    <cellStyle name="Comma 2 5 2 3 4 2 5 2" xfId="35726"/>
    <cellStyle name="Comma 2 5 2 3 4 2 6" xfId="21098"/>
    <cellStyle name="Comma 2 5 2 3 4 2 7" xfId="29303"/>
    <cellStyle name="Comma 2 5 2 3 4 2 8" xfId="42117"/>
    <cellStyle name="Comma 2 5 2 3 4 3" xfId="3860"/>
    <cellStyle name="Comma 2 5 2 3 4 3 2" xfId="11234"/>
    <cellStyle name="Comma 2 5 2 3 4 3 2 2" xfId="20033"/>
    <cellStyle name="Comma 2 5 2 3 4 3 2 2 2" xfId="41076"/>
    <cellStyle name="Comma 2 5 2 3 4 3 2 2 3" xfId="34653"/>
    <cellStyle name="Comma 2 5 2 3 4 3 2 3" xfId="22232"/>
    <cellStyle name="Comma 2 5 2 3 4 3 2 3 2" xfId="37869"/>
    <cellStyle name="Comma 2 5 2 3 4 3 2 4" xfId="31446"/>
    <cellStyle name="Comma 2 5 2 3 4 3 2 5" xfId="43211"/>
    <cellStyle name="Comma 2 5 2 3 4 3 3" xfId="8473"/>
    <cellStyle name="Comma 2 5 2 3 4 3 3 2" xfId="18933"/>
    <cellStyle name="Comma 2 5 2 3 4 3 3 2 2" xfId="39976"/>
    <cellStyle name="Comma 2 5 2 3 4 3 3 2 3" xfId="33553"/>
    <cellStyle name="Comma 2 5 2 3 4 3 3 3" xfId="23423"/>
    <cellStyle name="Comma 2 5 2 3 4 3 3 3 2" xfId="36769"/>
    <cellStyle name="Comma 2 5 2 3 4 3 3 4" xfId="30346"/>
    <cellStyle name="Comma 2 5 2 3 4 3 3 5" xfId="44252"/>
    <cellStyle name="Comma 2 5 2 3 4 3 4" xfId="7382"/>
    <cellStyle name="Comma 2 5 2 3 4 3 4 2" xfId="17885"/>
    <cellStyle name="Comma 2 5 2 3 4 3 4 2 2" xfId="38934"/>
    <cellStyle name="Comma 2 5 2 3 4 3 4 3" xfId="32511"/>
    <cellStyle name="Comma 2 5 2 3 4 3 5" xfId="16556"/>
    <cellStyle name="Comma 2 5 2 3 4 3 5 2" xfId="35727"/>
    <cellStyle name="Comma 2 5 2 3 4 3 6" xfId="21099"/>
    <cellStyle name="Comma 2 5 2 3 4 3 7" xfId="29304"/>
    <cellStyle name="Comma 2 5 2 3 4 3 8" xfId="42118"/>
    <cellStyle name="Comma 2 5 2 3 4 4" xfId="4738"/>
    <cellStyle name="Comma 2 5 2 3 4 4 2" xfId="11235"/>
    <cellStyle name="Comma 2 5 2 3 4 4 2 2" xfId="20034"/>
    <cellStyle name="Comma 2 5 2 3 4 4 2 2 2" xfId="41077"/>
    <cellStyle name="Comma 2 5 2 3 4 4 2 2 3" xfId="34654"/>
    <cellStyle name="Comma 2 5 2 3 4 4 2 3" xfId="22233"/>
    <cellStyle name="Comma 2 5 2 3 4 4 2 3 2" xfId="37870"/>
    <cellStyle name="Comma 2 5 2 3 4 4 2 4" xfId="31447"/>
    <cellStyle name="Comma 2 5 2 3 4 4 2 5" xfId="43212"/>
    <cellStyle name="Comma 2 5 2 3 4 4 3" xfId="8474"/>
    <cellStyle name="Comma 2 5 2 3 4 4 3 2" xfId="18934"/>
    <cellStyle name="Comma 2 5 2 3 4 4 3 2 2" xfId="39977"/>
    <cellStyle name="Comma 2 5 2 3 4 4 3 2 3" xfId="33554"/>
    <cellStyle name="Comma 2 5 2 3 4 4 3 3" xfId="23424"/>
    <cellStyle name="Comma 2 5 2 3 4 4 3 3 2" xfId="36770"/>
    <cellStyle name="Comma 2 5 2 3 4 4 3 4" xfId="30347"/>
    <cellStyle name="Comma 2 5 2 3 4 4 3 5" xfId="44253"/>
    <cellStyle name="Comma 2 5 2 3 4 4 4" xfId="7383"/>
    <cellStyle name="Comma 2 5 2 3 4 4 4 2" xfId="17886"/>
    <cellStyle name="Comma 2 5 2 3 4 4 4 2 2" xfId="38935"/>
    <cellStyle name="Comma 2 5 2 3 4 4 4 3" xfId="32512"/>
    <cellStyle name="Comma 2 5 2 3 4 4 5" xfId="16744"/>
    <cellStyle name="Comma 2 5 2 3 4 4 5 2" xfId="35728"/>
    <cellStyle name="Comma 2 5 2 3 4 4 6" xfId="21100"/>
    <cellStyle name="Comma 2 5 2 3 4 4 7" xfId="29305"/>
    <cellStyle name="Comma 2 5 2 3 4 4 8" xfId="42119"/>
    <cellStyle name="Comma 2 5 2 3 4 5" xfId="6003"/>
    <cellStyle name="Comma 2 5 2 3 4 5 2" xfId="11236"/>
    <cellStyle name="Comma 2 5 2 3 4 5 2 2" xfId="20035"/>
    <cellStyle name="Comma 2 5 2 3 4 5 2 2 2" xfId="41078"/>
    <cellStyle name="Comma 2 5 2 3 4 5 2 2 3" xfId="34655"/>
    <cellStyle name="Comma 2 5 2 3 4 5 2 3" xfId="22234"/>
    <cellStyle name="Comma 2 5 2 3 4 5 2 3 2" xfId="37871"/>
    <cellStyle name="Comma 2 5 2 3 4 5 2 4" xfId="31448"/>
    <cellStyle name="Comma 2 5 2 3 4 5 2 5" xfId="43213"/>
    <cellStyle name="Comma 2 5 2 3 4 5 3" xfId="8475"/>
    <cellStyle name="Comma 2 5 2 3 4 5 3 2" xfId="18935"/>
    <cellStyle name="Comma 2 5 2 3 4 5 3 2 2" xfId="39978"/>
    <cellStyle name="Comma 2 5 2 3 4 5 3 2 3" xfId="33555"/>
    <cellStyle name="Comma 2 5 2 3 4 5 3 3" xfId="23425"/>
    <cellStyle name="Comma 2 5 2 3 4 5 3 3 2" xfId="36771"/>
    <cellStyle name="Comma 2 5 2 3 4 5 3 4" xfId="30348"/>
    <cellStyle name="Comma 2 5 2 3 4 5 3 5" xfId="44254"/>
    <cellStyle name="Comma 2 5 2 3 4 5 4" xfId="7384"/>
    <cellStyle name="Comma 2 5 2 3 4 5 4 2" xfId="17887"/>
    <cellStyle name="Comma 2 5 2 3 4 5 4 2 2" xfId="38936"/>
    <cellStyle name="Comma 2 5 2 3 4 5 4 3" xfId="32513"/>
    <cellStyle name="Comma 2 5 2 3 4 5 5" xfId="17032"/>
    <cellStyle name="Comma 2 5 2 3 4 5 5 2" xfId="35729"/>
    <cellStyle name="Comma 2 5 2 3 4 5 6" xfId="21101"/>
    <cellStyle name="Comma 2 5 2 3 4 5 7" xfId="29306"/>
    <cellStyle name="Comma 2 5 2 3 4 5 8" xfId="42120"/>
    <cellStyle name="Comma 2 5 2 3 4 6" xfId="11232"/>
    <cellStyle name="Comma 2 5 2 3 4 6 2" xfId="20031"/>
    <cellStyle name="Comma 2 5 2 3 4 6 2 2" xfId="41074"/>
    <cellStyle name="Comma 2 5 2 3 4 6 2 3" xfId="34651"/>
    <cellStyle name="Comma 2 5 2 3 4 6 3" xfId="22230"/>
    <cellStyle name="Comma 2 5 2 3 4 6 3 2" xfId="37867"/>
    <cellStyle name="Comma 2 5 2 3 4 6 4" xfId="31444"/>
    <cellStyle name="Comma 2 5 2 3 4 6 5" xfId="43209"/>
    <cellStyle name="Comma 2 5 2 3 4 7" xfId="8471"/>
    <cellStyle name="Comma 2 5 2 3 4 7 2" xfId="18931"/>
    <cellStyle name="Comma 2 5 2 3 4 7 2 2" xfId="39974"/>
    <cellStyle name="Comma 2 5 2 3 4 7 2 3" xfId="33551"/>
    <cellStyle name="Comma 2 5 2 3 4 7 3" xfId="23421"/>
    <cellStyle name="Comma 2 5 2 3 4 7 3 2" xfId="36767"/>
    <cellStyle name="Comma 2 5 2 3 4 7 4" xfId="30344"/>
    <cellStyle name="Comma 2 5 2 3 4 7 5" xfId="44250"/>
    <cellStyle name="Comma 2 5 2 3 4 8" xfId="7380"/>
    <cellStyle name="Comma 2 5 2 3 4 8 2" xfId="17883"/>
    <cellStyle name="Comma 2 5 2 3 4 8 2 2" xfId="38932"/>
    <cellStyle name="Comma 2 5 2 3 4 8 3" xfId="32509"/>
    <cellStyle name="Comma 2 5 2 3 4 9" xfId="16179"/>
    <cellStyle name="Comma 2 5 2 3 4 9 2" xfId="35725"/>
    <cellStyle name="Comma 2 5 2 3 5" xfId="2336"/>
    <cellStyle name="Comma 2 5 2 3 5 10" xfId="21102"/>
    <cellStyle name="Comma 2 5 2 3 5 11" xfId="29307"/>
    <cellStyle name="Comma 2 5 2 3 5 12" xfId="42121"/>
    <cellStyle name="Comma 2 5 2 3 5 2" xfId="3195"/>
    <cellStyle name="Comma 2 5 2 3 5 2 2" xfId="11238"/>
    <cellStyle name="Comma 2 5 2 3 5 2 2 2" xfId="20037"/>
    <cellStyle name="Comma 2 5 2 3 5 2 2 2 2" xfId="41080"/>
    <cellStyle name="Comma 2 5 2 3 5 2 2 2 3" xfId="34657"/>
    <cellStyle name="Comma 2 5 2 3 5 2 2 3" xfId="22236"/>
    <cellStyle name="Comma 2 5 2 3 5 2 2 3 2" xfId="37873"/>
    <cellStyle name="Comma 2 5 2 3 5 2 2 4" xfId="31450"/>
    <cellStyle name="Comma 2 5 2 3 5 2 2 5" xfId="43215"/>
    <cellStyle name="Comma 2 5 2 3 5 2 3" xfId="8477"/>
    <cellStyle name="Comma 2 5 2 3 5 2 3 2" xfId="18937"/>
    <cellStyle name="Comma 2 5 2 3 5 2 3 2 2" xfId="39980"/>
    <cellStyle name="Comma 2 5 2 3 5 2 3 2 3" xfId="33557"/>
    <cellStyle name="Comma 2 5 2 3 5 2 3 3" xfId="23427"/>
    <cellStyle name="Comma 2 5 2 3 5 2 3 3 2" xfId="36773"/>
    <cellStyle name="Comma 2 5 2 3 5 2 3 4" xfId="30350"/>
    <cellStyle name="Comma 2 5 2 3 5 2 3 5" xfId="44256"/>
    <cellStyle name="Comma 2 5 2 3 5 2 4" xfId="7386"/>
    <cellStyle name="Comma 2 5 2 3 5 2 4 2" xfId="17889"/>
    <cellStyle name="Comma 2 5 2 3 5 2 4 2 2" xfId="38938"/>
    <cellStyle name="Comma 2 5 2 3 5 2 4 3" xfId="32515"/>
    <cellStyle name="Comma 2 5 2 3 5 2 5" xfId="16400"/>
    <cellStyle name="Comma 2 5 2 3 5 2 5 2" xfId="35731"/>
    <cellStyle name="Comma 2 5 2 3 5 2 6" xfId="21103"/>
    <cellStyle name="Comma 2 5 2 3 5 2 7" xfId="29308"/>
    <cellStyle name="Comma 2 5 2 3 5 2 8" xfId="42122"/>
    <cellStyle name="Comma 2 5 2 3 5 3" xfId="4061"/>
    <cellStyle name="Comma 2 5 2 3 5 3 2" xfId="11239"/>
    <cellStyle name="Comma 2 5 2 3 5 3 2 2" xfId="20038"/>
    <cellStyle name="Comma 2 5 2 3 5 3 2 2 2" xfId="41081"/>
    <cellStyle name="Comma 2 5 2 3 5 3 2 2 3" xfId="34658"/>
    <cellStyle name="Comma 2 5 2 3 5 3 2 3" xfId="22237"/>
    <cellStyle name="Comma 2 5 2 3 5 3 2 3 2" xfId="37874"/>
    <cellStyle name="Comma 2 5 2 3 5 3 2 4" xfId="31451"/>
    <cellStyle name="Comma 2 5 2 3 5 3 2 5" xfId="43216"/>
    <cellStyle name="Comma 2 5 2 3 5 3 3" xfId="8478"/>
    <cellStyle name="Comma 2 5 2 3 5 3 3 2" xfId="18938"/>
    <cellStyle name="Comma 2 5 2 3 5 3 3 2 2" xfId="39981"/>
    <cellStyle name="Comma 2 5 2 3 5 3 3 2 3" xfId="33558"/>
    <cellStyle name="Comma 2 5 2 3 5 3 3 3" xfId="23428"/>
    <cellStyle name="Comma 2 5 2 3 5 3 3 3 2" xfId="36774"/>
    <cellStyle name="Comma 2 5 2 3 5 3 3 4" xfId="30351"/>
    <cellStyle name="Comma 2 5 2 3 5 3 3 5" xfId="44257"/>
    <cellStyle name="Comma 2 5 2 3 5 3 4" xfId="7387"/>
    <cellStyle name="Comma 2 5 2 3 5 3 4 2" xfId="17890"/>
    <cellStyle name="Comma 2 5 2 3 5 3 4 2 2" xfId="38939"/>
    <cellStyle name="Comma 2 5 2 3 5 3 4 3" xfId="32516"/>
    <cellStyle name="Comma 2 5 2 3 5 3 5" xfId="16588"/>
    <cellStyle name="Comma 2 5 2 3 5 3 5 2" xfId="35732"/>
    <cellStyle name="Comma 2 5 2 3 5 3 6" xfId="21104"/>
    <cellStyle name="Comma 2 5 2 3 5 3 7" xfId="29309"/>
    <cellStyle name="Comma 2 5 2 3 5 3 8" xfId="42123"/>
    <cellStyle name="Comma 2 5 2 3 5 4" xfId="4940"/>
    <cellStyle name="Comma 2 5 2 3 5 4 2" xfId="11240"/>
    <cellStyle name="Comma 2 5 2 3 5 4 2 2" xfId="20039"/>
    <cellStyle name="Comma 2 5 2 3 5 4 2 2 2" xfId="41082"/>
    <cellStyle name="Comma 2 5 2 3 5 4 2 2 3" xfId="34659"/>
    <cellStyle name="Comma 2 5 2 3 5 4 2 3" xfId="22238"/>
    <cellStyle name="Comma 2 5 2 3 5 4 2 3 2" xfId="37875"/>
    <cellStyle name="Comma 2 5 2 3 5 4 2 4" xfId="31452"/>
    <cellStyle name="Comma 2 5 2 3 5 4 2 5" xfId="43217"/>
    <cellStyle name="Comma 2 5 2 3 5 4 3" xfId="8479"/>
    <cellStyle name="Comma 2 5 2 3 5 4 3 2" xfId="18939"/>
    <cellStyle name="Comma 2 5 2 3 5 4 3 2 2" xfId="39982"/>
    <cellStyle name="Comma 2 5 2 3 5 4 3 2 3" xfId="33559"/>
    <cellStyle name="Comma 2 5 2 3 5 4 3 3" xfId="23429"/>
    <cellStyle name="Comma 2 5 2 3 5 4 3 3 2" xfId="36775"/>
    <cellStyle name="Comma 2 5 2 3 5 4 3 4" xfId="30352"/>
    <cellStyle name="Comma 2 5 2 3 5 4 3 5" xfId="44258"/>
    <cellStyle name="Comma 2 5 2 3 5 4 4" xfId="7388"/>
    <cellStyle name="Comma 2 5 2 3 5 4 4 2" xfId="17891"/>
    <cellStyle name="Comma 2 5 2 3 5 4 4 2 2" xfId="38940"/>
    <cellStyle name="Comma 2 5 2 3 5 4 4 3" xfId="32517"/>
    <cellStyle name="Comma 2 5 2 3 5 4 5" xfId="16776"/>
    <cellStyle name="Comma 2 5 2 3 5 4 5 2" xfId="35733"/>
    <cellStyle name="Comma 2 5 2 3 5 4 6" xfId="21105"/>
    <cellStyle name="Comma 2 5 2 3 5 4 7" xfId="29310"/>
    <cellStyle name="Comma 2 5 2 3 5 4 8" xfId="42124"/>
    <cellStyle name="Comma 2 5 2 3 5 5" xfId="6205"/>
    <cellStyle name="Comma 2 5 2 3 5 5 2" xfId="11241"/>
    <cellStyle name="Comma 2 5 2 3 5 5 2 2" xfId="20040"/>
    <cellStyle name="Comma 2 5 2 3 5 5 2 2 2" xfId="41083"/>
    <cellStyle name="Comma 2 5 2 3 5 5 2 2 3" xfId="34660"/>
    <cellStyle name="Comma 2 5 2 3 5 5 2 3" xfId="22239"/>
    <cellStyle name="Comma 2 5 2 3 5 5 2 3 2" xfId="37876"/>
    <cellStyle name="Comma 2 5 2 3 5 5 2 4" xfId="31453"/>
    <cellStyle name="Comma 2 5 2 3 5 5 2 5" xfId="43218"/>
    <cellStyle name="Comma 2 5 2 3 5 5 3" xfId="8480"/>
    <cellStyle name="Comma 2 5 2 3 5 5 3 2" xfId="18940"/>
    <cellStyle name="Comma 2 5 2 3 5 5 3 2 2" xfId="39983"/>
    <cellStyle name="Comma 2 5 2 3 5 5 3 2 3" xfId="33560"/>
    <cellStyle name="Comma 2 5 2 3 5 5 3 3" xfId="23430"/>
    <cellStyle name="Comma 2 5 2 3 5 5 3 3 2" xfId="36776"/>
    <cellStyle name="Comma 2 5 2 3 5 5 3 4" xfId="30353"/>
    <cellStyle name="Comma 2 5 2 3 5 5 3 5" xfId="44259"/>
    <cellStyle name="Comma 2 5 2 3 5 5 4" xfId="7389"/>
    <cellStyle name="Comma 2 5 2 3 5 5 4 2" xfId="17892"/>
    <cellStyle name="Comma 2 5 2 3 5 5 4 2 2" xfId="38941"/>
    <cellStyle name="Comma 2 5 2 3 5 5 4 3" xfId="32518"/>
    <cellStyle name="Comma 2 5 2 3 5 5 5" xfId="17064"/>
    <cellStyle name="Comma 2 5 2 3 5 5 5 2" xfId="35734"/>
    <cellStyle name="Comma 2 5 2 3 5 5 6" xfId="21106"/>
    <cellStyle name="Comma 2 5 2 3 5 5 7" xfId="29311"/>
    <cellStyle name="Comma 2 5 2 3 5 5 8" xfId="42125"/>
    <cellStyle name="Comma 2 5 2 3 5 6" xfId="11237"/>
    <cellStyle name="Comma 2 5 2 3 5 6 2" xfId="20036"/>
    <cellStyle name="Comma 2 5 2 3 5 6 2 2" xfId="41079"/>
    <cellStyle name="Comma 2 5 2 3 5 6 2 3" xfId="34656"/>
    <cellStyle name="Comma 2 5 2 3 5 6 3" xfId="22235"/>
    <cellStyle name="Comma 2 5 2 3 5 6 3 2" xfId="37872"/>
    <cellStyle name="Comma 2 5 2 3 5 6 4" xfId="31449"/>
    <cellStyle name="Comma 2 5 2 3 5 6 5" xfId="43214"/>
    <cellStyle name="Comma 2 5 2 3 5 7" xfId="8476"/>
    <cellStyle name="Comma 2 5 2 3 5 7 2" xfId="18936"/>
    <cellStyle name="Comma 2 5 2 3 5 7 2 2" xfId="39979"/>
    <cellStyle name="Comma 2 5 2 3 5 7 2 3" xfId="33556"/>
    <cellStyle name="Comma 2 5 2 3 5 7 3" xfId="23426"/>
    <cellStyle name="Comma 2 5 2 3 5 7 3 2" xfId="36772"/>
    <cellStyle name="Comma 2 5 2 3 5 7 4" xfId="30349"/>
    <cellStyle name="Comma 2 5 2 3 5 7 5" xfId="44255"/>
    <cellStyle name="Comma 2 5 2 3 5 8" xfId="7385"/>
    <cellStyle name="Comma 2 5 2 3 5 8 2" xfId="17888"/>
    <cellStyle name="Comma 2 5 2 3 5 8 2 2" xfId="38937"/>
    <cellStyle name="Comma 2 5 2 3 5 8 3" xfId="32514"/>
    <cellStyle name="Comma 2 5 2 3 5 9" xfId="16212"/>
    <cellStyle name="Comma 2 5 2 3 5 9 2" xfId="35730"/>
    <cellStyle name="Comma 2 5 2 3 6" xfId="2485"/>
    <cellStyle name="Comma 2 5 2 3 6 2" xfId="11242"/>
    <cellStyle name="Comma 2 5 2 3 6 2 2" xfId="20041"/>
    <cellStyle name="Comma 2 5 2 3 6 2 2 2" xfId="41084"/>
    <cellStyle name="Comma 2 5 2 3 6 2 2 3" xfId="34661"/>
    <cellStyle name="Comma 2 5 2 3 6 2 3" xfId="22240"/>
    <cellStyle name="Comma 2 5 2 3 6 2 3 2" xfId="37877"/>
    <cellStyle name="Comma 2 5 2 3 6 2 4" xfId="31454"/>
    <cellStyle name="Comma 2 5 2 3 6 2 5" xfId="43219"/>
    <cellStyle name="Comma 2 5 2 3 6 3" xfId="8481"/>
    <cellStyle name="Comma 2 5 2 3 6 3 2" xfId="18941"/>
    <cellStyle name="Comma 2 5 2 3 6 3 2 2" xfId="39984"/>
    <cellStyle name="Comma 2 5 2 3 6 3 2 3" xfId="33561"/>
    <cellStyle name="Comma 2 5 2 3 6 3 3" xfId="23431"/>
    <cellStyle name="Comma 2 5 2 3 6 3 3 2" xfId="36777"/>
    <cellStyle name="Comma 2 5 2 3 6 3 4" xfId="30354"/>
    <cellStyle name="Comma 2 5 2 3 6 3 5" xfId="44260"/>
    <cellStyle name="Comma 2 5 2 3 6 4" xfId="7390"/>
    <cellStyle name="Comma 2 5 2 3 6 4 2" xfId="17893"/>
    <cellStyle name="Comma 2 5 2 3 6 4 2 2" xfId="38942"/>
    <cellStyle name="Comma 2 5 2 3 6 4 3" xfId="32519"/>
    <cellStyle name="Comma 2 5 2 3 6 5" xfId="16260"/>
    <cellStyle name="Comma 2 5 2 3 6 5 2" xfId="35735"/>
    <cellStyle name="Comma 2 5 2 3 6 6" xfId="21107"/>
    <cellStyle name="Comma 2 5 2 3 6 7" xfId="29312"/>
    <cellStyle name="Comma 2 5 2 3 6 8" xfId="42126"/>
    <cellStyle name="Comma 2 5 2 3 7" xfId="3348"/>
    <cellStyle name="Comma 2 5 2 3 7 2" xfId="11243"/>
    <cellStyle name="Comma 2 5 2 3 7 2 2" xfId="20042"/>
    <cellStyle name="Comma 2 5 2 3 7 2 2 2" xfId="41085"/>
    <cellStyle name="Comma 2 5 2 3 7 2 2 3" xfId="34662"/>
    <cellStyle name="Comma 2 5 2 3 7 2 3" xfId="22241"/>
    <cellStyle name="Comma 2 5 2 3 7 2 3 2" xfId="37878"/>
    <cellStyle name="Comma 2 5 2 3 7 2 4" xfId="31455"/>
    <cellStyle name="Comma 2 5 2 3 7 2 5" xfId="43220"/>
    <cellStyle name="Comma 2 5 2 3 7 3" xfId="8482"/>
    <cellStyle name="Comma 2 5 2 3 7 3 2" xfId="18942"/>
    <cellStyle name="Comma 2 5 2 3 7 3 2 2" xfId="39985"/>
    <cellStyle name="Comma 2 5 2 3 7 3 2 3" xfId="33562"/>
    <cellStyle name="Comma 2 5 2 3 7 3 3" xfId="23432"/>
    <cellStyle name="Comma 2 5 2 3 7 3 3 2" xfId="36778"/>
    <cellStyle name="Comma 2 5 2 3 7 3 4" xfId="30355"/>
    <cellStyle name="Comma 2 5 2 3 7 3 5" xfId="44261"/>
    <cellStyle name="Comma 2 5 2 3 7 4" xfId="7391"/>
    <cellStyle name="Comma 2 5 2 3 7 4 2" xfId="17894"/>
    <cellStyle name="Comma 2 5 2 3 7 4 2 2" xfId="38943"/>
    <cellStyle name="Comma 2 5 2 3 7 4 3" xfId="32520"/>
    <cellStyle name="Comma 2 5 2 3 7 5" xfId="16448"/>
    <cellStyle name="Comma 2 5 2 3 7 5 2" xfId="35736"/>
    <cellStyle name="Comma 2 5 2 3 7 6" xfId="21108"/>
    <cellStyle name="Comma 2 5 2 3 7 7" xfId="29313"/>
    <cellStyle name="Comma 2 5 2 3 7 8" xfId="42127"/>
    <cellStyle name="Comma 2 5 2 3 8" xfId="4216"/>
    <cellStyle name="Comma 2 5 2 3 8 2" xfId="11244"/>
    <cellStyle name="Comma 2 5 2 3 8 2 2" xfId="20043"/>
    <cellStyle name="Comma 2 5 2 3 8 2 2 2" xfId="41086"/>
    <cellStyle name="Comma 2 5 2 3 8 2 2 3" xfId="34663"/>
    <cellStyle name="Comma 2 5 2 3 8 2 3" xfId="22242"/>
    <cellStyle name="Comma 2 5 2 3 8 2 3 2" xfId="37879"/>
    <cellStyle name="Comma 2 5 2 3 8 2 4" xfId="31456"/>
    <cellStyle name="Comma 2 5 2 3 8 2 5" xfId="43221"/>
    <cellStyle name="Comma 2 5 2 3 8 3" xfId="8483"/>
    <cellStyle name="Comma 2 5 2 3 8 3 2" xfId="18943"/>
    <cellStyle name="Comma 2 5 2 3 8 3 2 2" xfId="39986"/>
    <cellStyle name="Comma 2 5 2 3 8 3 2 3" xfId="33563"/>
    <cellStyle name="Comma 2 5 2 3 8 3 3" xfId="23433"/>
    <cellStyle name="Comma 2 5 2 3 8 3 3 2" xfId="36779"/>
    <cellStyle name="Comma 2 5 2 3 8 3 4" xfId="30356"/>
    <cellStyle name="Comma 2 5 2 3 8 3 5" xfId="44262"/>
    <cellStyle name="Comma 2 5 2 3 8 4" xfId="7392"/>
    <cellStyle name="Comma 2 5 2 3 8 4 2" xfId="17895"/>
    <cellStyle name="Comma 2 5 2 3 8 4 2 2" xfId="38944"/>
    <cellStyle name="Comma 2 5 2 3 8 4 3" xfId="32521"/>
    <cellStyle name="Comma 2 5 2 3 8 5" xfId="16636"/>
    <cellStyle name="Comma 2 5 2 3 8 5 2" xfId="35737"/>
    <cellStyle name="Comma 2 5 2 3 8 6" xfId="21109"/>
    <cellStyle name="Comma 2 5 2 3 8 7" xfId="29314"/>
    <cellStyle name="Comma 2 5 2 3 8 8" xfId="42128"/>
    <cellStyle name="Comma 2 5 2 3 9" xfId="5043"/>
    <cellStyle name="Comma 2 5 2 3 9 2" xfId="11245"/>
    <cellStyle name="Comma 2 5 2 3 9 2 2" xfId="20044"/>
    <cellStyle name="Comma 2 5 2 3 9 2 2 2" xfId="41087"/>
    <cellStyle name="Comma 2 5 2 3 9 2 2 3" xfId="34664"/>
    <cellStyle name="Comma 2 5 2 3 9 2 3" xfId="22243"/>
    <cellStyle name="Comma 2 5 2 3 9 2 3 2" xfId="37880"/>
    <cellStyle name="Comma 2 5 2 3 9 2 4" xfId="31457"/>
    <cellStyle name="Comma 2 5 2 3 9 2 5" xfId="43222"/>
    <cellStyle name="Comma 2 5 2 3 9 3" xfId="8484"/>
    <cellStyle name="Comma 2 5 2 3 9 3 2" xfId="18944"/>
    <cellStyle name="Comma 2 5 2 3 9 3 2 2" xfId="39987"/>
    <cellStyle name="Comma 2 5 2 3 9 3 2 3" xfId="33564"/>
    <cellStyle name="Comma 2 5 2 3 9 3 3" xfId="23434"/>
    <cellStyle name="Comma 2 5 2 3 9 3 3 2" xfId="36780"/>
    <cellStyle name="Comma 2 5 2 3 9 3 4" xfId="30357"/>
    <cellStyle name="Comma 2 5 2 3 9 3 5" xfId="44263"/>
    <cellStyle name="Comma 2 5 2 3 9 4" xfId="7393"/>
    <cellStyle name="Comma 2 5 2 3 9 4 2" xfId="17896"/>
    <cellStyle name="Comma 2 5 2 3 9 4 2 2" xfId="38945"/>
    <cellStyle name="Comma 2 5 2 3 9 4 3" xfId="32522"/>
    <cellStyle name="Comma 2 5 2 3 9 5" xfId="16858"/>
    <cellStyle name="Comma 2 5 2 3 9 5 2" xfId="35738"/>
    <cellStyle name="Comma 2 5 2 3 9 6" xfId="21110"/>
    <cellStyle name="Comma 2 5 2 3 9 7" xfId="29315"/>
    <cellStyle name="Comma 2 5 2 3 9 8" xfId="42129"/>
    <cellStyle name="Comma 2 5 2 4" xfId="1493"/>
    <cellStyle name="Comma 2 5 2 4 10" xfId="8485"/>
    <cellStyle name="Comma 2 5 2 4 10 2" xfId="18945"/>
    <cellStyle name="Comma 2 5 2 4 10 2 2" xfId="39988"/>
    <cellStyle name="Comma 2 5 2 4 10 2 3" xfId="33565"/>
    <cellStyle name="Comma 2 5 2 4 10 3" xfId="23435"/>
    <cellStyle name="Comma 2 5 2 4 10 3 2" xfId="36781"/>
    <cellStyle name="Comma 2 5 2 4 10 4" xfId="30358"/>
    <cellStyle name="Comma 2 5 2 4 10 5" xfId="44264"/>
    <cellStyle name="Comma 2 5 2 4 11" xfId="6666"/>
    <cellStyle name="Comma 2 5 2 4 11 2" xfId="17173"/>
    <cellStyle name="Comma 2 5 2 4 11 2 2" xfId="38226"/>
    <cellStyle name="Comma 2 5 2 4 11 3" xfId="31803"/>
    <cellStyle name="Comma 2 5 2 4 12" xfId="16063"/>
    <cellStyle name="Comma 2 5 2 4 12 2" xfId="35019"/>
    <cellStyle name="Comma 2 5 2 4 13" xfId="21111"/>
    <cellStyle name="Comma 2 5 2 4 14" xfId="28594"/>
    <cellStyle name="Comma 2 5 2 4 15" xfId="42130"/>
    <cellStyle name="Comma 2 5 2 4 2" xfId="1847"/>
    <cellStyle name="Comma 2 5 2 4 2 10" xfId="16125"/>
    <cellStyle name="Comma 2 5 2 4 2 10 2" xfId="35020"/>
    <cellStyle name="Comma 2 5 2 4 2 11" xfId="21112"/>
    <cellStyle name="Comma 2 5 2 4 2 12" xfId="28595"/>
    <cellStyle name="Comma 2 5 2 4 2 13" xfId="42131"/>
    <cellStyle name="Comma 2 5 2 4 2 2" xfId="2737"/>
    <cellStyle name="Comma 2 5 2 4 2 2 2" xfId="11246"/>
    <cellStyle name="Comma 2 5 2 4 2 2 2 2" xfId="20045"/>
    <cellStyle name="Comma 2 5 2 4 2 2 2 2 2" xfId="41088"/>
    <cellStyle name="Comma 2 5 2 4 2 2 2 2 3" xfId="34665"/>
    <cellStyle name="Comma 2 5 2 4 2 2 2 3" xfId="22244"/>
    <cellStyle name="Comma 2 5 2 4 2 2 2 3 2" xfId="37881"/>
    <cellStyle name="Comma 2 5 2 4 2 2 2 4" xfId="31458"/>
    <cellStyle name="Comma 2 5 2 4 2 2 2 5" xfId="43223"/>
    <cellStyle name="Comma 2 5 2 4 2 2 3" xfId="8487"/>
    <cellStyle name="Comma 2 5 2 4 2 2 3 2" xfId="18947"/>
    <cellStyle name="Comma 2 5 2 4 2 2 3 2 2" xfId="39990"/>
    <cellStyle name="Comma 2 5 2 4 2 2 3 2 3" xfId="33567"/>
    <cellStyle name="Comma 2 5 2 4 2 2 3 3" xfId="23437"/>
    <cellStyle name="Comma 2 5 2 4 2 2 3 3 2" xfId="36783"/>
    <cellStyle name="Comma 2 5 2 4 2 2 3 4" xfId="30360"/>
    <cellStyle name="Comma 2 5 2 4 2 2 3 5" xfId="44266"/>
    <cellStyle name="Comma 2 5 2 4 2 2 4" xfId="7394"/>
    <cellStyle name="Comma 2 5 2 4 2 2 4 2" xfId="17897"/>
    <cellStyle name="Comma 2 5 2 4 2 2 4 2 2" xfId="38946"/>
    <cellStyle name="Comma 2 5 2 4 2 2 4 3" xfId="32523"/>
    <cellStyle name="Comma 2 5 2 4 2 2 5" xfId="16315"/>
    <cellStyle name="Comma 2 5 2 4 2 2 5 2" xfId="35739"/>
    <cellStyle name="Comma 2 5 2 4 2 2 6" xfId="21113"/>
    <cellStyle name="Comma 2 5 2 4 2 2 7" xfId="29316"/>
    <cellStyle name="Comma 2 5 2 4 2 2 8" xfId="42132"/>
    <cellStyle name="Comma 2 5 2 4 2 3" xfId="3601"/>
    <cellStyle name="Comma 2 5 2 4 2 3 2" xfId="11247"/>
    <cellStyle name="Comma 2 5 2 4 2 3 2 2" xfId="20046"/>
    <cellStyle name="Comma 2 5 2 4 2 3 2 2 2" xfId="41089"/>
    <cellStyle name="Comma 2 5 2 4 2 3 2 2 3" xfId="34666"/>
    <cellStyle name="Comma 2 5 2 4 2 3 2 3" xfId="22245"/>
    <cellStyle name="Comma 2 5 2 4 2 3 2 3 2" xfId="37882"/>
    <cellStyle name="Comma 2 5 2 4 2 3 2 4" xfId="31459"/>
    <cellStyle name="Comma 2 5 2 4 2 3 2 5" xfId="43224"/>
    <cellStyle name="Comma 2 5 2 4 2 3 3" xfId="8488"/>
    <cellStyle name="Comma 2 5 2 4 2 3 3 2" xfId="18948"/>
    <cellStyle name="Comma 2 5 2 4 2 3 3 2 2" xfId="39991"/>
    <cellStyle name="Comma 2 5 2 4 2 3 3 2 3" xfId="33568"/>
    <cellStyle name="Comma 2 5 2 4 2 3 3 3" xfId="23438"/>
    <cellStyle name="Comma 2 5 2 4 2 3 3 3 2" xfId="36784"/>
    <cellStyle name="Comma 2 5 2 4 2 3 3 4" xfId="30361"/>
    <cellStyle name="Comma 2 5 2 4 2 3 3 5" xfId="44267"/>
    <cellStyle name="Comma 2 5 2 4 2 3 4" xfId="7395"/>
    <cellStyle name="Comma 2 5 2 4 2 3 4 2" xfId="17898"/>
    <cellStyle name="Comma 2 5 2 4 2 3 4 2 2" xfId="38947"/>
    <cellStyle name="Comma 2 5 2 4 2 3 4 3" xfId="32524"/>
    <cellStyle name="Comma 2 5 2 4 2 3 5" xfId="16503"/>
    <cellStyle name="Comma 2 5 2 4 2 3 5 2" xfId="35740"/>
    <cellStyle name="Comma 2 5 2 4 2 3 6" xfId="21114"/>
    <cellStyle name="Comma 2 5 2 4 2 3 7" xfId="29317"/>
    <cellStyle name="Comma 2 5 2 4 2 3 8" xfId="42133"/>
    <cellStyle name="Comma 2 5 2 4 2 4" xfId="4476"/>
    <cellStyle name="Comma 2 5 2 4 2 4 2" xfId="11248"/>
    <cellStyle name="Comma 2 5 2 4 2 4 2 2" xfId="20047"/>
    <cellStyle name="Comma 2 5 2 4 2 4 2 2 2" xfId="41090"/>
    <cellStyle name="Comma 2 5 2 4 2 4 2 2 3" xfId="34667"/>
    <cellStyle name="Comma 2 5 2 4 2 4 2 3" xfId="22246"/>
    <cellStyle name="Comma 2 5 2 4 2 4 2 3 2" xfId="37883"/>
    <cellStyle name="Comma 2 5 2 4 2 4 2 4" xfId="31460"/>
    <cellStyle name="Comma 2 5 2 4 2 4 2 5" xfId="43225"/>
    <cellStyle name="Comma 2 5 2 4 2 4 3" xfId="8489"/>
    <cellStyle name="Comma 2 5 2 4 2 4 3 2" xfId="18949"/>
    <cellStyle name="Comma 2 5 2 4 2 4 3 2 2" xfId="39992"/>
    <cellStyle name="Comma 2 5 2 4 2 4 3 2 3" xfId="33569"/>
    <cellStyle name="Comma 2 5 2 4 2 4 3 3" xfId="23439"/>
    <cellStyle name="Comma 2 5 2 4 2 4 3 3 2" xfId="36785"/>
    <cellStyle name="Comma 2 5 2 4 2 4 3 4" xfId="30362"/>
    <cellStyle name="Comma 2 5 2 4 2 4 3 5" xfId="44268"/>
    <cellStyle name="Comma 2 5 2 4 2 4 4" xfId="7396"/>
    <cellStyle name="Comma 2 5 2 4 2 4 4 2" xfId="17899"/>
    <cellStyle name="Comma 2 5 2 4 2 4 4 2 2" xfId="38948"/>
    <cellStyle name="Comma 2 5 2 4 2 4 4 3" xfId="32525"/>
    <cellStyle name="Comma 2 5 2 4 2 4 5" xfId="16691"/>
    <cellStyle name="Comma 2 5 2 4 2 4 5 2" xfId="35741"/>
    <cellStyle name="Comma 2 5 2 4 2 4 6" xfId="21115"/>
    <cellStyle name="Comma 2 5 2 4 2 4 7" xfId="29318"/>
    <cellStyle name="Comma 2 5 2 4 2 4 8" xfId="42134"/>
    <cellStyle name="Comma 2 5 2 4 2 5" xfId="5048"/>
    <cellStyle name="Comma 2 5 2 4 2 5 2" xfId="11249"/>
    <cellStyle name="Comma 2 5 2 4 2 5 2 2" xfId="20048"/>
    <cellStyle name="Comma 2 5 2 4 2 5 2 2 2" xfId="41091"/>
    <cellStyle name="Comma 2 5 2 4 2 5 2 2 3" xfId="34668"/>
    <cellStyle name="Comma 2 5 2 4 2 5 2 3" xfId="22247"/>
    <cellStyle name="Comma 2 5 2 4 2 5 2 3 2" xfId="37884"/>
    <cellStyle name="Comma 2 5 2 4 2 5 2 4" xfId="31461"/>
    <cellStyle name="Comma 2 5 2 4 2 5 2 5" xfId="43226"/>
    <cellStyle name="Comma 2 5 2 4 2 5 3" xfId="8490"/>
    <cellStyle name="Comma 2 5 2 4 2 5 3 2" xfId="18950"/>
    <cellStyle name="Comma 2 5 2 4 2 5 3 2 2" xfId="39993"/>
    <cellStyle name="Comma 2 5 2 4 2 5 3 2 3" xfId="33570"/>
    <cellStyle name="Comma 2 5 2 4 2 5 3 3" xfId="23440"/>
    <cellStyle name="Comma 2 5 2 4 2 5 3 3 2" xfId="36786"/>
    <cellStyle name="Comma 2 5 2 4 2 5 3 4" xfId="30363"/>
    <cellStyle name="Comma 2 5 2 4 2 5 3 5" xfId="44269"/>
    <cellStyle name="Comma 2 5 2 4 2 5 4" xfId="7397"/>
    <cellStyle name="Comma 2 5 2 4 2 5 4 2" xfId="17900"/>
    <cellStyle name="Comma 2 5 2 4 2 5 4 2 2" xfId="38949"/>
    <cellStyle name="Comma 2 5 2 4 2 5 4 3" xfId="32526"/>
    <cellStyle name="Comma 2 5 2 4 2 5 5" xfId="16863"/>
    <cellStyle name="Comma 2 5 2 4 2 5 5 2" xfId="35742"/>
    <cellStyle name="Comma 2 5 2 4 2 5 6" xfId="21116"/>
    <cellStyle name="Comma 2 5 2 4 2 5 7" xfId="29319"/>
    <cellStyle name="Comma 2 5 2 4 2 5 8" xfId="42135"/>
    <cellStyle name="Comma 2 5 2 4 2 6" xfId="5741"/>
    <cellStyle name="Comma 2 5 2 4 2 6 2" xfId="11250"/>
    <cellStyle name="Comma 2 5 2 4 2 6 2 2" xfId="20049"/>
    <cellStyle name="Comma 2 5 2 4 2 6 2 2 2" xfId="41092"/>
    <cellStyle name="Comma 2 5 2 4 2 6 2 2 3" xfId="34669"/>
    <cellStyle name="Comma 2 5 2 4 2 6 2 3" xfId="22248"/>
    <cellStyle name="Comma 2 5 2 4 2 6 2 3 2" xfId="37885"/>
    <cellStyle name="Comma 2 5 2 4 2 6 2 4" xfId="31462"/>
    <cellStyle name="Comma 2 5 2 4 2 6 2 5" xfId="43227"/>
    <cellStyle name="Comma 2 5 2 4 2 6 3" xfId="8491"/>
    <cellStyle name="Comma 2 5 2 4 2 6 3 2" xfId="18951"/>
    <cellStyle name="Comma 2 5 2 4 2 6 3 2 2" xfId="39994"/>
    <cellStyle name="Comma 2 5 2 4 2 6 3 2 3" xfId="33571"/>
    <cellStyle name="Comma 2 5 2 4 2 6 3 3" xfId="23441"/>
    <cellStyle name="Comma 2 5 2 4 2 6 3 3 2" xfId="36787"/>
    <cellStyle name="Comma 2 5 2 4 2 6 3 4" xfId="30364"/>
    <cellStyle name="Comma 2 5 2 4 2 6 3 5" xfId="44270"/>
    <cellStyle name="Comma 2 5 2 4 2 6 4" xfId="7398"/>
    <cellStyle name="Comma 2 5 2 4 2 6 4 2" xfId="17901"/>
    <cellStyle name="Comma 2 5 2 4 2 6 4 2 2" xfId="38950"/>
    <cellStyle name="Comma 2 5 2 4 2 6 4 3" xfId="32527"/>
    <cellStyle name="Comma 2 5 2 4 2 6 5" xfId="16979"/>
    <cellStyle name="Comma 2 5 2 4 2 6 5 2" xfId="35743"/>
    <cellStyle name="Comma 2 5 2 4 2 6 6" xfId="21117"/>
    <cellStyle name="Comma 2 5 2 4 2 6 7" xfId="29320"/>
    <cellStyle name="Comma 2 5 2 4 2 6 8" xfId="42136"/>
    <cellStyle name="Comma 2 5 2 4 2 7" xfId="10268"/>
    <cellStyle name="Comma 2 5 2 4 2 7 2" xfId="19321"/>
    <cellStyle name="Comma 2 5 2 4 2 7 2 2" xfId="40364"/>
    <cellStyle name="Comma 2 5 2 4 2 7 2 3" xfId="33941"/>
    <cellStyle name="Comma 2 5 2 4 2 7 3" xfId="21521"/>
    <cellStyle name="Comma 2 5 2 4 2 7 3 2" xfId="37157"/>
    <cellStyle name="Comma 2 5 2 4 2 7 4" xfId="30734"/>
    <cellStyle name="Comma 2 5 2 4 2 7 5" xfId="42500"/>
    <cellStyle name="Comma 2 5 2 4 2 8" xfId="8486"/>
    <cellStyle name="Comma 2 5 2 4 2 8 2" xfId="18946"/>
    <cellStyle name="Comma 2 5 2 4 2 8 2 2" xfId="39989"/>
    <cellStyle name="Comma 2 5 2 4 2 8 2 3" xfId="33566"/>
    <cellStyle name="Comma 2 5 2 4 2 8 3" xfId="23436"/>
    <cellStyle name="Comma 2 5 2 4 2 8 3 2" xfId="36782"/>
    <cellStyle name="Comma 2 5 2 4 2 8 4" xfId="30359"/>
    <cellStyle name="Comma 2 5 2 4 2 8 5" xfId="44265"/>
    <cellStyle name="Comma 2 5 2 4 2 9" xfId="6667"/>
    <cellStyle name="Comma 2 5 2 4 2 9 2" xfId="17174"/>
    <cellStyle name="Comma 2 5 2 4 2 9 2 2" xfId="38227"/>
    <cellStyle name="Comma 2 5 2 4 2 9 3" xfId="31804"/>
    <cellStyle name="Comma 2 5 2 4 3" xfId="2122"/>
    <cellStyle name="Comma 2 5 2 4 3 10" xfId="21118"/>
    <cellStyle name="Comma 2 5 2 4 3 11" xfId="29321"/>
    <cellStyle name="Comma 2 5 2 4 3 12" xfId="42137"/>
    <cellStyle name="Comma 2 5 2 4 3 2" xfId="2992"/>
    <cellStyle name="Comma 2 5 2 4 3 2 2" xfId="11252"/>
    <cellStyle name="Comma 2 5 2 4 3 2 2 2" xfId="20051"/>
    <cellStyle name="Comma 2 5 2 4 3 2 2 2 2" xfId="41094"/>
    <cellStyle name="Comma 2 5 2 4 3 2 2 2 3" xfId="34671"/>
    <cellStyle name="Comma 2 5 2 4 3 2 2 3" xfId="22250"/>
    <cellStyle name="Comma 2 5 2 4 3 2 2 3 2" xfId="37887"/>
    <cellStyle name="Comma 2 5 2 4 3 2 2 4" xfId="31464"/>
    <cellStyle name="Comma 2 5 2 4 3 2 2 5" xfId="43229"/>
    <cellStyle name="Comma 2 5 2 4 3 2 3" xfId="8493"/>
    <cellStyle name="Comma 2 5 2 4 3 2 3 2" xfId="18953"/>
    <cellStyle name="Comma 2 5 2 4 3 2 3 2 2" xfId="39996"/>
    <cellStyle name="Comma 2 5 2 4 3 2 3 2 3" xfId="33573"/>
    <cellStyle name="Comma 2 5 2 4 3 2 3 3" xfId="23443"/>
    <cellStyle name="Comma 2 5 2 4 3 2 3 3 2" xfId="36789"/>
    <cellStyle name="Comma 2 5 2 4 3 2 3 4" xfId="30366"/>
    <cellStyle name="Comma 2 5 2 4 3 2 3 5" xfId="44272"/>
    <cellStyle name="Comma 2 5 2 4 3 2 4" xfId="7400"/>
    <cellStyle name="Comma 2 5 2 4 3 2 4 2" xfId="17903"/>
    <cellStyle name="Comma 2 5 2 4 3 2 4 2 2" xfId="38952"/>
    <cellStyle name="Comma 2 5 2 4 3 2 4 3" xfId="32529"/>
    <cellStyle name="Comma 2 5 2 4 3 2 5" xfId="16370"/>
    <cellStyle name="Comma 2 5 2 4 3 2 5 2" xfId="35745"/>
    <cellStyle name="Comma 2 5 2 4 3 2 6" xfId="21119"/>
    <cellStyle name="Comma 2 5 2 4 3 2 7" xfId="29322"/>
    <cellStyle name="Comma 2 5 2 4 3 2 8" xfId="42138"/>
    <cellStyle name="Comma 2 5 2 4 3 3" xfId="3862"/>
    <cellStyle name="Comma 2 5 2 4 3 3 2" xfId="11253"/>
    <cellStyle name="Comma 2 5 2 4 3 3 2 2" xfId="20052"/>
    <cellStyle name="Comma 2 5 2 4 3 3 2 2 2" xfId="41095"/>
    <cellStyle name="Comma 2 5 2 4 3 3 2 2 3" xfId="34672"/>
    <cellStyle name="Comma 2 5 2 4 3 3 2 3" xfId="22251"/>
    <cellStyle name="Comma 2 5 2 4 3 3 2 3 2" xfId="37888"/>
    <cellStyle name="Comma 2 5 2 4 3 3 2 4" xfId="31465"/>
    <cellStyle name="Comma 2 5 2 4 3 3 2 5" xfId="43230"/>
    <cellStyle name="Comma 2 5 2 4 3 3 3" xfId="8494"/>
    <cellStyle name="Comma 2 5 2 4 3 3 3 2" xfId="18954"/>
    <cellStyle name="Comma 2 5 2 4 3 3 3 2 2" xfId="39997"/>
    <cellStyle name="Comma 2 5 2 4 3 3 3 2 3" xfId="33574"/>
    <cellStyle name="Comma 2 5 2 4 3 3 3 3" xfId="23444"/>
    <cellStyle name="Comma 2 5 2 4 3 3 3 3 2" xfId="36790"/>
    <cellStyle name="Comma 2 5 2 4 3 3 3 4" xfId="30367"/>
    <cellStyle name="Comma 2 5 2 4 3 3 3 5" xfId="44273"/>
    <cellStyle name="Comma 2 5 2 4 3 3 4" xfId="7401"/>
    <cellStyle name="Comma 2 5 2 4 3 3 4 2" xfId="17904"/>
    <cellStyle name="Comma 2 5 2 4 3 3 4 2 2" xfId="38953"/>
    <cellStyle name="Comma 2 5 2 4 3 3 4 3" xfId="32530"/>
    <cellStyle name="Comma 2 5 2 4 3 3 5" xfId="16558"/>
    <cellStyle name="Comma 2 5 2 4 3 3 5 2" xfId="35746"/>
    <cellStyle name="Comma 2 5 2 4 3 3 6" xfId="21120"/>
    <cellStyle name="Comma 2 5 2 4 3 3 7" xfId="29323"/>
    <cellStyle name="Comma 2 5 2 4 3 3 8" xfId="42139"/>
    <cellStyle name="Comma 2 5 2 4 3 4" xfId="4740"/>
    <cellStyle name="Comma 2 5 2 4 3 4 2" xfId="11254"/>
    <cellStyle name="Comma 2 5 2 4 3 4 2 2" xfId="20053"/>
    <cellStyle name="Comma 2 5 2 4 3 4 2 2 2" xfId="41096"/>
    <cellStyle name="Comma 2 5 2 4 3 4 2 2 3" xfId="34673"/>
    <cellStyle name="Comma 2 5 2 4 3 4 2 3" xfId="22252"/>
    <cellStyle name="Comma 2 5 2 4 3 4 2 3 2" xfId="37889"/>
    <cellStyle name="Comma 2 5 2 4 3 4 2 4" xfId="31466"/>
    <cellStyle name="Comma 2 5 2 4 3 4 2 5" xfId="43231"/>
    <cellStyle name="Comma 2 5 2 4 3 4 3" xfId="8495"/>
    <cellStyle name="Comma 2 5 2 4 3 4 3 2" xfId="18955"/>
    <cellStyle name="Comma 2 5 2 4 3 4 3 2 2" xfId="39998"/>
    <cellStyle name="Comma 2 5 2 4 3 4 3 2 3" xfId="33575"/>
    <cellStyle name="Comma 2 5 2 4 3 4 3 3" xfId="23445"/>
    <cellStyle name="Comma 2 5 2 4 3 4 3 3 2" xfId="36791"/>
    <cellStyle name="Comma 2 5 2 4 3 4 3 4" xfId="30368"/>
    <cellStyle name="Comma 2 5 2 4 3 4 3 5" xfId="44274"/>
    <cellStyle name="Comma 2 5 2 4 3 4 4" xfId="7402"/>
    <cellStyle name="Comma 2 5 2 4 3 4 4 2" xfId="17905"/>
    <cellStyle name="Comma 2 5 2 4 3 4 4 2 2" xfId="38954"/>
    <cellStyle name="Comma 2 5 2 4 3 4 4 3" xfId="32531"/>
    <cellStyle name="Comma 2 5 2 4 3 4 5" xfId="16746"/>
    <cellStyle name="Comma 2 5 2 4 3 4 5 2" xfId="35747"/>
    <cellStyle name="Comma 2 5 2 4 3 4 6" xfId="21121"/>
    <cellStyle name="Comma 2 5 2 4 3 4 7" xfId="29324"/>
    <cellStyle name="Comma 2 5 2 4 3 4 8" xfId="42140"/>
    <cellStyle name="Comma 2 5 2 4 3 5" xfId="6005"/>
    <cellStyle name="Comma 2 5 2 4 3 5 2" xfId="11255"/>
    <cellStyle name="Comma 2 5 2 4 3 5 2 2" xfId="20054"/>
    <cellStyle name="Comma 2 5 2 4 3 5 2 2 2" xfId="41097"/>
    <cellStyle name="Comma 2 5 2 4 3 5 2 2 3" xfId="34674"/>
    <cellStyle name="Comma 2 5 2 4 3 5 2 3" xfId="22253"/>
    <cellStyle name="Comma 2 5 2 4 3 5 2 3 2" xfId="37890"/>
    <cellStyle name="Comma 2 5 2 4 3 5 2 4" xfId="31467"/>
    <cellStyle name="Comma 2 5 2 4 3 5 2 5" xfId="43232"/>
    <cellStyle name="Comma 2 5 2 4 3 5 3" xfId="8496"/>
    <cellStyle name="Comma 2 5 2 4 3 5 3 2" xfId="18956"/>
    <cellStyle name="Comma 2 5 2 4 3 5 3 2 2" xfId="39999"/>
    <cellStyle name="Comma 2 5 2 4 3 5 3 2 3" xfId="33576"/>
    <cellStyle name="Comma 2 5 2 4 3 5 3 3" xfId="23446"/>
    <cellStyle name="Comma 2 5 2 4 3 5 3 3 2" xfId="36792"/>
    <cellStyle name="Comma 2 5 2 4 3 5 3 4" xfId="30369"/>
    <cellStyle name="Comma 2 5 2 4 3 5 3 5" xfId="44275"/>
    <cellStyle name="Comma 2 5 2 4 3 5 4" xfId="7403"/>
    <cellStyle name="Comma 2 5 2 4 3 5 4 2" xfId="17906"/>
    <cellStyle name="Comma 2 5 2 4 3 5 4 2 2" xfId="38955"/>
    <cellStyle name="Comma 2 5 2 4 3 5 4 3" xfId="32532"/>
    <cellStyle name="Comma 2 5 2 4 3 5 5" xfId="17034"/>
    <cellStyle name="Comma 2 5 2 4 3 5 5 2" xfId="35748"/>
    <cellStyle name="Comma 2 5 2 4 3 5 6" xfId="21122"/>
    <cellStyle name="Comma 2 5 2 4 3 5 7" xfId="29325"/>
    <cellStyle name="Comma 2 5 2 4 3 5 8" xfId="42141"/>
    <cellStyle name="Comma 2 5 2 4 3 6" xfId="11251"/>
    <cellStyle name="Comma 2 5 2 4 3 6 2" xfId="20050"/>
    <cellStyle name="Comma 2 5 2 4 3 6 2 2" xfId="41093"/>
    <cellStyle name="Comma 2 5 2 4 3 6 2 3" xfId="34670"/>
    <cellStyle name="Comma 2 5 2 4 3 6 3" xfId="22249"/>
    <cellStyle name="Comma 2 5 2 4 3 6 3 2" xfId="37886"/>
    <cellStyle name="Comma 2 5 2 4 3 6 4" xfId="31463"/>
    <cellStyle name="Comma 2 5 2 4 3 6 5" xfId="43228"/>
    <cellStyle name="Comma 2 5 2 4 3 7" xfId="8492"/>
    <cellStyle name="Comma 2 5 2 4 3 7 2" xfId="18952"/>
    <cellStyle name="Comma 2 5 2 4 3 7 2 2" xfId="39995"/>
    <cellStyle name="Comma 2 5 2 4 3 7 2 3" xfId="33572"/>
    <cellStyle name="Comma 2 5 2 4 3 7 3" xfId="23442"/>
    <cellStyle name="Comma 2 5 2 4 3 7 3 2" xfId="36788"/>
    <cellStyle name="Comma 2 5 2 4 3 7 4" xfId="30365"/>
    <cellStyle name="Comma 2 5 2 4 3 7 5" xfId="44271"/>
    <cellStyle name="Comma 2 5 2 4 3 8" xfId="7399"/>
    <cellStyle name="Comma 2 5 2 4 3 8 2" xfId="17902"/>
    <cellStyle name="Comma 2 5 2 4 3 8 2 2" xfId="38951"/>
    <cellStyle name="Comma 2 5 2 4 3 8 3" xfId="32528"/>
    <cellStyle name="Comma 2 5 2 4 3 9" xfId="16181"/>
    <cellStyle name="Comma 2 5 2 4 3 9 2" xfId="35744"/>
    <cellStyle name="Comma 2 5 2 4 4" xfId="2487"/>
    <cellStyle name="Comma 2 5 2 4 4 2" xfId="11256"/>
    <cellStyle name="Comma 2 5 2 4 4 2 2" xfId="20055"/>
    <cellStyle name="Comma 2 5 2 4 4 2 2 2" xfId="41098"/>
    <cellStyle name="Comma 2 5 2 4 4 2 2 3" xfId="34675"/>
    <cellStyle name="Comma 2 5 2 4 4 2 3" xfId="22254"/>
    <cellStyle name="Comma 2 5 2 4 4 2 3 2" xfId="37891"/>
    <cellStyle name="Comma 2 5 2 4 4 2 4" xfId="31468"/>
    <cellStyle name="Comma 2 5 2 4 4 2 5" xfId="43233"/>
    <cellStyle name="Comma 2 5 2 4 4 3" xfId="8497"/>
    <cellStyle name="Comma 2 5 2 4 4 3 2" xfId="18957"/>
    <cellStyle name="Comma 2 5 2 4 4 3 2 2" xfId="40000"/>
    <cellStyle name="Comma 2 5 2 4 4 3 2 3" xfId="33577"/>
    <cellStyle name="Comma 2 5 2 4 4 3 3" xfId="23447"/>
    <cellStyle name="Comma 2 5 2 4 4 3 3 2" xfId="36793"/>
    <cellStyle name="Comma 2 5 2 4 4 3 4" xfId="30370"/>
    <cellStyle name="Comma 2 5 2 4 4 3 5" xfId="44276"/>
    <cellStyle name="Comma 2 5 2 4 4 4" xfId="7404"/>
    <cellStyle name="Comma 2 5 2 4 4 4 2" xfId="17907"/>
    <cellStyle name="Comma 2 5 2 4 4 4 2 2" xfId="38956"/>
    <cellStyle name="Comma 2 5 2 4 4 4 3" xfId="32533"/>
    <cellStyle name="Comma 2 5 2 4 4 5" xfId="16262"/>
    <cellStyle name="Comma 2 5 2 4 4 5 2" xfId="35749"/>
    <cellStyle name="Comma 2 5 2 4 4 6" xfId="21123"/>
    <cellStyle name="Comma 2 5 2 4 4 7" xfId="29326"/>
    <cellStyle name="Comma 2 5 2 4 4 8" xfId="42142"/>
    <cellStyle name="Comma 2 5 2 4 5" xfId="3350"/>
    <cellStyle name="Comma 2 5 2 4 5 2" xfId="11257"/>
    <cellStyle name="Comma 2 5 2 4 5 2 2" xfId="20056"/>
    <cellStyle name="Comma 2 5 2 4 5 2 2 2" xfId="41099"/>
    <cellStyle name="Comma 2 5 2 4 5 2 2 3" xfId="34676"/>
    <cellStyle name="Comma 2 5 2 4 5 2 3" xfId="22255"/>
    <cellStyle name="Comma 2 5 2 4 5 2 3 2" xfId="37892"/>
    <cellStyle name="Comma 2 5 2 4 5 2 4" xfId="31469"/>
    <cellStyle name="Comma 2 5 2 4 5 2 5" xfId="43234"/>
    <cellStyle name="Comma 2 5 2 4 5 3" xfId="8498"/>
    <cellStyle name="Comma 2 5 2 4 5 3 2" xfId="18958"/>
    <cellStyle name="Comma 2 5 2 4 5 3 2 2" xfId="40001"/>
    <cellStyle name="Comma 2 5 2 4 5 3 2 3" xfId="33578"/>
    <cellStyle name="Comma 2 5 2 4 5 3 3" xfId="23448"/>
    <cellStyle name="Comma 2 5 2 4 5 3 3 2" xfId="36794"/>
    <cellStyle name="Comma 2 5 2 4 5 3 4" xfId="30371"/>
    <cellStyle name="Comma 2 5 2 4 5 3 5" xfId="44277"/>
    <cellStyle name="Comma 2 5 2 4 5 4" xfId="7405"/>
    <cellStyle name="Comma 2 5 2 4 5 4 2" xfId="17908"/>
    <cellStyle name="Comma 2 5 2 4 5 4 2 2" xfId="38957"/>
    <cellStyle name="Comma 2 5 2 4 5 4 3" xfId="32534"/>
    <cellStyle name="Comma 2 5 2 4 5 5" xfId="16450"/>
    <cellStyle name="Comma 2 5 2 4 5 5 2" xfId="35750"/>
    <cellStyle name="Comma 2 5 2 4 5 6" xfId="21124"/>
    <cellStyle name="Comma 2 5 2 4 5 7" xfId="29327"/>
    <cellStyle name="Comma 2 5 2 4 5 8" xfId="42143"/>
    <cellStyle name="Comma 2 5 2 4 6" xfId="4218"/>
    <cellStyle name="Comma 2 5 2 4 6 2" xfId="11258"/>
    <cellStyle name="Comma 2 5 2 4 6 2 2" xfId="20057"/>
    <cellStyle name="Comma 2 5 2 4 6 2 2 2" xfId="41100"/>
    <cellStyle name="Comma 2 5 2 4 6 2 2 3" xfId="34677"/>
    <cellStyle name="Comma 2 5 2 4 6 2 3" xfId="22256"/>
    <cellStyle name="Comma 2 5 2 4 6 2 3 2" xfId="37893"/>
    <cellStyle name="Comma 2 5 2 4 6 2 4" xfId="31470"/>
    <cellStyle name="Comma 2 5 2 4 6 2 5" xfId="43235"/>
    <cellStyle name="Comma 2 5 2 4 6 3" xfId="8499"/>
    <cellStyle name="Comma 2 5 2 4 6 3 2" xfId="18959"/>
    <cellStyle name="Comma 2 5 2 4 6 3 2 2" xfId="40002"/>
    <cellStyle name="Comma 2 5 2 4 6 3 2 3" xfId="33579"/>
    <cellStyle name="Comma 2 5 2 4 6 3 3" xfId="23449"/>
    <cellStyle name="Comma 2 5 2 4 6 3 3 2" xfId="36795"/>
    <cellStyle name="Comma 2 5 2 4 6 3 4" xfId="30372"/>
    <cellStyle name="Comma 2 5 2 4 6 3 5" xfId="44278"/>
    <cellStyle name="Comma 2 5 2 4 6 4" xfId="7406"/>
    <cellStyle name="Comma 2 5 2 4 6 4 2" xfId="17909"/>
    <cellStyle name="Comma 2 5 2 4 6 4 2 2" xfId="38958"/>
    <cellStyle name="Comma 2 5 2 4 6 4 3" xfId="32535"/>
    <cellStyle name="Comma 2 5 2 4 6 5" xfId="16638"/>
    <cellStyle name="Comma 2 5 2 4 6 5 2" xfId="35751"/>
    <cellStyle name="Comma 2 5 2 4 6 6" xfId="21125"/>
    <cellStyle name="Comma 2 5 2 4 6 7" xfId="29328"/>
    <cellStyle name="Comma 2 5 2 4 6 8" xfId="42144"/>
    <cellStyle name="Comma 2 5 2 4 7" xfId="5047"/>
    <cellStyle name="Comma 2 5 2 4 7 2" xfId="11259"/>
    <cellStyle name="Comma 2 5 2 4 7 2 2" xfId="20058"/>
    <cellStyle name="Comma 2 5 2 4 7 2 2 2" xfId="41101"/>
    <cellStyle name="Comma 2 5 2 4 7 2 2 3" xfId="34678"/>
    <cellStyle name="Comma 2 5 2 4 7 2 3" xfId="22257"/>
    <cellStyle name="Comma 2 5 2 4 7 2 3 2" xfId="37894"/>
    <cellStyle name="Comma 2 5 2 4 7 2 4" xfId="31471"/>
    <cellStyle name="Comma 2 5 2 4 7 2 5" xfId="43236"/>
    <cellStyle name="Comma 2 5 2 4 7 3" xfId="8500"/>
    <cellStyle name="Comma 2 5 2 4 7 3 2" xfId="18960"/>
    <cellStyle name="Comma 2 5 2 4 7 3 2 2" xfId="40003"/>
    <cellStyle name="Comma 2 5 2 4 7 3 2 3" xfId="33580"/>
    <cellStyle name="Comma 2 5 2 4 7 3 3" xfId="23450"/>
    <cellStyle name="Comma 2 5 2 4 7 3 3 2" xfId="36796"/>
    <cellStyle name="Comma 2 5 2 4 7 3 4" xfId="30373"/>
    <cellStyle name="Comma 2 5 2 4 7 3 5" xfId="44279"/>
    <cellStyle name="Comma 2 5 2 4 7 4" xfId="7407"/>
    <cellStyle name="Comma 2 5 2 4 7 4 2" xfId="17910"/>
    <cellStyle name="Comma 2 5 2 4 7 4 2 2" xfId="38959"/>
    <cellStyle name="Comma 2 5 2 4 7 4 3" xfId="32536"/>
    <cellStyle name="Comma 2 5 2 4 7 5" xfId="16862"/>
    <cellStyle name="Comma 2 5 2 4 7 5 2" xfId="35752"/>
    <cellStyle name="Comma 2 5 2 4 7 6" xfId="21126"/>
    <cellStyle name="Comma 2 5 2 4 7 7" xfId="29329"/>
    <cellStyle name="Comma 2 5 2 4 7 8" xfId="42145"/>
    <cellStyle name="Comma 2 5 2 4 8" xfId="5480"/>
    <cellStyle name="Comma 2 5 2 4 8 2" xfId="11260"/>
    <cellStyle name="Comma 2 5 2 4 8 2 2" xfId="20059"/>
    <cellStyle name="Comma 2 5 2 4 8 2 2 2" xfId="41102"/>
    <cellStyle name="Comma 2 5 2 4 8 2 2 3" xfId="34679"/>
    <cellStyle name="Comma 2 5 2 4 8 2 3" xfId="22258"/>
    <cellStyle name="Comma 2 5 2 4 8 2 3 2" xfId="37895"/>
    <cellStyle name="Comma 2 5 2 4 8 2 4" xfId="31472"/>
    <cellStyle name="Comma 2 5 2 4 8 2 5" xfId="43237"/>
    <cellStyle name="Comma 2 5 2 4 8 3" xfId="8501"/>
    <cellStyle name="Comma 2 5 2 4 8 3 2" xfId="18961"/>
    <cellStyle name="Comma 2 5 2 4 8 3 2 2" xfId="40004"/>
    <cellStyle name="Comma 2 5 2 4 8 3 2 3" xfId="33581"/>
    <cellStyle name="Comma 2 5 2 4 8 3 3" xfId="23451"/>
    <cellStyle name="Comma 2 5 2 4 8 3 3 2" xfId="36797"/>
    <cellStyle name="Comma 2 5 2 4 8 3 4" xfId="30374"/>
    <cellStyle name="Comma 2 5 2 4 8 3 5" xfId="44280"/>
    <cellStyle name="Comma 2 5 2 4 8 4" xfId="7408"/>
    <cellStyle name="Comma 2 5 2 4 8 4 2" xfId="17911"/>
    <cellStyle name="Comma 2 5 2 4 8 4 2 2" xfId="38960"/>
    <cellStyle name="Comma 2 5 2 4 8 4 3" xfId="32537"/>
    <cellStyle name="Comma 2 5 2 4 8 5" xfId="16926"/>
    <cellStyle name="Comma 2 5 2 4 8 5 2" xfId="35753"/>
    <cellStyle name="Comma 2 5 2 4 8 6" xfId="21127"/>
    <cellStyle name="Comma 2 5 2 4 8 7" xfId="29330"/>
    <cellStyle name="Comma 2 5 2 4 8 8" xfId="42146"/>
    <cellStyle name="Comma 2 5 2 4 9" xfId="10267"/>
    <cellStyle name="Comma 2 5 2 4 9 2" xfId="19320"/>
    <cellStyle name="Comma 2 5 2 4 9 2 2" xfId="40363"/>
    <cellStyle name="Comma 2 5 2 4 9 2 3" xfId="33940"/>
    <cellStyle name="Comma 2 5 2 4 9 3" xfId="21520"/>
    <cellStyle name="Comma 2 5 2 4 9 3 2" xfId="37156"/>
    <cellStyle name="Comma 2 5 2 4 9 4" xfId="30733"/>
    <cellStyle name="Comma 2 5 2 4 9 5" xfId="42499"/>
    <cellStyle name="Comma 2 5 2 5" xfId="1840"/>
    <cellStyle name="Comma 2 5 2 5 10" xfId="16118"/>
    <cellStyle name="Comma 2 5 2 5 10 2" xfId="35021"/>
    <cellStyle name="Comma 2 5 2 5 11" xfId="21128"/>
    <cellStyle name="Comma 2 5 2 5 12" xfId="28596"/>
    <cellStyle name="Comma 2 5 2 5 13" xfId="42147"/>
    <cellStyle name="Comma 2 5 2 5 2" xfId="2730"/>
    <cellStyle name="Comma 2 5 2 5 2 2" xfId="11261"/>
    <cellStyle name="Comma 2 5 2 5 2 2 2" xfId="20060"/>
    <cellStyle name="Comma 2 5 2 5 2 2 2 2" xfId="41103"/>
    <cellStyle name="Comma 2 5 2 5 2 2 2 3" xfId="34680"/>
    <cellStyle name="Comma 2 5 2 5 2 2 3" xfId="22259"/>
    <cellStyle name="Comma 2 5 2 5 2 2 3 2" xfId="37896"/>
    <cellStyle name="Comma 2 5 2 5 2 2 4" xfId="31473"/>
    <cellStyle name="Comma 2 5 2 5 2 2 5" xfId="43238"/>
    <cellStyle name="Comma 2 5 2 5 2 3" xfId="8503"/>
    <cellStyle name="Comma 2 5 2 5 2 3 2" xfId="18963"/>
    <cellStyle name="Comma 2 5 2 5 2 3 2 2" xfId="40006"/>
    <cellStyle name="Comma 2 5 2 5 2 3 2 3" xfId="33583"/>
    <cellStyle name="Comma 2 5 2 5 2 3 3" xfId="23453"/>
    <cellStyle name="Comma 2 5 2 5 2 3 3 2" xfId="36799"/>
    <cellStyle name="Comma 2 5 2 5 2 3 4" xfId="30376"/>
    <cellStyle name="Comma 2 5 2 5 2 3 5" xfId="44282"/>
    <cellStyle name="Comma 2 5 2 5 2 4" xfId="7409"/>
    <cellStyle name="Comma 2 5 2 5 2 4 2" xfId="17912"/>
    <cellStyle name="Comma 2 5 2 5 2 4 2 2" xfId="38961"/>
    <cellStyle name="Comma 2 5 2 5 2 4 3" xfId="32538"/>
    <cellStyle name="Comma 2 5 2 5 2 5" xfId="16308"/>
    <cellStyle name="Comma 2 5 2 5 2 5 2" xfId="35754"/>
    <cellStyle name="Comma 2 5 2 5 2 6" xfId="21129"/>
    <cellStyle name="Comma 2 5 2 5 2 7" xfId="29331"/>
    <cellStyle name="Comma 2 5 2 5 2 8" xfId="42148"/>
    <cellStyle name="Comma 2 5 2 5 3" xfId="3594"/>
    <cellStyle name="Comma 2 5 2 5 3 2" xfId="11262"/>
    <cellStyle name="Comma 2 5 2 5 3 2 2" xfId="20061"/>
    <cellStyle name="Comma 2 5 2 5 3 2 2 2" xfId="41104"/>
    <cellStyle name="Comma 2 5 2 5 3 2 2 3" xfId="34681"/>
    <cellStyle name="Comma 2 5 2 5 3 2 3" xfId="22260"/>
    <cellStyle name="Comma 2 5 2 5 3 2 3 2" xfId="37897"/>
    <cellStyle name="Comma 2 5 2 5 3 2 4" xfId="31474"/>
    <cellStyle name="Comma 2 5 2 5 3 2 5" xfId="43239"/>
    <cellStyle name="Comma 2 5 2 5 3 3" xfId="8504"/>
    <cellStyle name="Comma 2 5 2 5 3 3 2" xfId="18964"/>
    <cellStyle name="Comma 2 5 2 5 3 3 2 2" xfId="40007"/>
    <cellStyle name="Comma 2 5 2 5 3 3 2 3" xfId="33584"/>
    <cellStyle name="Comma 2 5 2 5 3 3 3" xfId="23454"/>
    <cellStyle name="Comma 2 5 2 5 3 3 3 2" xfId="36800"/>
    <cellStyle name="Comma 2 5 2 5 3 3 4" xfId="30377"/>
    <cellStyle name="Comma 2 5 2 5 3 3 5" xfId="44283"/>
    <cellStyle name="Comma 2 5 2 5 3 4" xfId="7410"/>
    <cellStyle name="Comma 2 5 2 5 3 4 2" xfId="17913"/>
    <cellStyle name="Comma 2 5 2 5 3 4 2 2" xfId="38962"/>
    <cellStyle name="Comma 2 5 2 5 3 4 3" xfId="32539"/>
    <cellStyle name="Comma 2 5 2 5 3 5" xfId="16496"/>
    <cellStyle name="Comma 2 5 2 5 3 5 2" xfId="35755"/>
    <cellStyle name="Comma 2 5 2 5 3 6" xfId="21130"/>
    <cellStyle name="Comma 2 5 2 5 3 7" xfId="29332"/>
    <cellStyle name="Comma 2 5 2 5 3 8" xfId="42149"/>
    <cellStyle name="Comma 2 5 2 5 4" xfId="4469"/>
    <cellStyle name="Comma 2 5 2 5 4 2" xfId="11263"/>
    <cellStyle name="Comma 2 5 2 5 4 2 2" xfId="20062"/>
    <cellStyle name="Comma 2 5 2 5 4 2 2 2" xfId="41105"/>
    <cellStyle name="Comma 2 5 2 5 4 2 2 3" xfId="34682"/>
    <cellStyle name="Comma 2 5 2 5 4 2 3" xfId="22261"/>
    <cellStyle name="Comma 2 5 2 5 4 2 3 2" xfId="37898"/>
    <cellStyle name="Comma 2 5 2 5 4 2 4" xfId="31475"/>
    <cellStyle name="Comma 2 5 2 5 4 2 5" xfId="43240"/>
    <cellStyle name="Comma 2 5 2 5 4 3" xfId="8505"/>
    <cellStyle name="Comma 2 5 2 5 4 3 2" xfId="18965"/>
    <cellStyle name="Comma 2 5 2 5 4 3 2 2" xfId="40008"/>
    <cellStyle name="Comma 2 5 2 5 4 3 2 3" xfId="33585"/>
    <cellStyle name="Comma 2 5 2 5 4 3 3" xfId="23455"/>
    <cellStyle name="Comma 2 5 2 5 4 3 3 2" xfId="36801"/>
    <cellStyle name="Comma 2 5 2 5 4 3 4" xfId="30378"/>
    <cellStyle name="Comma 2 5 2 5 4 3 5" xfId="44284"/>
    <cellStyle name="Comma 2 5 2 5 4 4" xfId="7411"/>
    <cellStyle name="Comma 2 5 2 5 4 4 2" xfId="17914"/>
    <cellStyle name="Comma 2 5 2 5 4 4 2 2" xfId="38963"/>
    <cellStyle name="Comma 2 5 2 5 4 4 3" xfId="32540"/>
    <cellStyle name="Comma 2 5 2 5 4 5" xfId="16684"/>
    <cellStyle name="Comma 2 5 2 5 4 5 2" xfId="35756"/>
    <cellStyle name="Comma 2 5 2 5 4 6" xfId="21131"/>
    <cellStyle name="Comma 2 5 2 5 4 7" xfId="29333"/>
    <cellStyle name="Comma 2 5 2 5 4 8" xfId="42150"/>
    <cellStyle name="Comma 2 5 2 5 5" xfId="5049"/>
    <cellStyle name="Comma 2 5 2 5 5 2" xfId="11264"/>
    <cellStyle name="Comma 2 5 2 5 5 2 2" xfId="20063"/>
    <cellStyle name="Comma 2 5 2 5 5 2 2 2" xfId="41106"/>
    <cellStyle name="Comma 2 5 2 5 5 2 2 3" xfId="34683"/>
    <cellStyle name="Comma 2 5 2 5 5 2 3" xfId="22262"/>
    <cellStyle name="Comma 2 5 2 5 5 2 3 2" xfId="37899"/>
    <cellStyle name="Comma 2 5 2 5 5 2 4" xfId="31476"/>
    <cellStyle name="Comma 2 5 2 5 5 2 5" xfId="43241"/>
    <cellStyle name="Comma 2 5 2 5 5 3" xfId="8506"/>
    <cellStyle name="Comma 2 5 2 5 5 3 2" xfId="18966"/>
    <cellStyle name="Comma 2 5 2 5 5 3 2 2" xfId="40009"/>
    <cellStyle name="Comma 2 5 2 5 5 3 2 3" xfId="33586"/>
    <cellStyle name="Comma 2 5 2 5 5 3 3" xfId="23456"/>
    <cellStyle name="Comma 2 5 2 5 5 3 3 2" xfId="36802"/>
    <cellStyle name="Comma 2 5 2 5 5 3 4" xfId="30379"/>
    <cellStyle name="Comma 2 5 2 5 5 3 5" xfId="44285"/>
    <cellStyle name="Comma 2 5 2 5 5 4" xfId="7412"/>
    <cellStyle name="Comma 2 5 2 5 5 4 2" xfId="17915"/>
    <cellStyle name="Comma 2 5 2 5 5 4 2 2" xfId="38964"/>
    <cellStyle name="Comma 2 5 2 5 5 4 3" xfId="32541"/>
    <cellStyle name="Comma 2 5 2 5 5 5" xfId="16864"/>
    <cellStyle name="Comma 2 5 2 5 5 5 2" xfId="35757"/>
    <cellStyle name="Comma 2 5 2 5 5 6" xfId="21132"/>
    <cellStyle name="Comma 2 5 2 5 5 7" xfId="29334"/>
    <cellStyle name="Comma 2 5 2 5 5 8" xfId="42151"/>
    <cellStyle name="Comma 2 5 2 5 6" xfId="5734"/>
    <cellStyle name="Comma 2 5 2 5 6 2" xfId="11265"/>
    <cellStyle name="Comma 2 5 2 5 6 2 2" xfId="20064"/>
    <cellStyle name="Comma 2 5 2 5 6 2 2 2" xfId="41107"/>
    <cellStyle name="Comma 2 5 2 5 6 2 2 3" xfId="34684"/>
    <cellStyle name="Comma 2 5 2 5 6 2 3" xfId="22263"/>
    <cellStyle name="Comma 2 5 2 5 6 2 3 2" xfId="37900"/>
    <cellStyle name="Comma 2 5 2 5 6 2 4" xfId="31477"/>
    <cellStyle name="Comma 2 5 2 5 6 2 5" xfId="43242"/>
    <cellStyle name="Comma 2 5 2 5 6 3" xfId="8507"/>
    <cellStyle name="Comma 2 5 2 5 6 3 2" xfId="18967"/>
    <cellStyle name="Comma 2 5 2 5 6 3 2 2" xfId="40010"/>
    <cellStyle name="Comma 2 5 2 5 6 3 2 3" xfId="33587"/>
    <cellStyle name="Comma 2 5 2 5 6 3 3" xfId="23457"/>
    <cellStyle name="Comma 2 5 2 5 6 3 3 2" xfId="36803"/>
    <cellStyle name="Comma 2 5 2 5 6 3 4" xfId="30380"/>
    <cellStyle name="Comma 2 5 2 5 6 3 5" xfId="44286"/>
    <cellStyle name="Comma 2 5 2 5 6 4" xfId="7413"/>
    <cellStyle name="Comma 2 5 2 5 6 4 2" xfId="17916"/>
    <cellStyle name="Comma 2 5 2 5 6 4 2 2" xfId="38965"/>
    <cellStyle name="Comma 2 5 2 5 6 4 3" xfId="32542"/>
    <cellStyle name="Comma 2 5 2 5 6 5" xfId="16972"/>
    <cellStyle name="Comma 2 5 2 5 6 5 2" xfId="35758"/>
    <cellStyle name="Comma 2 5 2 5 6 6" xfId="21133"/>
    <cellStyle name="Comma 2 5 2 5 6 7" xfId="29335"/>
    <cellStyle name="Comma 2 5 2 5 6 8" xfId="42152"/>
    <cellStyle name="Comma 2 5 2 5 7" xfId="10269"/>
    <cellStyle name="Comma 2 5 2 5 7 2" xfId="19322"/>
    <cellStyle name="Comma 2 5 2 5 7 2 2" xfId="40365"/>
    <cellStyle name="Comma 2 5 2 5 7 2 3" xfId="33942"/>
    <cellStyle name="Comma 2 5 2 5 7 3" xfId="21522"/>
    <cellStyle name="Comma 2 5 2 5 7 3 2" xfId="37158"/>
    <cellStyle name="Comma 2 5 2 5 7 4" xfId="30735"/>
    <cellStyle name="Comma 2 5 2 5 7 5" xfId="42501"/>
    <cellStyle name="Comma 2 5 2 5 8" xfId="8502"/>
    <cellStyle name="Comma 2 5 2 5 8 2" xfId="18962"/>
    <cellStyle name="Comma 2 5 2 5 8 2 2" xfId="40005"/>
    <cellStyle name="Comma 2 5 2 5 8 2 3" xfId="33582"/>
    <cellStyle name="Comma 2 5 2 5 8 3" xfId="23452"/>
    <cellStyle name="Comma 2 5 2 5 8 3 2" xfId="36798"/>
    <cellStyle name="Comma 2 5 2 5 8 4" xfId="30375"/>
    <cellStyle name="Comma 2 5 2 5 8 5" xfId="44281"/>
    <cellStyle name="Comma 2 5 2 5 9" xfId="6668"/>
    <cellStyle name="Comma 2 5 2 5 9 2" xfId="17175"/>
    <cellStyle name="Comma 2 5 2 5 9 2 2" xfId="38228"/>
    <cellStyle name="Comma 2 5 2 5 9 3" xfId="31805"/>
    <cellStyle name="Comma 2 5 2 6" xfId="2115"/>
    <cellStyle name="Comma 2 5 2 6 10" xfId="21134"/>
    <cellStyle name="Comma 2 5 2 6 11" xfId="29336"/>
    <cellStyle name="Comma 2 5 2 6 12" xfId="42153"/>
    <cellStyle name="Comma 2 5 2 6 2" xfId="2985"/>
    <cellStyle name="Comma 2 5 2 6 2 2" xfId="11267"/>
    <cellStyle name="Comma 2 5 2 6 2 2 2" xfId="20066"/>
    <cellStyle name="Comma 2 5 2 6 2 2 2 2" xfId="41109"/>
    <cellStyle name="Comma 2 5 2 6 2 2 2 3" xfId="34686"/>
    <cellStyle name="Comma 2 5 2 6 2 2 3" xfId="22265"/>
    <cellStyle name="Comma 2 5 2 6 2 2 3 2" xfId="37902"/>
    <cellStyle name="Comma 2 5 2 6 2 2 4" xfId="31479"/>
    <cellStyle name="Comma 2 5 2 6 2 2 5" xfId="43244"/>
    <cellStyle name="Comma 2 5 2 6 2 3" xfId="8509"/>
    <cellStyle name="Comma 2 5 2 6 2 3 2" xfId="18969"/>
    <cellStyle name="Comma 2 5 2 6 2 3 2 2" xfId="40012"/>
    <cellStyle name="Comma 2 5 2 6 2 3 2 3" xfId="33589"/>
    <cellStyle name="Comma 2 5 2 6 2 3 3" xfId="23459"/>
    <cellStyle name="Comma 2 5 2 6 2 3 3 2" xfId="36805"/>
    <cellStyle name="Comma 2 5 2 6 2 3 4" xfId="30382"/>
    <cellStyle name="Comma 2 5 2 6 2 3 5" xfId="44288"/>
    <cellStyle name="Comma 2 5 2 6 2 4" xfId="7415"/>
    <cellStyle name="Comma 2 5 2 6 2 4 2" xfId="17918"/>
    <cellStyle name="Comma 2 5 2 6 2 4 2 2" xfId="38967"/>
    <cellStyle name="Comma 2 5 2 6 2 4 3" xfId="32544"/>
    <cellStyle name="Comma 2 5 2 6 2 5" xfId="16363"/>
    <cellStyle name="Comma 2 5 2 6 2 5 2" xfId="35760"/>
    <cellStyle name="Comma 2 5 2 6 2 6" xfId="21135"/>
    <cellStyle name="Comma 2 5 2 6 2 7" xfId="29337"/>
    <cellStyle name="Comma 2 5 2 6 2 8" xfId="42154"/>
    <cellStyle name="Comma 2 5 2 6 3" xfId="3855"/>
    <cellStyle name="Comma 2 5 2 6 3 2" xfId="11268"/>
    <cellStyle name="Comma 2 5 2 6 3 2 2" xfId="20067"/>
    <cellStyle name="Comma 2 5 2 6 3 2 2 2" xfId="41110"/>
    <cellStyle name="Comma 2 5 2 6 3 2 2 3" xfId="34687"/>
    <cellStyle name="Comma 2 5 2 6 3 2 3" xfId="22266"/>
    <cellStyle name="Comma 2 5 2 6 3 2 3 2" xfId="37903"/>
    <cellStyle name="Comma 2 5 2 6 3 2 4" xfId="31480"/>
    <cellStyle name="Comma 2 5 2 6 3 2 5" xfId="43245"/>
    <cellStyle name="Comma 2 5 2 6 3 3" xfId="8510"/>
    <cellStyle name="Comma 2 5 2 6 3 3 2" xfId="18970"/>
    <cellStyle name="Comma 2 5 2 6 3 3 2 2" xfId="40013"/>
    <cellStyle name="Comma 2 5 2 6 3 3 2 3" xfId="33590"/>
    <cellStyle name="Comma 2 5 2 6 3 3 3" xfId="23460"/>
    <cellStyle name="Comma 2 5 2 6 3 3 3 2" xfId="36806"/>
    <cellStyle name="Comma 2 5 2 6 3 3 4" xfId="30383"/>
    <cellStyle name="Comma 2 5 2 6 3 3 5" xfId="44289"/>
    <cellStyle name="Comma 2 5 2 6 3 4" xfId="7416"/>
    <cellStyle name="Comma 2 5 2 6 3 4 2" xfId="17919"/>
    <cellStyle name="Comma 2 5 2 6 3 4 2 2" xfId="38968"/>
    <cellStyle name="Comma 2 5 2 6 3 4 3" xfId="32545"/>
    <cellStyle name="Comma 2 5 2 6 3 5" xfId="16551"/>
    <cellStyle name="Comma 2 5 2 6 3 5 2" xfId="35761"/>
    <cellStyle name="Comma 2 5 2 6 3 6" xfId="21136"/>
    <cellStyle name="Comma 2 5 2 6 3 7" xfId="29338"/>
    <cellStyle name="Comma 2 5 2 6 3 8" xfId="42155"/>
    <cellStyle name="Comma 2 5 2 6 4" xfId="4733"/>
    <cellStyle name="Comma 2 5 2 6 4 2" xfId="11269"/>
    <cellStyle name="Comma 2 5 2 6 4 2 2" xfId="20068"/>
    <cellStyle name="Comma 2 5 2 6 4 2 2 2" xfId="41111"/>
    <cellStyle name="Comma 2 5 2 6 4 2 2 3" xfId="34688"/>
    <cellStyle name="Comma 2 5 2 6 4 2 3" xfId="22267"/>
    <cellStyle name="Comma 2 5 2 6 4 2 3 2" xfId="37904"/>
    <cellStyle name="Comma 2 5 2 6 4 2 4" xfId="31481"/>
    <cellStyle name="Comma 2 5 2 6 4 2 5" xfId="43246"/>
    <cellStyle name="Comma 2 5 2 6 4 3" xfId="8511"/>
    <cellStyle name="Comma 2 5 2 6 4 3 2" xfId="18971"/>
    <cellStyle name="Comma 2 5 2 6 4 3 2 2" xfId="40014"/>
    <cellStyle name="Comma 2 5 2 6 4 3 2 3" xfId="33591"/>
    <cellStyle name="Comma 2 5 2 6 4 3 3" xfId="23461"/>
    <cellStyle name="Comma 2 5 2 6 4 3 3 2" xfId="36807"/>
    <cellStyle name="Comma 2 5 2 6 4 3 4" xfId="30384"/>
    <cellStyle name="Comma 2 5 2 6 4 3 5" xfId="44290"/>
    <cellStyle name="Comma 2 5 2 6 4 4" xfId="7417"/>
    <cellStyle name="Comma 2 5 2 6 4 4 2" xfId="17920"/>
    <cellStyle name="Comma 2 5 2 6 4 4 2 2" xfId="38969"/>
    <cellStyle name="Comma 2 5 2 6 4 4 3" xfId="32546"/>
    <cellStyle name="Comma 2 5 2 6 4 5" xfId="16739"/>
    <cellStyle name="Comma 2 5 2 6 4 5 2" xfId="35762"/>
    <cellStyle name="Comma 2 5 2 6 4 6" xfId="21137"/>
    <cellStyle name="Comma 2 5 2 6 4 7" xfId="29339"/>
    <cellStyle name="Comma 2 5 2 6 4 8" xfId="42156"/>
    <cellStyle name="Comma 2 5 2 6 5" xfId="5998"/>
    <cellStyle name="Comma 2 5 2 6 5 2" xfId="11270"/>
    <cellStyle name="Comma 2 5 2 6 5 2 2" xfId="20069"/>
    <cellStyle name="Comma 2 5 2 6 5 2 2 2" xfId="41112"/>
    <cellStyle name="Comma 2 5 2 6 5 2 2 3" xfId="34689"/>
    <cellStyle name="Comma 2 5 2 6 5 2 3" xfId="22268"/>
    <cellStyle name="Comma 2 5 2 6 5 2 3 2" xfId="37905"/>
    <cellStyle name="Comma 2 5 2 6 5 2 4" xfId="31482"/>
    <cellStyle name="Comma 2 5 2 6 5 2 5" xfId="43247"/>
    <cellStyle name="Comma 2 5 2 6 5 3" xfId="8512"/>
    <cellStyle name="Comma 2 5 2 6 5 3 2" xfId="18972"/>
    <cellStyle name="Comma 2 5 2 6 5 3 2 2" xfId="40015"/>
    <cellStyle name="Comma 2 5 2 6 5 3 2 3" xfId="33592"/>
    <cellStyle name="Comma 2 5 2 6 5 3 3" xfId="23462"/>
    <cellStyle name="Comma 2 5 2 6 5 3 3 2" xfId="36808"/>
    <cellStyle name="Comma 2 5 2 6 5 3 4" xfId="30385"/>
    <cellStyle name="Comma 2 5 2 6 5 3 5" xfId="44291"/>
    <cellStyle name="Comma 2 5 2 6 5 4" xfId="7418"/>
    <cellStyle name="Comma 2 5 2 6 5 4 2" xfId="17921"/>
    <cellStyle name="Comma 2 5 2 6 5 4 2 2" xfId="38970"/>
    <cellStyle name="Comma 2 5 2 6 5 4 3" xfId="32547"/>
    <cellStyle name="Comma 2 5 2 6 5 5" xfId="17027"/>
    <cellStyle name="Comma 2 5 2 6 5 5 2" xfId="35763"/>
    <cellStyle name="Comma 2 5 2 6 5 6" xfId="21138"/>
    <cellStyle name="Comma 2 5 2 6 5 7" xfId="29340"/>
    <cellStyle name="Comma 2 5 2 6 5 8" xfId="42157"/>
    <cellStyle name="Comma 2 5 2 6 6" xfId="11266"/>
    <cellStyle name="Comma 2 5 2 6 6 2" xfId="20065"/>
    <cellStyle name="Comma 2 5 2 6 6 2 2" xfId="41108"/>
    <cellStyle name="Comma 2 5 2 6 6 2 3" xfId="34685"/>
    <cellStyle name="Comma 2 5 2 6 6 3" xfId="22264"/>
    <cellStyle name="Comma 2 5 2 6 6 3 2" xfId="37901"/>
    <cellStyle name="Comma 2 5 2 6 6 4" xfId="31478"/>
    <cellStyle name="Comma 2 5 2 6 6 5" xfId="43243"/>
    <cellStyle name="Comma 2 5 2 6 7" xfId="8508"/>
    <cellStyle name="Comma 2 5 2 6 7 2" xfId="18968"/>
    <cellStyle name="Comma 2 5 2 6 7 2 2" xfId="40011"/>
    <cellStyle name="Comma 2 5 2 6 7 2 3" xfId="33588"/>
    <cellStyle name="Comma 2 5 2 6 7 3" xfId="23458"/>
    <cellStyle name="Comma 2 5 2 6 7 3 2" xfId="36804"/>
    <cellStyle name="Comma 2 5 2 6 7 4" xfId="30381"/>
    <cellStyle name="Comma 2 5 2 6 7 5" xfId="44287"/>
    <cellStyle name="Comma 2 5 2 6 8" xfId="7414"/>
    <cellStyle name="Comma 2 5 2 6 8 2" xfId="17917"/>
    <cellStyle name="Comma 2 5 2 6 8 2 2" xfId="38966"/>
    <cellStyle name="Comma 2 5 2 6 8 3" xfId="32543"/>
    <cellStyle name="Comma 2 5 2 6 9" xfId="16174"/>
    <cellStyle name="Comma 2 5 2 6 9 2" xfId="35759"/>
    <cellStyle name="Comma 2 5 2 7" xfId="2292"/>
    <cellStyle name="Comma 2 5 2 7 10" xfId="21139"/>
    <cellStyle name="Comma 2 5 2 7 11" xfId="29341"/>
    <cellStyle name="Comma 2 5 2 7 12" xfId="42158"/>
    <cellStyle name="Comma 2 5 2 7 2" xfId="3151"/>
    <cellStyle name="Comma 2 5 2 7 2 2" xfId="11272"/>
    <cellStyle name="Comma 2 5 2 7 2 2 2" xfId="20071"/>
    <cellStyle name="Comma 2 5 2 7 2 2 2 2" xfId="41114"/>
    <cellStyle name="Comma 2 5 2 7 2 2 2 3" xfId="34691"/>
    <cellStyle name="Comma 2 5 2 7 2 2 3" xfId="22270"/>
    <cellStyle name="Comma 2 5 2 7 2 2 3 2" xfId="37907"/>
    <cellStyle name="Comma 2 5 2 7 2 2 4" xfId="31484"/>
    <cellStyle name="Comma 2 5 2 7 2 2 5" xfId="43249"/>
    <cellStyle name="Comma 2 5 2 7 2 3" xfId="8514"/>
    <cellStyle name="Comma 2 5 2 7 2 3 2" xfId="18974"/>
    <cellStyle name="Comma 2 5 2 7 2 3 2 2" xfId="40017"/>
    <cellStyle name="Comma 2 5 2 7 2 3 2 3" xfId="33594"/>
    <cellStyle name="Comma 2 5 2 7 2 3 3" xfId="23464"/>
    <cellStyle name="Comma 2 5 2 7 2 3 3 2" xfId="36810"/>
    <cellStyle name="Comma 2 5 2 7 2 3 4" xfId="30387"/>
    <cellStyle name="Comma 2 5 2 7 2 3 5" xfId="44293"/>
    <cellStyle name="Comma 2 5 2 7 2 4" xfId="7420"/>
    <cellStyle name="Comma 2 5 2 7 2 4 2" xfId="17923"/>
    <cellStyle name="Comma 2 5 2 7 2 4 2 2" xfId="38972"/>
    <cellStyle name="Comma 2 5 2 7 2 4 3" xfId="32549"/>
    <cellStyle name="Comma 2 5 2 7 2 5" xfId="16388"/>
    <cellStyle name="Comma 2 5 2 7 2 5 2" xfId="35765"/>
    <cellStyle name="Comma 2 5 2 7 2 6" xfId="21140"/>
    <cellStyle name="Comma 2 5 2 7 2 7" xfId="29342"/>
    <cellStyle name="Comma 2 5 2 7 2 8" xfId="42159"/>
    <cellStyle name="Comma 2 5 2 7 3" xfId="4017"/>
    <cellStyle name="Comma 2 5 2 7 3 2" xfId="11273"/>
    <cellStyle name="Comma 2 5 2 7 3 2 2" xfId="20072"/>
    <cellStyle name="Comma 2 5 2 7 3 2 2 2" xfId="41115"/>
    <cellStyle name="Comma 2 5 2 7 3 2 2 3" xfId="34692"/>
    <cellStyle name="Comma 2 5 2 7 3 2 3" xfId="22271"/>
    <cellStyle name="Comma 2 5 2 7 3 2 3 2" xfId="37908"/>
    <cellStyle name="Comma 2 5 2 7 3 2 4" xfId="31485"/>
    <cellStyle name="Comma 2 5 2 7 3 2 5" xfId="43250"/>
    <cellStyle name="Comma 2 5 2 7 3 3" xfId="8515"/>
    <cellStyle name="Comma 2 5 2 7 3 3 2" xfId="18975"/>
    <cellStyle name="Comma 2 5 2 7 3 3 2 2" xfId="40018"/>
    <cellStyle name="Comma 2 5 2 7 3 3 2 3" xfId="33595"/>
    <cellStyle name="Comma 2 5 2 7 3 3 3" xfId="23465"/>
    <cellStyle name="Comma 2 5 2 7 3 3 3 2" xfId="36811"/>
    <cellStyle name="Comma 2 5 2 7 3 3 4" xfId="30388"/>
    <cellStyle name="Comma 2 5 2 7 3 3 5" xfId="44294"/>
    <cellStyle name="Comma 2 5 2 7 3 4" xfId="7421"/>
    <cellStyle name="Comma 2 5 2 7 3 4 2" xfId="17924"/>
    <cellStyle name="Comma 2 5 2 7 3 4 2 2" xfId="38973"/>
    <cellStyle name="Comma 2 5 2 7 3 4 3" xfId="32550"/>
    <cellStyle name="Comma 2 5 2 7 3 5" xfId="16576"/>
    <cellStyle name="Comma 2 5 2 7 3 5 2" xfId="35766"/>
    <cellStyle name="Comma 2 5 2 7 3 6" xfId="21141"/>
    <cellStyle name="Comma 2 5 2 7 3 7" xfId="29343"/>
    <cellStyle name="Comma 2 5 2 7 3 8" xfId="42160"/>
    <cellStyle name="Comma 2 5 2 7 4" xfId="4896"/>
    <cellStyle name="Comma 2 5 2 7 4 2" xfId="11274"/>
    <cellStyle name="Comma 2 5 2 7 4 2 2" xfId="20073"/>
    <cellStyle name="Comma 2 5 2 7 4 2 2 2" xfId="41116"/>
    <cellStyle name="Comma 2 5 2 7 4 2 2 3" xfId="34693"/>
    <cellStyle name="Comma 2 5 2 7 4 2 3" xfId="22272"/>
    <cellStyle name="Comma 2 5 2 7 4 2 3 2" xfId="37909"/>
    <cellStyle name="Comma 2 5 2 7 4 2 4" xfId="31486"/>
    <cellStyle name="Comma 2 5 2 7 4 2 5" xfId="43251"/>
    <cellStyle name="Comma 2 5 2 7 4 3" xfId="8516"/>
    <cellStyle name="Comma 2 5 2 7 4 3 2" xfId="18976"/>
    <cellStyle name="Comma 2 5 2 7 4 3 2 2" xfId="40019"/>
    <cellStyle name="Comma 2 5 2 7 4 3 2 3" xfId="33596"/>
    <cellStyle name="Comma 2 5 2 7 4 3 3" xfId="23466"/>
    <cellStyle name="Comma 2 5 2 7 4 3 3 2" xfId="36812"/>
    <cellStyle name="Comma 2 5 2 7 4 3 4" xfId="30389"/>
    <cellStyle name="Comma 2 5 2 7 4 3 5" xfId="44295"/>
    <cellStyle name="Comma 2 5 2 7 4 4" xfId="7422"/>
    <cellStyle name="Comma 2 5 2 7 4 4 2" xfId="17925"/>
    <cellStyle name="Comma 2 5 2 7 4 4 2 2" xfId="38974"/>
    <cellStyle name="Comma 2 5 2 7 4 4 3" xfId="32551"/>
    <cellStyle name="Comma 2 5 2 7 4 5" xfId="16764"/>
    <cellStyle name="Comma 2 5 2 7 4 5 2" xfId="35767"/>
    <cellStyle name="Comma 2 5 2 7 4 6" xfId="21142"/>
    <cellStyle name="Comma 2 5 2 7 4 7" xfId="29344"/>
    <cellStyle name="Comma 2 5 2 7 4 8" xfId="42161"/>
    <cellStyle name="Comma 2 5 2 7 5" xfId="6161"/>
    <cellStyle name="Comma 2 5 2 7 5 2" xfId="11275"/>
    <cellStyle name="Comma 2 5 2 7 5 2 2" xfId="20074"/>
    <cellStyle name="Comma 2 5 2 7 5 2 2 2" xfId="41117"/>
    <cellStyle name="Comma 2 5 2 7 5 2 2 3" xfId="34694"/>
    <cellStyle name="Comma 2 5 2 7 5 2 3" xfId="22273"/>
    <cellStyle name="Comma 2 5 2 7 5 2 3 2" xfId="37910"/>
    <cellStyle name="Comma 2 5 2 7 5 2 4" xfId="31487"/>
    <cellStyle name="Comma 2 5 2 7 5 2 5" xfId="43252"/>
    <cellStyle name="Comma 2 5 2 7 5 3" xfId="8517"/>
    <cellStyle name="Comma 2 5 2 7 5 3 2" xfId="18977"/>
    <cellStyle name="Comma 2 5 2 7 5 3 2 2" xfId="40020"/>
    <cellStyle name="Comma 2 5 2 7 5 3 2 3" xfId="33597"/>
    <cellStyle name="Comma 2 5 2 7 5 3 3" xfId="23467"/>
    <cellStyle name="Comma 2 5 2 7 5 3 3 2" xfId="36813"/>
    <cellStyle name="Comma 2 5 2 7 5 3 4" xfId="30390"/>
    <cellStyle name="Comma 2 5 2 7 5 3 5" xfId="44296"/>
    <cellStyle name="Comma 2 5 2 7 5 4" xfId="7423"/>
    <cellStyle name="Comma 2 5 2 7 5 4 2" xfId="17926"/>
    <cellStyle name="Comma 2 5 2 7 5 4 2 2" xfId="38975"/>
    <cellStyle name="Comma 2 5 2 7 5 4 3" xfId="32552"/>
    <cellStyle name="Comma 2 5 2 7 5 5" xfId="17052"/>
    <cellStyle name="Comma 2 5 2 7 5 5 2" xfId="35768"/>
    <cellStyle name="Comma 2 5 2 7 5 6" xfId="21143"/>
    <cellStyle name="Comma 2 5 2 7 5 7" xfId="29345"/>
    <cellStyle name="Comma 2 5 2 7 5 8" xfId="42162"/>
    <cellStyle name="Comma 2 5 2 7 6" xfId="11271"/>
    <cellStyle name="Comma 2 5 2 7 6 2" xfId="20070"/>
    <cellStyle name="Comma 2 5 2 7 6 2 2" xfId="41113"/>
    <cellStyle name="Comma 2 5 2 7 6 2 3" xfId="34690"/>
    <cellStyle name="Comma 2 5 2 7 6 3" xfId="22269"/>
    <cellStyle name="Comma 2 5 2 7 6 3 2" xfId="37906"/>
    <cellStyle name="Comma 2 5 2 7 6 4" xfId="31483"/>
    <cellStyle name="Comma 2 5 2 7 6 5" xfId="43248"/>
    <cellStyle name="Comma 2 5 2 7 7" xfId="8513"/>
    <cellStyle name="Comma 2 5 2 7 7 2" xfId="18973"/>
    <cellStyle name="Comma 2 5 2 7 7 2 2" xfId="40016"/>
    <cellStyle name="Comma 2 5 2 7 7 2 3" xfId="33593"/>
    <cellStyle name="Comma 2 5 2 7 7 3" xfId="23463"/>
    <cellStyle name="Comma 2 5 2 7 7 3 2" xfId="36809"/>
    <cellStyle name="Comma 2 5 2 7 7 4" xfId="30386"/>
    <cellStyle name="Comma 2 5 2 7 7 5" xfId="44292"/>
    <cellStyle name="Comma 2 5 2 7 8" xfId="7419"/>
    <cellStyle name="Comma 2 5 2 7 8 2" xfId="17922"/>
    <cellStyle name="Comma 2 5 2 7 8 2 2" xfId="38971"/>
    <cellStyle name="Comma 2 5 2 7 8 3" xfId="32548"/>
    <cellStyle name="Comma 2 5 2 7 9" xfId="16200"/>
    <cellStyle name="Comma 2 5 2 7 9 2" xfId="35764"/>
    <cellStyle name="Comma 2 5 2 8" xfId="2480"/>
    <cellStyle name="Comma 2 5 2 8 2" xfId="11276"/>
    <cellStyle name="Comma 2 5 2 8 2 2" xfId="20075"/>
    <cellStyle name="Comma 2 5 2 8 2 2 2" xfId="41118"/>
    <cellStyle name="Comma 2 5 2 8 2 2 3" xfId="34695"/>
    <cellStyle name="Comma 2 5 2 8 2 3" xfId="22274"/>
    <cellStyle name="Comma 2 5 2 8 2 3 2" xfId="37911"/>
    <cellStyle name="Comma 2 5 2 8 2 4" xfId="31488"/>
    <cellStyle name="Comma 2 5 2 8 2 5" xfId="43253"/>
    <cellStyle name="Comma 2 5 2 8 3" xfId="8518"/>
    <cellStyle name="Comma 2 5 2 8 3 2" xfId="18978"/>
    <cellStyle name="Comma 2 5 2 8 3 2 2" xfId="40021"/>
    <cellStyle name="Comma 2 5 2 8 3 2 3" xfId="33598"/>
    <cellStyle name="Comma 2 5 2 8 3 3" xfId="23468"/>
    <cellStyle name="Comma 2 5 2 8 3 3 2" xfId="36814"/>
    <cellStyle name="Comma 2 5 2 8 3 4" xfId="30391"/>
    <cellStyle name="Comma 2 5 2 8 3 5" xfId="44297"/>
    <cellStyle name="Comma 2 5 2 8 4" xfId="7424"/>
    <cellStyle name="Comma 2 5 2 8 4 2" xfId="17927"/>
    <cellStyle name="Comma 2 5 2 8 4 2 2" xfId="38976"/>
    <cellStyle name="Comma 2 5 2 8 4 3" xfId="32553"/>
    <cellStyle name="Comma 2 5 2 8 5" xfId="16255"/>
    <cellStyle name="Comma 2 5 2 8 5 2" xfId="35769"/>
    <cellStyle name="Comma 2 5 2 8 6" xfId="21144"/>
    <cellStyle name="Comma 2 5 2 8 7" xfId="29346"/>
    <cellStyle name="Comma 2 5 2 8 8" xfId="42163"/>
    <cellStyle name="Comma 2 5 2 9" xfId="3343"/>
    <cellStyle name="Comma 2 5 2 9 2" xfId="11277"/>
    <cellStyle name="Comma 2 5 2 9 2 2" xfId="20076"/>
    <cellStyle name="Comma 2 5 2 9 2 2 2" xfId="41119"/>
    <cellStyle name="Comma 2 5 2 9 2 2 3" xfId="34696"/>
    <cellStyle name="Comma 2 5 2 9 2 3" xfId="22275"/>
    <cellStyle name="Comma 2 5 2 9 2 3 2" xfId="37912"/>
    <cellStyle name="Comma 2 5 2 9 2 4" xfId="31489"/>
    <cellStyle name="Comma 2 5 2 9 2 5" xfId="43254"/>
    <cellStyle name="Comma 2 5 2 9 3" xfId="8519"/>
    <cellStyle name="Comma 2 5 2 9 3 2" xfId="18979"/>
    <cellStyle name="Comma 2 5 2 9 3 2 2" xfId="40022"/>
    <cellStyle name="Comma 2 5 2 9 3 2 3" xfId="33599"/>
    <cellStyle name="Comma 2 5 2 9 3 3" xfId="23469"/>
    <cellStyle name="Comma 2 5 2 9 3 3 2" xfId="36815"/>
    <cellStyle name="Comma 2 5 2 9 3 4" xfId="30392"/>
    <cellStyle name="Comma 2 5 2 9 3 5" xfId="44298"/>
    <cellStyle name="Comma 2 5 2 9 4" xfId="7425"/>
    <cellStyle name="Comma 2 5 2 9 4 2" xfId="17928"/>
    <cellStyle name="Comma 2 5 2 9 4 2 2" xfId="38977"/>
    <cellStyle name="Comma 2 5 2 9 4 3" xfId="32554"/>
    <cellStyle name="Comma 2 5 2 9 5" xfId="16443"/>
    <cellStyle name="Comma 2 5 2 9 5 2" xfId="35770"/>
    <cellStyle name="Comma 2 5 2 9 6" xfId="21145"/>
    <cellStyle name="Comma 2 5 2 9 7" xfId="29347"/>
    <cellStyle name="Comma 2 5 2 9 8" xfId="42164"/>
    <cellStyle name="Comma 2 5 20" xfId="42004"/>
    <cellStyle name="Comma 2 5 3" xfId="1494"/>
    <cellStyle name="Comma 2 5 3 10" xfId="5050"/>
    <cellStyle name="Comma 2 5 3 10 2" xfId="11278"/>
    <cellStyle name="Comma 2 5 3 10 2 2" xfId="20077"/>
    <cellStyle name="Comma 2 5 3 10 2 2 2" xfId="41120"/>
    <cellStyle name="Comma 2 5 3 10 2 2 3" xfId="34697"/>
    <cellStyle name="Comma 2 5 3 10 2 3" xfId="22276"/>
    <cellStyle name="Comma 2 5 3 10 2 3 2" xfId="37913"/>
    <cellStyle name="Comma 2 5 3 10 2 4" xfId="31490"/>
    <cellStyle name="Comma 2 5 3 10 2 5" xfId="43255"/>
    <cellStyle name="Comma 2 5 3 10 3" xfId="8521"/>
    <cellStyle name="Comma 2 5 3 10 3 2" xfId="18981"/>
    <cellStyle name="Comma 2 5 3 10 3 2 2" xfId="40024"/>
    <cellStyle name="Comma 2 5 3 10 3 2 3" xfId="33601"/>
    <cellStyle name="Comma 2 5 3 10 3 3" xfId="23471"/>
    <cellStyle name="Comma 2 5 3 10 3 3 2" xfId="36817"/>
    <cellStyle name="Comma 2 5 3 10 3 4" xfId="30394"/>
    <cellStyle name="Comma 2 5 3 10 3 5" xfId="44300"/>
    <cellStyle name="Comma 2 5 3 10 4" xfId="7426"/>
    <cellStyle name="Comma 2 5 3 10 4 2" xfId="17929"/>
    <cellStyle name="Comma 2 5 3 10 4 2 2" xfId="38978"/>
    <cellStyle name="Comma 2 5 3 10 4 3" xfId="32555"/>
    <cellStyle name="Comma 2 5 3 10 5" xfId="16865"/>
    <cellStyle name="Comma 2 5 3 10 5 2" xfId="35771"/>
    <cellStyle name="Comma 2 5 3 10 6" xfId="21147"/>
    <cellStyle name="Comma 2 5 3 10 7" xfId="29348"/>
    <cellStyle name="Comma 2 5 3 10 8" xfId="42166"/>
    <cellStyle name="Comma 2 5 3 11" xfId="5481"/>
    <cellStyle name="Comma 2 5 3 11 2" xfId="11279"/>
    <cellStyle name="Comma 2 5 3 11 2 2" xfId="20078"/>
    <cellStyle name="Comma 2 5 3 11 2 2 2" xfId="41121"/>
    <cellStyle name="Comma 2 5 3 11 2 2 3" xfId="34698"/>
    <cellStyle name="Comma 2 5 3 11 2 3" xfId="22277"/>
    <cellStyle name="Comma 2 5 3 11 2 3 2" xfId="37914"/>
    <cellStyle name="Comma 2 5 3 11 2 4" xfId="31491"/>
    <cellStyle name="Comma 2 5 3 11 2 5" xfId="43256"/>
    <cellStyle name="Comma 2 5 3 11 3" xfId="8522"/>
    <cellStyle name="Comma 2 5 3 11 3 2" xfId="18982"/>
    <cellStyle name="Comma 2 5 3 11 3 2 2" xfId="40025"/>
    <cellStyle name="Comma 2 5 3 11 3 2 3" xfId="33602"/>
    <cellStyle name="Comma 2 5 3 11 3 3" xfId="23472"/>
    <cellStyle name="Comma 2 5 3 11 3 3 2" xfId="36818"/>
    <cellStyle name="Comma 2 5 3 11 3 4" xfId="30395"/>
    <cellStyle name="Comma 2 5 3 11 3 5" xfId="44301"/>
    <cellStyle name="Comma 2 5 3 11 4" xfId="7427"/>
    <cellStyle name="Comma 2 5 3 11 4 2" xfId="17930"/>
    <cellStyle name="Comma 2 5 3 11 4 2 2" xfId="38979"/>
    <cellStyle name="Comma 2 5 3 11 4 3" xfId="32556"/>
    <cellStyle name="Comma 2 5 3 11 5" xfId="16927"/>
    <cellStyle name="Comma 2 5 3 11 5 2" xfId="35772"/>
    <cellStyle name="Comma 2 5 3 11 6" xfId="21148"/>
    <cellStyle name="Comma 2 5 3 11 7" xfId="29349"/>
    <cellStyle name="Comma 2 5 3 11 8" xfId="42167"/>
    <cellStyle name="Comma 2 5 3 12" xfId="10270"/>
    <cellStyle name="Comma 2 5 3 12 2" xfId="19323"/>
    <cellStyle name="Comma 2 5 3 12 2 2" xfId="40366"/>
    <cellStyle name="Comma 2 5 3 12 2 3" xfId="33943"/>
    <cellStyle name="Comma 2 5 3 12 3" xfId="21523"/>
    <cellStyle name="Comma 2 5 3 12 3 2" xfId="37159"/>
    <cellStyle name="Comma 2 5 3 12 4" xfId="30736"/>
    <cellStyle name="Comma 2 5 3 12 5" xfId="42502"/>
    <cellStyle name="Comma 2 5 3 13" xfId="8520"/>
    <cellStyle name="Comma 2 5 3 13 2" xfId="18980"/>
    <cellStyle name="Comma 2 5 3 13 2 2" xfId="40023"/>
    <cellStyle name="Comma 2 5 3 13 2 3" xfId="33600"/>
    <cellStyle name="Comma 2 5 3 13 3" xfId="23470"/>
    <cellStyle name="Comma 2 5 3 13 3 2" xfId="36816"/>
    <cellStyle name="Comma 2 5 3 13 4" xfId="30393"/>
    <cellStyle name="Comma 2 5 3 13 5" xfId="44299"/>
    <cellStyle name="Comma 2 5 3 14" xfId="6669"/>
    <cellStyle name="Comma 2 5 3 14 2" xfId="17176"/>
    <cellStyle name="Comma 2 5 3 14 2 2" xfId="38229"/>
    <cellStyle name="Comma 2 5 3 14 3" xfId="31806"/>
    <cellStyle name="Comma 2 5 3 15" xfId="16064"/>
    <cellStyle name="Comma 2 5 3 15 2" xfId="35022"/>
    <cellStyle name="Comma 2 5 3 16" xfId="21146"/>
    <cellStyle name="Comma 2 5 3 17" xfId="28597"/>
    <cellStyle name="Comma 2 5 3 18" xfId="42165"/>
    <cellStyle name="Comma 2 5 3 2" xfId="1495"/>
    <cellStyle name="Comma 2 5 3 2 10" xfId="5482"/>
    <cellStyle name="Comma 2 5 3 2 10 2" xfId="11280"/>
    <cellStyle name="Comma 2 5 3 2 10 2 2" xfId="20079"/>
    <cellStyle name="Comma 2 5 3 2 10 2 2 2" xfId="41122"/>
    <cellStyle name="Comma 2 5 3 2 10 2 2 3" xfId="34699"/>
    <cellStyle name="Comma 2 5 3 2 10 2 3" xfId="22278"/>
    <cellStyle name="Comma 2 5 3 2 10 2 3 2" xfId="37915"/>
    <cellStyle name="Comma 2 5 3 2 10 2 4" xfId="31492"/>
    <cellStyle name="Comma 2 5 3 2 10 2 5" xfId="43257"/>
    <cellStyle name="Comma 2 5 3 2 10 3" xfId="8524"/>
    <cellStyle name="Comma 2 5 3 2 10 3 2" xfId="18984"/>
    <cellStyle name="Comma 2 5 3 2 10 3 2 2" xfId="40027"/>
    <cellStyle name="Comma 2 5 3 2 10 3 2 3" xfId="33604"/>
    <cellStyle name="Comma 2 5 3 2 10 3 3" xfId="23474"/>
    <cellStyle name="Comma 2 5 3 2 10 3 3 2" xfId="36820"/>
    <cellStyle name="Comma 2 5 3 2 10 3 4" xfId="30397"/>
    <cellStyle name="Comma 2 5 3 2 10 3 5" xfId="44303"/>
    <cellStyle name="Comma 2 5 3 2 10 4" xfId="7428"/>
    <cellStyle name="Comma 2 5 3 2 10 4 2" xfId="17931"/>
    <cellStyle name="Comma 2 5 3 2 10 4 2 2" xfId="38980"/>
    <cellStyle name="Comma 2 5 3 2 10 4 3" xfId="32557"/>
    <cellStyle name="Comma 2 5 3 2 10 5" xfId="16928"/>
    <cellStyle name="Comma 2 5 3 2 10 5 2" xfId="35773"/>
    <cellStyle name="Comma 2 5 3 2 10 6" xfId="21150"/>
    <cellStyle name="Comma 2 5 3 2 10 7" xfId="29350"/>
    <cellStyle name="Comma 2 5 3 2 10 8" xfId="42169"/>
    <cellStyle name="Comma 2 5 3 2 11" xfId="10271"/>
    <cellStyle name="Comma 2 5 3 2 11 2" xfId="19324"/>
    <cellStyle name="Comma 2 5 3 2 11 2 2" xfId="40367"/>
    <cellStyle name="Comma 2 5 3 2 11 2 3" xfId="33944"/>
    <cellStyle name="Comma 2 5 3 2 11 3" xfId="21524"/>
    <cellStyle name="Comma 2 5 3 2 11 3 2" xfId="37160"/>
    <cellStyle name="Comma 2 5 3 2 11 4" xfId="30737"/>
    <cellStyle name="Comma 2 5 3 2 11 5" xfId="42503"/>
    <cellStyle name="Comma 2 5 3 2 12" xfId="8523"/>
    <cellStyle name="Comma 2 5 3 2 12 2" xfId="18983"/>
    <cellStyle name="Comma 2 5 3 2 12 2 2" xfId="40026"/>
    <cellStyle name="Comma 2 5 3 2 12 2 3" xfId="33603"/>
    <cellStyle name="Comma 2 5 3 2 12 3" xfId="23473"/>
    <cellStyle name="Comma 2 5 3 2 12 3 2" xfId="36819"/>
    <cellStyle name="Comma 2 5 3 2 12 4" xfId="30396"/>
    <cellStyle name="Comma 2 5 3 2 12 5" xfId="44302"/>
    <cellStyle name="Comma 2 5 3 2 13" xfId="6670"/>
    <cellStyle name="Comma 2 5 3 2 13 2" xfId="17177"/>
    <cellStyle name="Comma 2 5 3 2 13 2 2" xfId="38230"/>
    <cellStyle name="Comma 2 5 3 2 13 3" xfId="31807"/>
    <cellStyle name="Comma 2 5 3 2 14" xfId="16065"/>
    <cellStyle name="Comma 2 5 3 2 14 2" xfId="35023"/>
    <cellStyle name="Comma 2 5 3 2 15" xfId="21149"/>
    <cellStyle name="Comma 2 5 3 2 16" xfId="28598"/>
    <cellStyle name="Comma 2 5 3 2 17" xfId="42168"/>
    <cellStyle name="Comma 2 5 3 2 2" xfId="1496"/>
    <cellStyle name="Comma 2 5 3 2 2 10" xfId="8525"/>
    <cellStyle name="Comma 2 5 3 2 2 10 2" xfId="18985"/>
    <cellStyle name="Comma 2 5 3 2 2 10 2 2" xfId="40028"/>
    <cellStyle name="Comma 2 5 3 2 2 10 2 3" xfId="33605"/>
    <cellStyle name="Comma 2 5 3 2 2 10 3" xfId="23475"/>
    <cellStyle name="Comma 2 5 3 2 2 10 3 2" xfId="36821"/>
    <cellStyle name="Comma 2 5 3 2 2 10 4" xfId="30398"/>
    <cellStyle name="Comma 2 5 3 2 2 10 5" xfId="44304"/>
    <cellStyle name="Comma 2 5 3 2 2 11" xfId="6671"/>
    <cellStyle name="Comma 2 5 3 2 2 11 2" xfId="17178"/>
    <cellStyle name="Comma 2 5 3 2 2 11 2 2" xfId="38231"/>
    <cellStyle name="Comma 2 5 3 2 2 11 3" xfId="31808"/>
    <cellStyle name="Comma 2 5 3 2 2 12" xfId="16066"/>
    <cellStyle name="Comma 2 5 3 2 2 12 2" xfId="35024"/>
    <cellStyle name="Comma 2 5 3 2 2 13" xfId="21151"/>
    <cellStyle name="Comma 2 5 3 2 2 14" xfId="28599"/>
    <cellStyle name="Comma 2 5 3 2 2 15" xfId="42170"/>
    <cellStyle name="Comma 2 5 3 2 2 2" xfId="1850"/>
    <cellStyle name="Comma 2 5 3 2 2 2 10" xfId="16128"/>
    <cellStyle name="Comma 2 5 3 2 2 2 10 2" xfId="35025"/>
    <cellStyle name="Comma 2 5 3 2 2 2 11" xfId="21152"/>
    <cellStyle name="Comma 2 5 3 2 2 2 12" xfId="28600"/>
    <cellStyle name="Comma 2 5 3 2 2 2 13" xfId="42171"/>
    <cellStyle name="Comma 2 5 3 2 2 2 2" xfId="2740"/>
    <cellStyle name="Comma 2 5 3 2 2 2 2 2" xfId="11281"/>
    <cellStyle name="Comma 2 5 3 2 2 2 2 2 2" xfId="20080"/>
    <cellStyle name="Comma 2 5 3 2 2 2 2 2 2 2" xfId="41123"/>
    <cellStyle name="Comma 2 5 3 2 2 2 2 2 2 3" xfId="34700"/>
    <cellStyle name="Comma 2 5 3 2 2 2 2 2 3" xfId="22279"/>
    <cellStyle name="Comma 2 5 3 2 2 2 2 2 3 2" xfId="37916"/>
    <cellStyle name="Comma 2 5 3 2 2 2 2 2 4" xfId="31493"/>
    <cellStyle name="Comma 2 5 3 2 2 2 2 2 5" xfId="43258"/>
    <cellStyle name="Comma 2 5 3 2 2 2 2 3" xfId="8527"/>
    <cellStyle name="Comma 2 5 3 2 2 2 2 3 2" xfId="18987"/>
    <cellStyle name="Comma 2 5 3 2 2 2 2 3 2 2" xfId="40030"/>
    <cellStyle name="Comma 2 5 3 2 2 2 2 3 2 3" xfId="33607"/>
    <cellStyle name="Comma 2 5 3 2 2 2 2 3 3" xfId="23477"/>
    <cellStyle name="Comma 2 5 3 2 2 2 2 3 3 2" xfId="36823"/>
    <cellStyle name="Comma 2 5 3 2 2 2 2 3 4" xfId="30400"/>
    <cellStyle name="Comma 2 5 3 2 2 2 2 3 5" xfId="44306"/>
    <cellStyle name="Comma 2 5 3 2 2 2 2 4" xfId="7429"/>
    <cellStyle name="Comma 2 5 3 2 2 2 2 4 2" xfId="17932"/>
    <cellStyle name="Comma 2 5 3 2 2 2 2 4 2 2" xfId="38981"/>
    <cellStyle name="Comma 2 5 3 2 2 2 2 4 3" xfId="32558"/>
    <cellStyle name="Comma 2 5 3 2 2 2 2 5" xfId="16318"/>
    <cellStyle name="Comma 2 5 3 2 2 2 2 5 2" xfId="35774"/>
    <cellStyle name="Comma 2 5 3 2 2 2 2 6" xfId="21153"/>
    <cellStyle name="Comma 2 5 3 2 2 2 2 7" xfId="29351"/>
    <cellStyle name="Comma 2 5 3 2 2 2 2 8" xfId="42172"/>
    <cellStyle name="Comma 2 5 3 2 2 2 3" xfId="3604"/>
    <cellStyle name="Comma 2 5 3 2 2 2 3 2" xfId="11282"/>
    <cellStyle name="Comma 2 5 3 2 2 2 3 2 2" xfId="20081"/>
    <cellStyle name="Comma 2 5 3 2 2 2 3 2 2 2" xfId="41124"/>
    <cellStyle name="Comma 2 5 3 2 2 2 3 2 2 3" xfId="34701"/>
    <cellStyle name="Comma 2 5 3 2 2 2 3 2 3" xfId="22280"/>
    <cellStyle name="Comma 2 5 3 2 2 2 3 2 3 2" xfId="37917"/>
    <cellStyle name="Comma 2 5 3 2 2 2 3 2 4" xfId="31494"/>
    <cellStyle name="Comma 2 5 3 2 2 2 3 2 5" xfId="43259"/>
    <cellStyle name="Comma 2 5 3 2 2 2 3 3" xfId="8528"/>
    <cellStyle name="Comma 2 5 3 2 2 2 3 3 2" xfId="18988"/>
    <cellStyle name="Comma 2 5 3 2 2 2 3 3 2 2" xfId="40031"/>
    <cellStyle name="Comma 2 5 3 2 2 2 3 3 2 3" xfId="33608"/>
    <cellStyle name="Comma 2 5 3 2 2 2 3 3 3" xfId="23478"/>
    <cellStyle name="Comma 2 5 3 2 2 2 3 3 3 2" xfId="36824"/>
    <cellStyle name="Comma 2 5 3 2 2 2 3 3 4" xfId="30401"/>
    <cellStyle name="Comma 2 5 3 2 2 2 3 3 5" xfId="44307"/>
    <cellStyle name="Comma 2 5 3 2 2 2 3 4" xfId="7430"/>
    <cellStyle name="Comma 2 5 3 2 2 2 3 4 2" xfId="17933"/>
    <cellStyle name="Comma 2 5 3 2 2 2 3 4 2 2" xfId="38982"/>
    <cellStyle name="Comma 2 5 3 2 2 2 3 4 3" xfId="32559"/>
    <cellStyle name="Comma 2 5 3 2 2 2 3 5" xfId="16506"/>
    <cellStyle name="Comma 2 5 3 2 2 2 3 5 2" xfId="35775"/>
    <cellStyle name="Comma 2 5 3 2 2 2 3 6" xfId="21154"/>
    <cellStyle name="Comma 2 5 3 2 2 2 3 7" xfId="29352"/>
    <cellStyle name="Comma 2 5 3 2 2 2 3 8" xfId="42173"/>
    <cellStyle name="Comma 2 5 3 2 2 2 4" xfId="4479"/>
    <cellStyle name="Comma 2 5 3 2 2 2 4 2" xfId="11283"/>
    <cellStyle name="Comma 2 5 3 2 2 2 4 2 2" xfId="20082"/>
    <cellStyle name="Comma 2 5 3 2 2 2 4 2 2 2" xfId="41125"/>
    <cellStyle name="Comma 2 5 3 2 2 2 4 2 2 3" xfId="34702"/>
    <cellStyle name="Comma 2 5 3 2 2 2 4 2 3" xfId="22281"/>
    <cellStyle name="Comma 2 5 3 2 2 2 4 2 3 2" xfId="37918"/>
    <cellStyle name="Comma 2 5 3 2 2 2 4 2 4" xfId="31495"/>
    <cellStyle name="Comma 2 5 3 2 2 2 4 2 5" xfId="43260"/>
    <cellStyle name="Comma 2 5 3 2 2 2 4 3" xfId="8529"/>
    <cellStyle name="Comma 2 5 3 2 2 2 4 3 2" xfId="18989"/>
    <cellStyle name="Comma 2 5 3 2 2 2 4 3 2 2" xfId="40032"/>
    <cellStyle name="Comma 2 5 3 2 2 2 4 3 2 3" xfId="33609"/>
    <cellStyle name="Comma 2 5 3 2 2 2 4 3 3" xfId="23479"/>
    <cellStyle name="Comma 2 5 3 2 2 2 4 3 3 2" xfId="36825"/>
    <cellStyle name="Comma 2 5 3 2 2 2 4 3 4" xfId="30402"/>
    <cellStyle name="Comma 2 5 3 2 2 2 4 3 5" xfId="44308"/>
    <cellStyle name="Comma 2 5 3 2 2 2 4 4" xfId="7431"/>
    <cellStyle name="Comma 2 5 3 2 2 2 4 4 2" xfId="17934"/>
    <cellStyle name="Comma 2 5 3 2 2 2 4 4 2 2" xfId="38983"/>
    <cellStyle name="Comma 2 5 3 2 2 2 4 4 3" xfId="32560"/>
    <cellStyle name="Comma 2 5 3 2 2 2 4 5" xfId="16694"/>
    <cellStyle name="Comma 2 5 3 2 2 2 4 5 2" xfId="35776"/>
    <cellStyle name="Comma 2 5 3 2 2 2 4 6" xfId="21155"/>
    <cellStyle name="Comma 2 5 3 2 2 2 4 7" xfId="29353"/>
    <cellStyle name="Comma 2 5 3 2 2 2 4 8" xfId="42174"/>
    <cellStyle name="Comma 2 5 3 2 2 2 5" xfId="5053"/>
    <cellStyle name="Comma 2 5 3 2 2 2 5 2" xfId="11284"/>
    <cellStyle name="Comma 2 5 3 2 2 2 5 2 2" xfId="20083"/>
    <cellStyle name="Comma 2 5 3 2 2 2 5 2 2 2" xfId="41126"/>
    <cellStyle name="Comma 2 5 3 2 2 2 5 2 2 3" xfId="34703"/>
    <cellStyle name="Comma 2 5 3 2 2 2 5 2 3" xfId="22282"/>
    <cellStyle name="Comma 2 5 3 2 2 2 5 2 3 2" xfId="37919"/>
    <cellStyle name="Comma 2 5 3 2 2 2 5 2 4" xfId="31496"/>
    <cellStyle name="Comma 2 5 3 2 2 2 5 2 5" xfId="43261"/>
    <cellStyle name="Comma 2 5 3 2 2 2 5 3" xfId="8530"/>
    <cellStyle name="Comma 2 5 3 2 2 2 5 3 2" xfId="18990"/>
    <cellStyle name="Comma 2 5 3 2 2 2 5 3 2 2" xfId="40033"/>
    <cellStyle name="Comma 2 5 3 2 2 2 5 3 2 3" xfId="33610"/>
    <cellStyle name="Comma 2 5 3 2 2 2 5 3 3" xfId="23480"/>
    <cellStyle name="Comma 2 5 3 2 2 2 5 3 3 2" xfId="36826"/>
    <cellStyle name="Comma 2 5 3 2 2 2 5 3 4" xfId="30403"/>
    <cellStyle name="Comma 2 5 3 2 2 2 5 3 5" xfId="44309"/>
    <cellStyle name="Comma 2 5 3 2 2 2 5 4" xfId="7432"/>
    <cellStyle name="Comma 2 5 3 2 2 2 5 4 2" xfId="17935"/>
    <cellStyle name="Comma 2 5 3 2 2 2 5 4 2 2" xfId="38984"/>
    <cellStyle name="Comma 2 5 3 2 2 2 5 4 3" xfId="32561"/>
    <cellStyle name="Comma 2 5 3 2 2 2 5 5" xfId="16868"/>
    <cellStyle name="Comma 2 5 3 2 2 2 5 5 2" xfId="35777"/>
    <cellStyle name="Comma 2 5 3 2 2 2 5 6" xfId="21156"/>
    <cellStyle name="Comma 2 5 3 2 2 2 5 7" xfId="29354"/>
    <cellStyle name="Comma 2 5 3 2 2 2 5 8" xfId="42175"/>
    <cellStyle name="Comma 2 5 3 2 2 2 6" xfId="5744"/>
    <cellStyle name="Comma 2 5 3 2 2 2 6 2" xfId="11285"/>
    <cellStyle name="Comma 2 5 3 2 2 2 6 2 2" xfId="20084"/>
    <cellStyle name="Comma 2 5 3 2 2 2 6 2 2 2" xfId="41127"/>
    <cellStyle name="Comma 2 5 3 2 2 2 6 2 2 3" xfId="34704"/>
    <cellStyle name="Comma 2 5 3 2 2 2 6 2 3" xfId="22283"/>
    <cellStyle name="Comma 2 5 3 2 2 2 6 2 3 2" xfId="37920"/>
    <cellStyle name="Comma 2 5 3 2 2 2 6 2 4" xfId="31497"/>
    <cellStyle name="Comma 2 5 3 2 2 2 6 2 5" xfId="43262"/>
    <cellStyle name="Comma 2 5 3 2 2 2 6 3" xfId="8531"/>
    <cellStyle name="Comma 2 5 3 2 2 2 6 3 2" xfId="18991"/>
    <cellStyle name="Comma 2 5 3 2 2 2 6 3 2 2" xfId="40034"/>
    <cellStyle name="Comma 2 5 3 2 2 2 6 3 2 3" xfId="33611"/>
    <cellStyle name="Comma 2 5 3 2 2 2 6 3 3" xfId="23481"/>
    <cellStyle name="Comma 2 5 3 2 2 2 6 3 3 2" xfId="36827"/>
    <cellStyle name="Comma 2 5 3 2 2 2 6 3 4" xfId="30404"/>
    <cellStyle name="Comma 2 5 3 2 2 2 6 3 5" xfId="44310"/>
    <cellStyle name="Comma 2 5 3 2 2 2 6 4" xfId="7433"/>
    <cellStyle name="Comma 2 5 3 2 2 2 6 4 2" xfId="17936"/>
    <cellStyle name="Comma 2 5 3 2 2 2 6 4 2 2" xfId="38985"/>
    <cellStyle name="Comma 2 5 3 2 2 2 6 4 3" xfId="32562"/>
    <cellStyle name="Comma 2 5 3 2 2 2 6 5" xfId="16982"/>
    <cellStyle name="Comma 2 5 3 2 2 2 6 5 2" xfId="35778"/>
    <cellStyle name="Comma 2 5 3 2 2 2 6 6" xfId="21157"/>
    <cellStyle name="Comma 2 5 3 2 2 2 6 7" xfId="29355"/>
    <cellStyle name="Comma 2 5 3 2 2 2 6 8" xfId="42176"/>
    <cellStyle name="Comma 2 5 3 2 2 2 7" xfId="10273"/>
    <cellStyle name="Comma 2 5 3 2 2 2 7 2" xfId="19326"/>
    <cellStyle name="Comma 2 5 3 2 2 2 7 2 2" xfId="40369"/>
    <cellStyle name="Comma 2 5 3 2 2 2 7 2 3" xfId="33946"/>
    <cellStyle name="Comma 2 5 3 2 2 2 7 3" xfId="21526"/>
    <cellStyle name="Comma 2 5 3 2 2 2 7 3 2" xfId="37162"/>
    <cellStyle name="Comma 2 5 3 2 2 2 7 4" xfId="30739"/>
    <cellStyle name="Comma 2 5 3 2 2 2 7 5" xfId="42505"/>
    <cellStyle name="Comma 2 5 3 2 2 2 8" xfId="8526"/>
    <cellStyle name="Comma 2 5 3 2 2 2 8 2" xfId="18986"/>
    <cellStyle name="Comma 2 5 3 2 2 2 8 2 2" xfId="40029"/>
    <cellStyle name="Comma 2 5 3 2 2 2 8 2 3" xfId="33606"/>
    <cellStyle name="Comma 2 5 3 2 2 2 8 3" xfId="23476"/>
    <cellStyle name="Comma 2 5 3 2 2 2 8 3 2" xfId="36822"/>
    <cellStyle name="Comma 2 5 3 2 2 2 8 4" xfId="30399"/>
    <cellStyle name="Comma 2 5 3 2 2 2 8 5" xfId="44305"/>
    <cellStyle name="Comma 2 5 3 2 2 2 9" xfId="6672"/>
    <cellStyle name="Comma 2 5 3 2 2 2 9 2" xfId="17179"/>
    <cellStyle name="Comma 2 5 3 2 2 2 9 2 2" xfId="38232"/>
    <cellStyle name="Comma 2 5 3 2 2 2 9 3" xfId="31809"/>
    <cellStyle name="Comma 2 5 3 2 2 3" xfId="2125"/>
    <cellStyle name="Comma 2 5 3 2 2 3 10" xfId="21158"/>
    <cellStyle name="Comma 2 5 3 2 2 3 11" xfId="29356"/>
    <cellStyle name="Comma 2 5 3 2 2 3 12" xfId="42177"/>
    <cellStyle name="Comma 2 5 3 2 2 3 2" xfId="2995"/>
    <cellStyle name="Comma 2 5 3 2 2 3 2 2" xfId="11287"/>
    <cellStyle name="Comma 2 5 3 2 2 3 2 2 2" xfId="20086"/>
    <cellStyle name="Comma 2 5 3 2 2 3 2 2 2 2" xfId="41129"/>
    <cellStyle name="Comma 2 5 3 2 2 3 2 2 2 3" xfId="34706"/>
    <cellStyle name="Comma 2 5 3 2 2 3 2 2 3" xfId="22285"/>
    <cellStyle name="Comma 2 5 3 2 2 3 2 2 3 2" xfId="37922"/>
    <cellStyle name="Comma 2 5 3 2 2 3 2 2 4" xfId="31499"/>
    <cellStyle name="Comma 2 5 3 2 2 3 2 2 5" xfId="43264"/>
    <cellStyle name="Comma 2 5 3 2 2 3 2 3" xfId="8533"/>
    <cellStyle name="Comma 2 5 3 2 2 3 2 3 2" xfId="18993"/>
    <cellStyle name="Comma 2 5 3 2 2 3 2 3 2 2" xfId="40036"/>
    <cellStyle name="Comma 2 5 3 2 2 3 2 3 2 3" xfId="33613"/>
    <cellStyle name="Comma 2 5 3 2 2 3 2 3 3" xfId="23483"/>
    <cellStyle name="Comma 2 5 3 2 2 3 2 3 3 2" xfId="36829"/>
    <cellStyle name="Comma 2 5 3 2 2 3 2 3 4" xfId="30406"/>
    <cellStyle name="Comma 2 5 3 2 2 3 2 3 5" xfId="44312"/>
    <cellStyle name="Comma 2 5 3 2 2 3 2 4" xfId="7435"/>
    <cellStyle name="Comma 2 5 3 2 2 3 2 4 2" xfId="17938"/>
    <cellStyle name="Comma 2 5 3 2 2 3 2 4 2 2" xfId="38987"/>
    <cellStyle name="Comma 2 5 3 2 2 3 2 4 3" xfId="32564"/>
    <cellStyle name="Comma 2 5 3 2 2 3 2 5" xfId="16373"/>
    <cellStyle name="Comma 2 5 3 2 2 3 2 5 2" xfId="35780"/>
    <cellStyle name="Comma 2 5 3 2 2 3 2 6" xfId="21159"/>
    <cellStyle name="Comma 2 5 3 2 2 3 2 7" xfId="29357"/>
    <cellStyle name="Comma 2 5 3 2 2 3 2 8" xfId="42178"/>
    <cellStyle name="Comma 2 5 3 2 2 3 3" xfId="3865"/>
    <cellStyle name="Comma 2 5 3 2 2 3 3 2" xfId="11288"/>
    <cellStyle name="Comma 2 5 3 2 2 3 3 2 2" xfId="20087"/>
    <cellStyle name="Comma 2 5 3 2 2 3 3 2 2 2" xfId="41130"/>
    <cellStyle name="Comma 2 5 3 2 2 3 3 2 2 3" xfId="34707"/>
    <cellStyle name="Comma 2 5 3 2 2 3 3 2 3" xfId="22286"/>
    <cellStyle name="Comma 2 5 3 2 2 3 3 2 3 2" xfId="37923"/>
    <cellStyle name="Comma 2 5 3 2 2 3 3 2 4" xfId="31500"/>
    <cellStyle name="Comma 2 5 3 2 2 3 3 2 5" xfId="43265"/>
    <cellStyle name="Comma 2 5 3 2 2 3 3 3" xfId="8534"/>
    <cellStyle name="Comma 2 5 3 2 2 3 3 3 2" xfId="18994"/>
    <cellStyle name="Comma 2 5 3 2 2 3 3 3 2 2" xfId="40037"/>
    <cellStyle name="Comma 2 5 3 2 2 3 3 3 2 3" xfId="33614"/>
    <cellStyle name="Comma 2 5 3 2 2 3 3 3 3" xfId="23484"/>
    <cellStyle name="Comma 2 5 3 2 2 3 3 3 3 2" xfId="36830"/>
    <cellStyle name="Comma 2 5 3 2 2 3 3 3 4" xfId="30407"/>
    <cellStyle name="Comma 2 5 3 2 2 3 3 3 5" xfId="44313"/>
    <cellStyle name="Comma 2 5 3 2 2 3 3 4" xfId="7436"/>
    <cellStyle name="Comma 2 5 3 2 2 3 3 4 2" xfId="17939"/>
    <cellStyle name="Comma 2 5 3 2 2 3 3 4 2 2" xfId="38988"/>
    <cellStyle name="Comma 2 5 3 2 2 3 3 4 3" xfId="32565"/>
    <cellStyle name="Comma 2 5 3 2 2 3 3 5" xfId="16561"/>
    <cellStyle name="Comma 2 5 3 2 2 3 3 5 2" xfId="35781"/>
    <cellStyle name="Comma 2 5 3 2 2 3 3 6" xfId="21160"/>
    <cellStyle name="Comma 2 5 3 2 2 3 3 7" xfId="29358"/>
    <cellStyle name="Comma 2 5 3 2 2 3 3 8" xfId="42179"/>
    <cellStyle name="Comma 2 5 3 2 2 3 4" xfId="4743"/>
    <cellStyle name="Comma 2 5 3 2 2 3 4 2" xfId="11289"/>
    <cellStyle name="Comma 2 5 3 2 2 3 4 2 2" xfId="20088"/>
    <cellStyle name="Comma 2 5 3 2 2 3 4 2 2 2" xfId="41131"/>
    <cellStyle name="Comma 2 5 3 2 2 3 4 2 2 3" xfId="34708"/>
    <cellStyle name="Comma 2 5 3 2 2 3 4 2 3" xfId="22287"/>
    <cellStyle name="Comma 2 5 3 2 2 3 4 2 3 2" xfId="37924"/>
    <cellStyle name="Comma 2 5 3 2 2 3 4 2 4" xfId="31501"/>
    <cellStyle name="Comma 2 5 3 2 2 3 4 2 5" xfId="43266"/>
    <cellStyle name="Comma 2 5 3 2 2 3 4 3" xfId="8535"/>
    <cellStyle name="Comma 2 5 3 2 2 3 4 3 2" xfId="18995"/>
    <cellStyle name="Comma 2 5 3 2 2 3 4 3 2 2" xfId="40038"/>
    <cellStyle name="Comma 2 5 3 2 2 3 4 3 2 3" xfId="33615"/>
    <cellStyle name="Comma 2 5 3 2 2 3 4 3 3" xfId="23485"/>
    <cellStyle name="Comma 2 5 3 2 2 3 4 3 3 2" xfId="36831"/>
    <cellStyle name="Comma 2 5 3 2 2 3 4 3 4" xfId="30408"/>
    <cellStyle name="Comma 2 5 3 2 2 3 4 3 5" xfId="44314"/>
    <cellStyle name="Comma 2 5 3 2 2 3 4 4" xfId="7437"/>
    <cellStyle name="Comma 2 5 3 2 2 3 4 4 2" xfId="17940"/>
    <cellStyle name="Comma 2 5 3 2 2 3 4 4 2 2" xfId="38989"/>
    <cellStyle name="Comma 2 5 3 2 2 3 4 4 3" xfId="32566"/>
    <cellStyle name="Comma 2 5 3 2 2 3 4 5" xfId="16749"/>
    <cellStyle name="Comma 2 5 3 2 2 3 4 5 2" xfId="35782"/>
    <cellStyle name="Comma 2 5 3 2 2 3 4 6" xfId="21161"/>
    <cellStyle name="Comma 2 5 3 2 2 3 4 7" xfId="29359"/>
    <cellStyle name="Comma 2 5 3 2 2 3 4 8" xfId="42180"/>
    <cellStyle name="Comma 2 5 3 2 2 3 5" xfId="6008"/>
    <cellStyle name="Comma 2 5 3 2 2 3 5 2" xfId="11290"/>
    <cellStyle name="Comma 2 5 3 2 2 3 5 2 2" xfId="20089"/>
    <cellStyle name="Comma 2 5 3 2 2 3 5 2 2 2" xfId="41132"/>
    <cellStyle name="Comma 2 5 3 2 2 3 5 2 2 3" xfId="34709"/>
    <cellStyle name="Comma 2 5 3 2 2 3 5 2 3" xfId="22288"/>
    <cellStyle name="Comma 2 5 3 2 2 3 5 2 3 2" xfId="37925"/>
    <cellStyle name="Comma 2 5 3 2 2 3 5 2 4" xfId="31502"/>
    <cellStyle name="Comma 2 5 3 2 2 3 5 2 5" xfId="43267"/>
    <cellStyle name="Comma 2 5 3 2 2 3 5 3" xfId="8536"/>
    <cellStyle name="Comma 2 5 3 2 2 3 5 3 2" xfId="18996"/>
    <cellStyle name="Comma 2 5 3 2 2 3 5 3 2 2" xfId="40039"/>
    <cellStyle name="Comma 2 5 3 2 2 3 5 3 2 3" xfId="33616"/>
    <cellStyle name="Comma 2 5 3 2 2 3 5 3 3" xfId="23486"/>
    <cellStyle name="Comma 2 5 3 2 2 3 5 3 3 2" xfId="36832"/>
    <cellStyle name="Comma 2 5 3 2 2 3 5 3 4" xfId="30409"/>
    <cellStyle name="Comma 2 5 3 2 2 3 5 3 5" xfId="44315"/>
    <cellStyle name="Comma 2 5 3 2 2 3 5 4" xfId="7438"/>
    <cellStyle name="Comma 2 5 3 2 2 3 5 4 2" xfId="17941"/>
    <cellStyle name="Comma 2 5 3 2 2 3 5 4 2 2" xfId="38990"/>
    <cellStyle name="Comma 2 5 3 2 2 3 5 4 3" xfId="32567"/>
    <cellStyle name="Comma 2 5 3 2 2 3 5 5" xfId="17037"/>
    <cellStyle name="Comma 2 5 3 2 2 3 5 5 2" xfId="35783"/>
    <cellStyle name="Comma 2 5 3 2 2 3 5 6" xfId="21162"/>
    <cellStyle name="Comma 2 5 3 2 2 3 5 7" xfId="29360"/>
    <cellStyle name="Comma 2 5 3 2 2 3 5 8" xfId="42181"/>
    <cellStyle name="Comma 2 5 3 2 2 3 6" xfId="11286"/>
    <cellStyle name="Comma 2 5 3 2 2 3 6 2" xfId="20085"/>
    <cellStyle name="Comma 2 5 3 2 2 3 6 2 2" xfId="41128"/>
    <cellStyle name="Comma 2 5 3 2 2 3 6 2 3" xfId="34705"/>
    <cellStyle name="Comma 2 5 3 2 2 3 6 3" xfId="22284"/>
    <cellStyle name="Comma 2 5 3 2 2 3 6 3 2" xfId="37921"/>
    <cellStyle name="Comma 2 5 3 2 2 3 6 4" xfId="31498"/>
    <cellStyle name="Comma 2 5 3 2 2 3 6 5" xfId="43263"/>
    <cellStyle name="Comma 2 5 3 2 2 3 7" xfId="8532"/>
    <cellStyle name="Comma 2 5 3 2 2 3 7 2" xfId="18992"/>
    <cellStyle name="Comma 2 5 3 2 2 3 7 2 2" xfId="40035"/>
    <cellStyle name="Comma 2 5 3 2 2 3 7 2 3" xfId="33612"/>
    <cellStyle name="Comma 2 5 3 2 2 3 7 3" xfId="23482"/>
    <cellStyle name="Comma 2 5 3 2 2 3 7 3 2" xfId="36828"/>
    <cellStyle name="Comma 2 5 3 2 2 3 7 4" xfId="30405"/>
    <cellStyle name="Comma 2 5 3 2 2 3 7 5" xfId="44311"/>
    <cellStyle name="Comma 2 5 3 2 2 3 8" xfId="7434"/>
    <cellStyle name="Comma 2 5 3 2 2 3 8 2" xfId="17937"/>
    <cellStyle name="Comma 2 5 3 2 2 3 8 2 2" xfId="38986"/>
    <cellStyle name="Comma 2 5 3 2 2 3 8 3" xfId="32563"/>
    <cellStyle name="Comma 2 5 3 2 2 3 9" xfId="16184"/>
    <cellStyle name="Comma 2 5 3 2 2 3 9 2" xfId="35779"/>
    <cellStyle name="Comma 2 5 3 2 2 4" xfId="2490"/>
    <cellStyle name="Comma 2 5 3 2 2 4 2" xfId="11291"/>
    <cellStyle name="Comma 2 5 3 2 2 4 2 2" xfId="20090"/>
    <cellStyle name="Comma 2 5 3 2 2 4 2 2 2" xfId="41133"/>
    <cellStyle name="Comma 2 5 3 2 2 4 2 2 3" xfId="34710"/>
    <cellStyle name="Comma 2 5 3 2 2 4 2 3" xfId="22289"/>
    <cellStyle name="Comma 2 5 3 2 2 4 2 3 2" xfId="37926"/>
    <cellStyle name="Comma 2 5 3 2 2 4 2 4" xfId="31503"/>
    <cellStyle name="Comma 2 5 3 2 2 4 2 5" xfId="43268"/>
    <cellStyle name="Comma 2 5 3 2 2 4 3" xfId="8537"/>
    <cellStyle name="Comma 2 5 3 2 2 4 3 2" xfId="18997"/>
    <cellStyle name="Comma 2 5 3 2 2 4 3 2 2" xfId="40040"/>
    <cellStyle name="Comma 2 5 3 2 2 4 3 2 3" xfId="33617"/>
    <cellStyle name="Comma 2 5 3 2 2 4 3 3" xfId="23487"/>
    <cellStyle name="Comma 2 5 3 2 2 4 3 3 2" xfId="36833"/>
    <cellStyle name="Comma 2 5 3 2 2 4 3 4" xfId="30410"/>
    <cellStyle name="Comma 2 5 3 2 2 4 3 5" xfId="44316"/>
    <cellStyle name="Comma 2 5 3 2 2 4 4" xfId="7439"/>
    <cellStyle name="Comma 2 5 3 2 2 4 4 2" xfId="17942"/>
    <cellStyle name="Comma 2 5 3 2 2 4 4 2 2" xfId="38991"/>
    <cellStyle name="Comma 2 5 3 2 2 4 4 3" xfId="32568"/>
    <cellStyle name="Comma 2 5 3 2 2 4 5" xfId="16265"/>
    <cellStyle name="Comma 2 5 3 2 2 4 5 2" xfId="35784"/>
    <cellStyle name="Comma 2 5 3 2 2 4 6" xfId="21163"/>
    <cellStyle name="Comma 2 5 3 2 2 4 7" xfId="29361"/>
    <cellStyle name="Comma 2 5 3 2 2 4 8" xfId="42182"/>
    <cellStyle name="Comma 2 5 3 2 2 5" xfId="3353"/>
    <cellStyle name="Comma 2 5 3 2 2 5 2" xfId="11292"/>
    <cellStyle name="Comma 2 5 3 2 2 5 2 2" xfId="20091"/>
    <cellStyle name="Comma 2 5 3 2 2 5 2 2 2" xfId="41134"/>
    <cellStyle name="Comma 2 5 3 2 2 5 2 2 3" xfId="34711"/>
    <cellStyle name="Comma 2 5 3 2 2 5 2 3" xfId="22290"/>
    <cellStyle name="Comma 2 5 3 2 2 5 2 3 2" xfId="37927"/>
    <cellStyle name="Comma 2 5 3 2 2 5 2 4" xfId="31504"/>
    <cellStyle name="Comma 2 5 3 2 2 5 2 5" xfId="43269"/>
    <cellStyle name="Comma 2 5 3 2 2 5 3" xfId="8538"/>
    <cellStyle name="Comma 2 5 3 2 2 5 3 2" xfId="18998"/>
    <cellStyle name="Comma 2 5 3 2 2 5 3 2 2" xfId="40041"/>
    <cellStyle name="Comma 2 5 3 2 2 5 3 2 3" xfId="33618"/>
    <cellStyle name="Comma 2 5 3 2 2 5 3 3" xfId="23488"/>
    <cellStyle name="Comma 2 5 3 2 2 5 3 3 2" xfId="36834"/>
    <cellStyle name="Comma 2 5 3 2 2 5 3 4" xfId="30411"/>
    <cellStyle name="Comma 2 5 3 2 2 5 3 5" xfId="44317"/>
    <cellStyle name="Comma 2 5 3 2 2 5 4" xfId="7440"/>
    <cellStyle name="Comma 2 5 3 2 2 5 4 2" xfId="17943"/>
    <cellStyle name="Comma 2 5 3 2 2 5 4 2 2" xfId="38992"/>
    <cellStyle name="Comma 2 5 3 2 2 5 4 3" xfId="32569"/>
    <cellStyle name="Comma 2 5 3 2 2 5 5" xfId="16453"/>
    <cellStyle name="Comma 2 5 3 2 2 5 5 2" xfId="35785"/>
    <cellStyle name="Comma 2 5 3 2 2 5 6" xfId="21164"/>
    <cellStyle name="Comma 2 5 3 2 2 5 7" xfId="29362"/>
    <cellStyle name="Comma 2 5 3 2 2 5 8" xfId="42183"/>
    <cellStyle name="Comma 2 5 3 2 2 6" xfId="4221"/>
    <cellStyle name="Comma 2 5 3 2 2 6 2" xfId="11293"/>
    <cellStyle name="Comma 2 5 3 2 2 6 2 2" xfId="20092"/>
    <cellStyle name="Comma 2 5 3 2 2 6 2 2 2" xfId="41135"/>
    <cellStyle name="Comma 2 5 3 2 2 6 2 2 3" xfId="34712"/>
    <cellStyle name="Comma 2 5 3 2 2 6 2 3" xfId="22291"/>
    <cellStyle name="Comma 2 5 3 2 2 6 2 3 2" xfId="37928"/>
    <cellStyle name="Comma 2 5 3 2 2 6 2 4" xfId="31505"/>
    <cellStyle name="Comma 2 5 3 2 2 6 2 5" xfId="43270"/>
    <cellStyle name="Comma 2 5 3 2 2 6 3" xfId="8539"/>
    <cellStyle name="Comma 2 5 3 2 2 6 3 2" xfId="18999"/>
    <cellStyle name="Comma 2 5 3 2 2 6 3 2 2" xfId="40042"/>
    <cellStyle name="Comma 2 5 3 2 2 6 3 2 3" xfId="33619"/>
    <cellStyle name="Comma 2 5 3 2 2 6 3 3" xfId="23489"/>
    <cellStyle name="Comma 2 5 3 2 2 6 3 3 2" xfId="36835"/>
    <cellStyle name="Comma 2 5 3 2 2 6 3 4" xfId="30412"/>
    <cellStyle name="Comma 2 5 3 2 2 6 3 5" xfId="44318"/>
    <cellStyle name="Comma 2 5 3 2 2 6 4" xfId="7441"/>
    <cellStyle name="Comma 2 5 3 2 2 6 4 2" xfId="17944"/>
    <cellStyle name="Comma 2 5 3 2 2 6 4 2 2" xfId="38993"/>
    <cellStyle name="Comma 2 5 3 2 2 6 4 3" xfId="32570"/>
    <cellStyle name="Comma 2 5 3 2 2 6 5" xfId="16641"/>
    <cellStyle name="Comma 2 5 3 2 2 6 5 2" xfId="35786"/>
    <cellStyle name="Comma 2 5 3 2 2 6 6" xfId="21165"/>
    <cellStyle name="Comma 2 5 3 2 2 6 7" xfId="29363"/>
    <cellStyle name="Comma 2 5 3 2 2 6 8" xfId="42184"/>
    <cellStyle name="Comma 2 5 3 2 2 7" xfId="5052"/>
    <cellStyle name="Comma 2 5 3 2 2 7 2" xfId="11294"/>
    <cellStyle name="Comma 2 5 3 2 2 7 2 2" xfId="20093"/>
    <cellStyle name="Comma 2 5 3 2 2 7 2 2 2" xfId="41136"/>
    <cellStyle name="Comma 2 5 3 2 2 7 2 2 3" xfId="34713"/>
    <cellStyle name="Comma 2 5 3 2 2 7 2 3" xfId="22292"/>
    <cellStyle name="Comma 2 5 3 2 2 7 2 3 2" xfId="37929"/>
    <cellStyle name="Comma 2 5 3 2 2 7 2 4" xfId="31506"/>
    <cellStyle name="Comma 2 5 3 2 2 7 2 5" xfId="43271"/>
    <cellStyle name="Comma 2 5 3 2 2 7 3" xfId="8540"/>
    <cellStyle name="Comma 2 5 3 2 2 7 3 2" xfId="19000"/>
    <cellStyle name="Comma 2 5 3 2 2 7 3 2 2" xfId="40043"/>
    <cellStyle name="Comma 2 5 3 2 2 7 3 2 3" xfId="33620"/>
    <cellStyle name="Comma 2 5 3 2 2 7 3 3" xfId="23490"/>
    <cellStyle name="Comma 2 5 3 2 2 7 3 3 2" xfId="36836"/>
    <cellStyle name="Comma 2 5 3 2 2 7 3 4" xfId="30413"/>
    <cellStyle name="Comma 2 5 3 2 2 7 3 5" xfId="44319"/>
    <cellStyle name="Comma 2 5 3 2 2 7 4" xfId="7442"/>
    <cellStyle name="Comma 2 5 3 2 2 7 4 2" xfId="17945"/>
    <cellStyle name="Comma 2 5 3 2 2 7 4 2 2" xfId="38994"/>
    <cellStyle name="Comma 2 5 3 2 2 7 4 3" xfId="32571"/>
    <cellStyle name="Comma 2 5 3 2 2 7 5" xfId="16867"/>
    <cellStyle name="Comma 2 5 3 2 2 7 5 2" xfId="35787"/>
    <cellStyle name="Comma 2 5 3 2 2 7 6" xfId="21166"/>
    <cellStyle name="Comma 2 5 3 2 2 7 7" xfId="29364"/>
    <cellStyle name="Comma 2 5 3 2 2 7 8" xfId="42185"/>
    <cellStyle name="Comma 2 5 3 2 2 8" xfId="5483"/>
    <cellStyle name="Comma 2 5 3 2 2 8 2" xfId="11295"/>
    <cellStyle name="Comma 2 5 3 2 2 8 2 2" xfId="20094"/>
    <cellStyle name="Comma 2 5 3 2 2 8 2 2 2" xfId="41137"/>
    <cellStyle name="Comma 2 5 3 2 2 8 2 2 3" xfId="34714"/>
    <cellStyle name="Comma 2 5 3 2 2 8 2 3" xfId="22293"/>
    <cellStyle name="Comma 2 5 3 2 2 8 2 3 2" xfId="37930"/>
    <cellStyle name="Comma 2 5 3 2 2 8 2 4" xfId="31507"/>
    <cellStyle name="Comma 2 5 3 2 2 8 2 5" xfId="43272"/>
    <cellStyle name="Comma 2 5 3 2 2 8 3" xfId="8541"/>
    <cellStyle name="Comma 2 5 3 2 2 8 3 2" xfId="19001"/>
    <cellStyle name="Comma 2 5 3 2 2 8 3 2 2" xfId="40044"/>
    <cellStyle name="Comma 2 5 3 2 2 8 3 2 3" xfId="33621"/>
    <cellStyle name="Comma 2 5 3 2 2 8 3 3" xfId="23491"/>
    <cellStyle name="Comma 2 5 3 2 2 8 3 3 2" xfId="36837"/>
    <cellStyle name="Comma 2 5 3 2 2 8 3 4" xfId="30414"/>
    <cellStyle name="Comma 2 5 3 2 2 8 3 5" xfId="44320"/>
    <cellStyle name="Comma 2 5 3 2 2 8 4" xfId="7443"/>
    <cellStyle name="Comma 2 5 3 2 2 8 4 2" xfId="17946"/>
    <cellStyle name="Comma 2 5 3 2 2 8 4 2 2" xfId="38995"/>
    <cellStyle name="Comma 2 5 3 2 2 8 4 3" xfId="32572"/>
    <cellStyle name="Comma 2 5 3 2 2 8 5" xfId="16929"/>
    <cellStyle name="Comma 2 5 3 2 2 8 5 2" xfId="35788"/>
    <cellStyle name="Comma 2 5 3 2 2 8 6" xfId="21167"/>
    <cellStyle name="Comma 2 5 3 2 2 8 7" xfId="29365"/>
    <cellStyle name="Comma 2 5 3 2 2 8 8" xfId="42186"/>
    <cellStyle name="Comma 2 5 3 2 2 9" xfId="10272"/>
    <cellStyle name="Comma 2 5 3 2 2 9 2" xfId="19325"/>
    <cellStyle name="Comma 2 5 3 2 2 9 2 2" xfId="40368"/>
    <cellStyle name="Comma 2 5 3 2 2 9 2 3" xfId="33945"/>
    <cellStyle name="Comma 2 5 3 2 2 9 3" xfId="21525"/>
    <cellStyle name="Comma 2 5 3 2 2 9 3 2" xfId="37161"/>
    <cellStyle name="Comma 2 5 3 2 2 9 4" xfId="30738"/>
    <cellStyle name="Comma 2 5 3 2 2 9 5" xfId="42504"/>
    <cellStyle name="Comma 2 5 3 2 3" xfId="1849"/>
    <cellStyle name="Comma 2 5 3 2 3 10" xfId="16127"/>
    <cellStyle name="Comma 2 5 3 2 3 10 2" xfId="35026"/>
    <cellStyle name="Comma 2 5 3 2 3 11" xfId="21168"/>
    <cellStyle name="Comma 2 5 3 2 3 12" xfId="28601"/>
    <cellStyle name="Comma 2 5 3 2 3 13" xfId="42187"/>
    <cellStyle name="Comma 2 5 3 2 3 2" xfId="2739"/>
    <cellStyle name="Comma 2 5 3 2 3 2 2" xfId="11296"/>
    <cellStyle name="Comma 2 5 3 2 3 2 2 2" xfId="20095"/>
    <cellStyle name="Comma 2 5 3 2 3 2 2 2 2" xfId="41138"/>
    <cellStyle name="Comma 2 5 3 2 3 2 2 2 3" xfId="34715"/>
    <cellStyle name="Comma 2 5 3 2 3 2 2 3" xfId="22294"/>
    <cellStyle name="Comma 2 5 3 2 3 2 2 3 2" xfId="37931"/>
    <cellStyle name="Comma 2 5 3 2 3 2 2 4" xfId="31508"/>
    <cellStyle name="Comma 2 5 3 2 3 2 2 5" xfId="43273"/>
    <cellStyle name="Comma 2 5 3 2 3 2 3" xfId="8543"/>
    <cellStyle name="Comma 2 5 3 2 3 2 3 2" xfId="19003"/>
    <cellStyle name="Comma 2 5 3 2 3 2 3 2 2" xfId="40046"/>
    <cellStyle name="Comma 2 5 3 2 3 2 3 2 3" xfId="33623"/>
    <cellStyle name="Comma 2 5 3 2 3 2 3 3" xfId="23493"/>
    <cellStyle name="Comma 2 5 3 2 3 2 3 3 2" xfId="36839"/>
    <cellStyle name="Comma 2 5 3 2 3 2 3 4" xfId="30416"/>
    <cellStyle name="Comma 2 5 3 2 3 2 3 5" xfId="44322"/>
    <cellStyle name="Comma 2 5 3 2 3 2 4" xfId="7444"/>
    <cellStyle name="Comma 2 5 3 2 3 2 4 2" xfId="17947"/>
    <cellStyle name="Comma 2 5 3 2 3 2 4 2 2" xfId="38996"/>
    <cellStyle name="Comma 2 5 3 2 3 2 4 3" xfId="32573"/>
    <cellStyle name="Comma 2 5 3 2 3 2 5" xfId="16317"/>
    <cellStyle name="Comma 2 5 3 2 3 2 5 2" xfId="35789"/>
    <cellStyle name="Comma 2 5 3 2 3 2 6" xfId="21169"/>
    <cellStyle name="Comma 2 5 3 2 3 2 7" xfId="29366"/>
    <cellStyle name="Comma 2 5 3 2 3 2 8" xfId="42188"/>
    <cellStyle name="Comma 2 5 3 2 3 3" xfId="3603"/>
    <cellStyle name="Comma 2 5 3 2 3 3 2" xfId="11297"/>
    <cellStyle name="Comma 2 5 3 2 3 3 2 2" xfId="20096"/>
    <cellStyle name="Comma 2 5 3 2 3 3 2 2 2" xfId="41139"/>
    <cellStyle name="Comma 2 5 3 2 3 3 2 2 3" xfId="34716"/>
    <cellStyle name="Comma 2 5 3 2 3 3 2 3" xfId="22295"/>
    <cellStyle name="Comma 2 5 3 2 3 3 2 3 2" xfId="37932"/>
    <cellStyle name="Comma 2 5 3 2 3 3 2 4" xfId="31509"/>
    <cellStyle name="Comma 2 5 3 2 3 3 2 5" xfId="43274"/>
    <cellStyle name="Comma 2 5 3 2 3 3 3" xfId="8544"/>
    <cellStyle name="Comma 2 5 3 2 3 3 3 2" xfId="19004"/>
    <cellStyle name="Comma 2 5 3 2 3 3 3 2 2" xfId="40047"/>
    <cellStyle name="Comma 2 5 3 2 3 3 3 2 3" xfId="33624"/>
    <cellStyle name="Comma 2 5 3 2 3 3 3 3" xfId="23494"/>
    <cellStyle name="Comma 2 5 3 2 3 3 3 3 2" xfId="36840"/>
    <cellStyle name="Comma 2 5 3 2 3 3 3 4" xfId="30417"/>
    <cellStyle name="Comma 2 5 3 2 3 3 3 5" xfId="44323"/>
    <cellStyle name="Comma 2 5 3 2 3 3 4" xfId="7445"/>
    <cellStyle name="Comma 2 5 3 2 3 3 4 2" xfId="17948"/>
    <cellStyle name="Comma 2 5 3 2 3 3 4 2 2" xfId="38997"/>
    <cellStyle name="Comma 2 5 3 2 3 3 4 3" xfId="32574"/>
    <cellStyle name="Comma 2 5 3 2 3 3 5" xfId="16505"/>
    <cellStyle name="Comma 2 5 3 2 3 3 5 2" xfId="35790"/>
    <cellStyle name="Comma 2 5 3 2 3 3 6" xfId="21170"/>
    <cellStyle name="Comma 2 5 3 2 3 3 7" xfId="29367"/>
    <cellStyle name="Comma 2 5 3 2 3 3 8" xfId="42189"/>
    <cellStyle name="Comma 2 5 3 2 3 4" xfId="4478"/>
    <cellStyle name="Comma 2 5 3 2 3 4 2" xfId="11298"/>
    <cellStyle name="Comma 2 5 3 2 3 4 2 2" xfId="20097"/>
    <cellStyle name="Comma 2 5 3 2 3 4 2 2 2" xfId="41140"/>
    <cellStyle name="Comma 2 5 3 2 3 4 2 2 3" xfId="34717"/>
    <cellStyle name="Comma 2 5 3 2 3 4 2 3" xfId="22296"/>
    <cellStyle name="Comma 2 5 3 2 3 4 2 3 2" xfId="37933"/>
    <cellStyle name="Comma 2 5 3 2 3 4 2 4" xfId="31510"/>
    <cellStyle name="Comma 2 5 3 2 3 4 2 5" xfId="43275"/>
    <cellStyle name="Comma 2 5 3 2 3 4 3" xfId="8545"/>
    <cellStyle name="Comma 2 5 3 2 3 4 3 2" xfId="19005"/>
    <cellStyle name="Comma 2 5 3 2 3 4 3 2 2" xfId="40048"/>
    <cellStyle name="Comma 2 5 3 2 3 4 3 2 3" xfId="33625"/>
    <cellStyle name="Comma 2 5 3 2 3 4 3 3" xfId="23495"/>
    <cellStyle name="Comma 2 5 3 2 3 4 3 3 2" xfId="36841"/>
    <cellStyle name="Comma 2 5 3 2 3 4 3 4" xfId="30418"/>
    <cellStyle name="Comma 2 5 3 2 3 4 3 5" xfId="44324"/>
    <cellStyle name="Comma 2 5 3 2 3 4 4" xfId="7446"/>
    <cellStyle name="Comma 2 5 3 2 3 4 4 2" xfId="17949"/>
    <cellStyle name="Comma 2 5 3 2 3 4 4 2 2" xfId="38998"/>
    <cellStyle name="Comma 2 5 3 2 3 4 4 3" xfId="32575"/>
    <cellStyle name="Comma 2 5 3 2 3 4 5" xfId="16693"/>
    <cellStyle name="Comma 2 5 3 2 3 4 5 2" xfId="35791"/>
    <cellStyle name="Comma 2 5 3 2 3 4 6" xfId="21171"/>
    <cellStyle name="Comma 2 5 3 2 3 4 7" xfId="29368"/>
    <cellStyle name="Comma 2 5 3 2 3 4 8" xfId="42190"/>
    <cellStyle name="Comma 2 5 3 2 3 5" xfId="5054"/>
    <cellStyle name="Comma 2 5 3 2 3 5 2" xfId="11299"/>
    <cellStyle name="Comma 2 5 3 2 3 5 2 2" xfId="20098"/>
    <cellStyle name="Comma 2 5 3 2 3 5 2 2 2" xfId="41141"/>
    <cellStyle name="Comma 2 5 3 2 3 5 2 2 3" xfId="34718"/>
    <cellStyle name="Comma 2 5 3 2 3 5 2 3" xfId="22297"/>
    <cellStyle name="Comma 2 5 3 2 3 5 2 3 2" xfId="37934"/>
    <cellStyle name="Comma 2 5 3 2 3 5 2 4" xfId="31511"/>
    <cellStyle name="Comma 2 5 3 2 3 5 2 5" xfId="43276"/>
    <cellStyle name="Comma 2 5 3 2 3 5 3" xfId="8546"/>
    <cellStyle name="Comma 2 5 3 2 3 5 3 2" xfId="19006"/>
    <cellStyle name="Comma 2 5 3 2 3 5 3 2 2" xfId="40049"/>
    <cellStyle name="Comma 2 5 3 2 3 5 3 2 3" xfId="33626"/>
    <cellStyle name="Comma 2 5 3 2 3 5 3 3" xfId="23496"/>
    <cellStyle name="Comma 2 5 3 2 3 5 3 3 2" xfId="36842"/>
    <cellStyle name="Comma 2 5 3 2 3 5 3 4" xfId="30419"/>
    <cellStyle name="Comma 2 5 3 2 3 5 3 5" xfId="44325"/>
    <cellStyle name="Comma 2 5 3 2 3 5 4" xfId="7447"/>
    <cellStyle name="Comma 2 5 3 2 3 5 4 2" xfId="17950"/>
    <cellStyle name="Comma 2 5 3 2 3 5 4 2 2" xfId="38999"/>
    <cellStyle name="Comma 2 5 3 2 3 5 4 3" xfId="32576"/>
    <cellStyle name="Comma 2 5 3 2 3 5 5" xfId="16869"/>
    <cellStyle name="Comma 2 5 3 2 3 5 5 2" xfId="35792"/>
    <cellStyle name="Comma 2 5 3 2 3 5 6" xfId="21172"/>
    <cellStyle name="Comma 2 5 3 2 3 5 7" xfId="29369"/>
    <cellStyle name="Comma 2 5 3 2 3 5 8" xfId="42191"/>
    <cellStyle name="Comma 2 5 3 2 3 6" xfId="5743"/>
    <cellStyle name="Comma 2 5 3 2 3 6 2" xfId="11300"/>
    <cellStyle name="Comma 2 5 3 2 3 6 2 2" xfId="20099"/>
    <cellStyle name="Comma 2 5 3 2 3 6 2 2 2" xfId="41142"/>
    <cellStyle name="Comma 2 5 3 2 3 6 2 2 3" xfId="34719"/>
    <cellStyle name="Comma 2 5 3 2 3 6 2 3" xfId="22298"/>
    <cellStyle name="Comma 2 5 3 2 3 6 2 3 2" xfId="37935"/>
    <cellStyle name="Comma 2 5 3 2 3 6 2 4" xfId="31512"/>
    <cellStyle name="Comma 2 5 3 2 3 6 2 5" xfId="43277"/>
    <cellStyle name="Comma 2 5 3 2 3 6 3" xfId="8547"/>
    <cellStyle name="Comma 2 5 3 2 3 6 3 2" xfId="19007"/>
    <cellStyle name="Comma 2 5 3 2 3 6 3 2 2" xfId="40050"/>
    <cellStyle name="Comma 2 5 3 2 3 6 3 2 3" xfId="33627"/>
    <cellStyle name="Comma 2 5 3 2 3 6 3 3" xfId="23497"/>
    <cellStyle name="Comma 2 5 3 2 3 6 3 3 2" xfId="36843"/>
    <cellStyle name="Comma 2 5 3 2 3 6 3 4" xfId="30420"/>
    <cellStyle name="Comma 2 5 3 2 3 6 3 5" xfId="44326"/>
    <cellStyle name="Comma 2 5 3 2 3 6 4" xfId="7448"/>
    <cellStyle name="Comma 2 5 3 2 3 6 4 2" xfId="17951"/>
    <cellStyle name="Comma 2 5 3 2 3 6 4 2 2" xfId="39000"/>
    <cellStyle name="Comma 2 5 3 2 3 6 4 3" xfId="32577"/>
    <cellStyle name="Comma 2 5 3 2 3 6 5" xfId="16981"/>
    <cellStyle name="Comma 2 5 3 2 3 6 5 2" xfId="35793"/>
    <cellStyle name="Comma 2 5 3 2 3 6 6" xfId="21173"/>
    <cellStyle name="Comma 2 5 3 2 3 6 7" xfId="29370"/>
    <cellStyle name="Comma 2 5 3 2 3 6 8" xfId="42192"/>
    <cellStyle name="Comma 2 5 3 2 3 7" xfId="10274"/>
    <cellStyle name="Comma 2 5 3 2 3 7 2" xfId="19327"/>
    <cellStyle name="Comma 2 5 3 2 3 7 2 2" xfId="40370"/>
    <cellStyle name="Comma 2 5 3 2 3 7 2 3" xfId="33947"/>
    <cellStyle name="Comma 2 5 3 2 3 7 3" xfId="21527"/>
    <cellStyle name="Comma 2 5 3 2 3 7 3 2" xfId="37163"/>
    <cellStyle name="Comma 2 5 3 2 3 7 4" xfId="30740"/>
    <cellStyle name="Comma 2 5 3 2 3 7 5" xfId="42506"/>
    <cellStyle name="Comma 2 5 3 2 3 8" xfId="8542"/>
    <cellStyle name="Comma 2 5 3 2 3 8 2" xfId="19002"/>
    <cellStyle name="Comma 2 5 3 2 3 8 2 2" xfId="40045"/>
    <cellStyle name="Comma 2 5 3 2 3 8 2 3" xfId="33622"/>
    <cellStyle name="Comma 2 5 3 2 3 8 3" xfId="23492"/>
    <cellStyle name="Comma 2 5 3 2 3 8 3 2" xfId="36838"/>
    <cellStyle name="Comma 2 5 3 2 3 8 4" xfId="30415"/>
    <cellStyle name="Comma 2 5 3 2 3 8 5" xfId="44321"/>
    <cellStyle name="Comma 2 5 3 2 3 9" xfId="6673"/>
    <cellStyle name="Comma 2 5 3 2 3 9 2" xfId="17180"/>
    <cellStyle name="Comma 2 5 3 2 3 9 2 2" xfId="38233"/>
    <cellStyle name="Comma 2 5 3 2 3 9 3" xfId="31810"/>
    <cellStyle name="Comma 2 5 3 2 4" xfId="2124"/>
    <cellStyle name="Comma 2 5 3 2 4 10" xfId="21174"/>
    <cellStyle name="Comma 2 5 3 2 4 11" xfId="29371"/>
    <cellStyle name="Comma 2 5 3 2 4 12" xfId="42193"/>
    <cellStyle name="Comma 2 5 3 2 4 2" xfId="2994"/>
    <cellStyle name="Comma 2 5 3 2 4 2 2" xfId="11302"/>
    <cellStyle name="Comma 2 5 3 2 4 2 2 2" xfId="20101"/>
    <cellStyle name="Comma 2 5 3 2 4 2 2 2 2" xfId="41144"/>
    <cellStyle name="Comma 2 5 3 2 4 2 2 2 3" xfId="34721"/>
    <cellStyle name="Comma 2 5 3 2 4 2 2 3" xfId="22300"/>
    <cellStyle name="Comma 2 5 3 2 4 2 2 3 2" xfId="37937"/>
    <cellStyle name="Comma 2 5 3 2 4 2 2 4" xfId="31514"/>
    <cellStyle name="Comma 2 5 3 2 4 2 2 5" xfId="43279"/>
    <cellStyle name="Comma 2 5 3 2 4 2 3" xfId="8549"/>
    <cellStyle name="Comma 2 5 3 2 4 2 3 2" xfId="19009"/>
    <cellStyle name="Comma 2 5 3 2 4 2 3 2 2" xfId="40052"/>
    <cellStyle name="Comma 2 5 3 2 4 2 3 2 3" xfId="33629"/>
    <cellStyle name="Comma 2 5 3 2 4 2 3 3" xfId="23499"/>
    <cellStyle name="Comma 2 5 3 2 4 2 3 3 2" xfId="36845"/>
    <cellStyle name="Comma 2 5 3 2 4 2 3 4" xfId="30422"/>
    <cellStyle name="Comma 2 5 3 2 4 2 3 5" xfId="44328"/>
    <cellStyle name="Comma 2 5 3 2 4 2 4" xfId="7450"/>
    <cellStyle name="Comma 2 5 3 2 4 2 4 2" xfId="17953"/>
    <cellStyle name="Comma 2 5 3 2 4 2 4 2 2" xfId="39002"/>
    <cellStyle name="Comma 2 5 3 2 4 2 4 3" xfId="32579"/>
    <cellStyle name="Comma 2 5 3 2 4 2 5" xfId="16372"/>
    <cellStyle name="Comma 2 5 3 2 4 2 5 2" xfId="35795"/>
    <cellStyle name="Comma 2 5 3 2 4 2 6" xfId="21175"/>
    <cellStyle name="Comma 2 5 3 2 4 2 7" xfId="29372"/>
    <cellStyle name="Comma 2 5 3 2 4 2 8" xfId="42194"/>
    <cellStyle name="Comma 2 5 3 2 4 3" xfId="3864"/>
    <cellStyle name="Comma 2 5 3 2 4 3 2" xfId="11303"/>
    <cellStyle name="Comma 2 5 3 2 4 3 2 2" xfId="20102"/>
    <cellStyle name="Comma 2 5 3 2 4 3 2 2 2" xfId="41145"/>
    <cellStyle name="Comma 2 5 3 2 4 3 2 2 3" xfId="34722"/>
    <cellStyle name="Comma 2 5 3 2 4 3 2 3" xfId="22301"/>
    <cellStyle name="Comma 2 5 3 2 4 3 2 3 2" xfId="37938"/>
    <cellStyle name="Comma 2 5 3 2 4 3 2 4" xfId="31515"/>
    <cellStyle name="Comma 2 5 3 2 4 3 2 5" xfId="43280"/>
    <cellStyle name="Comma 2 5 3 2 4 3 3" xfId="8550"/>
    <cellStyle name="Comma 2 5 3 2 4 3 3 2" xfId="19010"/>
    <cellStyle name="Comma 2 5 3 2 4 3 3 2 2" xfId="40053"/>
    <cellStyle name="Comma 2 5 3 2 4 3 3 2 3" xfId="33630"/>
    <cellStyle name="Comma 2 5 3 2 4 3 3 3" xfId="23500"/>
    <cellStyle name="Comma 2 5 3 2 4 3 3 3 2" xfId="36846"/>
    <cellStyle name="Comma 2 5 3 2 4 3 3 4" xfId="30423"/>
    <cellStyle name="Comma 2 5 3 2 4 3 3 5" xfId="44329"/>
    <cellStyle name="Comma 2 5 3 2 4 3 4" xfId="7451"/>
    <cellStyle name="Comma 2 5 3 2 4 3 4 2" xfId="17954"/>
    <cellStyle name="Comma 2 5 3 2 4 3 4 2 2" xfId="39003"/>
    <cellStyle name="Comma 2 5 3 2 4 3 4 3" xfId="32580"/>
    <cellStyle name="Comma 2 5 3 2 4 3 5" xfId="16560"/>
    <cellStyle name="Comma 2 5 3 2 4 3 5 2" xfId="35796"/>
    <cellStyle name="Comma 2 5 3 2 4 3 6" xfId="21176"/>
    <cellStyle name="Comma 2 5 3 2 4 3 7" xfId="29373"/>
    <cellStyle name="Comma 2 5 3 2 4 3 8" xfId="42195"/>
    <cellStyle name="Comma 2 5 3 2 4 4" xfId="4742"/>
    <cellStyle name="Comma 2 5 3 2 4 4 2" xfId="11304"/>
    <cellStyle name="Comma 2 5 3 2 4 4 2 2" xfId="20103"/>
    <cellStyle name="Comma 2 5 3 2 4 4 2 2 2" xfId="41146"/>
    <cellStyle name="Comma 2 5 3 2 4 4 2 2 3" xfId="34723"/>
    <cellStyle name="Comma 2 5 3 2 4 4 2 3" xfId="22302"/>
    <cellStyle name="Comma 2 5 3 2 4 4 2 3 2" xfId="37939"/>
    <cellStyle name="Comma 2 5 3 2 4 4 2 4" xfId="31516"/>
    <cellStyle name="Comma 2 5 3 2 4 4 2 5" xfId="43281"/>
    <cellStyle name="Comma 2 5 3 2 4 4 3" xfId="8551"/>
    <cellStyle name="Comma 2 5 3 2 4 4 3 2" xfId="19011"/>
    <cellStyle name="Comma 2 5 3 2 4 4 3 2 2" xfId="40054"/>
    <cellStyle name="Comma 2 5 3 2 4 4 3 2 3" xfId="33631"/>
    <cellStyle name="Comma 2 5 3 2 4 4 3 3" xfId="23501"/>
    <cellStyle name="Comma 2 5 3 2 4 4 3 3 2" xfId="36847"/>
    <cellStyle name="Comma 2 5 3 2 4 4 3 4" xfId="30424"/>
    <cellStyle name="Comma 2 5 3 2 4 4 3 5" xfId="44330"/>
    <cellStyle name="Comma 2 5 3 2 4 4 4" xfId="7452"/>
    <cellStyle name="Comma 2 5 3 2 4 4 4 2" xfId="17955"/>
    <cellStyle name="Comma 2 5 3 2 4 4 4 2 2" xfId="39004"/>
    <cellStyle name="Comma 2 5 3 2 4 4 4 3" xfId="32581"/>
    <cellStyle name="Comma 2 5 3 2 4 4 5" xfId="16748"/>
    <cellStyle name="Comma 2 5 3 2 4 4 5 2" xfId="35797"/>
    <cellStyle name="Comma 2 5 3 2 4 4 6" xfId="21177"/>
    <cellStyle name="Comma 2 5 3 2 4 4 7" xfId="29374"/>
    <cellStyle name="Comma 2 5 3 2 4 4 8" xfId="42196"/>
    <cellStyle name="Comma 2 5 3 2 4 5" xfId="6007"/>
    <cellStyle name="Comma 2 5 3 2 4 5 2" xfId="11305"/>
    <cellStyle name="Comma 2 5 3 2 4 5 2 2" xfId="20104"/>
    <cellStyle name="Comma 2 5 3 2 4 5 2 2 2" xfId="41147"/>
    <cellStyle name="Comma 2 5 3 2 4 5 2 2 3" xfId="34724"/>
    <cellStyle name="Comma 2 5 3 2 4 5 2 3" xfId="22303"/>
    <cellStyle name="Comma 2 5 3 2 4 5 2 3 2" xfId="37940"/>
    <cellStyle name="Comma 2 5 3 2 4 5 2 4" xfId="31517"/>
    <cellStyle name="Comma 2 5 3 2 4 5 2 5" xfId="43282"/>
    <cellStyle name="Comma 2 5 3 2 4 5 3" xfId="8552"/>
    <cellStyle name="Comma 2 5 3 2 4 5 3 2" xfId="19012"/>
    <cellStyle name="Comma 2 5 3 2 4 5 3 2 2" xfId="40055"/>
    <cellStyle name="Comma 2 5 3 2 4 5 3 2 3" xfId="33632"/>
    <cellStyle name="Comma 2 5 3 2 4 5 3 3" xfId="23502"/>
    <cellStyle name="Comma 2 5 3 2 4 5 3 3 2" xfId="36848"/>
    <cellStyle name="Comma 2 5 3 2 4 5 3 4" xfId="30425"/>
    <cellStyle name="Comma 2 5 3 2 4 5 3 5" xfId="44331"/>
    <cellStyle name="Comma 2 5 3 2 4 5 4" xfId="7453"/>
    <cellStyle name="Comma 2 5 3 2 4 5 4 2" xfId="17956"/>
    <cellStyle name="Comma 2 5 3 2 4 5 4 2 2" xfId="39005"/>
    <cellStyle name="Comma 2 5 3 2 4 5 4 3" xfId="32582"/>
    <cellStyle name="Comma 2 5 3 2 4 5 5" xfId="17036"/>
    <cellStyle name="Comma 2 5 3 2 4 5 5 2" xfId="35798"/>
    <cellStyle name="Comma 2 5 3 2 4 5 6" xfId="21178"/>
    <cellStyle name="Comma 2 5 3 2 4 5 7" xfId="29375"/>
    <cellStyle name="Comma 2 5 3 2 4 5 8" xfId="42197"/>
    <cellStyle name="Comma 2 5 3 2 4 6" xfId="11301"/>
    <cellStyle name="Comma 2 5 3 2 4 6 2" xfId="20100"/>
    <cellStyle name="Comma 2 5 3 2 4 6 2 2" xfId="41143"/>
    <cellStyle name="Comma 2 5 3 2 4 6 2 3" xfId="34720"/>
    <cellStyle name="Comma 2 5 3 2 4 6 3" xfId="22299"/>
    <cellStyle name="Comma 2 5 3 2 4 6 3 2" xfId="37936"/>
    <cellStyle name="Comma 2 5 3 2 4 6 4" xfId="31513"/>
    <cellStyle name="Comma 2 5 3 2 4 6 5" xfId="43278"/>
    <cellStyle name="Comma 2 5 3 2 4 7" xfId="8548"/>
    <cellStyle name="Comma 2 5 3 2 4 7 2" xfId="19008"/>
    <cellStyle name="Comma 2 5 3 2 4 7 2 2" xfId="40051"/>
    <cellStyle name="Comma 2 5 3 2 4 7 2 3" xfId="33628"/>
    <cellStyle name="Comma 2 5 3 2 4 7 3" xfId="23498"/>
    <cellStyle name="Comma 2 5 3 2 4 7 3 2" xfId="36844"/>
    <cellStyle name="Comma 2 5 3 2 4 7 4" xfId="30421"/>
    <cellStyle name="Comma 2 5 3 2 4 7 5" xfId="44327"/>
    <cellStyle name="Comma 2 5 3 2 4 8" xfId="7449"/>
    <cellStyle name="Comma 2 5 3 2 4 8 2" xfId="17952"/>
    <cellStyle name="Comma 2 5 3 2 4 8 2 2" xfId="39001"/>
    <cellStyle name="Comma 2 5 3 2 4 8 3" xfId="32578"/>
    <cellStyle name="Comma 2 5 3 2 4 9" xfId="16183"/>
    <cellStyle name="Comma 2 5 3 2 4 9 2" xfId="35794"/>
    <cellStyle name="Comma 2 5 3 2 5" xfId="2345"/>
    <cellStyle name="Comma 2 5 3 2 5 10" xfId="21179"/>
    <cellStyle name="Comma 2 5 3 2 5 11" xfId="29376"/>
    <cellStyle name="Comma 2 5 3 2 5 12" xfId="42198"/>
    <cellStyle name="Comma 2 5 3 2 5 2" xfId="3204"/>
    <cellStyle name="Comma 2 5 3 2 5 2 2" xfId="11307"/>
    <cellStyle name="Comma 2 5 3 2 5 2 2 2" xfId="20106"/>
    <cellStyle name="Comma 2 5 3 2 5 2 2 2 2" xfId="41149"/>
    <cellStyle name="Comma 2 5 3 2 5 2 2 2 3" xfId="34726"/>
    <cellStyle name="Comma 2 5 3 2 5 2 2 3" xfId="22305"/>
    <cellStyle name="Comma 2 5 3 2 5 2 2 3 2" xfId="37942"/>
    <cellStyle name="Comma 2 5 3 2 5 2 2 4" xfId="31519"/>
    <cellStyle name="Comma 2 5 3 2 5 2 2 5" xfId="43284"/>
    <cellStyle name="Comma 2 5 3 2 5 2 3" xfId="8554"/>
    <cellStyle name="Comma 2 5 3 2 5 2 3 2" xfId="19014"/>
    <cellStyle name="Comma 2 5 3 2 5 2 3 2 2" xfId="40057"/>
    <cellStyle name="Comma 2 5 3 2 5 2 3 2 3" xfId="33634"/>
    <cellStyle name="Comma 2 5 3 2 5 2 3 3" xfId="23504"/>
    <cellStyle name="Comma 2 5 3 2 5 2 3 3 2" xfId="36850"/>
    <cellStyle name="Comma 2 5 3 2 5 2 3 4" xfId="30427"/>
    <cellStyle name="Comma 2 5 3 2 5 2 3 5" xfId="44333"/>
    <cellStyle name="Comma 2 5 3 2 5 2 4" xfId="7455"/>
    <cellStyle name="Comma 2 5 3 2 5 2 4 2" xfId="17958"/>
    <cellStyle name="Comma 2 5 3 2 5 2 4 2 2" xfId="39007"/>
    <cellStyle name="Comma 2 5 3 2 5 2 4 3" xfId="32584"/>
    <cellStyle name="Comma 2 5 3 2 5 2 5" xfId="16403"/>
    <cellStyle name="Comma 2 5 3 2 5 2 5 2" xfId="35800"/>
    <cellStyle name="Comma 2 5 3 2 5 2 6" xfId="21180"/>
    <cellStyle name="Comma 2 5 3 2 5 2 7" xfId="29377"/>
    <cellStyle name="Comma 2 5 3 2 5 2 8" xfId="42199"/>
    <cellStyle name="Comma 2 5 3 2 5 3" xfId="4070"/>
    <cellStyle name="Comma 2 5 3 2 5 3 2" xfId="11308"/>
    <cellStyle name="Comma 2 5 3 2 5 3 2 2" xfId="20107"/>
    <cellStyle name="Comma 2 5 3 2 5 3 2 2 2" xfId="41150"/>
    <cellStyle name="Comma 2 5 3 2 5 3 2 2 3" xfId="34727"/>
    <cellStyle name="Comma 2 5 3 2 5 3 2 3" xfId="22306"/>
    <cellStyle name="Comma 2 5 3 2 5 3 2 3 2" xfId="37943"/>
    <cellStyle name="Comma 2 5 3 2 5 3 2 4" xfId="31520"/>
    <cellStyle name="Comma 2 5 3 2 5 3 2 5" xfId="43285"/>
    <cellStyle name="Comma 2 5 3 2 5 3 3" xfId="8555"/>
    <cellStyle name="Comma 2 5 3 2 5 3 3 2" xfId="19015"/>
    <cellStyle name="Comma 2 5 3 2 5 3 3 2 2" xfId="40058"/>
    <cellStyle name="Comma 2 5 3 2 5 3 3 2 3" xfId="33635"/>
    <cellStyle name="Comma 2 5 3 2 5 3 3 3" xfId="23505"/>
    <cellStyle name="Comma 2 5 3 2 5 3 3 3 2" xfId="36851"/>
    <cellStyle name="Comma 2 5 3 2 5 3 3 4" xfId="30428"/>
    <cellStyle name="Comma 2 5 3 2 5 3 3 5" xfId="44334"/>
    <cellStyle name="Comma 2 5 3 2 5 3 4" xfId="7456"/>
    <cellStyle name="Comma 2 5 3 2 5 3 4 2" xfId="17959"/>
    <cellStyle name="Comma 2 5 3 2 5 3 4 2 2" xfId="39008"/>
    <cellStyle name="Comma 2 5 3 2 5 3 4 3" xfId="32585"/>
    <cellStyle name="Comma 2 5 3 2 5 3 5" xfId="16591"/>
    <cellStyle name="Comma 2 5 3 2 5 3 5 2" xfId="35801"/>
    <cellStyle name="Comma 2 5 3 2 5 3 6" xfId="21181"/>
    <cellStyle name="Comma 2 5 3 2 5 3 7" xfId="29378"/>
    <cellStyle name="Comma 2 5 3 2 5 3 8" xfId="42200"/>
    <cellStyle name="Comma 2 5 3 2 5 4" xfId="4949"/>
    <cellStyle name="Comma 2 5 3 2 5 4 2" xfId="11309"/>
    <cellStyle name="Comma 2 5 3 2 5 4 2 2" xfId="20108"/>
    <cellStyle name="Comma 2 5 3 2 5 4 2 2 2" xfId="41151"/>
    <cellStyle name="Comma 2 5 3 2 5 4 2 2 3" xfId="34728"/>
    <cellStyle name="Comma 2 5 3 2 5 4 2 3" xfId="22307"/>
    <cellStyle name="Comma 2 5 3 2 5 4 2 3 2" xfId="37944"/>
    <cellStyle name="Comma 2 5 3 2 5 4 2 4" xfId="31521"/>
    <cellStyle name="Comma 2 5 3 2 5 4 2 5" xfId="43286"/>
    <cellStyle name="Comma 2 5 3 2 5 4 3" xfId="8556"/>
    <cellStyle name="Comma 2 5 3 2 5 4 3 2" xfId="19016"/>
    <cellStyle name="Comma 2 5 3 2 5 4 3 2 2" xfId="40059"/>
    <cellStyle name="Comma 2 5 3 2 5 4 3 2 3" xfId="33636"/>
    <cellStyle name="Comma 2 5 3 2 5 4 3 3" xfId="23506"/>
    <cellStyle name="Comma 2 5 3 2 5 4 3 3 2" xfId="36852"/>
    <cellStyle name="Comma 2 5 3 2 5 4 3 4" xfId="30429"/>
    <cellStyle name="Comma 2 5 3 2 5 4 3 5" xfId="44335"/>
    <cellStyle name="Comma 2 5 3 2 5 4 4" xfId="7457"/>
    <cellStyle name="Comma 2 5 3 2 5 4 4 2" xfId="17960"/>
    <cellStyle name="Comma 2 5 3 2 5 4 4 2 2" xfId="39009"/>
    <cellStyle name="Comma 2 5 3 2 5 4 4 3" xfId="32586"/>
    <cellStyle name="Comma 2 5 3 2 5 4 5" xfId="16779"/>
    <cellStyle name="Comma 2 5 3 2 5 4 5 2" xfId="35802"/>
    <cellStyle name="Comma 2 5 3 2 5 4 6" xfId="21182"/>
    <cellStyle name="Comma 2 5 3 2 5 4 7" xfId="29379"/>
    <cellStyle name="Comma 2 5 3 2 5 4 8" xfId="42201"/>
    <cellStyle name="Comma 2 5 3 2 5 5" xfId="6214"/>
    <cellStyle name="Comma 2 5 3 2 5 5 2" xfId="11310"/>
    <cellStyle name="Comma 2 5 3 2 5 5 2 2" xfId="20109"/>
    <cellStyle name="Comma 2 5 3 2 5 5 2 2 2" xfId="41152"/>
    <cellStyle name="Comma 2 5 3 2 5 5 2 2 3" xfId="34729"/>
    <cellStyle name="Comma 2 5 3 2 5 5 2 3" xfId="22308"/>
    <cellStyle name="Comma 2 5 3 2 5 5 2 3 2" xfId="37945"/>
    <cellStyle name="Comma 2 5 3 2 5 5 2 4" xfId="31522"/>
    <cellStyle name="Comma 2 5 3 2 5 5 2 5" xfId="43287"/>
    <cellStyle name="Comma 2 5 3 2 5 5 3" xfId="8557"/>
    <cellStyle name="Comma 2 5 3 2 5 5 3 2" xfId="19017"/>
    <cellStyle name="Comma 2 5 3 2 5 5 3 2 2" xfId="40060"/>
    <cellStyle name="Comma 2 5 3 2 5 5 3 2 3" xfId="33637"/>
    <cellStyle name="Comma 2 5 3 2 5 5 3 3" xfId="23507"/>
    <cellStyle name="Comma 2 5 3 2 5 5 3 3 2" xfId="36853"/>
    <cellStyle name="Comma 2 5 3 2 5 5 3 4" xfId="30430"/>
    <cellStyle name="Comma 2 5 3 2 5 5 3 5" xfId="44336"/>
    <cellStyle name="Comma 2 5 3 2 5 5 4" xfId="7458"/>
    <cellStyle name="Comma 2 5 3 2 5 5 4 2" xfId="17961"/>
    <cellStyle name="Comma 2 5 3 2 5 5 4 2 2" xfId="39010"/>
    <cellStyle name="Comma 2 5 3 2 5 5 4 3" xfId="32587"/>
    <cellStyle name="Comma 2 5 3 2 5 5 5" xfId="17067"/>
    <cellStyle name="Comma 2 5 3 2 5 5 5 2" xfId="35803"/>
    <cellStyle name="Comma 2 5 3 2 5 5 6" xfId="21183"/>
    <cellStyle name="Comma 2 5 3 2 5 5 7" xfId="29380"/>
    <cellStyle name="Comma 2 5 3 2 5 5 8" xfId="42202"/>
    <cellStyle name="Comma 2 5 3 2 5 6" xfId="11306"/>
    <cellStyle name="Comma 2 5 3 2 5 6 2" xfId="20105"/>
    <cellStyle name="Comma 2 5 3 2 5 6 2 2" xfId="41148"/>
    <cellStyle name="Comma 2 5 3 2 5 6 2 3" xfId="34725"/>
    <cellStyle name="Comma 2 5 3 2 5 6 3" xfId="22304"/>
    <cellStyle name="Comma 2 5 3 2 5 6 3 2" xfId="37941"/>
    <cellStyle name="Comma 2 5 3 2 5 6 4" xfId="31518"/>
    <cellStyle name="Comma 2 5 3 2 5 6 5" xfId="43283"/>
    <cellStyle name="Comma 2 5 3 2 5 7" xfId="8553"/>
    <cellStyle name="Comma 2 5 3 2 5 7 2" xfId="19013"/>
    <cellStyle name="Comma 2 5 3 2 5 7 2 2" xfId="40056"/>
    <cellStyle name="Comma 2 5 3 2 5 7 2 3" xfId="33633"/>
    <cellStyle name="Comma 2 5 3 2 5 7 3" xfId="23503"/>
    <cellStyle name="Comma 2 5 3 2 5 7 3 2" xfId="36849"/>
    <cellStyle name="Comma 2 5 3 2 5 7 4" xfId="30426"/>
    <cellStyle name="Comma 2 5 3 2 5 7 5" xfId="44332"/>
    <cellStyle name="Comma 2 5 3 2 5 8" xfId="7454"/>
    <cellStyle name="Comma 2 5 3 2 5 8 2" xfId="17957"/>
    <cellStyle name="Comma 2 5 3 2 5 8 2 2" xfId="39006"/>
    <cellStyle name="Comma 2 5 3 2 5 8 3" xfId="32583"/>
    <cellStyle name="Comma 2 5 3 2 5 9" xfId="16215"/>
    <cellStyle name="Comma 2 5 3 2 5 9 2" xfId="35799"/>
    <cellStyle name="Comma 2 5 3 2 6" xfId="2489"/>
    <cellStyle name="Comma 2 5 3 2 6 2" xfId="11311"/>
    <cellStyle name="Comma 2 5 3 2 6 2 2" xfId="20110"/>
    <cellStyle name="Comma 2 5 3 2 6 2 2 2" xfId="41153"/>
    <cellStyle name="Comma 2 5 3 2 6 2 2 3" xfId="34730"/>
    <cellStyle name="Comma 2 5 3 2 6 2 3" xfId="22309"/>
    <cellStyle name="Comma 2 5 3 2 6 2 3 2" xfId="37946"/>
    <cellStyle name="Comma 2 5 3 2 6 2 4" xfId="31523"/>
    <cellStyle name="Comma 2 5 3 2 6 2 5" xfId="43288"/>
    <cellStyle name="Comma 2 5 3 2 6 3" xfId="8558"/>
    <cellStyle name="Comma 2 5 3 2 6 3 2" xfId="19018"/>
    <cellStyle name="Comma 2 5 3 2 6 3 2 2" xfId="40061"/>
    <cellStyle name="Comma 2 5 3 2 6 3 2 3" xfId="33638"/>
    <cellStyle name="Comma 2 5 3 2 6 3 3" xfId="23508"/>
    <cellStyle name="Comma 2 5 3 2 6 3 3 2" xfId="36854"/>
    <cellStyle name="Comma 2 5 3 2 6 3 4" xfId="30431"/>
    <cellStyle name="Comma 2 5 3 2 6 3 5" xfId="44337"/>
    <cellStyle name="Comma 2 5 3 2 6 4" xfId="7459"/>
    <cellStyle name="Comma 2 5 3 2 6 4 2" xfId="17962"/>
    <cellStyle name="Comma 2 5 3 2 6 4 2 2" xfId="39011"/>
    <cellStyle name="Comma 2 5 3 2 6 4 3" xfId="32588"/>
    <cellStyle name="Comma 2 5 3 2 6 5" xfId="16264"/>
    <cellStyle name="Comma 2 5 3 2 6 5 2" xfId="35804"/>
    <cellStyle name="Comma 2 5 3 2 6 6" xfId="21184"/>
    <cellStyle name="Comma 2 5 3 2 6 7" xfId="29381"/>
    <cellStyle name="Comma 2 5 3 2 6 8" xfId="42203"/>
    <cellStyle name="Comma 2 5 3 2 7" xfId="3352"/>
    <cellStyle name="Comma 2 5 3 2 7 2" xfId="11312"/>
    <cellStyle name="Comma 2 5 3 2 7 2 2" xfId="20111"/>
    <cellStyle name="Comma 2 5 3 2 7 2 2 2" xfId="41154"/>
    <cellStyle name="Comma 2 5 3 2 7 2 2 3" xfId="34731"/>
    <cellStyle name="Comma 2 5 3 2 7 2 3" xfId="22310"/>
    <cellStyle name="Comma 2 5 3 2 7 2 3 2" xfId="37947"/>
    <cellStyle name="Comma 2 5 3 2 7 2 4" xfId="31524"/>
    <cellStyle name="Comma 2 5 3 2 7 2 5" xfId="43289"/>
    <cellStyle name="Comma 2 5 3 2 7 3" xfId="8559"/>
    <cellStyle name="Comma 2 5 3 2 7 3 2" xfId="19019"/>
    <cellStyle name="Comma 2 5 3 2 7 3 2 2" xfId="40062"/>
    <cellStyle name="Comma 2 5 3 2 7 3 2 3" xfId="33639"/>
    <cellStyle name="Comma 2 5 3 2 7 3 3" xfId="23509"/>
    <cellStyle name="Comma 2 5 3 2 7 3 3 2" xfId="36855"/>
    <cellStyle name="Comma 2 5 3 2 7 3 4" xfId="30432"/>
    <cellStyle name="Comma 2 5 3 2 7 3 5" xfId="44338"/>
    <cellStyle name="Comma 2 5 3 2 7 4" xfId="7460"/>
    <cellStyle name="Comma 2 5 3 2 7 4 2" xfId="17963"/>
    <cellStyle name="Comma 2 5 3 2 7 4 2 2" xfId="39012"/>
    <cellStyle name="Comma 2 5 3 2 7 4 3" xfId="32589"/>
    <cellStyle name="Comma 2 5 3 2 7 5" xfId="16452"/>
    <cellStyle name="Comma 2 5 3 2 7 5 2" xfId="35805"/>
    <cellStyle name="Comma 2 5 3 2 7 6" xfId="21185"/>
    <cellStyle name="Comma 2 5 3 2 7 7" xfId="29382"/>
    <cellStyle name="Comma 2 5 3 2 7 8" xfId="42204"/>
    <cellStyle name="Comma 2 5 3 2 8" xfId="4220"/>
    <cellStyle name="Comma 2 5 3 2 8 2" xfId="11313"/>
    <cellStyle name="Comma 2 5 3 2 8 2 2" xfId="20112"/>
    <cellStyle name="Comma 2 5 3 2 8 2 2 2" xfId="41155"/>
    <cellStyle name="Comma 2 5 3 2 8 2 2 3" xfId="34732"/>
    <cellStyle name="Comma 2 5 3 2 8 2 3" xfId="22311"/>
    <cellStyle name="Comma 2 5 3 2 8 2 3 2" xfId="37948"/>
    <cellStyle name="Comma 2 5 3 2 8 2 4" xfId="31525"/>
    <cellStyle name="Comma 2 5 3 2 8 2 5" xfId="43290"/>
    <cellStyle name="Comma 2 5 3 2 8 3" xfId="8560"/>
    <cellStyle name="Comma 2 5 3 2 8 3 2" xfId="19020"/>
    <cellStyle name="Comma 2 5 3 2 8 3 2 2" xfId="40063"/>
    <cellStyle name="Comma 2 5 3 2 8 3 2 3" xfId="33640"/>
    <cellStyle name="Comma 2 5 3 2 8 3 3" xfId="23510"/>
    <cellStyle name="Comma 2 5 3 2 8 3 3 2" xfId="36856"/>
    <cellStyle name="Comma 2 5 3 2 8 3 4" xfId="30433"/>
    <cellStyle name="Comma 2 5 3 2 8 3 5" xfId="44339"/>
    <cellStyle name="Comma 2 5 3 2 8 4" xfId="7461"/>
    <cellStyle name="Comma 2 5 3 2 8 4 2" xfId="17964"/>
    <cellStyle name="Comma 2 5 3 2 8 4 2 2" xfId="39013"/>
    <cellStyle name="Comma 2 5 3 2 8 4 3" xfId="32590"/>
    <cellStyle name="Comma 2 5 3 2 8 5" xfId="16640"/>
    <cellStyle name="Comma 2 5 3 2 8 5 2" xfId="35806"/>
    <cellStyle name="Comma 2 5 3 2 8 6" xfId="21186"/>
    <cellStyle name="Comma 2 5 3 2 8 7" xfId="29383"/>
    <cellStyle name="Comma 2 5 3 2 8 8" xfId="42205"/>
    <cellStyle name="Comma 2 5 3 2 9" xfId="5051"/>
    <cellStyle name="Comma 2 5 3 2 9 2" xfId="11314"/>
    <cellStyle name="Comma 2 5 3 2 9 2 2" xfId="20113"/>
    <cellStyle name="Comma 2 5 3 2 9 2 2 2" xfId="41156"/>
    <cellStyle name="Comma 2 5 3 2 9 2 2 3" xfId="34733"/>
    <cellStyle name="Comma 2 5 3 2 9 2 3" xfId="22312"/>
    <cellStyle name="Comma 2 5 3 2 9 2 3 2" xfId="37949"/>
    <cellStyle name="Comma 2 5 3 2 9 2 4" xfId="31526"/>
    <cellStyle name="Comma 2 5 3 2 9 2 5" xfId="43291"/>
    <cellStyle name="Comma 2 5 3 2 9 3" xfId="8561"/>
    <cellStyle name="Comma 2 5 3 2 9 3 2" xfId="19021"/>
    <cellStyle name="Comma 2 5 3 2 9 3 2 2" xfId="40064"/>
    <cellStyle name="Comma 2 5 3 2 9 3 2 3" xfId="33641"/>
    <cellStyle name="Comma 2 5 3 2 9 3 3" xfId="23511"/>
    <cellStyle name="Comma 2 5 3 2 9 3 3 2" xfId="36857"/>
    <cellStyle name="Comma 2 5 3 2 9 3 4" xfId="30434"/>
    <cellStyle name="Comma 2 5 3 2 9 3 5" xfId="44340"/>
    <cellStyle name="Comma 2 5 3 2 9 4" xfId="7462"/>
    <cellStyle name="Comma 2 5 3 2 9 4 2" xfId="17965"/>
    <cellStyle name="Comma 2 5 3 2 9 4 2 2" xfId="39014"/>
    <cellStyle name="Comma 2 5 3 2 9 4 3" xfId="32591"/>
    <cellStyle name="Comma 2 5 3 2 9 5" xfId="16866"/>
    <cellStyle name="Comma 2 5 3 2 9 5 2" xfId="35807"/>
    <cellStyle name="Comma 2 5 3 2 9 6" xfId="21187"/>
    <cellStyle name="Comma 2 5 3 2 9 7" xfId="29384"/>
    <cellStyle name="Comma 2 5 3 2 9 8" xfId="42206"/>
    <cellStyle name="Comma 2 5 3 3" xfId="1497"/>
    <cellStyle name="Comma 2 5 3 3 10" xfId="8562"/>
    <cellStyle name="Comma 2 5 3 3 10 2" xfId="19022"/>
    <cellStyle name="Comma 2 5 3 3 10 2 2" xfId="40065"/>
    <cellStyle name="Comma 2 5 3 3 10 2 3" xfId="33642"/>
    <cellStyle name="Comma 2 5 3 3 10 3" xfId="23512"/>
    <cellStyle name="Comma 2 5 3 3 10 3 2" xfId="36858"/>
    <cellStyle name="Comma 2 5 3 3 10 4" xfId="30435"/>
    <cellStyle name="Comma 2 5 3 3 10 5" xfId="44341"/>
    <cellStyle name="Comma 2 5 3 3 11" xfId="6674"/>
    <cellStyle name="Comma 2 5 3 3 11 2" xfId="17181"/>
    <cellStyle name="Comma 2 5 3 3 11 2 2" xfId="38234"/>
    <cellStyle name="Comma 2 5 3 3 11 3" xfId="31811"/>
    <cellStyle name="Comma 2 5 3 3 12" xfId="16067"/>
    <cellStyle name="Comma 2 5 3 3 12 2" xfId="35027"/>
    <cellStyle name="Comma 2 5 3 3 13" xfId="21188"/>
    <cellStyle name="Comma 2 5 3 3 14" xfId="28602"/>
    <cellStyle name="Comma 2 5 3 3 15" xfId="42207"/>
    <cellStyle name="Comma 2 5 3 3 2" xfId="1851"/>
    <cellStyle name="Comma 2 5 3 3 2 10" xfId="16129"/>
    <cellStyle name="Comma 2 5 3 3 2 10 2" xfId="35028"/>
    <cellStyle name="Comma 2 5 3 3 2 11" xfId="21189"/>
    <cellStyle name="Comma 2 5 3 3 2 12" xfId="28603"/>
    <cellStyle name="Comma 2 5 3 3 2 13" xfId="42208"/>
    <cellStyle name="Comma 2 5 3 3 2 2" xfId="2741"/>
    <cellStyle name="Comma 2 5 3 3 2 2 2" xfId="11315"/>
    <cellStyle name="Comma 2 5 3 3 2 2 2 2" xfId="20114"/>
    <cellStyle name="Comma 2 5 3 3 2 2 2 2 2" xfId="41157"/>
    <cellStyle name="Comma 2 5 3 3 2 2 2 2 3" xfId="34734"/>
    <cellStyle name="Comma 2 5 3 3 2 2 2 3" xfId="22313"/>
    <cellStyle name="Comma 2 5 3 3 2 2 2 3 2" xfId="37950"/>
    <cellStyle name="Comma 2 5 3 3 2 2 2 4" xfId="31527"/>
    <cellStyle name="Comma 2 5 3 3 2 2 2 5" xfId="43292"/>
    <cellStyle name="Comma 2 5 3 3 2 2 3" xfId="8564"/>
    <cellStyle name="Comma 2 5 3 3 2 2 3 2" xfId="19024"/>
    <cellStyle name="Comma 2 5 3 3 2 2 3 2 2" xfId="40067"/>
    <cellStyle name="Comma 2 5 3 3 2 2 3 2 3" xfId="33644"/>
    <cellStyle name="Comma 2 5 3 3 2 2 3 3" xfId="23514"/>
    <cellStyle name="Comma 2 5 3 3 2 2 3 3 2" xfId="36860"/>
    <cellStyle name="Comma 2 5 3 3 2 2 3 4" xfId="30437"/>
    <cellStyle name="Comma 2 5 3 3 2 2 3 5" xfId="44343"/>
    <cellStyle name="Comma 2 5 3 3 2 2 4" xfId="7463"/>
    <cellStyle name="Comma 2 5 3 3 2 2 4 2" xfId="17966"/>
    <cellStyle name="Comma 2 5 3 3 2 2 4 2 2" xfId="39015"/>
    <cellStyle name="Comma 2 5 3 3 2 2 4 3" xfId="32592"/>
    <cellStyle name="Comma 2 5 3 3 2 2 5" xfId="16319"/>
    <cellStyle name="Comma 2 5 3 3 2 2 5 2" xfId="35808"/>
    <cellStyle name="Comma 2 5 3 3 2 2 6" xfId="21190"/>
    <cellStyle name="Comma 2 5 3 3 2 2 7" xfId="29385"/>
    <cellStyle name="Comma 2 5 3 3 2 2 8" xfId="42209"/>
    <cellStyle name="Comma 2 5 3 3 2 3" xfId="3605"/>
    <cellStyle name="Comma 2 5 3 3 2 3 2" xfId="11316"/>
    <cellStyle name="Comma 2 5 3 3 2 3 2 2" xfId="20115"/>
    <cellStyle name="Comma 2 5 3 3 2 3 2 2 2" xfId="41158"/>
    <cellStyle name="Comma 2 5 3 3 2 3 2 2 3" xfId="34735"/>
    <cellStyle name="Comma 2 5 3 3 2 3 2 3" xfId="22314"/>
    <cellStyle name="Comma 2 5 3 3 2 3 2 3 2" xfId="37951"/>
    <cellStyle name="Comma 2 5 3 3 2 3 2 4" xfId="31528"/>
    <cellStyle name="Comma 2 5 3 3 2 3 2 5" xfId="43293"/>
    <cellStyle name="Comma 2 5 3 3 2 3 3" xfId="8565"/>
    <cellStyle name="Comma 2 5 3 3 2 3 3 2" xfId="19025"/>
    <cellStyle name="Comma 2 5 3 3 2 3 3 2 2" xfId="40068"/>
    <cellStyle name="Comma 2 5 3 3 2 3 3 2 3" xfId="33645"/>
    <cellStyle name="Comma 2 5 3 3 2 3 3 3" xfId="23515"/>
    <cellStyle name="Comma 2 5 3 3 2 3 3 3 2" xfId="36861"/>
    <cellStyle name="Comma 2 5 3 3 2 3 3 4" xfId="30438"/>
    <cellStyle name="Comma 2 5 3 3 2 3 3 5" xfId="44344"/>
    <cellStyle name="Comma 2 5 3 3 2 3 4" xfId="7464"/>
    <cellStyle name="Comma 2 5 3 3 2 3 4 2" xfId="17967"/>
    <cellStyle name="Comma 2 5 3 3 2 3 4 2 2" xfId="39016"/>
    <cellStyle name="Comma 2 5 3 3 2 3 4 3" xfId="32593"/>
    <cellStyle name="Comma 2 5 3 3 2 3 5" xfId="16507"/>
    <cellStyle name="Comma 2 5 3 3 2 3 5 2" xfId="35809"/>
    <cellStyle name="Comma 2 5 3 3 2 3 6" xfId="21191"/>
    <cellStyle name="Comma 2 5 3 3 2 3 7" xfId="29386"/>
    <cellStyle name="Comma 2 5 3 3 2 3 8" xfId="42210"/>
    <cellStyle name="Comma 2 5 3 3 2 4" xfId="4480"/>
    <cellStyle name="Comma 2 5 3 3 2 4 2" xfId="11317"/>
    <cellStyle name="Comma 2 5 3 3 2 4 2 2" xfId="20116"/>
    <cellStyle name="Comma 2 5 3 3 2 4 2 2 2" xfId="41159"/>
    <cellStyle name="Comma 2 5 3 3 2 4 2 2 3" xfId="34736"/>
    <cellStyle name="Comma 2 5 3 3 2 4 2 3" xfId="22315"/>
    <cellStyle name="Comma 2 5 3 3 2 4 2 3 2" xfId="37952"/>
    <cellStyle name="Comma 2 5 3 3 2 4 2 4" xfId="31529"/>
    <cellStyle name="Comma 2 5 3 3 2 4 2 5" xfId="43294"/>
    <cellStyle name="Comma 2 5 3 3 2 4 3" xfId="8566"/>
    <cellStyle name="Comma 2 5 3 3 2 4 3 2" xfId="19026"/>
    <cellStyle name="Comma 2 5 3 3 2 4 3 2 2" xfId="40069"/>
    <cellStyle name="Comma 2 5 3 3 2 4 3 2 3" xfId="33646"/>
    <cellStyle name="Comma 2 5 3 3 2 4 3 3" xfId="23516"/>
    <cellStyle name="Comma 2 5 3 3 2 4 3 3 2" xfId="36862"/>
    <cellStyle name="Comma 2 5 3 3 2 4 3 4" xfId="30439"/>
    <cellStyle name="Comma 2 5 3 3 2 4 3 5" xfId="44345"/>
    <cellStyle name="Comma 2 5 3 3 2 4 4" xfId="7465"/>
    <cellStyle name="Comma 2 5 3 3 2 4 4 2" xfId="17968"/>
    <cellStyle name="Comma 2 5 3 3 2 4 4 2 2" xfId="39017"/>
    <cellStyle name="Comma 2 5 3 3 2 4 4 3" xfId="32594"/>
    <cellStyle name="Comma 2 5 3 3 2 4 5" xfId="16695"/>
    <cellStyle name="Comma 2 5 3 3 2 4 5 2" xfId="35810"/>
    <cellStyle name="Comma 2 5 3 3 2 4 6" xfId="21192"/>
    <cellStyle name="Comma 2 5 3 3 2 4 7" xfId="29387"/>
    <cellStyle name="Comma 2 5 3 3 2 4 8" xfId="42211"/>
    <cellStyle name="Comma 2 5 3 3 2 5" xfId="5056"/>
    <cellStyle name="Comma 2 5 3 3 2 5 2" xfId="11318"/>
    <cellStyle name="Comma 2 5 3 3 2 5 2 2" xfId="20117"/>
    <cellStyle name="Comma 2 5 3 3 2 5 2 2 2" xfId="41160"/>
    <cellStyle name="Comma 2 5 3 3 2 5 2 2 3" xfId="34737"/>
    <cellStyle name="Comma 2 5 3 3 2 5 2 3" xfId="22316"/>
    <cellStyle name="Comma 2 5 3 3 2 5 2 3 2" xfId="37953"/>
    <cellStyle name="Comma 2 5 3 3 2 5 2 4" xfId="31530"/>
    <cellStyle name="Comma 2 5 3 3 2 5 2 5" xfId="43295"/>
    <cellStyle name="Comma 2 5 3 3 2 5 3" xfId="8567"/>
    <cellStyle name="Comma 2 5 3 3 2 5 3 2" xfId="19027"/>
    <cellStyle name="Comma 2 5 3 3 2 5 3 2 2" xfId="40070"/>
    <cellStyle name="Comma 2 5 3 3 2 5 3 2 3" xfId="33647"/>
    <cellStyle name="Comma 2 5 3 3 2 5 3 3" xfId="23517"/>
    <cellStyle name="Comma 2 5 3 3 2 5 3 3 2" xfId="36863"/>
    <cellStyle name="Comma 2 5 3 3 2 5 3 4" xfId="30440"/>
    <cellStyle name="Comma 2 5 3 3 2 5 3 5" xfId="44346"/>
    <cellStyle name="Comma 2 5 3 3 2 5 4" xfId="7466"/>
    <cellStyle name="Comma 2 5 3 3 2 5 4 2" xfId="17969"/>
    <cellStyle name="Comma 2 5 3 3 2 5 4 2 2" xfId="39018"/>
    <cellStyle name="Comma 2 5 3 3 2 5 4 3" xfId="32595"/>
    <cellStyle name="Comma 2 5 3 3 2 5 5" xfId="16871"/>
    <cellStyle name="Comma 2 5 3 3 2 5 5 2" xfId="35811"/>
    <cellStyle name="Comma 2 5 3 3 2 5 6" xfId="21193"/>
    <cellStyle name="Comma 2 5 3 3 2 5 7" xfId="29388"/>
    <cellStyle name="Comma 2 5 3 3 2 5 8" xfId="42212"/>
    <cellStyle name="Comma 2 5 3 3 2 6" xfId="5745"/>
    <cellStyle name="Comma 2 5 3 3 2 6 2" xfId="11319"/>
    <cellStyle name="Comma 2 5 3 3 2 6 2 2" xfId="20118"/>
    <cellStyle name="Comma 2 5 3 3 2 6 2 2 2" xfId="41161"/>
    <cellStyle name="Comma 2 5 3 3 2 6 2 2 3" xfId="34738"/>
    <cellStyle name="Comma 2 5 3 3 2 6 2 3" xfId="22317"/>
    <cellStyle name="Comma 2 5 3 3 2 6 2 3 2" xfId="37954"/>
    <cellStyle name="Comma 2 5 3 3 2 6 2 4" xfId="31531"/>
    <cellStyle name="Comma 2 5 3 3 2 6 2 5" xfId="43296"/>
    <cellStyle name="Comma 2 5 3 3 2 6 3" xfId="8568"/>
    <cellStyle name="Comma 2 5 3 3 2 6 3 2" xfId="19028"/>
    <cellStyle name="Comma 2 5 3 3 2 6 3 2 2" xfId="40071"/>
    <cellStyle name="Comma 2 5 3 3 2 6 3 2 3" xfId="33648"/>
    <cellStyle name="Comma 2 5 3 3 2 6 3 3" xfId="23518"/>
    <cellStyle name="Comma 2 5 3 3 2 6 3 3 2" xfId="36864"/>
    <cellStyle name="Comma 2 5 3 3 2 6 3 4" xfId="30441"/>
    <cellStyle name="Comma 2 5 3 3 2 6 3 5" xfId="44347"/>
    <cellStyle name="Comma 2 5 3 3 2 6 4" xfId="7467"/>
    <cellStyle name="Comma 2 5 3 3 2 6 4 2" xfId="17970"/>
    <cellStyle name="Comma 2 5 3 3 2 6 4 2 2" xfId="39019"/>
    <cellStyle name="Comma 2 5 3 3 2 6 4 3" xfId="32596"/>
    <cellStyle name="Comma 2 5 3 3 2 6 5" xfId="16983"/>
    <cellStyle name="Comma 2 5 3 3 2 6 5 2" xfId="35812"/>
    <cellStyle name="Comma 2 5 3 3 2 6 6" xfId="21194"/>
    <cellStyle name="Comma 2 5 3 3 2 6 7" xfId="29389"/>
    <cellStyle name="Comma 2 5 3 3 2 6 8" xfId="42213"/>
    <cellStyle name="Comma 2 5 3 3 2 7" xfId="10276"/>
    <cellStyle name="Comma 2 5 3 3 2 7 2" xfId="19329"/>
    <cellStyle name="Comma 2 5 3 3 2 7 2 2" xfId="40372"/>
    <cellStyle name="Comma 2 5 3 3 2 7 2 3" xfId="33949"/>
    <cellStyle name="Comma 2 5 3 3 2 7 3" xfId="21529"/>
    <cellStyle name="Comma 2 5 3 3 2 7 3 2" xfId="37165"/>
    <cellStyle name="Comma 2 5 3 3 2 7 4" xfId="30742"/>
    <cellStyle name="Comma 2 5 3 3 2 7 5" xfId="42508"/>
    <cellStyle name="Comma 2 5 3 3 2 8" xfId="8563"/>
    <cellStyle name="Comma 2 5 3 3 2 8 2" xfId="19023"/>
    <cellStyle name="Comma 2 5 3 3 2 8 2 2" xfId="40066"/>
    <cellStyle name="Comma 2 5 3 3 2 8 2 3" xfId="33643"/>
    <cellStyle name="Comma 2 5 3 3 2 8 3" xfId="23513"/>
    <cellStyle name="Comma 2 5 3 3 2 8 3 2" xfId="36859"/>
    <cellStyle name="Comma 2 5 3 3 2 8 4" xfId="30436"/>
    <cellStyle name="Comma 2 5 3 3 2 8 5" xfId="44342"/>
    <cellStyle name="Comma 2 5 3 3 2 9" xfId="6675"/>
    <cellStyle name="Comma 2 5 3 3 2 9 2" xfId="17182"/>
    <cellStyle name="Comma 2 5 3 3 2 9 2 2" xfId="38235"/>
    <cellStyle name="Comma 2 5 3 3 2 9 3" xfId="31812"/>
    <cellStyle name="Comma 2 5 3 3 3" xfId="2126"/>
    <cellStyle name="Comma 2 5 3 3 3 10" xfId="21195"/>
    <cellStyle name="Comma 2 5 3 3 3 11" xfId="29390"/>
    <cellStyle name="Comma 2 5 3 3 3 12" xfId="42214"/>
    <cellStyle name="Comma 2 5 3 3 3 2" xfId="2996"/>
    <cellStyle name="Comma 2 5 3 3 3 2 2" xfId="11321"/>
    <cellStyle name="Comma 2 5 3 3 3 2 2 2" xfId="20120"/>
    <cellStyle name="Comma 2 5 3 3 3 2 2 2 2" xfId="41163"/>
    <cellStyle name="Comma 2 5 3 3 3 2 2 2 3" xfId="34740"/>
    <cellStyle name="Comma 2 5 3 3 3 2 2 3" xfId="22319"/>
    <cellStyle name="Comma 2 5 3 3 3 2 2 3 2" xfId="37956"/>
    <cellStyle name="Comma 2 5 3 3 3 2 2 4" xfId="31533"/>
    <cellStyle name="Comma 2 5 3 3 3 2 2 5" xfId="43298"/>
    <cellStyle name="Comma 2 5 3 3 3 2 3" xfId="8570"/>
    <cellStyle name="Comma 2 5 3 3 3 2 3 2" xfId="19030"/>
    <cellStyle name="Comma 2 5 3 3 3 2 3 2 2" xfId="40073"/>
    <cellStyle name="Comma 2 5 3 3 3 2 3 2 3" xfId="33650"/>
    <cellStyle name="Comma 2 5 3 3 3 2 3 3" xfId="23520"/>
    <cellStyle name="Comma 2 5 3 3 3 2 3 3 2" xfId="36866"/>
    <cellStyle name="Comma 2 5 3 3 3 2 3 4" xfId="30443"/>
    <cellStyle name="Comma 2 5 3 3 3 2 3 5" xfId="44349"/>
    <cellStyle name="Comma 2 5 3 3 3 2 4" xfId="7469"/>
    <cellStyle name="Comma 2 5 3 3 3 2 4 2" xfId="17972"/>
    <cellStyle name="Comma 2 5 3 3 3 2 4 2 2" xfId="39021"/>
    <cellStyle name="Comma 2 5 3 3 3 2 4 3" xfId="32598"/>
    <cellStyle name="Comma 2 5 3 3 3 2 5" xfId="16374"/>
    <cellStyle name="Comma 2 5 3 3 3 2 5 2" xfId="35814"/>
    <cellStyle name="Comma 2 5 3 3 3 2 6" xfId="21196"/>
    <cellStyle name="Comma 2 5 3 3 3 2 7" xfId="29391"/>
    <cellStyle name="Comma 2 5 3 3 3 2 8" xfId="42215"/>
    <cellStyle name="Comma 2 5 3 3 3 3" xfId="3866"/>
    <cellStyle name="Comma 2 5 3 3 3 3 2" xfId="11322"/>
    <cellStyle name="Comma 2 5 3 3 3 3 2 2" xfId="20121"/>
    <cellStyle name="Comma 2 5 3 3 3 3 2 2 2" xfId="41164"/>
    <cellStyle name="Comma 2 5 3 3 3 3 2 2 3" xfId="34741"/>
    <cellStyle name="Comma 2 5 3 3 3 3 2 3" xfId="22320"/>
    <cellStyle name="Comma 2 5 3 3 3 3 2 3 2" xfId="37957"/>
    <cellStyle name="Comma 2 5 3 3 3 3 2 4" xfId="31534"/>
    <cellStyle name="Comma 2 5 3 3 3 3 2 5" xfId="43299"/>
    <cellStyle name="Comma 2 5 3 3 3 3 3" xfId="8571"/>
    <cellStyle name="Comma 2 5 3 3 3 3 3 2" xfId="19031"/>
    <cellStyle name="Comma 2 5 3 3 3 3 3 2 2" xfId="40074"/>
    <cellStyle name="Comma 2 5 3 3 3 3 3 2 3" xfId="33651"/>
    <cellStyle name="Comma 2 5 3 3 3 3 3 3" xfId="23521"/>
    <cellStyle name="Comma 2 5 3 3 3 3 3 3 2" xfId="36867"/>
    <cellStyle name="Comma 2 5 3 3 3 3 3 4" xfId="30444"/>
    <cellStyle name="Comma 2 5 3 3 3 3 3 5" xfId="44350"/>
    <cellStyle name="Comma 2 5 3 3 3 3 4" xfId="7470"/>
    <cellStyle name="Comma 2 5 3 3 3 3 4 2" xfId="17973"/>
    <cellStyle name="Comma 2 5 3 3 3 3 4 2 2" xfId="39022"/>
    <cellStyle name="Comma 2 5 3 3 3 3 4 3" xfId="32599"/>
    <cellStyle name="Comma 2 5 3 3 3 3 5" xfId="16562"/>
    <cellStyle name="Comma 2 5 3 3 3 3 5 2" xfId="35815"/>
    <cellStyle name="Comma 2 5 3 3 3 3 6" xfId="21197"/>
    <cellStyle name="Comma 2 5 3 3 3 3 7" xfId="29392"/>
    <cellStyle name="Comma 2 5 3 3 3 3 8" xfId="42216"/>
    <cellStyle name="Comma 2 5 3 3 3 4" xfId="4744"/>
    <cellStyle name="Comma 2 5 3 3 3 4 2" xfId="11323"/>
    <cellStyle name="Comma 2 5 3 3 3 4 2 2" xfId="20122"/>
    <cellStyle name="Comma 2 5 3 3 3 4 2 2 2" xfId="41165"/>
    <cellStyle name="Comma 2 5 3 3 3 4 2 2 3" xfId="34742"/>
    <cellStyle name="Comma 2 5 3 3 3 4 2 3" xfId="22321"/>
    <cellStyle name="Comma 2 5 3 3 3 4 2 3 2" xfId="37958"/>
    <cellStyle name="Comma 2 5 3 3 3 4 2 4" xfId="31535"/>
    <cellStyle name="Comma 2 5 3 3 3 4 2 5" xfId="43300"/>
    <cellStyle name="Comma 2 5 3 3 3 4 3" xfId="8572"/>
    <cellStyle name="Comma 2 5 3 3 3 4 3 2" xfId="19032"/>
    <cellStyle name="Comma 2 5 3 3 3 4 3 2 2" xfId="40075"/>
    <cellStyle name="Comma 2 5 3 3 3 4 3 2 3" xfId="33652"/>
    <cellStyle name="Comma 2 5 3 3 3 4 3 3" xfId="23522"/>
    <cellStyle name="Comma 2 5 3 3 3 4 3 3 2" xfId="36868"/>
    <cellStyle name="Comma 2 5 3 3 3 4 3 4" xfId="30445"/>
    <cellStyle name="Comma 2 5 3 3 3 4 3 5" xfId="44351"/>
    <cellStyle name="Comma 2 5 3 3 3 4 4" xfId="7471"/>
    <cellStyle name="Comma 2 5 3 3 3 4 4 2" xfId="17974"/>
    <cellStyle name="Comma 2 5 3 3 3 4 4 2 2" xfId="39023"/>
    <cellStyle name="Comma 2 5 3 3 3 4 4 3" xfId="32600"/>
    <cellStyle name="Comma 2 5 3 3 3 4 5" xfId="16750"/>
    <cellStyle name="Comma 2 5 3 3 3 4 5 2" xfId="35816"/>
    <cellStyle name="Comma 2 5 3 3 3 4 6" xfId="21198"/>
    <cellStyle name="Comma 2 5 3 3 3 4 7" xfId="29393"/>
    <cellStyle name="Comma 2 5 3 3 3 4 8" xfId="42217"/>
    <cellStyle name="Comma 2 5 3 3 3 5" xfId="6009"/>
    <cellStyle name="Comma 2 5 3 3 3 5 2" xfId="11324"/>
    <cellStyle name="Comma 2 5 3 3 3 5 2 2" xfId="20123"/>
    <cellStyle name="Comma 2 5 3 3 3 5 2 2 2" xfId="41166"/>
    <cellStyle name="Comma 2 5 3 3 3 5 2 2 3" xfId="34743"/>
    <cellStyle name="Comma 2 5 3 3 3 5 2 3" xfId="22322"/>
    <cellStyle name="Comma 2 5 3 3 3 5 2 3 2" xfId="37959"/>
    <cellStyle name="Comma 2 5 3 3 3 5 2 4" xfId="31536"/>
    <cellStyle name="Comma 2 5 3 3 3 5 2 5" xfId="43301"/>
    <cellStyle name="Comma 2 5 3 3 3 5 3" xfId="8573"/>
    <cellStyle name="Comma 2 5 3 3 3 5 3 2" xfId="19033"/>
    <cellStyle name="Comma 2 5 3 3 3 5 3 2 2" xfId="40076"/>
    <cellStyle name="Comma 2 5 3 3 3 5 3 2 3" xfId="33653"/>
    <cellStyle name="Comma 2 5 3 3 3 5 3 3" xfId="23523"/>
    <cellStyle name="Comma 2 5 3 3 3 5 3 3 2" xfId="36869"/>
    <cellStyle name="Comma 2 5 3 3 3 5 3 4" xfId="30446"/>
    <cellStyle name="Comma 2 5 3 3 3 5 3 5" xfId="44352"/>
    <cellStyle name="Comma 2 5 3 3 3 5 4" xfId="7472"/>
    <cellStyle name="Comma 2 5 3 3 3 5 4 2" xfId="17975"/>
    <cellStyle name="Comma 2 5 3 3 3 5 4 2 2" xfId="39024"/>
    <cellStyle name="Comma 2 5 3 3 3 5 4 3" xfId="32601"/>
    <cellStyle name="Comma 2 5 3 3 3 5 5" xfId="17038"/>
    <cellStyle name="Comma 2 5 3 3 3 5 5 2" xfId="35817"/>
    <cellStyle name="Comma 2 5 3 3 3 5 6" xfId="21199"/>
    <cellStyle name="Comma 2 5 3 3 3 5 7" xfId="29394"/>
    <cellStyle name="Comma 2 5 3 3 3 5 8" xfId="42218"/>
    <cellStyle name="Comma 2 5 3 3 3 6" xfId="11320"/>
    <cellStyle name="Comma 2 5 3 3 3 6 2" xfId="20119"/>
    <cellStyle name="Comma 2 5 3 3 3 6 2 2" xfId="41162"/>
    <cellStyle name="Comma 2 5 3 3 3 6 2 3" xfId="34739"/>
    <cellStyle name="Comma 2 5 3 3 3 6 3" xfId="22318"/>
    <cellStyle name="Comma 2 5 3 3 3 6 3 2" xfId="37955"/>
    <cellStyle name="Comma 2 5 3 3 3 6 4" xfId="31532"/>
    <cellStyle name="Comma 2 5 3 3 3 6 5" xfId="43297"/>
    <cellStyle name="Comma 2 5 3 3 3 7" xfId="8569"/>
    <cellStyle name="Comma 2 5 3 3 3 7 2" xfId="19029"/>
    <cellStyle name="Comma 2 5 3 3 3 7 2 2" xfId="40072"/>
    <cellStyle name="Comma 2 5 3 3 3 7 2 3" xfId="33649"/>
    <cellStyle name="Comma 2 5 3 3 3 7 3" xfId="23519"/>
    <cellStyle name="Comma 2 5 3 3 3 7 3 2" xfId="36865"/>
    <cellStyle name="Comma 2 5 3 3 3 7 4" xfId="30442"/>
    <cellStyle name="Comma 2 5 3 3 3 7 5" xfId="44348"/>
    <cellStyle name="Comma 2 5 3 3 3 8" xfId="7468"/>
    <cellStyle name="Comma 2 5 3 3 3 8 2" xfId="17971"/>
    <cellStyle name="Comma 2 5 3 3 3 8 2 2" xfId="39020"/>
    <cellStyle name="Comma 2 5 3 3 3 8 3" xfId="32597"/>
    <cellStyle name="Comma 2 5 3 3 3 9" xfId="16185"/>
    <cellStyle name="Comma 2 5 3 3 3 9 2" xfId="35813"/>
    <cellStyle name="Comma 2 5 3 3 4" xfId="2491"/>
    <cellStyle name="Comma 2 5 3 3 4 2" xfId="11325"/>
    <cellStyle name="Comma 2 5 3 3 4 2 2" xfId="20124"/>
    <cellStyle name="Comma 2 5 3 3 4 2 2 2" xfId="41167"/>
    <cellStyle name="Comma 2 5 3 3 4 2 2 3" xfId="34744"/>
    <cellStyle name="Comma 2 5 3 3 4 2 3" xfId="22323"/>
    <cellStyle name="Comma 2 5 3 3 4 2 3 2" xfId="37960"/>
    <cellStyle name="Comma 2 5 3 3 4 2 4" xfId="31537"/>
    <cellStyle name="Comma 2 5 3 3 4 2 5" xfId="43302"/>
    <cellStyle name="Comma 2 5 3 3 4 3" xfId="8574"/>
    <cellStyle name="Comma 2 5 3 3 4 3 2" xfId="19034"/>
    <cellStyle name="Comma 2 5 3 3 4 3 2 2" xfId="40077"/>
    <cellStyle name="Comma 2 5 3 3 4 3 2 3" xfId="33654"/>
    <cellStyle name="Comma 2 5 3 3 4 3 3" xfId="23524"/>
    <cellStyle name="Comma 2 5 3 3 4 3 3 2" xfId="36870"/>
    <cellStyle name="Comma 2 5 3 3 4 3 4" xfId="30447"/>
    <cellStyle name="Comma 2 5 3 3 4 3 5" xfId="44353"/>
    <cellStyle name="Comma 2 5 3 3 4 4" xfId="7473"/>
    <cellStyle name="Comma 2 5 3 3 4 4 2" xfId="17976"/>
    <cellStyle name="Comma 2 5 3 3 4 4 2 2" xfId="39025"/>
    <cellStyle name="Comma 2 5 3 3 4 4 3" xfId="32602"/>
    <cellStyle name="Comma 2 5 3 3 4 5" xfId="16266"/>
    <cellStyle name="Comma 2 5 3 3 4 5 2" xfId="35818"/>
    <cellStyle name="Comma 2 5 3 3 4 6" xfId="21200"/>
    <cellStyle name="Comma 2 5 3 3 4 7" xfId="29395"/>
    <cellStyle name="Comma 2 5 3 3 4 8" xfId="42219"/>
    <cellStyle name="Comma 2 5 3 3 5" xfId="3354"/>
    <cellStyle name="Comma 2 5 3 3 5 2" xfId="11326"/>
    <cellStyle name="Comma 2 5 3 3 5 2 2" xfId="20125"/>
    <cellStyle name="Comma 2 5 3 3 5 2 2 2" xfId="41168"/>
    <cellStyle name="Comma 2 5 3 3 5 2 2 3" xfId="34745"/>
    <cellStyle name="Comma 2 5 3 3 5 2 3" xfId="22324"/>
    <cellStyle name="Comma 2 5 3 3 5 2 3 2" xfId="37961"/>
    <cellStyle name="Comma 2 5 3 3 5 2 4" xfId="31538"/>
    <cellStyle name="Comma 2 5 3 3 5 2 5" xfId="43303"/>
    <cellStyle name="Comma 2 5 3 3 5 3" xfId="8575"/>
    <cellStyle name="Comma 2 5 3 3 5 3 2" xfId="19035"/>
    <cellStyle name="Comma 2 5 3 3 5 3 2 2" xfId="40078"/>
    <cellStyle name="Comma 2 5 3 3 5 3 2 3" xfId="33655"/>
    <cellStyle name="Comma 2 5 3 3 5 3 3" xfId="23525"/>
    <cellStyle name="Comma 2 5 3 3 5 3 3 2" xfId="36871"/>
    <cellStyle name="Comma 2 5 3 3 5 3 4" xfId="30448"/>
    <cellStyle name="Comma 2 5 3 3 5 3 5" xfId="44354"/>
    <cellStyle name="Comma 2 5 3 3 5 4" xfId="7474"/>
    <cellStyle name="Comma 2 5 3 3 5 4 2" xfId="17977"/>
    <cellStyle name="Comma 2 5 3 3 5 4 2 2" xfId="39026"/>
    <cellStyle name="Comma 2 5 3 3 5 4 3" xfId="32603"/>
    <cellStyle name="Comma 2 5 3 3 5 5" xfId="16454"/>
    <cellStyle name="Comma 2 5 3 3 5 5 2" xfId="35819"/>
    <cellStyle name="Comma 2 5 3 3 5 6" xfId="21201"/>
    <cellStyle name="Comma 2 5 3 3 5 7" xfId="29396"/>
    <cellStyle name="Comma 2 5 3 3 5 8" xfId="42220"/>
    <cellStyle name="Comma 2 5 3 3 6" xfId="4222"/>
    <cellStyle name="Comma 2 5 3 3 6 2" xfId="11327"/>
    <cellStyle name="Comma 2 5 3 3 6 2 2" xfId="20126"/>
    <cellStyle name="Comma 2 5 3 3 6 2 2 2" xfId="41169"/>
    <cellStyle name="Comma 2 5 3 3 6 2 2 3" xfId="34746"/>
    <cellStyle name="Comma 2 5 3 3 6 2 3" xfId="22325"/>
    <cellStyle name="Comma 2 5 3 3 6 2 3 2" xfId="37962"/>
    <cellStyle name="Comma 2 5 3 3 6 2 4" xfId="31539"/>
    <cellStyle name="Comma 2 5 3 3 6 2 5" xfId="43304"/>
    <cellStyle name="Comma 2 5 3 3 6 3" xfId="8576"/>
    <cellStyle name="Comma 2 5 3 3 6 3 2" xfId="19036"/>
    <cellStyle name="Comma 2 5 3 3 6 3 2 2" xfId="40079"/>
    <cellStyle name="Comma 2 5 3 3 6 3 2 3" xfId="33656"/>
    <cellStyle name="Comma 2 5 3 3 6 3 3" xfId="23526"/>
    <cellStyle name="Comma 2 5 3 3 6 3 3 2" xfId="36872"/>
    <cellStyle name="Comma 2 5 3 3 6 3 4" xfId="30449"/>
    <cellStyle name="Comma 2 5 3 3 6 3 5" xfId="44355"/>
    <cellStyle name="Comma 2 5 3 3 6 4" xfId="7475"/>
    <cellStyle name="Comma 2 5 3 3 6 4 2" xfId="17978"/>
    <cellStyle name="Comma 2 5 3 3 6 4 2 2" xfId="39027"/>
    <cellStyle name="Comma 2 5 3 3 6 4 3" xfId="32604"/>
    <cellStyle name="Comma 2 5 3 3 6 5" xfId="16642"/>
    <cellStyle name="Comma 2 5 3 3 6 5 2" xfId="35820"/>
    <cellStyle name="Comma 2 5 3 3 6 6" xfId="21202"/>
    <cellStyle name="Comma 2 5 3 3 6 7" xfId="29397"/>
    <cellStyle name="Comma 2 5 3 3 6 8" xfId="42221"/>
    <cellStyle name="Comma 2 5 3 3 7" xfId="5055"/>
    <cellStyle name="Comma 2 5 3 3 7 2" xfId="11328"/>
    <cellStyle name="Comma 2 5 3 3 7 2 2" xfId="20127"/>
    <cellStyle name="Comma 2 5 3 3 7 2 2 2" xfId="41170"/>
    <cellStyle name="Comma 2 5 3 3 7 2 2 3" xfId="34747"/>
    <cellStyle name="Comma 2 5 3 3 7 2 3" xfId="22326"/>
    <cellStyle name="Comma 2 5 3 3 7 2 3 2" xfId="37963"/>
    <cellStyle name="Comma 2 5 3 3 7 2 4" xfId="31540"/>
    <cellStyle name="Comma 2 5 3 3 7 2 5" xfId="43305"/>
    <cellStyle name="Comma 2 5 3 3 7 3" xfId="8577"/>
    <cellStyle name="Comma 2 5 3 3 7 3 2" xfId="19037"/>
    <cellStyle name="Comma 2 5 3 3 7 3 2 2" xfId="40080"/>
    <cellStyle name="Comma 2 5 3 3 7 3 2 3" xfId="33657"/>
    <cellStyle name="Comma 2 5 3 3 7 3 3" xfId="23527"/>
    <cellStyle name="Comma 2 5 3 3 7 3 3 2" xfId="36873"/>
    <cellStyle name="Comma 2 5 3 3 7 3 4" xfId="30450"/>
    <cellStyle name="Comma 2 5 3 3 7 3 5" xfId="44356"/>
    <cellStyle name="Comma 2 5 3 3 7 4" xfId="7476"/>
    <cellStyle name="Comma 2 5 3 3 7 4 2" xfId="17979"/>
    <cellStyle name="Comma 2 5 3 3 7 4 2 2" xfId="39028"/>
    <cellStyle name="Comma 2 5 3 3 7 4 3" xfId="32605"/>
    <cellStyle name="Comma 2 5 3 3 7 5" xfId="16870"/>
    <cellStyle name="Comma 2 5 3 3 7 5 2" xfId="35821"/>
    <cellStyle name="Comma 2 5 3 3 7 6" xfId="21203"/>
    <cellStyle name="Comma 2 5 3 3 7 7" xfId="29398"/>
    <cellStyle name="Comma 2 5 3 3 7 8" xfId="42222"/>
    <cellStyle name="Comma 2 5 3 3 8" xfId="5484"/>
    <cellStyle name="Comma 2 5 3 3 8 2" xfId="11329"/>
    <cellStyle name="Comma 2 5 3 3 8 2 2" xfId="20128"/>
    <cellStyle name="Comma 2 5 3 3 8 2 2 2" xfId="41171"/>
    <cellStyle name="Comma 2 5 3 3 8 2 2 3" xfId="34748"/>
    <cellStyle name="Comma 2 5 3 3 8 2 3" xfId="22327"/>
    <cellStyle name="Comma 2 5 3 3 8 2 3 2" xfId="37964"/>
    <cellStyle name="Comma 2 5 3 3 8 2 4" xfId="31541"/>
    <cellStyle name="Comma 2 5 3 3 8 2 5" xfId="43306"/>
    <cellStyle name="Comma 2 5 3 3 8 3" xfId="8578"/>
    <cellStyle name="Comma 2 5 3 3 8 3 2" xfId="19038"/>
    <cellStyle name="Comma 2 5 3 3 8 3 2 2" xfId="40081"/>
    <cellStyle name="Comma 2 5 3 3 8 3 2 3" xfId="33658"/>
    <cellStyle name="Comma 2 5 3 3 8 3 3" xfId="23528"/>
    <cellStyle name="Comma 2 5 3 3 8 3 3 2" xfId="36874"/>
    <cellStyle name="Comma 2 5 3 3 8 3 4" xfId="30451"/>
    <cellStyle name="Comma 2 5 3 3 8 3 5" xfId="44357"/>
    <cellStyle name="Comma 2 5 3 3 8 4" xfId="7477"/>
    <cellStyle name="Comma 2 5 3 3 8 4 2" xfId="17980"/>
    <cellStyle name="Comma 2 5 3 3 8 4 2 2" xfId="39029"/>
    <cellStyle name="Comma 2 5 3 3 8 4 3" xfId="32606"/>
    <cellStyle name="Comma 2 5 3 3 8 5" xfId="16930"/>
    <cellStyle name="Comma 2 5 3 3 8 5 2" xfId="35822"/>
    <cellStyle name="Comma 2 5 3 3 8 6" xfId="21204"/>
    <cellStyle name="Comma 2 5 3 3 8 7" xfId="29399"/>
    <cellStyle name="Comma 2 5 3 3 8 8" xfId="42223"/>
    <cellStyle name="Comma 2 5 3 3 9" xfId="10275"/>
    <cellStyle name="Comma 2 5 3 3 9 2" xfId="19328"/>
    <cellStyle name="Comma 2 5 3 3 9 2 2" xfId="40371"/>
    <cellStyle name="Comma 2 5 3 3 9 2 3" xfId="33948"/>
    <cellStyle name="Comma 2 5 3 3 9 3" xfId="21528"/>
    <cellStyle name="Comma 2 5 3 3 9 3 2" xfId="37164"/>
    <cellStyle name="Comma 2 5 3 3 9 4" xfId="30741"/>
    <cellStyle name="Comma 2 5 3 3 9 5" xfId="42507"/>
    <cellStyle name="Comma 2 5 3 4" xfId="1848"/>
    <cellStyle name="Comma 2 5 3 4 10" xfId="16126"/>
    <cellStyle name="Comma 2 5 3 4 10 2" xfId="35029"/>
    <cellStyle name="Comma 2 5 3 4 11" xfId="21205"/>
    <cellStyle name="Comma 2 5 3 4 12" xfId="28604"/>
    <cellStyle name="Comma 2 5 3 4 13" xfId="42224"/>
    <cellStyle name="Comma 2 5 3 4 2" xfId="2738"/>
    <cellStyle name="Comma 2 5 3 4 2 2" xfId="11330"/>
    <cellStyle name="Comma 2 5 3 4 2 2 2" xfId="20129"/>
    <cellStyle name="Comma 2 5 3 4 2 2 2 2" xfId="41172"/>
    <cellStyle name="Comma 2 5 3 4 2 2 2 3" xfId="34749"/>
    <cellStyle name="Comma 2 5 3 4 2 2 3" xfId="22328"/>
    <cellStyle name="Comma 2 5 3 4 2 2 3 2" xfId="37965"/>
    <cellStyle name="Comma 2 5 3 4 2 2 4" xfId="31542"/>
    <cellStyle name="Comma 2 5 3 4 2 2 5" xfId="43307"/>
    <cellStyle name="Comma 2 5 3 4 2 3" xfId="8580"/>
    <cellStyle name="Comma 2 5 3 4 2 3 2" xfId="19040"/>
    <cellStyle name="Comma 2 5 3 4 2 3 2 2" xfId="40083"/>
    <cellStyle name="Comma 2 5 3 4 2 3 2 3" xfId="33660"/>
    <cellStyle name="Comma 2 5 3 4 2 3 3" xfId="23530"/>
    <cellStyle name="Comma 2 5 3 4 2 3 3 2" xfId="36876"/>
    <cellStyle name="Comma 2 5 3 4 2 3 4" xfId="30453"/>
    <cellStyle name="Comma 2 5 3 4 2 3 5" xfId="44359"/>
    <cellStyle name="Comma 2 5 3 4 2 4" xfId="7478"/>
    <cellStyle name="Comma 2 5 3 4 2 4 2" xfId="17981"/>
    <cellStyle name="Comma 2 5 3 4 2 4 2 2" xfId="39030"/>
    <cellStyle name="Comma 2 5 3 4 2 4 3" xfId="32607"/>
    <cellStyle name="Comma 2 5 3 4 2 5" xfId="16316"/>
    <cellStyle name="Comma 2 5 3 4 2 5 2" xfId="35823"/>
    <cellStyle name="Comma 2 5 3 4 2 6" xfId="21206"/>
    <cellStyle name="Comma 2 5 3 4 2 7" xfId="29400"/>
    <cellStyle name="Comma 2 5 3 4 2 8" xfId="42225"/>
    <cellStyle name="Comma 2 5 3 4 3" xfId="3602"/>
    <cellStyle name="Comma 2 5 3 4 3 2" xfId="11331"/>
    <cellStyle name="Comma 2 5 3 4 3 2 2" xfId="20130"/>
    <cellStyle name="Comma 2 5 3 4 3 2 2 2" xfId="41173"/>
    <cellStyle name="Comma 2 5 3 4 3 2 2 3" xfId="34750"/>
    <cellStyle name="Comma 2 5 3 4 3 2 3" xfId="22329"/>
    <cellStyle name="Comma 2 5 3 4 3 2 3 2" xfId="37966"/>
    <cellStyle name="Comma 2 5 3 4 3 2 4" xfId="31543"/>
    <cellStyle name="Comma 2 5 3 4 3 2 5" xfId="43308"/>
    <cellStyle name="Comma 2 5 3 4 3 3" xfId="8581"/>
    <cellStyle name="Comma 2 5 3 4 3 3 2" xfId="19041"/>
    <cellStyle name="Comma 2 5 3 4 3 3 2 2" xfId="40084"/>
    <cellStyle name="Comma 2 5 3 4 3 3 2 3" xfId="33661"/>
    <cellStyle name="Comma 2 5 3 4 3 3 3" xfId="23531"/>
    <cellStyle name="Comma 2 5 3 4 3 3 3 2" xfId="36877"/>
    <cellStyle name="Comma 2 5 3 4 3 3 4" xfId="30454"/>
    <cellStyle name="Comma 2 5 3 4 3 3 5" xfId="44360"/>
    <cellStyle name="Comma 2 5 3 4 3 4" xfId="7479"/>
    <cellStyle name="Comma 2 5 3 4 3 4 2" xfId="17982"/>
    <cellStyle name="Comma 2 5 3 4 3 4 2 2" xfId="39031"/>
    <cellStyle name="Comma 2 5 3 4 3 4 3" xfId="32608"/>
    <cellStyle name="Comma 2 5 3 4 3 5" xfId="16504"/>
    <cellStyle name="Comma 2 5 3 4 3 5 2" xfId="35824"/>
    <cellStyle name="Comma 2 5 3 4 3 6" xfId="21207"/>
    <cellStyle name="Comma 2 5 3 4 3 7" xfId="29401"/>
    <cellStyle name="Comma 2 5 3 4 3 8" xfId="42226"/>
    <cellStyle name="Comma 2 5 3 4 4" xfId="4477"/>
    <cellStyle name="Comma 2 5 3 4 4 2" xfId="11332"/>
    <cellStyle name="Comma 2 5 3 4 4 2 2" xfId="20131"/>
    <cellStyle name="Comma 2 5 3 4 4 2 2 2" xfId="41174"/>
    <cellStyle name="Comma 2 5 3 4 4 2 2 3" xfId="34751"/>
    <cellStyle name="Comma 2 5 3 4 4 2 3" xfId="22330"/>
    <cellStyle name="Comma 2 5 3 4 4 2 3 2" xfId="37967"/>
    <cellStyle name="Comma 2 5 3 4 4 2 4" xfId="31544"/>
    <cellStyle name="Comma 2 5 3 4 4 2 5" xfId="43309"/>
    <cellStyle name="Comma 2 5 3 4 4 3" xfId="8582"/>
    <cellStyle name="Comma 2 5 3 4 4 3 2" xfId="19042"/>
    <cellStyle name="Comma 2 5 3 4 4 3 2 2" xfId="40085"/>
    <cellStyle name="Comma 2 5 3 4 4 3 2 3" xfId="33662"/>
    <cellStyle name="Comma 2 5 3 4 4 3 3" xfId="23532"/>
    <cellStyle name="Comma 2 5 3 4 4 3 3 2" xfId="36878"/>
    <cellStyle name="Comma 2 5 3 4 4 3 4" xfId="30455"/>
    <cellStyle name="Comma 2 5 3 4 4 3 5" xfId="44361"/>
    <cellStyle name="Comma 2 5 3 4 4 4" xfId="7480"/>
    <cellStyle name="Comma 2 5 3 4 4 4 2" xfId="17983"/>
    <cellStyle name="Comma 2 5 3 4 4 4 2 2" xfId="39032"/>
    <cellStyle name="Comma 2 5 3 4 4 4 3" xfId="32609"/>
    <cellStyle name="Comma 2 5 3 4 4 5" xfId="16692"/>
    <cellStyle name="Comma 2 5 3 4 4 5 2" xfId="35825"/>
    <cellStyle name="Comma 2 5 3 4 4 6" xfId="21208"/>
    <cellStyle name="Comma 2 5 3 4 4 7" xfId="29402"/>
    <cellStyle name="Comma 2 5 3 4 4 8" xfId="42227"/>
    <cellStyle name="Comma 2 5 3 4 5" xfId="5057"/>
    <cellStyle name="Comma 2 5 3 4 5 2" xfId="11333"/>
    <cellStyle name="Comma 2 5 3 4 5 2 2" xfId="20132"/>
    <cellStyle name="Comma 2 5 3 4 5 2 2 2" xfId="41175"/>
    <cellStyle name="Comma 2 5 3 4 5 2 2 3" xfId="34752"/>
    <cellStyle name="Comma 2 5 3 4 5 2 3" xfId="22331"/>
    <cellStyle name="Comma 2 5 3 4 5 2 3 2" xfId="37968"/>
    <cellStyle name="Comma 2 5 3 4 5 2 4" xfId="31545"/>
    <cellStyle name="Comma 2 5 3 4 5 2 5" xfId="43310"/>
    <cellStyle name="Comma 2 5 3 4 5 3" xfId="8583"/>
    <cellStyle name="Comma 2 5 3 4 5 3 2" xfId="19043"/>
    <cellStyle name="Comma 2 5 3 4 5 3 2 2" xfId="40086"/>
    <cellStyle name="Comma 2 5 3 4 5 3 2 3" xfId="33663"/>
    <cellStyle name="Comma 2 5 3 4 5 3 3" xfId="23533"/>
    <cellStyle name="Comma 2 5 3 4 5 3 3 2" xfId="36879"/>
    <cellStyle name="Comma 2 5 3 4 5 3 4" xfId="30456"/>
    <cellStyle name="Comma 2 5 3 4 5 3 5" xfId="44362"/>
    <cellStyle name="Comma 2 5 3 4 5 4" xfId="7481"/>
    <cellStyle name="Comma 2 5 3 4 5 4 2" xfId="17984"/>
    <cellStyle name="Comma 2 5 3 4 5 4 2 2" xfId="39033"/>
    <cellStyle name="Comma 2 5 3 4 5 4 3" xfId="32610"/>
    <cellStyle name="Comma 2 5 3 4 5 5" xfId="16872"/>
    <cellStyle name="Comma 2 5 3 4 5 5 2" xfId="35826"/>
    <cellStyle name="Comma 2 5 3 4 5 6" xfId="21209"/>
    <cellStyle name="Comma 2 5 3 4 5 7" xfId="29403"/>
    <cellStyle name="Comma 2 5 3 4 5 8" xfId="42228"/>
    <cellStyle name="Comma 2 5 3 4 6" xfId="5742"/>
    <cellStyle name="Comma 2 5 3 4 6 2" xfId="11334"/>
    <cellStyle name="Comma 2 5 3 4 6 2 2" xfId="20133"/>
    <cellStyle name="Comma 2 5 3 4 6 2 2 2" xfId="41176"/>
    <cellStyle name="Comma 2 5 3 4 6 2 2 3" xfId="34753"/>
    <cellStyle name="Comma 2 5 3 4 6 2 3" xfId="22332"/>
    <cellStyle name="Comma 2 5 3 4 6 2 3 2" xfId="37969"/>
    <cellStyle name="Comma 2 5 3 4 6 2 4" xfId="31546"/>
    <cellStyle name="Comma 2 5 3 4 6 2 5" xfId="43311"/>
    <cellStyle name="Comma 2 5 3 4 6 3" xfId="8584"/>
    <cellStyle name="Comma 2 5 3 4 6 3 2" xfId="19044"/>
    <cellStyle name="Comma 2 5 3 4 6 3 2 2" xfId="40087"/>
    <cellStyle name="Comma 2 5 3 4 6 3 2 3" xfId="33664"/>
    <cellStyle name="Comma 2 5 3 4 6 3 3" xfId="23534"/>
    <cellStyle name="Comma 2 5 3 4 6 3 3 2" xfId="36880"/>
    <cellStyle name="Comma 2 5 3 4 6 3 4" xfId="30457"/>
    <cellStyle name="Comma 2 5 3 4 6 3 5" xfId="44363"/>
    <cellStyle name="Comma 2 5 3 4 6 4" xfId="7482"/>
    <cellStyle name="Comma 2 5 3 4 6 4 2" xfId="17985"/>
    <cellStyle name="Comma 2 5 3 4 6 4 2 2" xfId="39034"/>
    <cellStyle name="Comma 2 5 3 4 6 4 3" xfId="32611"/>
    <cellStyle name="Comma 2 5 3 4 6 5" xfId="16980"/>
    <cellStyle name="Comma 2 5 3 4 6 5 2" xfId="35827"/>
    <cellStyle name="Comma 2 5 3 4 6 6" xfId="21210"/>
    <cellStyle name="Comma 2 5 3 4 6 7" xfId="29404"/>
    <cellStyle name="Comma 2 5 3 4 6 8" xfId="42229"/>
    <cellStyle name="Comma 2 5 3 4 7" xfId="10277"/>
    <cellStyle name="Comma 2 5 3 4 7 2" xfId="19330"/>
    <cellStyle name="Comma 2 5 3 4 7 2 2" xfId="40373"/>
    <cellStyle name="Comma 2 5 3 4 7 2 3" xfId="33950"/>
    <cellStyle name="Comma 2 5 3 4 7 3" xfId="21530"/>
    <cellStyle name="Comma 2 5 3 4 7 3 2" xfId="37166"/>
    <cellStyle name="Comma 2 5 3 4 7 4" xfId="30743"/>
    <cellStyle name="Comma 2 5 3 4 7 5" xfId="42509"/>
    <cellStyle name="Comma 2 5 3 4 8" xfId="8579"/>
    <cellStyle name="Comma 2 5 3 4 8 2" xfId="19039"/>
    <cellStyle name="Comma 2 5 3 4 8 2 2" xfId="40082"/>
    <cellStyle name="Comma 2 5 3 4 8 2 3" xfId="33659"/>
    <cellStyle name="Comma 2 5 3 4 8 3" xfId="23529"/>
    <cellStyle name="Comma 2 5 3 4 8 3 2" xfId="36875"/>
    <cellStyle name="Comma 2 5 3 4 8 4" xfId="30452"/>
    <cellStyle name="Comma 2 5 3 4 8 5" xfId="44358"/>
    <cellStyle name="Comma 2 5 3 4 9" xfId="6676"/>
    <cellStyle name="Comma 2 5 3 4 9 2" xfId="17183"/>
    <cellStyle name="Comma 2 5 3 4 9 2 2" xfId="38236"/>
    <cellStyle name="Comma 2 5 3 4 9 3" xfId="31813"/>
    <cellStyle name="Comma 2 5 3 5" xfId="2123"/>
    <cellStyle name="Comma 2 5 3 5 10" xfId="21211"/>
    <cellStyle name="Comma 2 5 3 5 11" xfId="29405"/>
    <cellStyle name="Comma 2 5 3 5 12" xfId="42230"/>
    <cellStyle name="Comma 2 5 3 5 2" xfId="2993"/>
    <cellStyle name="Comma 2 5 3 5 2 2" xfId="11336"/>
    <cellStyle name="Comma 2 5 3 5 2 2 2" xfId="20135"/>
    <cellStyle name="Comma 2 5 3 5 2 2 2 2" xfId="41178"/>
    <cellStyle name="Comma 2 5 3 5 2 2 2 3" xfId="34755"/>
    <cellStyle name="Comma 2 5 3 5 2 2 3" xfId="22334"/>
    <cellStyle name="Comma 2 5 3 5 2 2 3 2" xfId="37971"/>
    <cellStyle name="Comma 2 5 3 5 2 2 4" xfId="31548"/>
    <cellStyle name="Comma 2 5 3 5 2 2 5" xfId="43313"/>
    <cellStyle name="Comma 2 5 3 5 2 3" xfId="8586"/>
    <cellStyle name="Comma 2 5 3 5 2 3 2" xfId="19046"/>
    <cellStyle name="Comma 2 5 3 5 2 3 2 2" xfId="40089"/>
    <cellStyle name="Comma 2 5 3 5 2 3 2 3" xfId="33666"/>
    <cellStyle name="Comma 2 5 3 5 2 3 3" xfId="23536"/>
    <cellStyle name="Comma 2 5 3 5 2 3 3 2" xfId="36882"/>
    <cellStyle name="Comma 2 5 3 5 2 3 4" xfId="30459"/>
    <cellStyle name="Comma 2 5 3 5 2 3 5" xfId="44365"/>
    <cellStyle name="Comma 2 5 3 5 2 4" xfId="7484"/>
    <cellStyle name="Comma 2 5 3 5 2 4 2" xfId="17987"/>
    <cellStyle name="Comma 2 5 3 5 2 4 2 2" xfId="39036"/>
    <cellStyle name="Comma 2 5 3 5 2 4 3" xfId="32613"/>
    <cellStyle name="Comma 2 5 3 5 2 5" xfId="16371"/>
    <cellStyle name="Comma 2 5 3 5 2 5 2" xfId="35829"/>
    <cellStyle name="Comma 2 5 3 5 2 6" xfId="21212"/>
    <cellStyle name="Comma 2 5 3 5 2 7" xfId="29406"/>
    <cellStyle name="Comma 2 5 3 5 2 8" xfId="42231"/>
    <cellStyle name="Comma 2 5 3 5 3" xfId="3863"/>
    <cellStyle name="Comma 2 5 3 5 3 2" xfId="11337"/>
    <cellStyle name="Comma 2 5 3 5 3 2 2" xfId="20136"/>
    <cellStyle name="Comma 2 5 3 5 3 2 2 2" xfId="41179"/>
    <cellStyle name="Comma 2 5 3 5 3 2 2 3" xfId="34756"/>
    <cellStyle name="Comma 2 5 3 5 3 2 3" xfId="22335"/>
    <cellStyle name="Comma 2 5 3 5 3 2 3 2" xfId="37972"/>
    <cellStyle name="Comma 2 5 3 5 3 2 4" xfId="31549"/>
    <cellStyle name="Comma 2 5 3 5 3 2 5" xfId="43314"/>
    <cellStyle name="Comma 2 5 3 5 3 3" xfId="8587"/>
    <cellStyle name="Comma 2 5 3 5 3 3 2" xfId="19047"/>
    <cellStyle name="Comma 2 5 3 5 3 3 2 2" xfId="40090"/>
    <cellStyle name="Comma 2 5 3 5 3 3 2 3" xfId="33667"/>
    <cellStyle name="Comma 2 5 3 5 3 3 3" xfId="23537"/>
    <cellStyle name="Comma 2 5 3 5 3 3 3 2" xfId="36883"/>
    <cellStyle name="Comma 2 5 3 5 3 3 4" xfId="30460"/>
    <cellStyle name="Comma 2 5 3 5 3 3 5" xfId="44366"/>
    <cellStyle name="Comma 2 5 3 5 3 4" xfId="7485"/>
    <cellStyle name="Comma 2 5 3 5 3 4 2" xfId="17988"/>
    <cellStyle name="Comma 2 5 3 5 3 4 2 2" xfId="39037"/>
    <cellStyle name="Comma 2 5 3 5 3 4 3" xfId="32614"/>
    <cellStyle name="Comma 2 5 3 5 3 5" xfId="16559"/>
    <cellStyle name="Comma 2 5 3 5 3 5 2" xfId="35830"/>
    <cellStyle name="Comma 2 5 3 5 3 6" xfId="21213"/>
    <cellStyle name="Comma 2 5 3 5 3 7" xfId="29407"/>
    <cellStyle name="Comma 2 5 3 5 3 8" xfId="42232"/>
    <cellStyle name="Comma 2 5 3 5 4" xfId="4741"/>
    <cellStyle name="Comma 2 5 3 5 4 2" xfId="11338"/>
    <cellStyle name="Comma 2 5 3 5 4 2 2" xfId="20137"/>
    <cellStyle name="Comma 2 5 3 5 4 2 2 2" xfId="41180"/>
    <cellStyle name="Comma 2 5 3 5 4 2 2 3" xfId="34757"/>
    <cellStyle name="Comma 2 5 3 5 4 2 3" xfId="22336"/>
    <cellStyle name="Comma 2 5 3 5 4 2 3 2" xfId="37973"/>
    <cellStyle name="Comma 2 5 3 5 4 2 4" xfId="31550"/>
    <cellStyle name="Comma 2 5 3 5 4 2 5" xfId="43315"/>
    <cellStyle name="Comma 2 5 3 5 4 3" xfId="8588"/>
    <cellStyle name="Comma 2 5 3 5 4 3 2" xfId="19048"/>
    <cellStyle name="Comma 2 5 3 5 4 3 2 2" xfId="40091"/>
    <cellStyle name="Comma 2 5 3 5 4 3 2 3" xfId="33668"/>
    <cellStyle name="Comma 2 5 3 5 4 3 3" xfId="23538"/>
    <cellStyle name="Comma 2 5 3 5 4 3 3 2" xfId="36884"/>
    <cellStyle name="Comma 2 5 3 5 4 3 4" xfId="30461"/>
    <cellStyle name="Comma 2 5 3 5 4 3 5" xfId="44367"/>
    <cellStyle name="Comma 2 5 3 5 4 4" xfId="7486"/>
    <cellStyle name="Comma 2 5 3 5 4 4 2" xfId="17989"/>
    <cellStyle name="Comma 2 5 3 5 4 4 2 2" xfId="39038"/>
    <cellStyle name="Comma 2 5 3 5 4 4 3" xfId="32615"/>
    <cellStyle name="Comma 2 5 3 5 4 5" xfId="16747"/>
    <cellStyle name="Comma 2 5 3 5 4 5 2" xfId="35831"/>
    <cellStyle name="Comma 2 5 3 5 4 6" xfId="21214"/>
    <cellStyle name="Comma 2 5 3 5 4 7" xfId="29408"/>
    <cellStyle name="Comma 2 5 3 5 4 8" xfId="42233"/>
    <cellStyle name="Comma 2 5 3 5 5" xfId="6006"/>
    <cellStyle name="Comma 2 5 3 5 5 2" xfId="11339"/>
    <cellStyle name="Comma 2 5 3 5 5 2 2" xfId="20138"/>
    <cellStyle name="Comma 2 5 3 5 5 2 2 2" xfId="41181"/>
    <cellStyle name="Comma 2 5 3 5 5 2 2 3" xfId="34758"/>
    <cellStyle name="Comma 2 5 3 5 5 2 3" xfId="22337"/>
    <cellStyle name="Comma 2 5 3 5 5 2 3 2" xfId="37974"/>
    <cellStyle name="Comma 2 5 3 5 5 2 4" xfId="31551"/>
    <cellStyle name="Comma 2 5 3 5 5 2 5" xfId="43316"/>
    <cellStyle name="Comma 2 5 3 5 5 3" xfId="8589"/>
    <cellStyle name="Comma 2 5 3 5 5 3 2" xfId="19049"/>
    <cellStyle name="Comma 2 5 3 5 5 3 2 2" xfId="40092"/>
    <cellStyle name="Comma 2 5 3 5 5 3 2 3" xfId="33669"/>
    <cellStyle name="Comma 2 5 3 5 5 3 3" xfId="23539"/>
    <cellStyle name="Comma 2 5 3 5 5 3 3 2" xfId="36885"/>
    <cellStyle name="Comma 2 5 3 5 5 3 4" xfId="30462"/>
    <cellStyle name="Comma 2 5 3 5 5 3 5" xfId="44368"/>
    <cellStyle name="Comma 2 5 3 5 5 4" xfId="7487"/>
    <cellStyle name="Comma 2 5 3 5 5 4 2" xfId="17990"/>
    <cellStyle name="Comma 2 5 3 5 5 4 2 2" xfId="39039"/>
    <cellStyle name="Comma 2 5 3 5 5 4 3" xfId="32616"/>
    <cellStyle name="Comma 2 5 3 5 5 5" xfId="17035"/>
    <cellStyle name="Comma 2 5 3 5 5 5 2" xfId="35832"/>
    <cellStyle name="Comma 2 5 3 5 5 6" xfId="21215"/>
    <cellStyle name="Comma 2 5 3 5 5 7" xfId="29409"/>
    <cellStyle name="Comma 2 5 3 5 5 8" xfId="42234"/>
    <cellStyle name="Comma 2 5 3 5 6" xfId="11335"/>
    <cellStyle name="Comma 2 5 3 5 6 2" xfId="20134"/>
    <cellStyle name="Comma 2 5 3 5 6 2 2" xfId="41177"/>
    <cellStyle name="Comma 2 5 3 5 6 2 3" xfId="34754"/>
    <cellStyle name="Comma 2 5 3 5 6 3" xfId="22333"/>
    <cellStyle name="Comma 2 5 3 5 6 3 2" xfId="37970"/>
    <cellStyle name="Comma 2 5 3 5 6 4" xfId="31547"/>
    <cellStyle name="Comma 2 5 3 5 6 5" xfId="43312"/>
    <cellStyle name="Comma 2 5 3 5 7" xfId="8585"/>
    <cellStyle name="Comma 2 5 3 5 7 2" xfId="19045"/>
    <cellStyle name="Comma 2 5 3 5 7 2 2" xfId="40088"/>
    <cellStyle name="Comma 2 5 3 5 7 2 3" xfId="33665"/>
    <cellStyle name="Comma 2 5 3 5 7 3" xfId="23535"/>
    <cellStyle name="Comma 2 5 3 5 7 3 2" xfId="36881"/>
    <cellStyle name="Comma 2 5 3 5 7 4" xfId="30458"/>
    <cellStyle name="Comma 2 5 3 5 7 5" xfId="44364"/>
    <cellStyle name="Comma 2 5 3 5 8" xfId="7483"/>
    <cellStyle name="Comma 2 5 3 5 8 2" xfId="17986"/>
    <cellStyle name="Comma 2 5 3 5 8 2 2" xfId="39035"/>
    <cellStyle name="Comma 2 5 3 5 8 3" xfId="32612"/>
    <cellStyle name="Comma 2 5 3 5 9" xfId="16182"/>
    <cellStyle name="Comma 2 5 3 5 9 2" xfId="35828"/>
    <cellStyle name="Comma 2 5 3 6" xfId="2301"/>
    <cellStyle name="Comma 2 5 3 6 10" xfId="21216"/>
    <cellStyle name="Comma 2 5 3 6 11" xfId="29410"/>
    <cellStyle name="Comma 2 5 3 6 12" xfId="42235"/>
    <cellStyle name="Comma 2 5 3 6 2" xfId="3160"/>
    <cellStyle name="Comma 2 5 3 6 2 2" xfId="11341"/>
    <cellStyle name="Comma 2 5 3 6 2 2 2" xfId="20140"/>
    <cellStyle name="Comma 2 5 3 6 2 2 2 2" xfId="41183"/>
    <cellStyle name="Comma 2 5 3 6 2 2 2 3" xfId="34760"/>
    <cellStyle name="Comma 2 5 3 6 2 2 3" xfId="22339"/>
    <cellStyle name="Comma 2 5 3 6 2 2 3 2" xfId="37976"/>
    <cellStyle name="Comma 2 5 3 6 2 2 4" xfId="31553"/>
    <cellStyle name="Comma 2 5 3 6 2 2 5" xfId="43318"/>
    <cellStyle name="Comma 2 5 3 6 2 3" xfId="8591"/>
    <cellStyle name="Comma 2 5 3 6 2 3 2" xfId="19051"/>
    <cellStyle name="Comma 2 5 3 6 2 3 2 2" xfId="40094"/>
    <cellStyle name="Comma 2 5 3 6 2 3 2 3" xfId="33671"/>
    <cellStyle name="Comma 2 5 3 6 2 3 3" xfId="23541"/>
    <cellStyle name="Comma 2 5 3 6 2 3 3 2" xfId="36887"/>
    <cellStyle name="Comma 2 5 3 6 2 3 4" xfId="30464"/>
    <cellStyle name="Comma 2 5 3 6 2 3 5" xfId="44370"/>
    <cellStyle name="Comma 2 5 3 6 2 4" xfId="7489"/>
    <cellStyle name="Comma 2 5 3 6 2 4 2" xfId="17992"/>
    <cellStyle name="Comma 2 5 3 6 2 4 2 2" xfId="39041"/>
    <cellStyle name="Comma 2 5 3 6 2 4 3" xfId="32618"/>
    <cellStyle name="Comma 2 5 3 6 2 5" xfId="16391"/>
    <cellStyle name="Comma 2 5 3 6 2 5 2" xfId="35834"/>
    <cellStyle name="Comma 2 5 3 6 2 6" xfId="21217"/>
    <cellStyle name="Comma 2 5 3 6 2 7" xfId="29411"/>
    <cellStyle name="Comma 2 5 3 6 2 8" xfId="42236"/>
    <cellStyle name="Comma 2 5 3 6 3" xfId="4026"/>
    <cellStyle name="Comma 2 5 3 6 3 2" xfId="11342"/>
    <cellStyle name="Comma 2 5 3 6 3 2 2" xfId="20141"/>
    <cellStyle name="Comma 2 5 3 6 3 2 2 2" xfId="41184"/>
    <cellStyle name="Comma 2 5 3 6 3 2 2 3" xfId="34761"/>
    <cellStyle name="Comma 2 5 3 6 3 2 3" xfId="22340"/>
    <cellStyle name="Comma 2 5 3 6 3 2 3 2" xfId="37977"/>
    <cellStyle name="Comma 2 5 3 6 3 2 4" xfId="31554"/>
    <cellStyle name="Comma 2 5 3 6 3 2 5" xfId="43319"/>
    <cellStyle name="Comma 2 5 3 6 3 3" xfId="8592"/>
    <cellStyle name="Comma 2 5 3 6 3 3 2" xfId="19052"/>
    <cellStyle name="Comma 2 5 3 6 3 3 2 2" xfId="40095"/>
    <cellStyle name="Comma 2 5 3 6 3 3 2 3" xfId="33672"/>
    <cellStyle name="Comma 2 5 3 6 3 3 3" xfId="23542"/>
    <cellStyle name="Comma 2 5 3 6 3 3 3 2" xfId="36888"/>
    <cellStyle name="Comma 2 5 3 6 3 3 4" xfId="30465"/>
    <cellStyle name="Comma 2 5 3 6 3 3 5" xfId="44371"/>
    <cellStyle name="Comma 2 5 3 6 3 4" xfId="7490"/>
    <cellStyle name="Comma 2 5 3 6 3 4 2" xfId="17993"/>
    <cellStyle name="Comma 2 5 3 6 3 4 2 2" xfId="39042"/>
    <cellStyle name="Comma 2 5 3 6 3 4 3" xfId="32619"/>
    <cellStyle name="Comma 2 5 3 6 3 5" xfId="16579"/>
    <cellStyle name="Comma 2 5 3 6 3 5 2" xfId="35835"/>
    <cellStyle name="Comma 2 5 3 6 3 6" xfId="21218"/>
    <cellStyle name="Comma 2 5 3 6 3 7" xfId="29412"/>
    <cellStyle name="Comma 2 5 3 6 3 8" xfId="42237"/>
    <cellStyle name="Comma 2 5 3 6 4" xfId="4905"/>
    <cellStyle name="Comma 2 5 3 6 4 2" xfId="11343"/>
    <cellStyle name="Comma 2 5 3 6 4 2 2" xfId="20142"/>
    <cellStyle name="Comma 2 5 3 6 4 2 2 2" xfId="41185"/>
    <cellStyle name="Comma 2 5 3 6 4 2 2 3" xfId="34762"/>
    <cellStyle name="Comma 2 5 3 6 4 2 3" xfId="22341"/>
    <cellStyle name="Comma 2 5 3 6 4 2 3 2" xfId="37978"/>
    <cellStyle name="Comma 2 5 3 6 4 2 4" xfId="31555"/>
    <cellStyle name="Comma 2 5 3 6 4 2 5" xfId="43320"/>
    <cellStyle name="Comma 2 5 3 6 4 3" xfId="8593"/>
    <cellStyle name="Comma 2 5 3 6 4 3 2" xfId="19053"/>
    <cellStyle name="Comma 2 5 3 6 4 3 2 2" xfId="40096"/>
    <cellStyle name="Comma 2 5 3 6 4 3 2 3" xfId="33673"/>
    <cellStyle name="Comma 2 5 3 6 4 3 3" xfId="23543"/>
    <cellStyle name="Comma 2 5 3 6 4 3 3 2" xfId="36889"/>
    <cellStyle name="Comma 2 5 3 6 4 3 4" xfId="30466"/>
    <cellStyle name="Comma 2 5 3 6 4 3 5" xfId="44372"/>
    <cellStyle name="Comma 2 5 3 6 4 4" xfId="7491"/>
    <cellStyle name="Comma 2 5 3 6 4 4 2" xfId="17994"/>
    <cellStyle name="Comma 2 5 3 6 4 4 2 2" xfId="39043"/>
    <cellStyle name="Comma 2 5 3 6 4 4 3" xfId="32620"/>
    <cellStyle name="Comma 2 5 3 6 4 5" xfId="16767"/>
    <cellStyle name="Comma 2 5 3 6 4 5 2" xfId="35836"/>
    <cellStyle name="Comma 2 5 3 6 4 6" xfId="21219"/>
    <cellStyle name="Comma 2 5 3 6 4 7" xfId="29413"/>
    <cellStyle name="Comma 2 5 3 6 4 8" xfId="42238"/>
    <cellStyle name="Comma 2 5 3 6 5" xfId="6170"/>
    <cellStyle name="Comma 2 5 3 6 5 2" xfId="11344"/>
    <cellStyle name="Comma 2 5 3 6 5 2 2" xfId="20143"/>
    <cellStyle name="Comma 2 5 3 6 5 2 2 2" xfId="41186"/>
    <cellStyle name="Comma 2 5 3 6 5 2 2 3" xfId="34763"/>
    <cellStyle name="Comma 2 5 3 6 5 2 3" xfId="22342"/>
    <cellStyle name="Comma 2 5 3 6 5 2 3 2" xfId="37979"/>
    <cellStyle name="Comma 2 5 3 6 5 2 4" xfId="31556"/>
    <cellStyle name="Comma 2 5 3 6 5 2 5" xfId="43321"/>
    <cellStyle name="Comma 2 5 3 6 5 3" xfId="8594"/>
    <cellStyle name="Comma 2 5 3 6 5 3 2" xfId="19054"/>
    <cellStyle name="Comma 2 5 3 6 5 3 2 2" xfId="40097"/>
    <cellStyle name="Comma 2 5 3 6 5 3 2 3" xfId="33674"/>
    <cellStyle name="Comma 2 5 3 6 5 3 3" xfId="23544"/>
    <cellStyle name="Comma 2 5 3 6 5 3 3 2" xfId="36890"/>
    <cellStyle name="Comma 2 5 3 6 5 3 4" xfId="30467"/>
    <cellStyle name="Comma 2 5 3 6 5 3 5" xfId="44373"/>
    <cellStyle name="Comma 2 5 3 6 5 4" xfId="7492"/>
    <cellStyle name="Comma 2 5 3 6 5 4 2" xfId="17995"/>
    <cellStyle name="Comma 2 5 3 6 5 4 2 2" xfId="39044"/>
    <cellStyle name="Comma 2 5 3 6 5 4 3" xfId="32621"/>
    <cellStyle name="Comma 2 5 3 6 5 5" xfId="17055"/>
    <cellStyle name="Comma 2 5 3 6 5 5 2" xfId="35837"/>
    <cellStyle name="Comma 2 5 3 6 5 6" xfId="21220"/>
    <cellStyle name="Comma 2 5 3 6 5 7" xfId="29414"/>
    <cellStyle name="Comma 2 5 3 6 5 8" xfId="42239"/>
    <cellStyle name="Comma 2 5 3 6 6" xfId="11340"/>
    <cellStyle name="Comma 2 5 3 6 6 2" xfId="20139"/>
    <cellStyle name="Comma 2 5 3 6 6 2 2" xfId="41182"/>
    <cellStyle name="Comma 2 5 3 6 6 2 3" xfId="34759"/>
    <cellStyle name="Comma 2 5 3 6 6 3" xfId="22338"/>
    <cellStyle name="Comma 2 5 3 6 6 3 2" xfId="37975"/>
    <cellStyle name="Comma 2 5 3 6 6 4" xfId="31552"/>
    <cellStyle name="Comma 2 5 3 6 6 5" xfId="43317"/>
    <cellStyle name="Comma 2 5 3 6 7" xfId="8590"/>
    <cellStyle name="Comma 2 5 3 6 7 2" xfId="19050"/>
    <cellStyle name="Comma 2 5 3 6 7 2 2" xfId="40093"/>
    <cellStyle name="Comma 2 5 3 6 7 2 3" xfId="33670"/>
    <cellStyle name="Comma 2 5 3 6 7 3" xfId="23540"/>
    <cellStyle name="Comma 2 5 3 6 7 3 2" xfId="36886"/>
    <cellStyle name="Comma 2 5 3 6 7 4" xfId="30463"/>
    <cellStyle name="Comma 2 5 3 6 7 5" xfId="44369"/>
    <cellStyle name="Comma 2 5 3 6 8" xfId="7488"/>
    <cellStyle name="Comma 2 5 3 6 8 2" xfId="17991"/>
    <cellStyle name="Comma 2 5 3 6 8 2 2" xfId="39040"/>
    <cellStyle name="Comma 2 5 3 6 8 3" xfId="32617"/>
    <cellStyle name="Comma 2 5 3 6 9" xfId="16203"/>
    <cellStyle name="Comma 2 5 3 6 9 2" xfId="35833"/>
    <cellStyle name="Comma 2 5 3 7" xfId="2488"/>
    <cellStyle name="Comma 2 5 3 7 2" xfId="11345"/>
    <cellStyle name="Comma 2 5 3 7 2 2" xfId="20144"/>
    <cellStyle name="Comma 2 5 3 7 2 2 2" xfId="41187"/>
    <cellStyle name="Comma 2 5 3 7 2 2 3" xfId="34764"/>
    <cellStyle name="Comma 2 5 3 7 2 3" xfId="22343"/>
    <cellStyle name="Comma 2 5 3 7 2 3 2" xfId="37980"/>
    <cellStyle name="Comma 2 5 3 7 2 4" xfId="31557"/>
    <cellStyle name="Comma 2 5 3 7 2 5" xfId="43322"/>
    <cellStyle name="Comma 2 5 3 7 3" xfId="8595"/>
    <cellStyle name="Comma 2 5 3 7 3 2" xfId="19055"/>
    <cellStyle name="Comma 2 5 3 7 3 2 2" xfId="40098"/>
    <cellStyle name="Comma 2 5 3 7 3 2 3" xfId="33675"/>
    <cellStyle name="Comma 2 5 3 7 3 3" xfId="23545"/>
    <cellStyle name="Comma 2 5 3 7 3 3 2" xfId="36891"/>
    <cellStyle name="Comma 2 5 3 7 3 4" xfId="30468"/>
    <cellStyle name="Comma 2 5 3 7 3 5" xfId="44374"/>
    <cellStyle name="Comma 2 5 3 7 4" xfId="7493"/>
    <cellStyle name="Comma 2 5 3 7 4 2" xfId="17996"/>
    <cellStyle name="Comma 2 5 3 7 4 2 2" xfId="39045"/>
    <cellStyle name="Comma 2 5 3 7 4 3" xfId="32622"/>
    <cellStyle name="Comma 2 5 3 7 5" xfId="16263"/>
    <cellStyle name="Comma 2 5 3 7 5 2" xfId="35838"/>
    <cellStyle name="Comma 2 5 3 7 6" xfId="21221"/>
    <cellStyle name="Comma 2 5 3 7 7" xfId="29415"/>
    <cellStyle name="Comma 2 5 3 7 8" xfId="42240"/>
    <cellStyle name="Comma 2 5 3 8" xfId="3351"/>
    <cellStyle name="Comma 2 5 3 8 2" xfId="11346"/>
    <cellStyle name="Comma 2 5 3 8 2 2" xfId="20145"/>
    <cellStyle name="Comma 2 5 3 8 2 2 2" xfId="41188"/>
    <cellStyle name="Comma 2 5 3 8 2 2 3" xfId="34765"/>
    <cellStyle name="Comma 2 5 3 8 2 3" xfId="22344"/>
    <cellStyle name="Comma 2 5 3 8 2 3 2" xfId="37981"/>
    <cellStyle name="Comma 2 5 3 8 2 4" xfId="31558"/>
    <cellStyle name="Comma 2 5 3 8 2 5" xfId="43323"/>
    <cellStyle name="Comma 2 5 3 8 3" xfId="8596"/>
    <cellStyle name="Comma 2 5 3 8 3 2" xfId="19056"/>
    <cellStyle name="Comma 2 5 3 8 3 2 2" xfId="40099"/>
    <cellStyle name="Comma 2 5 3 8 3 2 3" xfId="33676"/>
    <cellStyle name="Comma 2 5 3 8 3 3" xfId="23546"/>
    <cellStyle name="Comma 2 5 3 8 3 3 2" xfId="36892"/>
    <cellStyle name="Comma 2 5 3 8 3 4" xfId="30469"/>
    <cellStyle name="Comma 2 5 3 8 3 5" xfId="44375"/>
    <cellStyle name="Comma 2 5 3 8 4" xfId="7494"/>
    <cellStyle name="Comma 2 5 3 8 4 2" xfId="17997"/>
    <cellStyle name="Comma 2 5 3 8 4 2 2" xfId="39046"/>
    <cellStyle name="Comma 2 5 3 8 4 3" xfId="32623"/>
    <cellStyle name="Comma 2 5 3 8 5" xfId="16451"/>
    <cellStyle name="Comma 2 5 3 8 5 2" xfId="35839"/>
    <cellStyle name="Comma 2 5 3 8 6" xfId="21222"/>
    <cellStyle name="Comma 2 5 3 8 7" xfId="29416"/>
    <cellStyle name="Comma 2 5 3 8 8" xfId="42241"/>
    <cellStyle name="Comma 2 5 3 9" xfId="4219"/>
    <cellStyle name="Comma 2 5 3 9 2" xfId="11347"/>
    <cellStyle name="Comma 2 5 3 9 2 2" xfId="20146"/>
    <cellStyle name="Comma 2 5 3 9 2 2 2" xfId="41189"/>
    <cellStyle name="Comma 2 5 3 9 2 2 3" xfId="34766"/>
    <cellStyle name="Comma 2 5 3 9 2 3" xfId="22345"/>
    <cellStyle name="Comma 2 5 3 9 2 3 2" xfId="37982"/>
    <cellStyle name="Comma 2 5 3 9 2 4" xfId="31559"/>
    <cellStyle name="Comma 2 5 3 9 2 5" xfId="43324"/>
    <cellStyle name="Comma 2 5 3 9 3" xfId="8597"/>
    <cellStyle name="Comma 2 5 3 9 3 2" xfId="19057"/>
    <cellStyle name="Comma 2 5 3 9 3 2 2" xfId="40100"/>
    <cellStyle name="Comma 2 5 3 9 3 2 3" xfId="33677"/>
    <cellStyle name="Comma 2 5 3 9 3 3" xfId="23547"/>
    <cellStyle name="Comma 2 5 3 9 3 3 2" xfId="36893"/>
    <cellStyle name="Comma 2 5 3 9 3 4" xfId="30470"/>
    <cellStyle name="Comma 2 5 3 9 3 5" xfId="44376"/>
    <cellStyle name="Comma 2 5 3 9 4" xfId="7495"/>
    <cellStyle name="Comma 2 5 3 9 4 2" xfId="17998"/>
    <cellStyle name="Comma 2 5 3 9 4 2 2" xfId="39047"/>
    <cellStyle name="Comma 2 5 3 9 4 3" xfId="32624"/>
    <cellStyle name="Comma 2 5 3 9 5" xfId="16639"/>
    <cellStyle name="Comma 2 5 3 9 5 2" xfId="35840"/>
    <cellStyle name="Comma 2 5 3 9 6" xfId="21223"/>
    <cellStyle name="Comma 2 5 3 9 7" xfId="29417"/>
    <cellStyle name="Comma 2 5 3 9 8" xfId="42242"/>
    <cellStyle name="Comma 2 5 4" xfId="1498"/>
    <cellStyle name="Comma 2 5 4 10" xfId="5485"/>
    <cellStyle name="Comma 2 5 4 10 2" xfId="11348"/>
    <cellStyle name="Comma 2 5 4 10 2 2" xfId="20147"/>
    <cellStyle name="Comma 2 5 4 10 2 2 2" xfId="41190"/>
    <cellStyle name="Comma 2 5 4 10 2 2 3" xfId="34767"/>
    <cellStyle name="Comma 2 5 4 10 2 3" xfId="22346"/>
    <cellStyle name="Comma 2 5 4 10 2 3 2" xfId="37983"/>
    <cellStyle name="Comma 2 5 4 10 2 4" xfId="31560"/>
    <cellStyle name="Comma 2 5 4 10 2 5" xfId="43325"/>
    <cellStyle name="Comma 2 5 4 10 3" xfId="8599"/>
    <cellStyle name="Comma 2 5 4 10 3 2" xfId="19059"/>
    <cellStyle name="Comma 2 5 4 10 3 2 2" xfId="40102"/>
    <cellStyle name="Comma 2 5 4 10 3 2 3" xfId="33679"/>
    <cellStyle name="Comma 2 5 4 10 3 3" xfId="23549"/>
    <cellStyle name="Comma 2 5 4 10 3 3 2" xfId="36895"/>
    <cellStyle name="Comma 2 5 4 10 3 4" xfId="30472"/>
    <cellStyle name="Comma 2 5 4 10 3 5" xfId="44378"/>
    <cellStyle name="Comma 2 5 4 10 4" xfId="7496"/>
    <cellStyle name="Comma 2 5 4 10 4 2" xfId="17999"/>
    <cellStyle name="Comma 2 5 4 10 4 2 2" xfId="39048"/>
    <cellStyle name="Comma 2 5 4 10 4 3" xfId="32625"/>
    <cellStyle name="Comma 2 5 4 10 5" xfId="16931"/>
    <cellStyle name="Comma 2 5 4 10 5 2" xfId="35841"/>
    <cellStyle name="Comma 2 5 4 10 6" xfId="21225"/>
    <cellStyle name="Comma 2 5 4 10 7" xfId="29418"/>
    <cellStyle name="Comma 2 5 4 10 8" xfId="42244"/>
    <cellStyle name="Comma 2 5 4 11" xfId="10278"/>
    <cellStyle name="Comma 2 5 4 11 2" xfId="19331"/>
    <cellStyle name="Comma 2 5 4 11 2 2" xfId="40374"/>
    <cellStyle name="Comma 2 5 4 11 2 3" xfId="33951"/>
    <cellStyle name="Comma 2 5 4 11 3" xfId="21531"/>
    <cellStyle name="Comma 2 5 4 11 3 2" xfId="37167"/>
    <cellStyle name="Comma 2 5 4 11 4" xfId="30744"/>
    <cellStyle name="Comma 2 5 4 11 5" xfId="42510"/>
    <cellStyle name="Comma 2 5 4 12" xfId="8598"/>
    <cellStyle name="Comma 2 5 4 12 2" xfId="19058"/>
    <cellStyle name="Comma 2 5 4 12 2 2" xfId="40101"/>
    <cellStyle name="Comma 2 5 4 12 2 3" xfId="33678"/>
    <cellStyle name="Comma 2 5 4 12 3" xfId="23548"/>
    <cellStyle name="Comma 2 5 4 12 3 2" xfId="36894"/>
    <cellStyle name="Comma 2 5 4 12 4" xfId="30471"/>
    <cellStyle name="Comma 2 5 4 12 5" xfId="44377"/>
    <cellStyle name="Comma 2 5 4 13" xfId="6677"/>
    <cellStyle name="Comma 2 5 4 13 2" xfId="17184"/>
    <cellStyle name="Comma 2 5 4 13 2 2" xfId="38237"/>
    <cellStyle name="Comma 2 5 4 13 3" xfId="31814"/>
    <cellStyle name="Comma 2 5 4 14" xfId="16068"/>
    <cellStyle name="Comma 2 5 4 14 2" xfId="35030"/>
    <cellStyle name="Comma 2 5 4 15" xfId="21224"/>
    <cellStyle name="Comma 2 5 4 16" xfId="28605"/>
    <cellStyle name="Comma 2 5 4 17" xfId="42243"/>
    <cellStyle name="Comma 2 5 4 2" xfId="1499"/>
    <cellStyle name="Comma 2 5 4 2 10" xfId="8600"/>
    <cellStyle name="Comma 2 5 4 2 10 2" xfId="19060"/>
    <cellStyle name="Comma 2 5 4 2 10 2 2" xfId="40103"/>
    <cellStyle name="Comma 2 5 4 2 10 2 3" xfId="33680"/>
    <cellStyle name="Comma 2 5 4 2 10 3" xfId="23550"/>
    <cellStyle name="Comma 2 5 4 2 10 3 2" xfId="36896"/>
    <cellStyle name="Comma 2 5 4 2 10 4" xfId="30473"/>
    <cellStyle name="Comma 2 5 4 2 10 5" xfId="44379"/>
    <cellStyle name="Comma 2 5 4 2 11" xfId="6678"/>
    <cellStyle name="Comma 2 5 4 2 11 2" xfId="17185"/>
    <cellStyle name="Comma 2 5 4 2 11 2 2" xfId="38238"/>
    <cellStyle name="Comma 2 5 4 2 11 3" xfId="31815"/>
    <cellStyle name="Comma 2 5 4 2 12" xfId="16069"/>
    <cellStyle name="Comma 2 5 4 2 12 2" xfId="35031"/>
    <cellStyle name="Comma 2 5 4 2 13" xfId="21226"/>
    <cellStyle name="Comma 2 5 4 2 14" xfId="28606"/>
    <cellStyle name="Comma 2 5 4 2 15" xfId="42245"/>
    <cellStyle name="Comma 2 5 4 2 2" xfId="1853"/>
    <cellStyle name="Comma 2 5 4 2 2 10" xfId="16131"/>
    <cellStyle name="Comma 2 5 4 2 2 10 2" xfId="35032"/>
    <cellStyle name="Comma 2 5 4 2 2 11" xfId="21227"/>
    <cellStyle name="Comma 2 5 4 2 2 12" xfId="28607"/>
    <cellStyle name="Comma 2 5 4 2 2 13" xfId="42246"/>
    <cellStyle name="Comma 2 5 4 2 2 2" xfId="2743"/>
    <cellStyle name="Comma 2 5 4 2 2 2 2" xfId="11349"/>
    <cellStyle name="Comma 2 5 4 2 2 2 2 2" xfId="20148"/>
    <cellStyle name="Comma 2 5 4 2 2 2 2 2 2" xfId="41191"/>
    <cellStyle name="Comma 2 5 4 2 2 2 2 2 3" xfId="34768"/>
    <cellStyle name="Comma 2 5 4 2 2 2 2 3" xfId="22347"/>
    <cellStyle name="Comma 2 5 4 2 2 2 2 3 2" xfId="37984"/>
    <cellStyle name="Comma 2 5 4 2 2 2 2 4" xfId="31561"/>
    <cellStyle name="Comma 2 5 4 2 2 2 2 5" xfId="43326"/>
    <cellStyle name="Comma 2 5 4 2 2 2 3" xfId="8602"/>
    <cellStyle name="Comma 2 5 4 2 2 2 3 2" xfId="19062"/>
    <cellStyle name="Comma 2 5 4 2 2 2 3 2 2" xfId="40105"/>
    <cellStyle name="Comma 2 5 4 2 2 2 3 2 3" xfId="33682"/>
    <cellStyle name="Comma 2 5 4 2 2 2 3 3" xfId="23552"/>
    <cellStyle name="Comma 2 5 4 2 2 2 3 3 2" xfId="36898"/>
    <cellStyle name="Comma 2 5 4 2 2 2 3 4" xfId="30475"/>
    <cellStyle name="Comma 2 5 4 2 2 2 3 5" xfId="44381"/>
    <cellStyle name="Comma 2 5 4 2 2 2 4" xfId="7497"/>
    <cellStyle name="Comma 2 5 4 2 2 2 4 2" xfId="18000"/>
    <cellStyle name="Comma 2 5 4 2 2 2 4 2 2" xfId="39049"/>
    <cellStyle name="Comma 2 5 4 2 2 2 4 3" xfId="32626"/>
    <cellStyle name="Comma 2 5 4 2 2 2 5" xfId="16321"/>
    <cellStyle name="Comma 2 5 4 2 2 2 5 2" xfId="35842"/>
    <cellStyle name="Comma 2 5 4 2 2 2 6" xfId="21228"/>
    <cellStyle name="Comma 2 5 4 2 2 2 7" xfId="29419"/>
    <cellStyle name="Comma 2 5 4 2 2 2 8" xfId="42247"/>
    <cellStyle name="Comma 2 5 4 2 2 3" xfId="3607"/>
    <cellStyle name="Comma 2 5 4 2 2 3 2" xfId="11350"/>
    <cellStyle name="Comma 2 5 4 2 2 3 2 2" xfId="20149"/>
    <cellStyle name="Comma 2 5 4 2 2 3 2 2 2" xfId="41192"/>
    <cellStyle name="Comma 2 5 4 2 2 3 2 2 3" xfId="34769"/>
    <cellStyle name="Comma 2 5 4 2 2 3 2 3" xfId="22348"/>
    <cellStyle name="Comma 2 5 4 2 2 3 2 3 2" xfId="37985"/>
    <cellStyle name="Comma 2 5 4 2 2 3 2 4" xfId="31562"/>
    <cellStyle name="Comma 2 5 4 2 2 3 2 5" xfId="43327"/>
    <cellStyle name="Comma 2 5 4 2 2 3 3" xfId="8603"/>
    <cellStyle name="Comma 2 5 4 2 2 3 3 2" xfId="19063"/>
    <cellStyle name="Comma 2 5 4 2 2 3 3 2 2" xfId="40106"/>
    <cellStyle name="Comma 2 5 4 2 2 3 3 2 3" xfId="33683"/>
    <cellStyle name="Comma 2 5 4 2 2 3 3 3" xfId="23553"/>
    <cellStyle name="Comma 2 5 4 2 2 3 3 3 2" xfId="36899"/>
    <cellStyle name="Comma 2 5 4 2 2 3 3 4" xfId="30476"/>
    <cellStyle name="Comma 2 5 4 2 2 3 3 5" xfId="44382"/>
    <cellStyle name="Comma 2 5 4 2 2 3 4" xfId="7498"/>
    <cellStyle name="Comma 2 5 4 2 2 3 4 2" xfId="18001"/>
    <cellStyle name="Comma 2 5 4 2 2 3 4 2 2" xfId="39050"/>
    <cellStyle name="Comma 2 5 4 2 2 3 4 3" xfId="32627"/>
    <cellStyle name="Comma 2 5 4 2 2 3 5" xfId="16509"/>
    <cellStyle name="Comma 2 5 4 2 2 3 5 2" xfId="35843"/>
    <cellStyle name="Comma 2 5 4 2 2 3 6" xfId="21229"/>
    <cellStyle name="Comma 2 5 4 2 2 3 7" xfId="29420"/>
    <cellStyle name="Comma 2 5 4 2 2 3 8" xfId="42248"/>
    <cellStyle name="Comma 2 5 4 2 2 4" xfId="4482"/>
    <cellStyle name="Comma 2 5 4 2 2 4 2" xfId="11351"/>
    <cellStyle name="Comma 2 5 4 2 2 4 2 2" xfId="20150"/>
    <cellStyle name="Comma 2 5 4 2 2 4 2 2 2" xfId="41193"/>
    <cellStyle name="Comma 2 5 4 2 2 4 2 2 3" xfId="34770"/>
    <cellStyle name="Comma 2 5 4 2 2 4 2 3" xfId="22349"/>
    <cellStyle name="Comma 2 5 4 2 2 4 2 3 2" xfId="37986"/>
    <cellStyle name="Comma 2 5 4 2 2 4 2 4" xfId="31563"/>
    <cellStyle name="Comma 2 5 4 2 2 4 2 5" xfId="43328"/>
    <cellStyle name="Comma 2 5 4 2 2 4 3" xfId="8604"/>
    <cellStyle name="Comma 2 5 4 2 2 4 3 2" xfId="19064"/>
    <cellStyle name="Comma 2 5 4 2 2 4 3 2 2" xfId="40107"/>
    <cellStyle name="Comma 2 5 4 2 2 4 3 2 3" xfId="33684"/>
    <cellStyle name="Comma 2 5 4 2 2 4 3 3" xfId="23554"/>
    <cellStyle name="Comma 2 5 4 2 2 4 3 3 2" xfId="36900"/>
    <cellStyle name="Comma 2 5 4 2 2 4 3 4" xfId="30477"/>
    <cellStyle name="Comma 2 5 4 2 2 4 3 5" xfId="44383"/>
    <cellStyle name="Comma 2 5 4 2 2 4 4" xfId="7499"/>
    <cellStyle name="Comma 2 5 4 2 2 4 4 2" xfId="18002"/>
    <cellStyle name="Comma 2 5 4 2 2 4 4 2 2" xfId="39051"/>
    <cellStyle name="Comma 2 5 4 2 2 4 4 3" xfId="32628"/>
    <cellStyle name="Comma 2 5 4 2 2 4 5" xfId="16697"/>
    <cellStyle name="Comma 2 5 4 2 2 4 5 2" xfId="35844"/>
    <cellStyle name="Comma 2 5 4 2 2 4 6" xfId="21230"/>
    <cellStyle name="Comma 2 5 4 2 2 4 7" xfId="29421"/>
    <cellStyle name="Comma 2 5 4 2 2 4 8" xfId="42249"/>
    <cellStyle name="Comma 2 5 4 2 2 5" xfId="5060"/>
    <cellStyle name="Comma 2 5 4 2 2 5 2" xfId="11352"/>
    <cellStyle name="Comma 2 5 4 2 2 5 2 2" xfId="20151"/>
    <cellStyle name="Comma 2 5 4 2 2 5 2 2 2" xfId="41194"/>
    <cellStyle name="Comma 2 5 4 2 2 5 2 2 3" xfId="34771"/>
    <cellStyle name="Comma 2 5 4 2 2 5 2 3" xfId="22350"/>
    <cellStyle name="Comma 2 5 4 2 2 5 2 3 2" xfId="37987"/>
    <cellStyle name="Comma 2 5 4 2 2 5 2 4" xfId="31564"/>
    <cellStyle name="Comma 2 5 4 2 2 5 2 5" xfId="43329"/>
    <cellStyle name="Comma 2 5 4 2 2 5 3" xfId="8605"/>
    <cellStyle name="Comma 2 5 4 2 2 5 3 2" xfId="19065"/>
    <cellStyle name="Comma 2 5 4 2 2 5 3 2 2" xfId="40108"/>
    <cellStyle name="Comma 2 5 4 2 2 5 3 2 3" xfId="33685"/>
    <cellStyle name="Comma 2 5 4 2 2 5 3 3" xfId="23555"/>
    <cellStyle name="Comma 2 5 4 2 2 5 3 3 2" xfId="36901"/>
    <cellStyle name="Comma 2 5 4 2 2 5 3 4" xfId="30478"/>
    <cellStyle name="Comma 2 5 4 2 2 5 3 5" xfId="44384"/>
    <cellStyle name="Comma 2 5 4 2 2 5 4" xfId="7500"/>
    <cellStyle name="Comma 2 5 4 2 2 5 4 2" xfId="18003"/>
    <cellStyle name="Comma 2 5 4 2 2 5 4 2 2" xfId="39052"/>
    <cellStyle name="Comma 2 5 4 2 2 5 4 3" xfId="32629"/>
    <cellStyle name="Comma 2 5 4 2 2 5 5" xfId="16875"/>
    <cellStyle name="Comma 2 5 4 2 2 5 5 2" xfId="35845"/>
    <cellStyle name="Comma 2 5 4 2 2 5 6" xfId="21231"/>
    <cellStyle name="Comma 2 5 4 2 2 5 7" xfId="29422"/>
    <cellStyle name="Comma 2 5 4 2 2 5 8" xfId="42250"/>
    <cellStyle name="Comma 2 5 4 2 2 6" xfId="5747"/>
    <cellStyle name="Comma 2 5 4 2 2 6 2" xfId="11353"/>
    <cellStyle name="Comma 2 5 4 2 2 6 2 2" xfId="20152"/>
    <cellStyle name="Comma 2 5 4 2 2 6 2 2 2" xfId="41195"/>
    <cellStyle name="Comma 2 5 4 2 2 6 2 2 3" xfId="34772"/>
    <cellStyle name="Comma 2 5 4 2 2 6 2 3" xfId="22351"/>
    <cellStyle name="Comma 2 5 4 2 2 6 2 3 2" xfId="37988"/>
    <cellStyle name="Comma 2 5 4 2 2 6 2 4" xfId="31565"/>
    <cellStyle name="Comma 2 5 4 2 2 6 2 5" xfId="43330"/>
    <cellStyle name="Comma 2 5 4 2 2 6 3" xfId="8606"/>
    <cellStyle name="Comma 2 5 4 2 2 6 3 2" xfId="19066"/>
    <cellStyle name="Comma 2 5 4 2 2 6 3 2 2" xfId="40109"/>
    <cellStyle name="Comma 2 5 4 2 2 6 3 2 3" xfId="33686"/>
    <cellStyle name="Comma 2 5 4 2 2 6 3 3" xfId="23556"/>
    <cellStyle name="Comma 2 5 4 2 2 6 3 3 2" xfId="36902"/>
    <cellStyle name="Comma 2 5 4 2 2 6 3 4" xfId="30479"/>
    <cellStyle name="Comma 2 5 4 2 2 6 3 5" xfId="44385"/>
    <cellStyle name="Comma 2 5 4 2 2 6 4" xfId="7501"/>
    <cellStyle name="Comma 2 5 4 2 2 6 4 2" xfId="18004"/>
    <cellStyle name="Comma 2 5 4 2 2 6 4 2 2" xfId="39053"/>
    <cellStyle name="Comma 2 5 4 2 2 6 4 3" xfId="32630"/>
    <cellStyle name="Comma 2 5 4 2 2 6 5" xfId="16985"/>
    <cellStyle name="Comma 2 5 4 2 2 6 5 2" xfId="35846"/>
    <cellStyle name="Comma 2 5 4 2 2 6 6" xfId="21232"/>
    <cellStyle name="Comma 2 5 4 2 2 6 7" xfId="29423"/>
    <cellStyle name="Comma 2 5 4 2 2 6 8" xfId="42251"/>
    <cellStyle name="Comma 2 5 4 2 2 7" xfId="10280"/>
    <cellStyle name="Comma 2 5 4 2 2 7 2" xfId="19333"/>
    <cellStyle name="Comma 2 5 4 2 2 7 2 2" xfId="40376"/>
    <cellStyle name="Comma 2 5 4 2 2 7 2 3" xfId="33953"/>
    <cellStyle name="Comma 2 5 4 2 2 7 3" xfId="21533"/>
    <cellStyle name="Comma 2 5 4 2 2 7 3 2" xfId="37169"/>
    <cellStyle name="Comma 2 5 4 2 2 7 4" xfId="30746"/>
    <cellStyle name="Comma 2 5 4 2 2 7 5" xfId="42512"/>
    <cellStyle name="Comma 2 5 4 2 2 8" xfId="8601"/>
    <cellStyle name="Comma 2 5 4 2 2 8 2" xfId="19061"/>
    <cellStyle name="Comma 2 5 4 2 2 8 2 2" xfId="40104"/>
    <cellStyle name="Comma 2 5 4 2 2 8 2 3" xfId="33681"/>
    <cellStyle name="Comma 2 5 4 2 2 8 3" xfId="23551"/>
    <cellStyle name="Comma 2 5 4 2 2 8 3 2" xfId="36897"/>
    <cellStyle name="Comma 2 5 4 2 2 8 4" xfId="30474"/>
    <cellStyle name="Comma 2 5 4 2 2 8 5" xfId="44380"/>
    <cellStyle name="Comma 2 5 4 2 2 9" xfId="6679"/>
    <cellStyle name="Comma 2 5 4 2 2 9 2" xfId="17186"/>
    <cellStyle name="Comma 2 5 4 2 2 9 2 2" xfId="38239"/>
    <cellStyle name="Comma 2 5 4 2 2 9 3" xfId="31816"/>
    <cellStyle name="Comma 2 5 4 2 3" xfId="2128"/>
    <cellStyle name="Comma 2 5 4 2 3 10" xfId="21233"/>
    <cellStyle name="Comma 2 5 4 2 3 11" xfId="29424"/>
    <cellStyle name="Comma 2 5 4 2 3 12" xfId="42252"/>
    <cellStyle name="Comma 2 5 4 2 3 2" xfId="2998"/>
    <cellStyle name="Comma 2 5 4 2 3 2 2" xfId="11355"/>
    <cellStyle name="Comma 2 5 4 2 3 2 2 2" xfId="20154"/>
    <cellStyle name="Comma 2 5 4 2 3 2 2 2 2" xfId="41197"/>
    <cellStyle name="Comma 2 5 4 2 3 2 2 2 3" xfId="34774"/>
    <cellStyle name="Comma 2 5 4 2 3 2 2 3" xfId="22353"/>
    <cellStyle name="Comma 2 5 4 2 3 2 2 3 2" xfId="37990"/>
    <cellStyle name="Comma 2 5 4 2 3 2 2 4" xfId="31567"/>
    <cellStyle name="Comma 2 5 4 2 3 2 2 5" xfId="43332"/>
    <cellStyle name="Comma 2 5 4 2 3 2 3" xfId="8608"/>
    <cellStyle name="Comma 2 5 4 2 3 2 3 2" xfId="19068"/>
    <cellStyle name="Comma 2 5 4 2 3 2 3 2 2" xfId="40111"/>
    <cellStyle name="Comma 2 5 4 2 3 2 3 2 3" xfId="33688"/>
    <cellStyle name="Comma 2 5 4 2 3 2 3 3" xfId="23558"/>
    <cellStyle name="Comma 2 5 4 2 3 2 3 3 2" xfId="36904"/>
    <cellStyle name="Comma 2 5 4 2 3 2 3 4" xfId="30481"/>
    <cellStyle name="Comma 2 5 4 2 3 2 3 5" xfId="44387"/>
    <cellStyle name="Comma 2 5 4 2 3 2 4" xfId="7503"/>
    <cellStyle name="Comma 2 5 4 2 3 2 4 2" xfId="18006"/>
    <cellStyle name="Comma 2 5 4 2 3 2 4 2 2" xfId="39055"/>
    <cellStyle name="Comma 2 5 4 2 3 2 4 3" xfId="32632"/>
    <cellStyle name="Comma 2 5 4 2 3 2 5" xfId="16376"/>
    <cellStyle name="Comma 2 5 4 2 3 2 5 2" xfId="35848"/>
    <cellStyle name="Comma 2 5 4 2 3 2 6" xfId="21234"/>
    <cellStyle name="Comma 2 5 4 2 3 2 7" xfId="29425"/>
    <cellStyle name="Comma 2 5 4 2 3 2 8" xfId="42253"/>
    <cellStyle name="Comma 2 5 4 2 3 3" xfId="3868"/>
    <cellStyle name="Comma 2 5 4 2 3 3 2" xfId="11356"/>
    <cellStyle name="Comma 2 5 4 2 3 3 2 2" xfId="20155"/>
    <cellStyle name="Comma 2 5 4 2 3 3 2 2 2" xfId="41198"/>
    <cellStyle name="Comma 2 5 4 2 3 3 2 2 3" xfId="34775"/>
    <cellStyle name="Comma 2 5 4 2 3 3 2 3" xfId="22354"/>
    <cellStyle name="Comma 2 5 4 2 3 3 2 3 2" xfId="37991"/>
    <cellStyle name="Comma 2 5 4 2 3 3 2 4" xfId="31568"/>
    <cellStyle name="Comma 2 5 4 2 3 3 2 5" xfId="43333"/>
    <cellStyle name="Comma 2 5 4 2 3 3 3" xfId="8609"/>
    <cellStyle name="Comma 2 5 4 2 3 3 3 2" xfId="19069"/>
    <cellStyle name="Comma 2 5 4 2 3 3 3 2 2" xfId="40112"/>
    <cellStyle name="Comma 2 5 4 2 3 3 3 2 3" xfId="33689"/>
    <cellStyle name="Comma 2 5 4 2 3 3 3 3" xfId="23559"/>
    <cellStyle name="Comma 2 5 4 2 3 3 3 3 2" xfId="36905"/>
    <cellStyle name="Comma 2 5 4 2 3 3 3 4" xfId="30482"/>
    <cellStyle name="Comma 2 5 4 2 3 3 3 5" xfId="44388"/>
    <cellStyle name="Comma 2 5 4 2 3 3 4" xfId="7504"/>
    <cellStyle name="Comma 2 5 4 2 3 3 4 2" xfId="18007"/>
    <cellStyle name="Comma 2 5 4 2 3 3 4 2 2" xfId="39056"/>
    <cellStyle name="Comma 2 5 4 2 3 3 4 3" xfId="32633"/>
    <cellStyle name="Comma 2 5 4 2 3 3 5" xfId="16564"/>
    <cellStyle name="Comma 2 5 4 2 3 3 5 2" xfId="35849"/>
    <cellStyle name="Comma 2 5 4 2 3 3 6" xfId="21235"/>
    <cellStyle name="Comma 2 5 4 2 3 3 7" xfId="29426"/>
    <cellStyle name="Comma 2 5 4 2 3 3 8" xfId="42254"/>
    <cellStyle name="Comma 2 5 4 2 3 4" xfId="4746"/>
    <cellStyle name="Comma 2 5 4 2 3 4 2" xfId="11357"/>
    <cellStyle name="Comma 2 5 4 2 3 4 2 2" xfId="20156"/>
    <cellStyle name="Comma 2 5 4 2 3 4 2 2 2" xfId="41199"/>
    <cellStyle name="Comma 2 5 4 2 3 4 2 2 3" xfId="34776"/>
    <cellStyle name="Comma 2 5 4 2 3 4 2 3" xfId="22355"/>
    <cellStyle name="Comma 2 5 4 2 3 4 2 3 2" xfId="37992"/>
    <cellStyle name="Comma 2 5 4 2 3 4 2 4" xfId="31569"/>
    <cellStyle name="Comma 2 5 4 2 3 4 2 5" xfId="43334"/>
    <cellStyle name="Comma 2 5 4 2 3 4 3" xfId="8610"/>
    <cellStyle name="Comma 2 5 4 2 3 4 3 2" xfId="19070"/>
    <cellStyle name="Comma 2 5 4 2 3 4 3 2 2" xfId="40113"/>
    <cellStyle name="Comma 2 5 4 2 3 4 3 2 3" xfId="33690"/>
    <cellStyle name="Comma 2 5 4 2 3 4 3 3" xfId="23560"/>
    <cellStyle name="Comma 2 5 4 2 3 4 3 3 2" xfId="36906"/>
    <cellStyle name="Comma 2 5 4 2 3 4 3 4" xfId="30483"/>
    <cellStyle name="Comma 2 5 4 2 3 4 3 5" xfId="44389"/>
    <cellStyle name="Comma 2 5 4 2 3 4 4" xfId="7505"/>
    <cellStyle name="Comma 2 5 4 2 3 4 4 2" xfId="18008"/>
    <cellStyle name="Comma 2 5 4 2 3 4 4 2 2" xfId="39057"/>
    <cellStyle name="Comma 2 5 4 2 3 4 4 3" xfId="32634"/>
    <cellStyle name="Comma 2 5 4 2 3 4 5" xfId="16752"/>
    <cellStyle name="Comma 2 5 4 2 3 4 5 2" xfId="35850"/>
    <cellStyle name="Comma 2 5 4 2 3 4 6" xfId="21236"/>
    <cellStyle name="Comma 2 5 4 2 3 4 7" xfId="29427"/>
    <cellStyle name="Comma 2 5 4 2 3 4 8" xfId="42255"/>
    <cellStyle name="Comma 2 5 4 2 3 5" xfId="6011"/>
    <cellStyle name="Comma 2 5 4 2 3 5 2" xfId="11358"/>
    <cellStyle name="Comma 2 5 4 2 3 5 2 2" xfId="20157"/>
    <cellStyle name="Comma 2 5 4 2 3 5 2 2 2" xfId="41200"/>
    <cellStyle name="Comma 2 5 4 2 3 5 2 2 3" xfId="34777"/>
    <cellStyle name="Comma 2 5 4 2 3 5 2 3" xfId="22356"/>
    <cellStyle name="Comma 2 5 4 2 3 5 2 3 2" xfId="37993"/>
    <cellStyle name="Comma 2 5 4 2 3 5 2 4" xfId="31570"/>
    <cellStyle name="Comma 2 5 4 2 3 5 2 5" xfId="43335"/>
    <cellStyle name="Comma 2 5 4 2 3 5 3" xfId="8611"/>
    <cellStyle name="Comma 2 5 4 2 3 5 3 2" xfId="19071"/>
    <cellStyle name="Comma 2 5 4 2 3 5 3 2 2" xfId="40114"/>
    <cellStyle name="Comma 2 5 4 2 3 5 3 2 3" xfId="33691"/>
    <cellStyle name="Comma 2 5 4 2 3 5 3 3" xfId="23561"/>
    <cellStyle name="Comma 2 5 4 2 3 5 3 3 2" xfId="36907"/>
    <cellStyle name="Comma 2 5 4 2 3 5 3 4" xfId="30484"/>
    <cellStyle name="Comma 2 5 4 2 3 5 3 5" xfId="44390"/>
    <cellStyle name="Comma 2 5 4 2 3 5 4" xfId="7506"/>
    <cellStyle name="Comma 2 5 4 2 3 5 4 2" xfId="18009"/>
    <cellStyle name="Comma 2 5 4 2 3 5 4 2 2" xfId="39058"/>
    <cellStyle name="Comma 2 5 4 2 3 5 4 3" xfId="32635"/>
    <cellStyle name="Comma 2 5 4 2 3 5 5" xfId="17040"/>
    <cellStyle name="Comma 2 5 4 2 3 5 5 2" xfId="35851"/>
    <cellStyle name="Comma 2 5 4 2 3 5 6" xfId="21237"/>
    <cellStyle name="Comma 2 5 4 2 3 5 7" xfId="29428"/>
    <cellStyle name="Comma 2 5 4 2 3 5 8" xfId="42256"/>
    <cellStyle name="Comma 2 5 4 2 3 6" xfId="11354"/>
    <cellStyle name="Comma 2 5 4 2 3 6 2" xfId="20153"/>
    <cellStyle name="Comma 2 5 4 2 3 6 2 2" xfId="41196"/>
    <cellStyle name="Comma 2 5 4 2 3 6 2 3" xfId="34773"/>
    <cellStyle name="Comma 2 5 4 2 3 6 3" xfId="22352"/>
    <cellStyle name="Comma 2 5 4 2 3 6 3 2" xfId="37989"/>
    <cellStyle name="Comma 2 5 4 2 3 6 4" xfId="31566"/>
    <cellStyle name="Comma 2 5 4 2 3 6 5" xfId="43331"/>
    <cellStyle name="Comma 2 5 4 2 3 7" xfId="8607"/>
    <cellStyle name="Comma 2 5 4 2 3 7 2" xfId="19067"/>
    <cellStyle name="Comma 2 5 4 2 3 7 2 2" xfId="40110"/>
    <cellStyle name="Comma 2 5 4 2 3 7 2 3" xfId="33687"/>
    <cellStyle name="Comma 2 5 4 2 3 7 3" xfId="23557"/>
    <cellStyle name="Comma 2 5 4 2 3 7 3 2" xfId="36903"/>
    <cellStyle name="Comma 2 5 4 2 3 7 4" xfId="30480"/>
    <cellStyle name="Comma 2 5 4 2 3 7 5" xfId="44386"/>
    <cellStyle name="Comma 2 5 4 2 3 8" xfId="7502"/>
    <cellStyle name="Comma 2 5 4 2 3 8 2" xfId="18005"/>
    <cellStyle name="Comma 2 5 4 2 3 8 2 2" xfId="39054"/>
    <cellStyle name="Comma 2 5 4 2 3 8 3" xfId="32631"/>
    <cellStyle name="Comma 2 5 4 2 3 9" xfId="16187"/>
    <cellStyle name="Comma 2 5 4 2 3 9 2" xfId="35847"/>
    <cellStyle name="Comma 2 5 4 2 4" xfId="2493"/>
    <cellStyle name="Comma 2 5 4 2 4 2" xfId="11359"/>
    <cellStyle name="Comma 2 5 4 2 4 2 2" xfId="20158"/>
    <cellStyle name="Comma 2 5 4 2 4 2 2 2" xfId="41201"/>
    <cellStyle name="Comma 2 5 4 2 4 2 2 3" xfId="34778"/>
    <cellStyle name="Comma 2 5 4 2 4 2 3" xfId="22357"/>
    <cellStyle name="Comma 2 5 4 2 4 2 3 2" xfId="37994"/>
    <cellStyle name="Comma 2 5 4 2 4 2 4" xfId="31571"/>
    <cellStyle name="Comma 2 5 4 2 4 2 5" xfId="43336"/>
    <cellStyle name="Comma 2 5 4 2 4 3" xfId="8612"/>
    <cellStyle name="Comma 2 5 4 2 4 3 2" xfId="19072"/>
    <cellStyle name="Comma 2 5 4 2 4 3 2 2" xfId="40115"/>
    <cellStyle name="Comma 2 5 4 2 4 3 2 3" xfId="33692"/>
    <cellStyle name="Comma 2 5 4 2 4 3 3" xfId="23562"/>
    <cellStyle name="Comma 2 5 4 2 4 3 3 2" xfId="36908"/>
    <cellStyle name="Comma 2 5 4 2 4 3 4" xfId="30485"/>
    <cellStyle name="Comma 2 5 4 2 4 3 5" xfId="44391"/>
    <cellStyle name="Comma 2 5 4 2 4 4" xfId="7507"/>
    <cellStyle name="Comma 2 5 4 2 4 4 2" xfId="18010"/>
    <cellStyle name="Comma 2 5 4 2 4 4 2 2" xfId="39059"/>
    <cellStyle name="Comma 2 5 4 2 4 4 3" xfId="32636"/>
    <cellStyle name="Comma 2 5 4 2 4 5" xfId="16268"/>
    <cellStyle name="Comma 2 5 4 2 4 5 2" xfId="35852"/>
    <cellStyle name="Comma 2 5 4 2 4 6" xfId="21238"/>
    <cellStyle name="Comma 2 5 4 2 4 7" xfId="29429"/>
    <cellStyle name="Comma 2 5 4 2 4 8" xfId="42257"/>
    <cellStyle name="Comma 2 5 4 2 5" xfId="3356"/>
    <cellStyle name="Comma 2 5 4 2 5 2" xfId="11360"/>
    <cellStyle name="Comma 2 5 4 2 5 2 2" xfId="20159"/>
    <cellStyle name="Comma 2 5 4 2 5 2 2 2" xfId="41202"/>
    <cellStyle name="Comma 2 5 4 2 5 2 2 3" xfId="34779"/>
    <cellStyle name="Comma 2 5 4 2 5 2 3" xfId="22358"/>
    <cellStyle name="Comma 2 5 4 2 5 2 3 2" xfId="37995"/>
    <cellStyle name="Comma 2 5 4 2 5 2 4" xfId="31572"/>
    <cellStyle name="Comma 2 5 4 2 5 2 5" xfId="43337"/>
    <cellStyle name="Comma 2 5 4 2 5 3" xfId="8613"/>
    <cellStyle name="Comma 2 5 4 2 5 3 2" xfId="19073"/>
    <cellStyle name="Comma 2 5 4 2 5 3 2 2" xfId="40116"/>
    <cellStyle name="Comma 2 5 4 2 5 3 2 3" xfId="33693"/>
    <cellStyle name="Comma 2 5 4 2 5 3 3" xfId="23563"/>
    <cellStyle name="Comma 2 5 4 2 5 3 3 2" xfId="36909"/>
    <cellStyle name="Comma 2 5 4 2 5 3 4" xfId="30486"/>
    <cellStyle name="Comma 2 5 4 2 5 3 5" xfId="44392"/>
    <cellStyle name="Comma 2 5 4 2 5 4" xfId="7508"/>
    <cellStyle name="Comma 2 5 4 2 5 4 2" xfId="18011"/>
    <cellStyle name="Comma 2 5 4 2 5 4 2 2" xfId="39060"/>
    <cellStyle name="Comma 2 5 4 2 5 4 3" xfId="32637"/>
    <cellStyle name="Comma 2 5 4 2 5 5" xfId="16456"/>
    <cellStyle name="Comma 2 5 4 2 5 5 2" xfId="35853"/>
    <cellStyle name="Comma 2 5 4 2 5 6" xfId="21239"/>
    <cellStyle name="Comma 2 5 4 2 5 7" xfId="29430"/>
    <cellStyle name="Comma 2 5 4 2 5 8" xfId="42258"/>
    <cellStyle name="Comma 2 5 4 2 6" xfId="4224"/>
    <cellStyle name="Comma 2 5 4 2 6 2" xfId="11361"/>
    <cellStyle name="Comma 2 5 4 2 6 2 2" xfId="20160"/>
    <cellStyle name="Comma 2 5 4 2 6 2 2 2" xfId="41203"/>
    <cellStyle name="Comma 2 5 4 2 6 2 2 3" xfId="34780"/>
    <cellStyle name="Comma 2 5 4 2 6 2 3" xfId="22359"/>
    <cellStyle name="Comma 2 5 4 2 6 2 3 2" xfId="37996"/>
    <cellStyle name="Comma 2 5 4 2 6 2 4" xfId="31573"/>
    <cellStyle name="Comma 2 5 4 2 6 2 5" xfId="43338"/>
    <cellStyle name="Comma 2 5 4 2 6 3" xfId="8614"/>
    <cellStyle name="Comma 2 5 4 2 6 3 2" xfId="19074"/>
    <cellStyle name="Comma 2 5 4 2 6 3 2 2" xfId="40117"/>
    <cellStyle name="Comma 2 5 4 2 6 3 2 3" xfId="33694"/>
    <cellStyle name="Comma 2 5 4 2 6 3 3" xfId="23564"/>
    <cellStyle name="Comma 2 5 4 2 6 3 3 2" xfId="36910"/>
    <cellStyle name="Comma 2 5 4 2 6 3 4" xfId="30487"/>
    <cellStyle name="Comma 2 5 4 2 6 3 5" xfId="44393"/>
    <cellStyle name="Comma 2 5 4 2 6 4" xfId="7509"/>
    <cellStyle name="Comma 2 5 4 2 6 4 2" xfId="18012"/>
    <cellStyle name="Comma 2 5 4 2 6 4 2 2" xfId="39061"/>
    <cellStyle name="Comma 2 5 4 2 6 4 3" xfId="32638"/>
    <cellStyle name="Comma 2 5 4 2 6 5" xfId="16644"/>
    <cellStyle name="Comma 2 5 4 2 6 5 2" xfId="35854"/>
    <cellStyle name="Comma 2 5 4 2 6 6" xfId="21240"/>
    <cellStyle name="Comma 2 5 4 2 6 7" xfId="29431"/>
    <cellStyle name="Comma 2 5 4 2 6 8" xfId="42259"/>
    <cellStyle name="Comma 2 5 4 2 7" xfId="5059"/>
    <cellStyle name="Comma 2 5 4 2 7 2" xfId="11362"/>
    <cellStyle name="Comma 2 5 4 2 7 2 2" xfId="20161"/>
    <cellStyle name="Comma 2 5 4 2 7 2 2 2" xfId="41204"/>
    <cellStyle name="Comma 2 5 4 2 7 2 2 3" xfId="34781"/>
    <cellStyle name="Comma 2 5 4 2 7 2 3" xfId="22360"/>
    <cellStyle name="Comma 2 5 4 2 7 2 3 2" xfId="37997"/>
    <cellStyle name="Comma 2 5 4 2 7 2 4" xfId="31574"/>
    <cellStyle name="Comma 2 5 4 2 7 2 5" xfId="43339"/>
    <cellStyle name="Comma 2 5 4 2 7 3" xfId="8615"/>
    <cellStyle name="Comma 2 5 4 2 7 3 2" xfId="19075"/>
    <cellStyle name="Comma 2 5 4 2 7 3 2 2" xfId="40118"/>
    <cellStyle name="Comma 2 5 4 2 7 3 2 3" xfId="33695"/>
    <cellStyle name="Comma 2 5 4 2 7 3 3" xfId="23565"/>
    <cellStyle name="Comma 2 5 4 2 7 3 3 2" xfId="36911"/>
    <cellStyle name="Comma 2 5 4 2 7 3 4" xfId="30488"/>
    <cellStyle name="Comma 2 5 4 2 7 3 5" xfId="44394"/>
    <cellStyle name="Comma 2 5 4 2 7 4" xfId="7510"/>
    <cellStyle name="Comma 2 5 4 2 7 4 2" xfId="18013"/>
    <cellStyle name="Comma 2 5 4 2 7 4 2 2" xfId="39062"/>
    <cellStyle name="Comma 2 5 4 2 7 4 3" xfId="32639"/>
    <cellStyle name="Comma 2 5 4 2 7 5" xfId="16874"/>
    <cellStyle name="Comma 2 5 4 2 7 5 2" xfId="35855"/>
    <cellStyle name="Comma 2 5 4 2 7 6" xfId="21241"/>
    <cellStyle name="Comma 2 5 4 2 7 7" xfId="29432"/>
    <cellStyle name="Comma 2 5 4 2 7 8" xfId="42260"/>
    <cellStyle name="Comma 2 5 4 2 8" xfId="5486"/>
    <cellStyle name="Comma 2 5 4 2 8 2" xfId="11363"/>
    <cellStyle name="Comma 2 5 4 2 8 2 2" xfId="20162"/>
    <cellStyle name="Comma 2 5 4 2 8 2 2 2" xfId="41205"/>
    <cellStyle name="Comma 2 5 4 2 8 2 2 3" xfId="34782"/>
    <cellStyle name="Comma 2 5 4 2 8 2 3" xfId="22361"/>
    <cellStyle name="Comma 2 5 4 2 8 2 3 2" xfId="37998"/>
    <cellStyle name="Comma 2 5 4 2 8 2 4" xfId="31575"/>
    <cellStyle name="Comma 2 5 4 2 8 2 5" xfId="43340"/>
    <cellStyle name="Comma 2 5 4 2 8 3" xfId="8616"/>
    <cellStyle name="Comma 2 5 4 2 8 3 2" xfId="19076"/>
    <cellStyle name="Comma 2 5 4 2 8 3 2 2" xfId="40119"/>
    <cellStyle name="Comma 2 5 4 2 8 3 2 3" xfId="33696"/>
    <cellStyle name="Comma 2 5 4 2 8 3 3" xfId="23566"/>
    <cellStyle name="Comma 2 5 4 2 8 3 3 2" xfId="36912"/>
    <cellStyle name="Comma 2 5 4 2 8 3 4" xfId="30489"/>
    <cellStyle name="Comma 2 5 4 2 8 3 5" xfId="44395"/>
    <cellStyle name="Comma 2 5 4 2 8 4" xfId="7511"/>
    <cellStyle name="Comma 2 5 4 2 8 4 2" xfId="18014"/>
    <cellStyle name="Comma 2 5 4 2 8 4 2 2" xfId="39063"/>
    <cellStyle name="Comma 2 5 4 2 8 4 3" xfId="32640"/>
    <cellStyle name="Comma 2 5 4 2 8 5" xfId="16932"/>
    <cellStyle name="Comma 2 5 4 2 8 5 2" xfId="35856"/>
    <cellStyle name="Comma 2 5 4 2 8 6" xfId="21242"/>
    <cellStyle name="Comma 2 5 4 2 8 7" xfId="29433"/>
    <cellStyle name="Comma 2 5 4 2 8 8" xfId="42261"/>
    <cellStyle name="Comma 2 5 4 2 9" xfId="10279"/>
    <cellStyle name="Comma 2 5 4 2 9 2" xfId="19332"/>
    <cellStyle name="Comma 2 5 4 2 9 2 2" xfId="40375"/>
    <cellStyle name="Comma 2 5 4 2 9 2 3" xfId="33952"/>
    <cellStyle name="Comma 2 5 4 2 9 3" xfId="21532"/>
    <cellStyle name="Comma 2 5 4 2 9 3 2" xfId="37168"/>
    <cellStyle name="Comma 2 5 4 2 9 4" xfId="30745"/>
    <cellStyle name="Comma 2 5 4 2 9 5" xfId="42511"/>
    <cellStyle name="Comma 2 5 4 3" xfId="1852"/>
    <cellStyle name="Comma 2 5 4 3 10" xfId="16130"/>
    <cellStyle name="Comma 2 5 4 3 10 2" xfId="35033"/>
    <cellStyle name="Comma 2 5 4 3 11" xfId="21243"/>
    <cellStyle name="Comma 2 5 4 3 12" xfId="28608"/>
    <cellStyle name="Comma 2 5 4 3 13" xfId="42262"/>
    <cellStyle name="Comma 2 5 4 3 2" xfId="2742"/>
    <cellStyle name="Comma 2 5 4 3 2 2" xfId="11364"/>
    <cellStyle name="Comma 2 5 4 3 2 2 2" xfId="20163"/>
    <cellStyle name="Comma 2 5 4 3 2 2 2 2" xfId="41206"/>
    <cellStyle name="Comma 2 5 4 3 2 2 2 3" xfId="34783"/>
    <cellStyle name="Comma 2 5 4 3 2 2 3" xfId="22362"/>
    <cellStyle name="Comma 2 5 4 3 2 2 3 2" xfId="37999"/>
    <cellStyle name="Comma 2 5 4 3 2 2 4" xfId="31576"/>
    <cellStyle name="Comma 2 5 4 3 2 2 5" xfId="43341"/>
    <cellStyle name="Comma 2 5 4 3 2 3" xfId="8618"/>
    <cellStyle name="Comma 2 5 4 3 2 3 2" xfId="19078"/>
    <cellStyle name="Comma 2 5 4 3 2 3 2 2" xfId="40121"/>
    <cellStyle name="Comma 2 5 4 3 2 3 2 3" xfId="33698"/>
    <cellStyle name="Comma 2 5 4 3 2 3 3" xfId="23568"/>
    <cellStyle name="Comma 2 5 4 3 2 3 3 2" xfId="36914"/>
    <cellStyle name="Comma 2 5 4 3 2 3 4" xfId="30491"/>
    <cellStyle name="Comma 2 5 4 3 2 3 5" xfId="44397"/>
    <cellStyle name="Comma 2 5 4 3 2 4" xfId="7512"/>
    <cellStyle name="Comma 2 5 4 3 2 4 2" xfId="18015"/>
    <cellStyle name="Comma 2 5 4 3 2 4 2 2" xfId="39064"/>
    <cellStyle name="Comma 2 5 4 3 2 4 3" xfId="32641"/>
    <cellStyle name="Comma 2 5 4 3 2 5" xfId="16320"/>
    <cellStyle name="Comma 2 5 4 3 2 5 2" xfId="35857"/>
    <cellStyle name="Comma 2 5 4 3 2 6" xfId="21244"/>
    <cellStyle name="Comma 2 5 4 3 2 7" xfId="29434"/>
    <cellStyle name="Comma 2 5 4 3 2 8" xfId="42263"/>
    <cellStyle name="Comma 2 5 4 3 3" xfId="3606"/>
    <cellStyle name="Comma 2 5 4 3 3 2" xfId="11365"/>
    <cellStyle name="Comma 2 5 4 3 3 2 2" xfId="20164"/>
    <cellStyle name="Comma 2 5 4 3 3 2 2 2" xfId="41207"/>
    <cellStyle name="Comma 2 5 4 3 3 2 2 3" xfId="34784"/>
    <cellStyle name="Comma 2 5 4 3 3 2 3" xfId="22363"/>
    <cellStyle name="Comma 2 5 4 3 3 2 3 2" xfId="38000"/>
    <cellStyle name="Comma 2 5 4 3 3 2 4" xfId="31577"/>
    <cellStyle name="Comma 2 5 4 3 3 2 5" xfId="43342"/>
    <cellStyle name="Comma 2 5 4 3 3 3" xfId="8619"/>
    <cellStyle name="Comma 2 5 4 3 3 3 2" xfId="19079"/>
    <cellStyle name="Comma 2 5 4 3 3 3 2 2" xfId="40122"/>
    <cellStyle name="Comma 2 5 4 3 3 3 2 3" xfId="33699"/>
    <cellStyle name="Comma 2 5 4 3 3 3 3" xfId="23569"/>
    <cellStyle name="Comma 2 5 4 3 3 3 3 2" xfId="36915"/>
    <cellStyle name="Comma 2 5 4 3 3 3 4" xfId="30492"/>
    <cellStyle name="Comma 2 5 4 3 3 3 5" xfId="44398"/>
    <cellStyle name="Comma 2 5 4 3 3 4" xfId="7513"/>
    <cellStyle name="Comma 2 5 4 3 3 4 2" xfId="18016"/>
    <cellStyle name="Comma 2 5 4 3 3 4 2 2" xfId="39065"/>
    <cellStyle name="Comma 2 5 4 3 3 4 3" xfId="32642"/>
    <cellStyle name="Comma 2 5 4 3 3 5" xfId="16508"/>
    <cellStyle name="Comma 2 5 4 3 3 5 2" xfId="35858"/>
    <cellStyle name="Comma 2 5 4 3 3 6" xfId="21245"/>
    <cellStyle name="Comma 2 5 4 3 3 7" xfId="29435"/>
    <cellStyle name="Comma 2 5 4 3 3 8" xfId="42264"/>
    <cellStyle name="Comma 2 5 4 3 4" xfId="4481"/>
    <cellStyle name="Comma 2 5 4 3 4 2" xfId="11366"/>
    <cellStyle name="Comma 2 5 4 3 4 2 2" xfId="20165"/>
    <cellStyle name="Comma 2 5 4 3 4 2 2 2" xfId="41208"/>
    <cellStyle name="Comma 2 5 4 3 4 2 2 3" xfId="34785"/>
    <cellStyle name="Comma 2 5 4 3 4 2 3" xfId="22364"/>
    <cellStyle name="Comma 2 5 4 3 4 2 3 2" xfId="38001"/>
    <cellStyle name="Comma 2 5 4 3 4 2 4" xfId="31578"/>
    <cellStyle name="Comma 2 5 4 3 4 2 5" xfId="43343"/>
    <cellStyle name="Comma 2 5 4 3 4 3" xfId="8620"/>
    <cellStyle name="Comma 2 5 4 3 4 3 2" xfId="19080"/>
    <cellStyle name="Comma 2 5 4 3 4 3 2 2" xfId="40123"/>
    <cellStyle name="Comma 2 5 4 3 4 3 2 3" xfId="33700"/>
    <cellStyle name="Comma 2 5 4 3 4 3 3" xfId="23570"/>
    <cellStyle name="Comma 2 5 4 3 4 3 3 2" xfId="36916"/>
    <cellStyle name="Comma 2 5 4 3 4 3 4" xfId="30493"/>
    <cellStyle name="Comma 2 5 4 3 4 3 5" xfId="44399"/>
    <cellStyle name="Comma 2 5 4 3 4 4" xfId="7514"/>
    <cellStyle name="Comma 2 5 4 3 4 4 2" xfId="18017"/>
    <cellStyle name="Comma 2 5 4 3 4 4 2 2" xfId="39066"/>
    <cellStyle name="Comma 2 5 4 3 4 4 3" xfId="32643"/>
    <cellStyle name="Comma 2 5 4 3 4 5" xfId="16696"/>
    <cellStyle name="Comma 2 5 4 3 4 5 2" xfId="35859"/>
    <cellStyle name="Comma 2 5 4 3 4 6" xfId="21246"/>
    <cellStyle name="Comma 2 5 4 3 4 7" xfId="29436"/>
    <cellStyle name="Comma 2 5 4 3 4 8" xfId="42265"/>
    <cellStyle name="Comma 2 5 4 3 5" xfId="5061"/>
    <cellStyle name="Comma 2 5 4 3 5 2" xfId="11367"/>
    <cellStyle name="Comma 2 5 4 3 5 2 2" xfId="20166"/>
    <cellStyle name="Comma 2 5 4 3 5 2 2 2" xfId="41209"/>
    <cellStyle name="Comma 2 5 4 3 5 2 2 3" xfId="34786"/>
    <cellStyle name="Comma 2 5 4 3 5 2 3" xfId="22365"/>
    <cellStyle name="Comma 2 5 4 3 5 2 3 2" xfId="38002"/>
    <cellStyle name="Comma 2 5 4 3 5 2 4" xfId="31579"/>
    <cellStyle name="Comma 2 5 4 3 5 2 5" xfId="43344"/>
    <cellStyle name="Comma 2 5 4 3 5 3" xfId="8621"/>
    <cellStyle name="Comma 2 5 4 3 5 3 2" xfId="19081"/>
    <cellStyle name="Comma 2 5 4 3 5 3 2 2" xfId="40124"/>
    <cellStyle name="Comma 2 5 4 3 5 3 2 3" xfId="33701"/>
    <cellStyle name="Comma 2 5 4 3 5 3 3" xfId="23571"/>
    <cellStyle name="Comma 2 5 4 3 5 3 3 2" xfId="36917"/>
    <cellStyle name="Comma 2 5 4 3 5 3 4" xfId="30494"/>
    <cellStyle name="Comma 2 5 4 3 5 3 5" xfId="44400"/>
    <cellStyle name="Comma 2 5 4 3 5 4" xfId="7515"/>
    <cellStyle name="Comma 2 5 4 3 5 4 2" xfId="18018"/>
    <cellStyle name="Comma 2 5 4 3 5 4 2 2" xfId="39067"/>
    <cellStyle name="Comma 2 5 4 3 5 4 3" xfId="32644"/>
    <cellStyle name="Comma 2 5 4 3 5 5" xfId="16876"/>
    <cellStyle name="Comma 2 5 4 3 5 5 2" xfId="35860"/>
    <cellStyle name="Comma 2 5 4 3 5 6" xfId="21247"/>
    <cellStyle name="Comma 2 5 4 3 5 7" xfId="29437"/>
    <cellStyle name="Comma 2 5 4 3 5 8" xfId="42266"/>
    <cellStyle name="Comma 2 5 4 3 6" xfId="5746"/>
    <cellStyle name="Comma 2 5 4 3 6 2" xfId="11368"/>
    <cellStyle name="Comma 2 5 4 3 6 2 2" xfId="20167"/>
    <cellStyle name="Comma 2 5 4 3 6 2 2 2" xfId="41210"/>
    <cellStyle name="Comma 2 5 4 3 6 2 2 3" xfId="34787"/>
    <cellStyle name="Comma 2 5 4 3 6 2 3" xfId="22366"/>
    <cellStyle name="Comma 2 5 4 3 6 2 3 2" xfId="38003"/>
    <cellStyle name="Comma 2 5 4 3 6 2 4" xfId="31580"/>
    <cellStyle name="Comma 2 5 4 3 6 2 5" xfId="43345"/>
    <cellStyle name="Comma 2 5 4 3 6 3" xfId="8622"/>
    <cellStyle name="Comma 2 5 4 3 6 3 2" xfId="19082"/>
    <cellStyle name="Comma 2 5 4 3 6 3 2 2" xfId="40125"/>
    <cellStyle name="Comma 2 5 4 3 6 3 2 3" xfId="33702"/>
    <cellStyle name="Comma 2 5 4 3 6 3 3" xfId="23572"/>
    <cellStyle name="Comma 2 5 4 3 6 3 3 2" xfId="36918"/>
    <cellStyle name="Comma 2 5 4 3 6 3 4" xfId="30495"/>
    <cellStyle name="Comma 2 5 4 3 6 3 5" xfId="44401"/>
    <cellStyle name="Comma 2 5 4 3 6 4" xfId="7516"/>
    <cellStyle name="Comma 2 5 4 3 6 4 2" xfId="18019"/>
    <cellStyle name="Comma 2 5 4 3 6 4 2 2" xfId="39068"/>
    <cellStyle name="Comma 2 5 4 3 6 4 3" xfId="32645"/>
    <cellStyle name="Comma 2 5 4 3 6 5" xfId="16984"/>
    <cellStyle name="Comma 2 5 4 3 6 5 2" xfId="35861"/>
    <cellStyle name="Comma 2 5 4 3 6 6" xfId="21248"/>
    <cellStyle name="Comma 2 5 4 3 6 7" xfId="29438"/>
    <cellStyle name="Comma 2 5 4 3 6 8" xfId="42267"/>
    <cellStyle name="Comma 2 5 4 3 7" xfId="10281"/>
    <cellStyle name="Comma 2 5 4 3 7 2" xfId="19334"/>
    <cellStyle name="Comma 2 5 4 3 7 2 2" xfId="40377"/>
    <cellStyle name="Comma 2 5 4 3 7 2 3" xfId="33954"/>
    <cellStyle name="Comma 2 5 4 3 7 3" xfId="21534"/>
    <cellStyle name="Comma 2 5 4 3 7 3 2" xfId="37170"/>
    <cellStyle name="Comma 2 5 4 3 7 4" xfId="30747"/>
    <cellStyle name="Comma 2 5 4 3 7 5" xfId="42513"/>
    <cellStyle name="Comma 2 5 4 3 8" xfId="8617"/>
    <cellStyle name="Comma 2 5 4 3 8 2" xfId="19077"/>
    <cellStyle name="Comma 2 5 4 3 8 2 2" xfId="40120"/>
    <cellStyle name="Comma 2 5 4 3 8 2 3" xfId="33697"/>
    <cellStyle name="Comma 2 5 4 3 8 3" xfId="23567"/>
    <cellStyle name="Comma 2 5 4 3 8 3 2" xfId="36913"/>
    <cellStyle name="Comma 2 5 4 3 8 4" xfId="30490"/>
    <cellStyle name="Comma 2 5 4 3 8 5" xfId="44396"/>
    <cellStyle name="Comma 2 5 4 3 9" xfId="6680"/>
    <cellStyle name="Comma 2 5 4 3 9 2" xfId="17187"/>
    <cellStyle name="Comma 2 5 4 3 9 2 2" xfId="38240"/>
    <cellStyle name="Comma 2 5 4 3 9 3" xfId="31817"/>
    <cellStyle name="Comma 2 5 4 4" xfId="2127"/>
    <cellStyle name="Comma 2 5 4 4 10" xfId="21249"/>
    <cellStyle name="Comma 2 5 4 4 11" xfId="29439"/>
    <cellStyle name="Comma 2 5 4 4 12" xfId="42268"/>
    <cellStyle name="Comma 2 5 4 4 2" xfId="2997"/>
    <cellStyle name="Comma 2 5 4 4 2 2" xfId="11370"/>
    <cellStyle name="Comma 2 5 4 4 2 2 2" xfId="20169"/>
    <cellStyle name="Comma 2 5 4 4 2 2 2 2" xfId="41212"/>
    <cellStyle name="Comma 2 5 4 4 2 2 2 3" xfId="34789"/>
    <cellStyle name="Comma 2 5 4 4 2 2 3" xfId="22368"/>
    <cellStyle name="Comma 2 5 4 4 2 2 3 2" xfId="38005"/>
    <cellStyle name="Comma 2 5 4 4 2 2 4" xfId="31582"/>
    <cellStyle name="Comma 2 5 4 4 2 2 5" xfId="43347"/>
    <cellStyle name="Comma 2 5 4 4 2 3" xfId="8624"/>
    <cellStyle name="Comma 2 5 4 4 2 3 2" xfId="19084"/>
    <cellStyle name="Comma 2 5 4 4 2 3 2 2" xfId="40127"/>
    <cellStyle name="Comma 2 5 4 4 2 3 2 3" xfId="33704"/>
    <cellStyle name="Comma 2 5 4 4 2 3 3" xfId="23574"/>
    <cellStyle name="Comma 2 5 4 4 2 3 3 2" xfId="36920"/>
    <cellStyle name="Comma 2 5 4 4 2 3 4" xfId="30497"/>
    <cellStyle name="Comma 2 5 4 4 2 3 5" xfId="44403"/>
    <cellStyle name="Comma 2 5 4 4 2 4" xfId="7518"/>
    <cellStyle name="Comma 2 5 4 4 2 4 2" xfId="18021"/>
    <cellStyle name="Comma 2 5 4 4 2 4 2 2" xfId="39070"/>
    <cellStyle name="Comma 2 5 4 4 2 4 3" xfId="32647"/>
    <cellStyle name="Comma 2 5 4 4 2 5" xfId="16375"/>
    <cellStyle name="Comma 2 5 4 4 2 5 2" xfId="35863"/>
    <cellStyle name="Comma 2 5 4 4 2 6" xfId="21250"/>
    <cellStyle name="Comma 2 5 4 4 2 7" xfId="29440"/>
    <cellStyle name="Comma 2 5 4 4 2 8" xfId="42269"/>
    <cellStyle name="Comma 2 5 4 4 3" xfId="3867"/>
    <cellStyle name="Comma 2 5 4 4 3 2" xfId="11371"/>
    <cellStyle name="Comma 2 5 4 4 3 2 2" xfId="20170"/>
    <cellStyle name="Comma 2 5 4 4 3 2 2 2" xfId="41213"/>
    <cellStyle name="Comma 2 5 4 4 3 2 2 3" xfId="34790"/>
    <cellStyle name="Comma 2 5 4 4 3 2 3" xfId="22369"/>
    <cellStyle name="Comma 2 5 4 4 3 2 3 2" xfId="38006"/>
    <cellStyle name="Comma 2 5 4 4 3 2 4" xfId="31583"/>
    <cellStyle name="Comma 2 5 4 4 3 2 5" xfId="43348"/>
    <cellStyle name="Comma 2 5 4 4 3 3" xfId="8625"/>
    <cellStyle name="Comma 2 5 4 4 3 3 2" xfId="19085"/>
    <cellStyle name="Comma 2 5 4 4 3 3 2 2" xfId="40128"/>
    <cellStyle name="Comma 2 5 4 4 3 3 2 3" xfId="33705"/>
    <cellStyle name="Comma 2 5 4 4 3 3 3" xfId="23575"/>
    <cellStyle name="Comma 2 5 4 4 3 3 3 2" xfId="36921"/>
    <cellStyle name="Comma 2 5 4 4 3 3 4" xfId="30498"/>
    <cellStyle name="Comma 2 5 4 4 3 3 5" xfId="44404"/>
    <cellStyle name="Comma 2 5 4 4 3 4" xfId="7519"/>
    <cellStyle name="Comma 2 5 4 4 3 4 2" xfId="18022"/>
    <cellStyle name="Comma 2 5 4 4 3 4 2 2" xfId="39071"/>
    <cellStyle name="Comma 2 5 4 4 3 4 3" xfId="32648"/>
    <cellStyle name="Comma 2 5 4 4 3 5" xfId="16563"/>
    <cellStyle name="Comma 2 5 4 4 3 5 2" xfId="35864"/>
    <cellStyle name="Comma 2 5 4 4 3 6" xfId="21251"/>
    <cellStyle name="Comma 2 5 4 4 3 7" xfId="29441"/>
    <cellStyle name="Comma 2 5 4 4 3 8" xfId="42270"/>
    <cellStyle name="Comma 2 5 4 4 4" xfId="4745"/>
    <cellStyle name="Comma 2 5 4 4 4 2" xfId="11372"/>
    <cellStyle name="Comma 2 5 4 4 4 2 2" xfId="20171"/>
    <cellStyle name="Comma 2 5 4 4 4 2 2 2" xfId="41214"/>
    <cellStyle name="Comma 2 5 4 4 4 2 2 3" xfId="34791"/>
    <cellStyle name="Comma 2 5 4 4 4 2 3" xfId="22370"/>
    <cellStyle name="Comma 2 5 4 4 4 2 3 2" xfId="38007"/>
    <cellStyle name="Comma 2 5 4 4 4 2 4" xfId="31584"/>
    <cellStyle name="Comma 2 5 4 4 4 2 5" xfId="43349"/>
    <cellStyle name="Comma 2 5 4 4 4 3" xfId="8626"/>
    <cellStyle name="Comma 2 5 4 4 4 3 2" xfId="19086"/>
    <cellStyle name="Comma 2 5 4 4 4 3 2 2" xfId="40129"/>
    <cellStyle name="Comma 2 5 4 4 4 3 2 3" xfId="33706"/>
    <cellStyle name="Comma 2 5 4 4 4 3 3" xfId="23576"/>
    <cellStyle name="Comma 2 5 4 4 4 3 3 2" xfId="36922"/>
    <cellStyle name="Comma 2 5 4 4 4 3 4" xfId="30499"/>
    <cellStyle name="Comma 2 5 4 4 4 3 5" xfId="44405"/>
    <cellStyle name="Comma 2 5 4 4 4 4" xfId="7520"/>
    <cellStyle name="Comma 2 5 4 4 4 4 2" xfId="18023"/>
    <cellStyle name="Comma 2 5 4 4 4 4 2 2" xfId="39072"/>
    <cellStyle name="Comma 2 5 4 4 4 4 3" xfId="32649"/>
    <cellStyle name="Comma 2 5 4 4 4 5" xfId="16751"/>
    <cellStyle name="Comma 2 5 4 4 4 5 2" xfId="35865"/>
    <cellStyle name="Comma 2 5 4 4 4 6" xfId="21252"/>
    <cellStyle name="Comma 2 5 4 4 4 7" xfId="29442"/>
    <cellStyle name="Comma 2 5 4 4 4 8" xfId="42271"/>
    <cellStyle name="Comma 2 5 4 4 5" xfId="6010"/>
    <cellStyle name="Comma 2 5 4 4 5 2" xfId="11373"/>
    <cellStyle name="Comma 2 5 4 4 5 2 2" xfId="20172"/>
    <cellStyle name="Comma 2 5 4 4 5 2 2 2" xfId="41215"/>
    <cellStyle name="Comma 2 5 4 4 5 2 2 3" xfId="34792"/>
    <cellStyle name="Comma 2 5 4 4 5 2 3" xfId="22371"/>
    <cellStyle name="Comma 2 5 4 4 5 2 3 2" xfId="38008"/>
    <cellStyle name="Comma 2 5 4 4 5 2 4" xfId="31585"/>
    <cellStyle name="Comma 2 5 4 4 5 2 5" xfId="43350"/>
    <cellStyle name="Comma 2 5 4 4 5 3" xfId="8627"/>
    <cellStyle name="Comma 2 5 4 4 5 3 2" xfId="19087"/>
    <cellStyle name="Comma 2 5 4 4 5 3 2 2" xfId="40130"/>
    <cellStyle name="Comma 2 5 4 4 5 3 2 3" xfId="33707"/>
    <cellStyle name="Comma 2 5 4 4 5 3 3" xfId="23577"/>
    <cellStyle name="Comma 2 5 4 4 5 3 3 2" xfId="36923"/>
    <cellStyle name="Comma 2 5 4 4 5 3 4" xfId="30500"/>
    <cellStyle name="Comma 2 5 4 4 5 3 5" xfId="44406"/>
    <cellStyle name="Comma 2 5 4 4 5 4" xfId="7521"/>
    <cellStyle name="Comma 2 5 4 4 5 4 2" xfId="18024"/>
    <cellStyle name="Comma 2 5 4 4 5 4 2 2" xfId="39073"/>
    <cellStyle name="Comma 2 5 4 4 5 4 3" xfId="32650"/>
    <cellStyle name="Comma 2 5 4 4 5 5" xfId="17039"/>
    <cellStyle name="Comma 2 5 4 4 5 5 2" xfId="35866"/>
    <cellStyle name="Comma 2 5 4 4 5 6" xfId="21253"/>
    <cellStyle name="Comma 2 5 4 4 5 7" xfId="29443"/>
    <cellStyle name="Comma 2 5 4 4 5 8" xfId="42272"/>
    <cellStyle name="Comma 2 5 4 4 6" xfId="11369"/>
    <cellStyle name="Comma 2 5 4 4 6 2" xfId="20168"/>
    <cellStyle name="Comma 2 5 4 4 6 2 2" xfId="41211"/>
    <cellStyle name="Comma 2 5 4 4 6 2 3" xfId="34788"/>
    <cellStyle name="Comma 2 5 4 4 6 3" xfId="22367"/>
    <cellStyle name="Comma 2 5 4 4 6 3 2" xfId="38004"/>
    <cellStyle name="Comma 2 5 4 4 6 4" xfId="31581"/>
    <cellStyle name="Comma 2 5 4 4 6 5" xfId="43346"/>
    <cellStyle name="Comma 2 5 4 4 7" xfId="8623"/>
    <cellStyle name="Comma 2 5 4 4 7 2" xfId="19083"/>
    <cellStyle name="Comma 2 5 4 4 7 2 2" xfId="40126"/>
    <cellStyle name="Comma 2 5 4 4 7 2 3" xfId="33703"/>
    <cellStyle name="Comma 2 5 4 4 7 3" xfId="23573"/>
    <cellStyle name="Comma 2 5 4 4 7 3 2" xfId="36919"/>
    <cellStyle name="Comma 2 5 4 4 7 4" xfId="30496"/>
    <cellStyle name="Comma 2 5 4 4 7 5" xfId="44402"/>
    <cellStyle name="Comma 2 5 4 4 8" xfId="7517"/>
    <cellStyle name="Comma 2 5 4 4 8 2" xfId="18020"/>
    <cellStyle name="Comma 2 5 4 4 8 2 2" xfId="39069"/>
    <cellStyle name="Comma 2 5 4 4 8 3" xfId="32646"/>
    <cellStyle name="Comma 2 5 4 4 9" xfId="16186"/>
    <cellStyle name="Comma 2 5 4 4 9 2" xfId="35862"/>
    <cellStyle name="Comma 2 5 4 5" xfId="2323"/>
    <cellStyle name="Comma 2 5 4 5 10" xfId="21254"/>
    <cellStyle name="Comma 2 5 4 5 11" xfId="29444"/>
    <cellStyle name="Comma 2 5 4 5 12" xfId="42273"/>
    <cellStyle name="Comma 2 5 4 5 2" xfId="3182"/>
    <cellStyle name="Comma 2 5 4 5 2 2" xfId="11375"/>
    <cellStyle name="Comma 2 5 4 5 2 2 2" xfId="20174"/>
    <cellStyle name="Comma 2 5 4 5 2 2 2 2" xfId="41217"/>
    <cellStyle name="Comma 2 5 4 5 2 2 2 3" xfId="34794"/>
    <cellStyle name="Comma 2 5 4 5 2 2 3" xfId="22373"/>
    <cellStyle name="Comma 2 5 4 5 2 2 3 2" xfId="38010"/>
    <cellStyle name="Comma 2 5 4 5 2 2 4" xfId="31587"/>
    <cellStyle name="Comma 2 5 4 5 2 2 5" xfId="43352"/>
    <cellStyle name="Comma 2 5 4 5 2 3" xfId="8629"/>
    <cellStyle name="Comma 2 5 4 5 2 3 2" xfId="19089"/>
    <cellStyle name="Comma 2 5 4 5 2 3 2 2" xfId="40132"/>
    <cellStyle name="Comma 2 5 4 5 2 3 2 3" xfId="33709"/>
    <cellStyle name="Comma 2 5 4 5 2 3 3" xfId="23579"/>
    <cellStyle name="Comma 2 5 4 5 2 3 3 2" xfId="36925"/>
    <cellStyle name="Comma 2 5 4 5 2 3 4" xfId="30502"/>
    <cellStyle name="Comma 2 5 4 5 2 3 5" xfId="44408"/>
    <cellStyle name="Comma 2 5 4 5 2 4" xfId="7523"/>
    <cellStyle name="Comma 2 5 4 5 2 4 2" xfId="18026"/>
    <cellStyle name="Comma 2 5 4 5 2 4 2 2" xfId="39075"/>
    <cellStyle name="Comma 2 5 4 5 2 4 3" xfId="32652"/>
    <cellStyle name="Comma 2 5 4 5 2 5" xfId="16397"/>
    <cellStyle name="Comma 2 5 4 5 2 5 2" xfId="35868"/>
    <cellStyle name="Comma 2 5 4 5 2 6" xfId="21255"/>
    <cellStyle name="Comma 2 5 4 5 2 7" xfId="29445"/>
    <cellStyle name="Comma 2 5 4 5 2 8" xfId="42274"/>
    <cellStyle name="Comma 2 5 4 5 3" xfId="4048"/>
    <cellStyle name="Comma 2 5 4 5 3 2" xfId="11376"/>
    <cellStyle name="Comma 2 5 4 5 3 2 2" xfId="20175"/>
    <cellStyle name="Comma 2 5 4 5 3 2 2 2" xfId="41218"/>
    <cellStyle name="Comma 2 5 4 5 3 2 2 3" xfId="34795"/>
    <cellStyle name="Comma 2 5 4 5 3 2 3" xfId="22374"/>
    <cellStyle name="Comma 2 5 4 5 3 2 3 2" xfId="38011"/>
    <cellStyle name="Comma 2 5 4 5 3 2 4" xfId="31588"/>
    <cellStyle name="Comma 2 5 4 5 3 2 5" xfId="43353"/>
    <cellStyle name="Comma 2 5 4 5 3 3" xfId="8630"/>
    <cellStyle name="Comma 2 5 4 5 3 3 2" xfId="19090"/>
    <cellStyle name="Comma 2 5 4 5 3 3 2 2" xfId="40133"/>
    <cellStyle name="Comma 2 5 4 5 3 3 2 3" xfId="33710"/>
    <cellStyle name="Comma 2 5 4 5 3 3 3" xfId="23580"/>
    <cellStyle name="Comma 2 5 4 5 3 3 3 2" xfId="36926"/>
    <cellStyle name="Comma 2 5 4 5 3 3 4" xfId="30503"/>
    <cellStyle name="Comma 2 5 4 5 3 3 5" xfId="44409"/>
    <cellStyle name="Comma 2 5 4 5 3 4" xfId="7524"/>
    <cellStyle name="Comma 2 5 4 5 3 4 2" xfId="18027"/>
    <cellStyle name="Comma 2 5 4 5 3 4 2 2" xfId="39076"/>
    <cellStyle name="Comma 2 5 4 5 3 4 3" xfId="32653"/>
    <cellStyle name="Comma 2 5 4 5 3 5" xfId="16585"/>
    <cellStyle name="Comma 2 5 4 5 3 5 2" xfId="35869"/>
    <cellStyle name="Comma 2 5 4 5 3 6" xfId="21256"/>
    <cellStyle name="Comma 2 5 4 5 3 7" xfId="29446"/>
    <cellStyle name="Comma 2 5 4 5 3 8" xfId="42275"/>
    <cellStyle name="Comma 2 5 4 5 4" xfId="4927"/>
    <cellStyle name="Comma 2 5 4 5 4 2" xfId="11377"/>
    <cellStyle name="Comma 2 5 4 5 4 2 2" xfId="20176"/>
    <cellStyle name="Comma 2 5 4 5 4 2 2 2" xfId="41219"/>
    <cellStyle name="Comma 2 5 4 5 4 2 2 3" xfId="34796"/>
    <cellStyle name="Comma 2 5 4 5 4 2 3" xfId="22375"/>
    <cellStyle name="Comma 2 5 4 5 4 2 3 2" xfId="38012"/>
    <cellStyle name="Comma 2 5 4 5 4 2 4" xfId="31589"/>
    <cellStyle name="Comma 2 5 4 5 4 2 5" xfId="43354"/>
    <cellStyle name="Comma 2 5 4 5 4 3" xfId="8631"/>
    <cellStyle name="Comma 2 5 4 5 4 3 2" xfId="19091"/>
    <cellStyle name="Comma 2 5 4 5 4 3 2 2" xfId="40134"/>
    <cellStyle name="Comma 2 5 4 5 4 3 2 3" xfId="33711"/>
    <cellStyle name="Comma 2 5 4 5 4 3 3" xfId="23581"/>
    <cellStyle name="Comma 2 5 4 5 4 3 3 2" xfId="36927"/>
    <cellStyle name="Comma 2 5 4 5 4 3 4" xfId="30504"/>
    <cellStyle name="Comma 2 5 4 5 4 3 5" xfId="44410"/>
    <cellStyle name="Comma 2 5 4 5 4 4" xfId="7525"/>
    <cellStyle name="Comma 2 5 4 5 4 4 2" xfId="18028"/>
    <cellStyle name="Comma 2 5 4 5 4 4 2 2" xfId="39077"/>
    <cellStyle name="Comma 2 5 4 5 4 4 3" xfId="32654"/>
    <cellStyle name="Comma 2 5 4 5 4 5" xfId="16773"/>
    <cellStyle name="Comma 2 5 4 5 4 5 2" xfId="35870"/>
    <cellStyle name="Comma 2 5 4 5 4 6" xfId="21257"/>
    <cellStyle name="Comma 2 5 4 5 4 7" xfId="29447"/>
    <cellStyle name="Comma 2 5 4 5 4 8" xfId="42276"/>
    <cellStyle name="Comma 2 5 4 5 5" xfId="6192"/>
    <cellStyle name="Comma 2 5 4 5 5 2" xfId="11378"/>
    <cellStyle name="Comma 2 5 4 5 5 2 2" xfId="20177"/>
    <cellStyle name="Comma 2 5 4 5 5 2 2 2" xfId="41220"/>
    <cellStyle name="Comma 2 5 4 5 5 2 2 3" xfId="34797"/>
    <cellStyle name="Comma 2 5 4 5 5 2 3" xfId="22376"/>
    <cellStyle name="Comma 2 5 4 5 5 2 3 2" xfId="38013"/>
    <cellStyle name="Comma 2 5 4 5 5 2 4" xfId="31590"/>
    <cellStyle name="Comma 2 5 4 5 5 2 5" xfId="43355"/>
    <cellStyle name="Comma 2 5 4 5 5 3" xfId="8632"/>
    <cellStyle name="Comma 2 5 4 5 5 3 2" xfId="19092"/>
    <cellStyle name="Comma 2 5 4 5 5 3 2 2" xfId="40135"/>
    <cellStyle name="Comma 2 5 4 5 5 3 2 3" xfId="33712"/>
    <cellStyle name="Comma 2 5 4 5 5 3 3" xfId="23582"/>
    <cellStyle name="Comma 2 5 4 5 5 3 3 2" xfId="36928"/>
    <cellStyle name="Comma 2 5 4 5 5 3 4" xfId="30505"/>
    <cellStyle name="Comma 2 5 4 5 5 3 5" xfId="44411"/>
    <cellStyle name="Comma 2 5 4 5 5 4" xfId="7526"/>
    <cellStyle name="Comma 2 5 4 5 5 4 2" xfId="18029"/>
    <cellStyle name="Comma 2 5 4 5 5 4 2 2" xfId="39078"/>
    <cellStyle name="Comma 2 5 4 5 5 4 3" xfId="32655"/>
    <cellStyle name="Comma 2 5 4 5 5 5" xfId="17061"/>
    <cellStyle name="Comma 2 5 4 5 5 5 2" xfId="35871"/>
    <cellStyle name="Comma 2 5 4 5 5 6" xfId="21258"/>
    <cellStyle name="Comma 2 5 4 5 5 7" xfId="29448"/>
    <cellStyle name="Comma 2 5 4 5 5 8" xfId="42277"/>
    <cellStyle name="Comma 2 5 4 5 6" xfId="11374"/>
    <cellStyle name="Comma 2 5 4 5 6 2" xfId="20173"/>
    <cellStyle name="Comma 2 5 4 5 6 2 2" xfId="41216"/>
    <cellStyle name="Comma 2 5 4 5 6 2 3" xfId="34793"/>
    <cellStyle name="Comma 2 5 4 5 6 3" xfId="22372"/>
    <cellStyle name="Comma 2 5 4 5 6 3 2" xfId="38009"/>
    <cellStyle name="Comma 2 5 4 5 6 4" xfId="31586"/>
    <cellStyle name="Comma 2 5 4 5 6 5" xfId="43351"/>
    <cellStyle name="Comma 2 5 4 5 7" xfId="8628"/>
    <cellStyle name="Comma 2 5 4 5 7 2" xfId="19088"/>
    <cellStyle name="Comma 2 5 4 5 7 2 2" xfId="40131"/>
    <cellStyle name="Comma 2 5 4 5 7 2 3" xfId="33708"/>
    <cellStyle name="Comma 2 5 4 5 7 3" xfId="23578"/>
    <cellStyle name="Comma 2 5 4 5 7 3 2" xfId="36924"/>
    <cellStyle name="Comma 2 5 4 5 7 4" xfId="30501"/>
    <cellStyle name="Comma 2 5 4 5 7 5" xfId="44407"/>
    <cellStyle name="Comma 2 5 4 5 8" xfId="7522"/>
    <cellStyle name="Comma 2 5 4 5 8 2" xfId="18025"/>
    <cellStyle name="Comma 2 5 4 5 8 2 2" xfId="39074"/>
    <cellStyle name="Comma 2 5 4 5 8 3" xfId="32651"/>
    <cellStyle name="Comma 2 5 4 5 9" xfId="16209"/>
    <cellStyle name="Comma 2 5 4 5 9 2" xfId="35867"/>
    <cellStyle name="Comma 2 5 4 6" xfId="2492"/>
    <cellStyle name="Comma 2 5 4 6 2" xfId="11379"/>
    <cellStyle name="Comma 2 5 4 6 2 2" xfId="20178"/>
    <cellStyle name="Comma 2 5 4 6 2 2 2" xfId="41221"/>
    <cellStyle name="Comma 2 5 4 6 2 2 3" xfId="34798"/>
    <cellStyle name="Comma 2 5 4 6 2 3" xfId="22377"/>
    <cellStyle name="Comma 2 5 4 6 2 3 2" xfId="38014"/>
    <cellStyle name="Comma 2 5 4 6 2 4" xfId="31591"/>
    <cellStyle name="Comma 2 5 4 6 2 5" xfId="43356"/>
    <cellStyle name="Comma 2 5 4 6 3" xfId="8633"/>
    <cellStyle name="Comma 2 5 4 6 3 2" xfId="19093"/>
    <cellStyle name="Comma 2 5 4 6 3 2 2" xfId="40136"/>
    <cellStyle name="Comma 2 5 4 6 3 2 3" xfId="33713"/>
    <cellStyle name="Comma 2 5 4 6 3 3" xfId="23583"/>
    <cellStyle name="Comma 2 5 4 6 3 3 2" xfId="36929"/>
    <cellStyle name="Comma 2 5 4 6 3 4" xfId="30506"/>
    <cellStyle name="Comma 2 5 4 6 3 5" xfId="44412"/>
    <cellStyle name="Comma 2 5 4 6 4" xfId="7527"/>
    <cellStyle name="Comma 2 5 4 6 4 2" xfId="18030"/>
    <cellStyle name="Comma 2 5 4 6 4 2 2" xfId="39079"/>
    <cellStyle name="Comma 2 5 4 6 4 3" xfId="32656"/>
    <cellStyle name="Comma 2 5 4 6 5" xfId="16267"/>
    <cellStyle name="Comma 2 5 4 6 5 2" xfId="35872"/>
    <cellStyle name="Comma 2 5 4 6 6" xfId="21259"/>
    <cellStyle name="Comma 2 5 4 6 7" xfId="29449"/>
    <cellStyle name="Comma 2 5 4 6 8" xfId="42278"/>
    <cellStyle name="Comma 2 5 4 7" xfId="3355"/>
    <cellStyle name="Comma 2 5 4 7 2" xfId="11380"/>
    <cellStyle name="Comma 2 5 4 7 2 2" xfId="20179"/>
    <cellStyle name="Comma 2 5 4 7 2 2 2" xfId="41222"/>
    <cellStyle name="Comma 2 5 4 7 2 2 3" xfId="34799"/>
    <cellStyle name="Comma 2 5 4 7 2 3" xfId="22378"/>
    <cellStyle name="Comma 2 5 4 7 2 3 2" xfId="38015"/>
    <cellStyle name="Comma 2 5 4 7 2 4" xfId="31592"/>
    <cellStyle name="Comma 2 5 4 7 2 5" xfId="43357"/>
    <cellStyle name="Comma 2 5 4 7 3" xfId="8634"/>
    <cellStyle name="Comma 2 5 4 7 3 2" xfId="19094"/>
    <cellStyle name="Comma 2 5 4 7 3 2 2" xfId="40137"/>
    <cellStyle name="Comma 2 5 4 7 3 2 3" xfId="33714"/>
    <cellStyle name="Comma 2 5 4 7 3 3" xfId="23584"/>
    <cellStyle name="Comma 2 5 4 7 3 3 2" xfId="36930"/>
    <cellStyle name="Comma 2 5 4 7 3 4" xfId="30507"/>
    <cellStyle name="Comma 2 5 4 7 3 5" xfId="44413"/>
    <cellStyle name="Comma 2 5 4 7 4" xfId="7528"/>
    <cellStyle name="Comma 2 5 4 7 4 2" xfId="18031"/>
    <cellStyle name="Comma 2 5 4 7 4 2 2" xfId="39080"/>
    <cellStyle name="Comma 2 5 4 7 4 3" xfId="32657"/>
    <cellStyle name="Comma 2 5 4 7 5" xfId="16455"/>
    <cellStyle name="Comma 2 5 4 7 5 2" xfId="35873"/>
    <cellStyle name="Comma 2 5 4 7 6" xfId="21260"/>
    <cellStyle name="Comma 2 5 4 7 7" xfId="29450"/>
    <cellStyle name="Comma 2 5 4 7 8" xfId="42279"/>
    <cellStyle name="Comma 2 5 4 8" xfId="4223"/>
    <cellStyle name="Comma 2 5 4 8 2" xfId="11381"/>
    <cellStyle name="Comma 2 5 4 8 2 2" xfId="20180"/>
    <cellStyle name="Comma 2 5 4 8 2 2 2" xfId="41223"/>
    <cellStyle name="Comma 2 5 4 8 2 2 3" xfId="34800"/>
    <cellStyle name="Comma 2 5 4 8 2 3" xfId="22379"/>
    <cellStyle name="Comma 2 5 4 8 2 3 2" xfId="38016"/>
    <cellStyle name="Comma 2 5 4 8 2 4" xfId="31593"/>
    <cellStyle name="Comma 2 5 4 8 2 5" xfId="43358"/>
    <cellStyle name="Comma 2 5 4 8 3" xfId="8635"/>
    <cellStyle name="Comma 2 5 4 8 3 2" xfId="19095"/>
    <cellStyle name="Comma 2 5 4 8 3 2 2" xfId="40138"/>
    <cellStyle name="Comma 2 5 4 8 3 2 3" xfId="33715"/>
    <cellStyle name="Comma 2 5 4 8 3 3" xfId="23585"/>
    <cellStyle name="Comma 2 5 4 8 3 3 2" xfId="36931"/>
    <cellStyle name="Comma 2 5 4 8 3 4" xfId="30508"/>
    <cellStyle name="Comma 2 5 4 8 3 5" xfId="44414"/>
    <cellStyle name="Comma 2 5 4 8 4" xfId="7529"/>
    <cellStyle name="Comma 2 5 4 8 4 2" xfId="18032"/>
    <cellStyle name="Comma 2 5 4 8 4 2 2" xfId="39081"/>
    <cellStyle name="Comma 2 5 4 8 4 3" xfId="32658"/>
    <cellStyle name="Comma 2 5 4 8 5" xfId="16643"/>
    <cellStyle name="Comma 2 5 4 8 5 2" xfId="35874"/>
    <cellStyle name="Comma 2 5 4 8 6" xfId="21261"/>
    <cellStyle name="Comma 2 5 4 8 7" xfId="29451"/>
    <cellStyle name="Comma 2 5 4 8 8" xfId="42280"/>
    <cellStyle name="Comma 2 5 4 9" xfId="5058"/>
    <cellStyle name="Comma 2 5 4 9 2" xfId="11382"/>
    <cellStyle name="Comma 2 5 4 9 2 2" xfId="20181"/>
    <cellStyle name="Comma 2 5 4 9 2 2 2" xfId="41224"/>
    <cellStyle name="Comma 2 5 4 9 2 2 3" xfId="34801"/>
    <cellStyle name="Comma 2 5 4 9 2 3" xfId="22380"/>
    <cellStyle name="Comma 2 5 4 9 2 3 2" xfId="38017"/>
    <cellStyle name="Comma 2 5 4 9 2 4" xfId="31594"/>
    <cellStyle name="Comma 2 5 4 9 2 5" xfId="43359"/>
    <cellStyle name="Comma 2 5 4 9 3" xfId="8636"/>
    <cellStyle name="Comma 2 5 4 9 3 2" xfId="19096"/>
    <cellStyle name="Comma 2 5 4 9 3 2 2" xfId="40139"/>
    <cellStyle name="Comma 2 5 4 9 3 2 3" xfId="33716"/>
    <cellStyle name="Comma 2 5 4 9 3 3" xfId="23586"/>
    <cellStyle name="Comma 2 5 4 9 3 3 2" xfId="36932"/>
    <cellStyle name="Comma 2 5 4 9 3 4" xfId="30509"/>
    <cellStyle name="Comma 2 5 4 9 3 5" xfId="44415"/>
    <cellStyle name="Comma 2 5 4 9 4" xfId="7530"/>
    <cellStyle name="Comma 2 5 4 9 4 2" xfId="18033"/>
    <cellStyle name="Comma 2 5 4 9 4 2 2" xfId="39082"/>
    <cellStyle name="Comma 2 5 4 9 4 3" xfId="32659"/>
    <cellStyle name="Comma 2 5 4 9 5" xfId="16873"/>
    <cellStyle name="Comma 2 5 4 9 5 2" xfId="35875"/>
    <cellStyle name="Comma 2 5 4 9 6" xfId="21262"/>
    <cellStyle name="Comma 2 5 4 9 7" xfId="29452"/>
    <cellStyle name="Comma 2 5 4 9 8" xfId="42281"/>
    <cellStyle name="Comma 2 5 5" xfId="1500"/>
    <cellStyle name="Comma 2 5 5 10" xfId="8637"/>
    <cellStyle name="Comma 2 5 5 10 2" xfId="19097"/>
    <cellStyle name="Comma 2 5 5 10 2 2" xfId="40140"/>
    <cellStyle name="Comma 2 5 5 10 2 3" xfId="33717"/>
    <cellStyle name="Comma 2 5 5 10 3" xfId="23587"/>
    <cellStyle name="Comma 2 5 5 10 3 2" xfId="36933"/>
    <cellStyle name="Comma 2 5 5 10 4" xfId="30510"/>
    <cellStyle name="Comma 2 5 5 10 5" xfId="44416"/>
    <cellStyle name="Comma 2 5 5 11" xfId="6681"/>
    <cellStyle name="Comma 2 5 5 11 2" xfId="17188"/>
    <cellStyle name="Comma 2 5 5 11 2 2" xfId="38241"/>
    <cellStyle name="Comma 2 5 5 11 3" xfId="31818"/>
    <cellStyle name="Comma 2 5 5 12" xfId="16070"/>
    <cellStyle name="Comma 2 5 5 12 2" xfId="35034"/>
    <cellStyle name="Comma 2 5 5 13" xfId="21263"/>
    <cellStyle name="Comma 2 5 5 14" xfId="28609"/>
    <cellStyle name="Comma 2 5 5 15" xfId="42282"/>
    <cellStyle name="Comma 2 5 5 2" xfId="1854"/>
    <cellStyle name="Comma 2 5 5 2 10" xfId="16132"/>
    <cellStyle name="Comma 2 5 5 2 10 2" xfId="35035"/>
    <cellStyle name="Comma 2 5 5 2 11" xfId="21264"/>
    <cellStyle name="Comma 2 5 5 2 12" xfId="28610"/>
    <cellStyle name="Comma 2 5 5 2 13" xfId="42283"/>
    <cellStyle name="Comma 2 5 5 2 2" xfId="2744"/>
    <cellStyle name="Comma 2 5 5 2 2 2" xfId="11383"/>
    <cellStyle name="Comma 2 5 5 2 2 2 2" xfId="20182"/>
    <cellStyle name="Comma 2 5 5 2 2 2 2 2" xfId="41225"/>
    <cellStyle name="Comma 2 5 5 2 2 2 2 3" xfId="34802"/>
    <cellStyle name="Comma 2 5 5 2 2 2 3" xfId="22381"/>
    <cellStyle name="Comma 2 5 5 2 2 2 3 2" xfId="38018"/>
    <cellStyle name="Comma 2 5 5 2 2 2 4" xfId="31595"/>
    <cellStyle name="Comma 2 5 5 2 2 2 5" xfId="43360"/>
    <cellStyle name="Comma 2 5 5 2 2 3" xfId="8639"/>
    <cellStyle name="Comma 2 5 5 2 2 3 2" xfId="19099"/>
    <cellStyle name="Comma 2 5 5 2 2 3 2 2" xfId="40142"/>
    <cellStyle name="Comma 2 5 5 2 2 3 2 3" xfId="33719"/>
    <cellStyle name="Comma 2 5 5 2 2 3 3" xfId="23589"/>
    <cellStyle name="Comma 2 5 5 2 2 3 3 2" xfId="36935"/>
    <cellStyle name="Comma 2 5 5 2 2 3 4" xfId="30512"/>
    <cellStyle name="Comma 2 5 5 2 2 3 5" xfId="44418"/>
    <cellStyle name="Comma 2 5 5 2 2 4" xfId="7531"/>
    <cellStyle name="Comma 2 5 5 2 2 4 2" xfId="18034"/>
    <cellStyle name="Comma 2 5 5 2 2 4 2 2" xfId="39083"/>
    <cellStyle name="Comma 2 5 5 2 2 4 3" xfId="32660"/>
    <cellStyle name="Comma 2 5 5 2 2 5" xfId="16322"/>
    <cellStyle name="Comma 2 5 5 2 2 5 2" xfId="35876"/>
    <cellStyle name="Comma 2 5 5 2 2 6" xfId="21265"/>
    <cellStyle name="Comma 2 5 5 2 2 7" xfId="29453"/>
    <cellStyle name="Comma 2 5 5 2 2 8" xfId="42284"/>
    <cellStyle name="Comma 2 5 5 2 3" xfId="3608"/>
    <cellStyle name="Comma 2 5 5 2 3 2" xfId="11384"/>
    <cellStyle name="Comma 2 5 5 2 3 2 2" xfId="20183"/>
    <cellStyle name="Comma 2 5 5 2 3 2 2 2" xfId="41226"/>
    <cellStyle name="Comma 2 5 5 2 3 2 2 3" xfId="34803"/>
    <cellStyle name="Comma 2 5 5 2 3 2 3" xfId="22382"/>
    <cellStyle name="Comma 2 5 5 2 3 2 3 2" xfId="38019"/>
    <cellStyle name="Comma 2 5 5 2 3 2 4" xfId="31596"/>
    <cellStyle name="Comma 2 5 5 2 3 2 5" xfId="43361"/>
    <cellStyle name="Comma 2 5 5 2 3 3" xfId="8640"/>
    <cellStyle name="Comma 2 5 5 2 3 3 2" xfId="19100"/>
    <cellStyle name="Comma 2 5 5 2 3 3 2 2" xfId="40143"/>
    <cellStyle name="Comma 2 5 5 2 3 3 2 3" xfId="33720"/>
    <cellStyle name="Comma 2 5 5 2 3 3 3" xfId="23590"/>
    <cellStyle name="Comma 2 5 5 2 3 3 3 2" xfId="36936"/>
    <cellStyle name="Comma 2 5 5 2 3 3 4" xfId="30513"/>
    <cellStyle name="Comma 2 5 5 2 3 3 5" xfId="44419"/>
    <cellStyle name="Comma 2 5 5 2 3 4" xfId="7532"/>
    <cellStyle name="Comma 2 5 5 2 3 4 2" xfId="18035"/>
    <cellStyle name="Comma 2 5 5 2 3 4 2 2" xfId="39084"/>
    <cellStyle name="Comma 2 5 5 2 3 4 3" xfId="32661"/>
    <cellStyle name="Comma 2 5 5 2 3 5" xfId="16510"/>
    <cellStyle name="Comma 2 5 5 2 3 5 2" xfId="35877"/>
    <cellStyle name="Comma 2 5 5 2 3 6" xfId="21266"/>
    <cellStyle name="Comma 2 5 5 2 3 7" xfId="29454"/>
    <cellStyle name="Comma 2 5 5 2 3 8" xfId="42285"/>
    <cellStyle name="Comma 2 5 5 2 4" xfId="4483"/>
    <cellStyle name="Comma 2 5 5 2 4 2" xfId="11385"/>
    <cellStyle name="Comma 2 5 5 2 4 2 2" xfId="20184"/>
    <cellStyle name="Comma 2 5 5 2 4 2 2 2" xfId="41227"/>
    <cellStyle name="Comma 2 5 5 2 4 2 2 3" xfId="34804"/>
    <cellStyle name="Comma 2 5 5 2 4 2 3" xfId="22383"/>
    <cellStyle name="Comma 2 5 5 2 4 2 3 2" xfId="38020"/>
    <cellStyle name="Comma 2 5 5 2 4 2 4" xfId="31597"/>
    <cellStyle name="Comma 2 5 5 2 4 2 5" xfId="43362"/>
    <cellStyle name="Comma 2 5 5 2 4 3" xfId="8641"/>
    <cellStyle name="Comma 2 5 5 2 4 3 2" xfId="19101"/>
    <cellStyle name="Comma 2 5 5 2 4 3 2 2" xfId="40144"/>
    <cellStyle name="Comma 2 5 5 2 4 3 2 3" xfId="33721"/>
    <cellStyle name="Comma 2 5 5 2 4 3 3" xfId="23591"/>
    <cellStyle name="Comma 2 5 5 2 4 3 3 2" xfId="36937"/>
    <cellStyle name="Comma 2 5 5 2 4 3 4" xfId="30514"/>
    <cellStyle name="Comma 2 5 5 2 4 3 5" xfId="44420"/>
    <cellStyle name="Comma 2 5 5 2 4 4" xfId="7533"/>
    <cellStyle name="Comma 2 5 5 2 4 4 2" xfId="18036"/>
    <cellStyle name="Comma 2 5 5 2 4 4 2 2" xfId="39085"/>
    <cellStyle name="Comma 2 5 5 2 4 4 3" xfId="32662"/>
    <cellStyle name="Comma 2 5 5 2 4 5" xfId="16698"/>
    <cellStyle name="Comma 2 5 5 2 4 5 2" xfId="35878"/>
    <cellStyle name="Comma 2 5 5 2 4 6" xfId="21267"/>
    <cellStyle name="Comma 2 5 5 2 4 7" xfId="29455"/>
    <cellStyle name="Comma 2 5 5 2 4 8" xfId="42286"/>
    <cellStyle name="Comma 2 5 5 2 5" xfId="5063"/>
    <cellStyle name="Comma 2 5 5 2 5 2" xfId="11386"/>
    <cellStyle name="Comma 2 5 5 2 5 2 2" xfId="20185"/>
    <cellStyle name="Comma 2 5 5 2 5 2 2 2" xfId="41228"/>
    <cellStyle name="Comma 2 5 5 2 5 2 2 3" xfId="34805"/>
    <cellStyle name="Comma 2 5 5 2 5 2 3" xfId="22384"/>
    <cellStyle name="Comma 2 5 5 2 5 2 3 2" xfId="38021"/>
    <cellStyle name="Comma 2 5 5 2 5 2 4" xfId="31598"/>
    <cellStyle name="Comma 2 5 5 2 5 2 5" xfId="43363"/>
    <cellStyle name="Comma 2 5 5 2 5 3" xfId="8642"/>
    <cellStyle name="Comma 2 5 5 2 5 3 2" xfId="19102"/>
    <cellStyle name="Comma 2 5 5 2 5 3 2 2" xfId="40145"/>
    <cellStyle name="Comma 2 5 5 2 5 3 2 3" xfId="33722"/>
    <cellStyle name="Comma 2 5 5 2 5 3 3" xfId="23592"/>
    <cellStyle name="Comma 2 5 5 2 5 3 3 2" xfId="36938"/>
    <cellStyle name="Comma 2 5 5 2 5 3 4" xfId="30515"/>
    <cellStyle name="Comma 2 5 5 2 5 3 5" xfId="44421"/>
    <cellStyle name="Comma 2 5 5 2 5 4" xfId="7534"/>
    <cellStyle name="Comma 2 5 5 2 5 4 2" xfId="18037"/>
    <cellStyle name="Comma 2 5 5 2 5 4 2 2" xfId="39086"/>
    <cellStyle name="Comma 2 5 5 2 5 4 3" xfId="32663"/>
    <cellStyle name="Comma 2 5 5 2 5 5" xfId="16878"/>
    <cellStyle name="Comma 2 5 5 2 5 5 2" xfId="35879"/>
    <cellStyle name="Comma 2 5 5 2 5 6" xfId="21268"/>
    <cellStyle name="Comma 2 5 5 2 5 7" xfId="29456"/>
    <cellStyle name="Comma 2 5 5 2 5 8" xfId="42287"/>
    <cellStyle name="Comma 2 5 5 2 6" xfId="5748"/>
    <cellStyle name="Comma 2 5 5 2 6 2" xfId="11387"/>
    <cellStyle name="Comma 2 5 5 2 6 2 2" xfId="20186"/>
    <cellStyle name="Comma 2 5 5 2 6 2 2 2" xfId="41229"/>
    <cellStyle name="Comma 2 5 5 2 6 2 2 3" xfId="34806"/>
    <cellStyle name="Comma 2 5 5 2 6 2 3" xfId="22385"/>
    <cellStyle name="Comma 2 5 5 2 6 2 3 2" xfId="38022"/>
    <cellStyle name="Comma 2 5 5 2 6 2 4" xfId="31599"/>
    <cellStyle name="Comma 2 5 5 2 6 2 5" xfId="43364"/>
    <cellStyle name="Comma 2 5 5 2 6 3" xfId="8643"/>
    <cellStyle name="Comma 2 5 5 2 6 3 2" xfId="19103"/>
    <cellStyle name="Comma 2 5 5 2 6 3 2 2" xfId="40146"/>
    <cellStyle name="Comma 2 5 5 2 6 3 2 3" xfId="33723"/>
    <cellStyle name="Comma 2 5 5 2 6 3 3" xfId="23593"/>
    <cellStyle name="Comma 2 5 5 2 6 3 3 2" xfId="36939"/>
    <cellStyle name="Comma 2 5 5 2 6 3 4" xfId="30516"/>
    <cellStyle name="Comma 2 5 5 2 6 3 5" xfId="44422"/>
    <cellStyle name="Comma 2 5 5 2 6 4" xfId="7535"/>
    <cellStyle name="Comma 2 5 5 2 6 4 2" xfId="18038"/>
    <cellStyle name="Comma 2 5 5 2 6 4 2 2" xfId="39087"/>
    <cellStyle name="Comma 2 5 5 2 6 4 3" xfId="32664"/>
    <cellStyle name="Comma 2 5 5 2 6 5" xfId="16986"/>
    <cellStyle name="Comma 2 5 5 2 6 5 2" xfId="35880"/>
    <cellStyle name="Comma 2 5 5 2 6 6" xfId="21269"/>
    <cellStyle name="Comma 2 5 5 2 6 7" xfId="29457"/>
    <cellStyle name="Comma 2 5 5 2 6 8" xfId="42288"/>
    <cellStyle name="Comma 2 5 5 2 7" xfId="10283"/>
    <cellStyle name="Comma 2 5 5 2 7 2" xfId="19336"/>
    <cellStyle name="Comma 2 5 5 2 7 2 2" xfId="40379"/>
    <cellStyle name="Comma 2 5 5 2 7 2 3" xfId="33956"/>
    <cellStyle name="Comma 2 5 5 2 7 3" xfId="21536"/>
    <cellStyle name="Comma 2 5 5 2 7 3 2" xfId="37172"/>
    <cellStyle name="Comma 2 5 5 2 7 4" xfId="30749"/>
    <cellStyle name="Comma 2 5 5 2 7 5" xfId="42515"/>
    <cellStyle name="Comma 2 5 5 2 8" xfId="8638"/>
    <cellStyle name="Comma 2 5 5 2 8 2" xfId="19098"/>
    <cellStyle name="Comma 2 5 5 2 8 2 2" xfId="40141"/>
    <cellStyle name="Comma 2 5 5 2 8 2 3" xfId="33718"/>
    <cellStyle name="Comma 2 5 5 2 8 3" xfId="23588"/>
    <cellStyle name="Comma 2 5 5 2 8 3 2" xfId="36934"/>
    <cellStyle name="Comma 2 5 5 2 8 4" xfId="30511"/>
    <cellStyle name="Comma 2 5 5 2 8 5" xfId="44417"/>
    <cellStyle name="Comma 2 5 5 2 9" xfId="6682"/>
    <cellStyle name="Comma 2 5 5 2 9 2" xfId="17189"/>
    <cellStyle name="Comma 2 5 5 2 9 2 2" xfId="38242"/>
    <cellStyle name="Comma 2 5 5 2 9 3" xfId="31819"/>
    <cellStyle name="Comma 2 5 5 3" xfId="2129"/>
    <cellStyle name="Comma 2 5 5 3 10" xfId="21270"/>
    <cellStyle name="Comma 2 5 5 3 11" xfId="29458"/>
    <cellStyle name="Comma 2 5 5 3 12" xfId="42289"/>
    <cellStyle name="Comma 2 5 5 3 2" xfId="2999"/>
    <cellStyle name="Comma 2 5 5 3 2 2" xfId="11389"/>
    <cellStyle name="Comma 2 5 5 3 2 2 2" xfId="20188"/>
    <cellStyle name="Comma 2 5 5 3 2 2 2 2" xfId="41231"/>
    <cellStyle name="Comma 2 5 5 3 2 2 2 3" xfId="34808"/>
    <cellStyle name="Comma 2 5 5 3 2 2 3" xfId="22387"/>
    <cellStyle name="Comma 2 5 5 3 2 2 3 2" xfId="38024"/>
    <cellStyle name="Comma 2 5 5 3 2 2 4" xfId="31601"/>
    <cellStyle name="Comma 2 5 5 3 2 2 5" xfId="43366"/>
    <cellStyle name="Comma 2 5 5 3 2 3" xfId="8645"/>
    <cellStyle name="Comma 2 5 5 3 2 3 2" xfId="19105"/>
    <cellStyle name="Comma 2 5 5 3 2 3 2 2" xfId="40148"/>
    <cellStyle name="Comma 2 5 5 3 2 3 2 3" xfId="33725"/>
    <cellStyle name="Comma 2 5 5 3 2 3 3" xfId="23595"/>
    <cellStyle name="Comma 2 5 5 3 2 3 3 2" xfId="36941"/>
    <cellStyle name="Comma 2 5 5 3 2 3 4" xfId="30518"/>
    <cellStyle name="Comma 2 5 5 3 2 3 5" xfId="44424"/>
    <cellStyle name="Comma 2 5 5 3 2 4" xfId="7537"/>
    <cellStyle name="Comma 2 5 5 3 2 4 2" xfId="18040"/>
    <cellStyle name="Comma 2 5 5 3 2 4 2 2" xfId="39089"/>
    <cellStyle name="Comma 2 5 5 3 2 4 3" xfId="32666"/>
    <cellStyle name="Comma 2 5 5 3 2 5" xfId="16377"/>
    <cellStyle name="Comma 2 5 5 3 2 5 2" xfId="35882"/>
    <cellStyle name="Comma 2 5 5 3 2 6" xfId="21271"/>
    <cellStyle name="Comma 2 5 5 3 2 7" xfId="29459"/>
    <cellStyle name="Comma 2 5 5 3 2 8" xfId="42290"/>
    <cellStyle name="Comma 2 5 5 3 3" xfId="3869"/>
    <cellStyle name="Comma 2 5 5 3 3 2" xfId="11390"/>
    <cellStyle name="Comma 2 5 5 3 3 2 2" xfId="20189"/>
    <cellStyle name="Comma 2 5 5 3 3 2 2 2" xfId="41232"/>
    <cellStyle name="Comma 2 5 5 3 3 2 2 3" xfId="34809"/>
    <cellStyle name="Comma 2 5 5 3 3 2 3" xfId="22388"/>
    <cellStyle name="Comma 2 5 5 3 3 2 3 2" xfId="38025"/>
    <cellStyle name="Comma 2 5 5 3 3 2 4" xfId="31602"/>
    <cellStyle name="Comma 2 5 5 3 3 2 5" xfId="43367"/>
    <cellStyle name="Comma 2 5 5 3 3 3" xfId="8646"/>
    <cellStyle name="Comma 2 5 5 3 3 3 2" xfId="19106"/>
    <cellStyle name="Comma 2 5 5 3 3 3 2 2" xfId="40149"/>
    <cellStyle name="Comma 2 5 5 3 3 3 2 3" xfId="33726"/>
    <cellStyle name="Comma 2 5 5 3 3 3 3" xfId="23596"/>
    <cellStyle name="Comma 2 5 5 3 3 3 3 2" xfId="36942"/>
    <cellStyle name="Comma 2 5 5 3 3 3 4" xfId="30519"/>
    <cellStyle name="Comma 2 5 5 3 3 3 5" xfId="44425"/>
    <cellStyle name="Comma 2 5 5 3 3 4" xfId="7538"/>
    <cellStyle name="Comma 2 5 5 3 3 4 2" xfId="18041"/>
    <cellStyle name="Comma 2 5 5 3 3 4 2 2" xfId="39090"/>
    <cellStyle name="Comma 2 5 5 3 3 4 3" xfId="32667"/>
    <cellStyle name="Comma 2 5 5 3 3 5" xfId="16565"/>
    <cellStyle name="Comma 2 5 5 3 3 5 2" xfId="35883"/>
    <cellStyle name="Comma 2 5 5 3 3 6" xfId="21272"/>
    <cellStyle name="Comma 2 5 5 3 3 7" xfId="29460"/>
    <cellStyle name="Comma 2 5 5 3 3 8" xfId="42291"/>
    <cellStyle name="Comma 2 5 5 3 4" xfId="4747"/>
    <cellStyle name="Comma 2 5 5 3 4 2" xfId="11391"/>
    <cellStyle name="Comma 2 5 5 3 4 2 2" xfId="20190"/>
    <cellStyle name="Comma 2 5 5 3 4 2 2 2" xfId="41233"/>
    <cellStyle name="Comma 2 5 5 3 4 2 2 3" xfId="34810"/>
    <cellStyle name="Comma 2 5 5 3 4 2 3" xfId="22389"/>
    <cellStyle name="Comma 2 5 5 3 4 2 3 2" xfId="38026"/>
    <cellStyle name="Comma 2 5 5 3 4 2 4" xfId="31603"/>
    <cellStyle name="Comma 2 5 5 3 4 2 5" xfId="43368"/>
    <cellStyle name="Comma 2 5 5 3 4 3" xfId="8647"/>
    <cellStyle name="Comma 2 5 5 3 4 3 2" xfId="19107"/>
    <cellStyle name="Comma 2 5 5 3 4 3 2 2" xfId="40150"/>
    <cellStyle name="Comma 2 5 5 3 4 3 2 3" xfId="33727"/>
    <cellStyle name="Comma 2 5 5 3 4 3 3" xfId="23597"/>
    <cellStyle name="Comma 2 5 5 3 4 3 3 2" xfId="36943"/>
    <cellStyle name="Comma 2 5 5 3 4 3 4" xfId="30520"/>
    <cellStyle name="Comma 2 5 5 3 4 3 5" xfId="44426"/>
    <cellStyle name="Comma 2 5 5 3 4 4" xfId="7539"/>
    <cellStyle name="Comma 2 5 5 3 4 4 2" xfId="18042"/>
    <cellStyle name="Comma 2 5 5 3 4 4 2 2" xfId="39091"/>
    <cellStyle name="Comma 2 5 5 3 4 4 3" xfId="32668"/>
    <cellStyle name="Comma 2 5 5 3 4 5" xfId="16753"/>
    <cellStyle name="Comma 2 5 5 3 4 5 2" xfId="35884"/>
    <cellStyle name="Comma 2 5 5 3 4 6" xfId="21273"/>
    <cellStyle name="Comma 2 5 5 3 4 7" xfId="29461"/>
    <cellStyle name="Comma 2 5 5 3 4 8" xfId="42292"/>
    <cellStyle name="Comma 2 5 5 3 5" xfId="6012"/>
    <cellStyle name="Comma 2 5 5 3 5 2" xfId="11392"/>
    <cellStyle name="Comma 2 5 5 3 5 2 2" xfId="20191"/>
    <cellStyle name="Comma 2 5 5 3 5 2 2 2" xfId="41234"/>
    <cellStyle name="Comma 2 5 5 3 5 2 2 3" xfId="34811"/>
    <cellStyle name="Comma 2 5 5 3 5 2 3" xfId="22390"/>
    <cellStyle name="Comma 2 5 5 3 5 2 3 2" xfId="38027"/>
    <cellStyle name="Comma 2 5 5 3 5 2 4" xfId="31604"/>
    <cellStyle name="Comma 2 5 5 3 5 2 5" xfId="43369"/>
    <cellStyle name="Comma 2 5 5 3 5 3" xfId="8648"/>
    <cellStyle name="Comma 2 5 5 3 5 3 2" xfId="19108"/>
    <cellStyle name="Comma 2 5 5 3 5 3 2 2" xfId="40151"/>
    <cellStyle name="Comma 2 5 5 3 5 3 2 3" xfId="33728"/>
    <cellStyle name="Comma 2 5 5 3 5 3 3" xfId="23598"/>
    <cellStyle name="Comma 2 5 5 3 5 3 3 2" xfId="36944"/>
    <cellStyle name="Comma 2 5 5 3 5 3 4" xfId="30521"/>
    <cellStyle name="Comma 2 5 5 3 5 3 5" xfId="44427"/>
    <cellStyle name="Comma 2 5 5 3 5 4" xfId="7540"/>
    <cellStyle name="Comma 2 5 5 3 5 4 2" xfId="18043"/>
    <cellStyle name="Comma 2 5 5 3 5 4 2 2" xfId="39092"/>
    <cellStyle name="Comma 2 5 5 3 5 4 3" xfId="32669"/>
    <cellStyle name="Comma 2 5 5 3 5 5" xfId="17041"/>
    <cellStyle name="Comma 2 5 5 3 5 5 2" xfId="35885"/>
    <cellStyle name="Comma 2 5 5 3 5 6" xfId="21274"/>
    <cellStyle name="Comma 2 5 5 3 5 7" xfId="29462"/>
    <cellStyle name="Comma 2 5 5 3 5 8" xfId="42293"/>
    <cellStyle name="Comma 2 5 5 3 6" xfId="11388"/>
    <cellStyle name="Comma 2 5 5 3 6 2" xfId="20187"/>
    <cellStyle name="Comma 2 5 5 3 6 2 2" xfId="41230"/>
    <cellStyle name="Comma 2 5 5 3 6 2 3" xfId="34807"/>
    <cellStyle name="Comma 2 5 5 3 6 3" xfId="22386"/>
    <cellStyle name="Comma 2 5 5 3 6 3 2" xfId="38023"/>
    <cellStyle name="Comma 2 5 5 3 6 4" xfId="31600"/>
    <cellStyle name="Comma 2 5 5 3 6 5" xfId="43365"/>
    <cellStyle name="Comma 2 5 5 3 7" xfId="8644"/>
    <cellStyle name="Comma 2 5 5 3 7 2" xfId="19104"/>
    <cellStyle name="Comma 2 5 5 3 7 2 2" xfId="40147"/>
    <cellStyle name="Comma 2 5 5 3 7 2 3" xfId="33724"/>
    <cellStyle name="Comma 2 5 5 3 7 3" xfId="23594"/>
    <cellStyle name="Comma 2 5 5 3 7 3 2" xfId="36940"/>
    <cellStyle name="Comma 2 5 5 3 7 4" xfId="30517"/>
    <cellStyle name="Comma 2 5 5 3 7 5" xfId="44423"/>
    <cellStyle name="Comma 2 5 5 3 8" xfId="7536"/>
    <cellStyle name="Comma 2 5 5 3 8 2" xfId="18039"/>
    <cellStyle name="Comma 2 5 5 3 8 2 2" xfId="39088"/>
    <cellStyle name="Comma 2 5 5 3 8 3" xfId="32665"/>
    <cellStyle name="Comma 2 5 5 3 9" xfId="16188"/>
    <cellStyle name="Comma 2 5 5 3 9 2" xfId="35881"/>
    <cellStyle name="Comma 2 5 5 4" xfId="2494"/>
    <cellStyle name="Comma 2 5 5 4 2" xfId="11393"/>
    <cellStyle name="Comma 2 5 5 4 2 2" xfId="20192"/>
    <cellStyle name="Comma 2 5 5 4 2 2 2" xfId="41235"/>
    <cellStyle name="Comma 2 5 5 4 2 2 3" xfId="34812"/>
    <cellStyle name="Comma 2 5 5 4 2 3" xfId="22391"/>
    <cellStyle name="Comma 2 5 5 4 2 3 2" xfId="38028"/>
    <cellStyle name="Comma 2 5 5 4 2 4" xfId="31605"/>
    <cellStyle name="Comma 2 5 5 4 2 5" xfId="43370"/>
    <cellStyle name="Comma 2 5 5 4 3" xfId="8649"/>
    <cellStyle name="Comma 2 5 5 4 3 2" xfId="19109"/>
    <cellStyle name="Comma 2 5 5 4 3 2 2" xfId="40152"/>
    <cellStyle name="Comma 2 5 5 4 3 2 3" xfId="33729"/>
    <cellStyle name="Comma 2 5 5 4 3 3" xfId="23599"/>
    <cellStyle name="Comma 2 5 5 4 3 3 2" xfId="36945"/>
    <cellStyle name="Comma 2 5 5 4 3 4" xfId="30522"/>
    <cellStyle name="Comma 2 5 5 4 3 5" xfId="44428"/>
    <cellStyle name="Comma 2 5 5 4 4" xfId="7541"/>
    <cellStyle name="Comma 2 5 5 4 4 2" xfId="18044"/>
    <cellStyle name="Comma 2 5 5 4 4 2 2" xfId="39093"/>
    <cellStyle name="Comma 2 5 5 4 4 3" xfId="32670"/>
    <cellStyle name="Comma 2 5 5 4 5" xfId="16269"/>
    <cellStyle name="Comma 2 5 5 4 5 2" xfId="35886"/>
    <cellStyle name="Comma 2 5 5 4 6" xfId="21275"/>
    <cellStyle name="Comma 2 5 5 4 7" xfId="29463"/>
    <cellStyle name="Comma 2 5 5 4 8" xfId="42294"/>
    <cellStyle name="Comma 2 5 5 5" xfId="3357"/>
    <cellStyle name="Comma 2 5 5 5 2" xfId="11394"/>
    <cellStyle name="Comma 2 5 5 5 2 2" xfId="20193"/>
    <cellStyle name="Comma 2 5 5 5 2 2 2" xfId="41236"/>
    <cellStyle name="Comma 2 5 5 5 2 2 3" xfId="34813"/>
    <cellStyle name="Comma 2 5 5 5 2 3" xfId="22392"/>
    <cellStyle name="Comma 2 5 5 5 2 3 2" xfId="38029"/>
    <cellStyle name="Comma 2 5 5 5 2 4" xfId="31606"/>
    <cellStyle name="Comma 2 5 5 5 2 5" xfId="43371"/>
    <cellStyle name="Comma 2 5 5 5 3" xfId="8650"/>
    <cellStyle name="Comma 2 5 5 5 3 2" xfId="19110"/>
    <cellStyle name="Comma 2 5 5 5 3 2 2" xfId="40153"/>
    <cellStyle name="Comma 2 5 5 5 3 2 3" xfId="33730"/>
    <cellStyle name="Comma 2 5 5 5 3 3" xfId="23600"/>
    <cellStyle name="Comma 2 5 5 5 3 3 2" xfId="36946"/>
    <cellStyle name="Comma 2 5 5 5 3 4" xfId="30523"/>
    <cellStyle name="Comma 2 5 5 5 3 5" xfId="44429"/>
    <cellStyle name="Comma 2 5 5 5 4" xfId="7542"/>
    <cellStyle name="Comma 2 5 5 5 4 2" xfId="18045"/>
    <cellStyle name="Comma 2 5 5 5 4 2 2" xfId="39094"/>
    <cellStyle name="Comma 2 5 5 5 4 3" xfId="32671"/>
    <cellStyle name="Comma 2 5 5 5 5" xfId="16457"/>
    <cellStyle name="Comma 2 5 5 5 5 2" xfId="35887"/>
    <cellStyle name="Comma 2 5 5 5 6" xfId="21276"/>
    <cellStyle name="Comma 2 5 5 5 7" xfId="29464"/>
    <cellStyle name="Comma 2 5 5 5 8" xfId="42295"/>
    <cellStyle name="Comma 2 5 5 6" xfId="4225"/>
    <cellStyle name="Comma 2 5 5 6 2" xfId="11395"/>
    <cellStyle name="Comma 2 5 5 6 2 2" xfId="20194"/>
    <cellStyle name="Comma 2 5 5 6 2 2 2" xfId="41237"/>
    <cellStyle name="Comma 2 5 5 6 2 2 3" xfId="34814"/>
    <cellStyle name="Comma 2 5 5 6 2 3" xfId="22393"/>
    <cellStyle name="Comma 2 5 5 6 2 3 2" xfId="38030"/>
    <cellStyle name="Comma 2 5 5 6 2 4" xfId="31607"/>
    <cellStyle name="Comma 2 5 5 6 2 5" xfId="43372"/>
    <cellStyle name="Comma 2 5 5 6 3" xfId="8651"/>
    <cellStyle name="Comma 2 5 5 6 3 2" xfId="19111"/>
    <cellStyle name="Comma 2 5 5 6 3 2 2" xfId="40154"/>
    <cellStyle name="Comma 2 5 5 6 3 2 3" xfId="33731"/>
    <cellStyle name="Comma 2 5 5 6 3 3" xfId="23601"/>
    <cellStyle name="Comma 2 5 5 6 3 3 2" xfId="36947"/>
    <cellStyle name="Comma 2 5 5 6 3 4" xfId="30524"/>
    <cellStyle name="Comma 2 5 5 6 3 5" xfId="44430"/>
    <cellStyle name="Comma 2 5 5 6 4" xfId="7543"/>
    <cellStyle name="Comma 2 5 5 6 4 2" xfId="18046"/>
    <cellStyle name="Comma 2 5 5 6 4 2 2" xfId="39095"/>
    <cellStyle name="Comma 2 5 5 6 4 3" xfId="32672"/>
    <cellStyle name="Comma 2 5 5 6 5" xfId="16645"/>
    <cellStyle name="Comma 2 5 5 6 5 2" xfId="35888"/>
    <cellStyle name="Comma 2 5 5 6 6" xfId="21277"/>
    <cellStyle name="Comma 2 5 5 6 7" xfId="29465"/>
    <cellStyle name="Comma 2 5 5 6 8" xfId="42296"/>
    <cellStyle name="Comma 2 5 5 7" xfId="5062"/>
    <cellStyle name="Comma 2 5 5 7 2" xfId="11396"/>
    <cellStyle name="Comma 2 5 5 7 2 2" xfId="20195"/>
    <cellStyle name="Comma 2 5 5 7 2 2 2" xfId="41238"/>
    <cellStyle name="Comma 2 5 5 7 2 2 3" xfId="34815"/>
    <cellStyle name="Comma 2 5 5 7 2 3" xfId="22394"/>
    <cellStyle name="Comma 2 5 5 7 2 3 2" xfId="38031"/>
    <cellStyle name="Comma 2 5 5 7 2 4" xfId="31608"/>
    <cellStyle name="Comma 2 5 5 7 2 5" xfId="43373"/>
    <cellStyle name="Comma 2 5 5 7 3" xfId="8652"/>
    <cellStyle name="Comma 2 5 5 7 3 2" xfId="19112"/>
    <cellStyle name="Comma 2 5 5 7 3 2 2" xfId="40155"/>
    <cellStyle name="Comma 2 5 5 7 3 2 3" xfId="33732"/>
    <cellStyle name="Comma 2 5 5 7 3 3" xfId="23602"/>
    <cellStyle name="Comma 2 5 5 7 3 3 2" xfId="36948"/>
    <cellStyle name="Comma 2 5 5 7 3 4" xfId="30525"/>
    <cellStyle name="Comma 2 5 5 7 3 5" xfId="44431"/>
    <cellStyle name="Comma 2 5 5 7 4" xfId="7544"/>
    <cellStyle name="Comma 2 5 5 7 4 2" xfId="18047"/>
    <cellStyle name="Comma 2 5 5 7 4 2 2" xfId="39096"/>
    <cellStyle name="Comma 2 5 5 7 4 3" xfId="32673"/>
    <cellStyle name="Comma 2 5 5 7 5" xfId="16877"/>
    <cellStyle name="Comma 2 5 5 7 5 2" xfId="35889"/>
    <cellStyle name="Comma 2 5 5 7 6" xfId="21278"/>
    <cellStyle name="Comma 2 5 5 7 7" xfId="29466"/>
    <cellStyle name="Comma 2 5 5 7 8" xfId="42297"/>
    <cellStyle name="Comma 2 5 5 8" xfId="5487"/>
    <cellStyle name="Comma 2 5 5 8 2" xfId="11397"/>
    <cellStyle name="Comma 2 5 5 8 2 2" xfId="20196"/>
    <cellStyle name="Comma 2 5 5 8 2 2 2" xfId="41239"/>
    <cellStyle name="Comma 2 5 5 8 2 2 3" xfId="34816"/>
    <cellStyle name="Comma 2 5 5 8 2 3" xfId="22395"/>
    <cellStyle name="Comma 2 5 5 8 2 3 2" xfId="38032"/>
    <cellStyle name="Comma 2 5 5 8 2 4" xfId="31609"/>
    <cellStyle name="Comma 2 5 5 8 2 5" xfId="43374"/>
    <cellStyle name="Comma 2 5 5 8 3" xfId="8653"/>
    <cellStyle name="Comma 2 5 5 8 3 2" xfId="19113"/>
    <cellStyle name="Comma 2 5 5 8 3 2 2" xfId="40156"/>
    <cellStyle name="Comma 2 5 5 8 3 2 3" xfId="33733"/>
    <cellStyle name="Comma 2 5 5 8 3 3" xfId="23603"/>
    <cellStyle name="Comma 2 5 5 8 3 3 2" xfId="36949"/>
    <cellStyle name="Comma 2 5 5 8 3 4" xfId="30526"/>
    <cellStyle name="Comma 2 5 5 8 3 5" xfId="44432"/>
    <cellStyle name="Comma 2 5 5 8 4" xfId="7545"/>
    <cellStyle name="Comma 2 5 5 8 4 2" xfId="18048"/>
    <cellStyle name="Comma 2 5 5 8 4 2 2" xfId="39097"/>
    <cellStyle name="Comma 2 5 5 8 4 3" xfId="32674"/>
    <cellStyle name="Comma 2 5 5 8 5" xfId="16933"/>
    <cellStyle name="Comma 2 5 5 8 5 2" xfId="35890"/>
    <cellStyle name="Comma 2 5 5 8 6" xfId="21279"/>
    <cellStyle name="Comma 2 5 5 8 7" xfId="29467"/>
    <cellStyle name="Comma 2 5 5 8 8" xfId="42298"/>
    <cellStyle name="Comma 2 5 5 9" xfId="10282"/>
    <cellStyle name="Comma 2 5 5 9 2" xfId="19335"/>
    <cellStyle name="Comma 2 5 5 9 2 2" xfId="40378"/>
    <cellStyle name="Comma 2 5 5 9 2 3" xfId="33955"/>
    <cellStyle name="Comma 2 5 5 9 3" xfId="21535"/>
    <cellStyle name="Comma 2 5 5 9 3 2" xfId="37171"/>
    <cellStyle name="Comma 2 5 5 9 4" xfId="30748"/>
    <cellStyle name="Comma 2 5 5 9 5" xfId="42514"/>
    <cellStyle name="Comma 2 5 6" xfId="1839"/>
    <cellStyle name="Comma 2 5 6 10" xfId="16117"/>
    <cellStyle name="Comma 2 5 6 10 2" xfId="35036"/>
    <cellStyle name="Comma 2 5 6 11" xfId="21280"/>
    <cellStyle name="Comma 2 5 6 12" xfId="28611"/>
    <cellStyle name="Comma 2 5 6 13" xfId="42299"/>
    <cellStyle name="Comma 2 5 6 2" xfId="2729"/>
    <cellStyle name="Comma 2 5 6 2 2" xfId="11398"/>
    <cellStyle name="Comma 2 5 6 2 2 2" xfId="20197"/>
    <cellStyle name="Comma 2 5 6 2 2 2 2" xfId="41240"/>
    <cellStyle name="Comma 2 5 6 2 2 2 3" xfId="34817"/>
    <cellStyle name="Comma 2 5 6 2 2 3" xfId="22396"/>
    <cellStyle name="Comma 2 5 6 2 2 3 2" xfId="38033"/>
    <cellStyle name="Comma 2 5 6 2 2 4" xfId="31610"/>
    <cellStyle name="Comma 2 5 6 2 2 5" xfId="43375"/>
    <cellStyle name="Comma 2 5 6 2 3" xfId="8655"/>
    <cellStyle name="Comma 2 5 6 2 3 2" xfId="19115"/>
    <cellStyle name="Comma 2 5 6 2 3 2 2" xfId="40158"/>
    <cellStyle name="Comma 2 5 6 2 3 2 3" xfId="33735"/>
    <cellStyle name="Comma 2 5 6 2 3 3" xfId="23605"/>
    <cellStyle name="Comma 2 5 6 2 3 3 2" xfId="36951"/>
    <cellStyle name="Comma 2 5 6 2 3 4" xfId="30528"/>
    <cellStyle name="Comma 2 5 6 2 3 5" xfId="44434"/>
    <cellStyle name="Comma 2 5 6 2 4" xfId="7546"/>
    <cellStyle name="Comma 2 5 6 2 4 2" xfId="18049"/>
    <cellStyle name="Comma 2 5 6 2 4 2 2" xfId="39098"/>
    <cellStyle name="Comma 2 5 6 2 4 3" xfId="32675"/>
    <cellStyle name="Comma 2 5 6 2 5" xfId="16307"/>
    <cellStyle name="Comma 2 5 6 2 5 2" xfId="35891"/>
    <cellStyle name="Comma 2 5 6 2 6" xfId="21281"/>
    <cellStyle name="Comma 2 5 6 2 7" xfId="29468"/>
    <cellStyle name="Comma 2 5 6 2 8" xfId="42300"/>
    <cellStyle name="Comma 2 5 6 3" xfId="3593"/>
    <cellStyle name="Comma 2 5 6 3 2" xfId="11399"/>
    <cellStyle name="Comma 2 5 6 3 2 2" xfId="20198"/>
    <cellStyle name="Comma 2 5 6 3 2 2 2" xfId="41241"/>
    <cellStyle name="Comma 2 5 6 3 2 2 3" xfId="34818"/>
    <cellStyle name="Comma 2 5 6 3 2 3" xfId="22397"/>
    <cellStyle name="Comma 2 5 6 3 2 3 2" xfId="38034"/>
    <cellStyle name="Comma 2 5 6 3 2 4" xfId="31611"/>
    <cellStyle name="Comma 2 5 6 3 2 5" xfId="43376"/>
    <cellStyle name="Comma 2 5 6 3 3" xfId="8656"/>
    <cellStyle name="Comma 2 5 6 3 3 2" xfId="19116"/>
    <cellStyle name="Comma 2 5 6 3 3 2 2" xfId="40159"/>
    <cellStyle name="Comma 2 5 6 3 3 2 3" xfId="33736"/>
    <cellStyle name="Comma 2 5 6 3 3 3" xfId="23606"/>
    <cellStyle name="Comma 2 5 6 3 3 3 2" xfId="36952"/>
    <cellStyle name="Comma 2 5 6 3 3 4" xfId="30529"/>
    <cellStyle name="Comma 2 5 6 3 3 5" xfId="44435"/>
    <cellStyle name="Comma 2 5 6 3 4" xfId="7547"/>
    <cellStyle name="Comma 2 5 6 3 4 2" xfId="18050"/>
    <cellStyle name="Comma 2 5 6 3 4 2 2" xfId="39099"/>
    <cellStyle name="Comma 2 5 6 3 4 3" xfId="32676"/>
    <cellStyle name="Comma 2 5 6 3 5" xfId="16495"/>
    <cellStyle name="Comma 2 5 6 3 5 2" xfId="35892"/>
    <cellStyle name="Comma 2 5 6 3 6" xfId="21282"/>
    <cellStyle name="Comma 2 5 6 3 7" xfId="29469"/>
    <cellStyle name="Comma 2 5 6 3 8" xfId="42301"/>
    <cellStyle name="Comma 2 5 6 4" xfId="4468"/>
    <cellStyle name="Comma 2 5 6 4 2" xfId="11400"/>
    <cellStyle name="Comma 2 5 6 4 2 2" xfId="20199"/>
    <cellStyle name="Comma 2 5 6 4 2 2 2" xfId="41242"/>
    <cellStyle name="Comma 2 5 6 4 2 2 3" xfId="34819"/>
    <cellStyle name="Comma 2 5 6 4 2 3" xfId="22398"/>
    <cellStyle name="Comma 2 5 6 4 2 3 2" xfId="38035"/>
    <cellStyle name="Comma 2 5 6 4 2 4" xfId="31612"/>
    <cellStyle name="Comma 2 5 6 4 2 5" xfId="43377"/>
    <cellStyle name="Comma 2 5 6 4 3" xfId="8657"/>
    <cellStyle name="Comma 2 5 6 4 3 2" xfId="19117"/>
    <cellStyle name="Comma 2 5 6 4 3 2 2" xfId="40160"/>
    <cellStyle name="Comma 2 5 6 4 3 2 3" xfId="33737"/>
    <cellStyle name="Comma 2 5 6 4 3 3" xfId="23607"/>
    <cellStyle name="Comma 2 5 6 4 3 3 2" xfId="36953"/>
    <cellStyle name="Comma 2 5 6 4 3 4" xfId="30530"/>
    <cellStyle name="Comma 2 5 6 4 3 5" xfId="44436"/>
    <cellStyle name="Comma 2 5 6 4 4" xfId="7548"/>
    <cellStyle name="Comma 2 5 6 4 4 2" xfId="18051"/>
    <cellStyle name="Comma 2 5 6 4 4 2 2" xfId="39100"/>
    <cellStyle name="Comma 2 5 6 4 4 3" xfId="32677"/>
    <cellStyle name="Comma 2 5 6 4 5" xfId="16683"/>
    <cellStyle name="Comma 2 5 6 4 5 2" xfId="35893"/>
    <cellStyle name="Comma 2 5 6 4 6" xfId="21283"/>
    <cellStyle name="Comma 2 5 6 4 7" xfId="29470"/>
    <cellStyle name="Comma 2 5 6 4 8" xfId="42302"/>
    <cellStyle name="Comma 2 5 6 5" xfId="5064"/>
    <cellStyle name="Comma 2 5 6 5 2" xfId="11401"/>
    <cellStyle name="Comma 2 5 6 5 2 2" xfId="20200"/>
    <cellStyle name="Comma 2 5 6 5 2 2 2" xfId="41243"/>
    <cellStyle name="Comma 2 5 6 5 2 2 3" xfId="34820"/>
    <cellStyle name="Comma 2 5 6 5 2 3" xfId="22399"/>
    <cellStyle name="Comma 2 5 6 5 2 3 2" xfId="38036"/>
    <cellStyle name="Comma 2 5 6 5 2 4" xfId="31613"/>
    <cellStyle name="Comma 2 5 6 5 2 5" xfId="43378"/>
    <cellStyle name="Comma 2 5 6 5 3" xfId="8658"/>
    <cellStyle name="Comma 2 5 6 5 3 2" xfId="19118"/>
    <cellStyle name="Comma 2 5 6 5 3 2 2" xfId="40161"/>
    <cellStyle name="Comma 2 5 6 5 3 2 3" xfId="33738"/>
    <cellStyle name="Comma 2 5 6 5 3 3" xfId="23608"/>
    <cellStyle name="Comma 2 5 6 5 3 3 2" xfId="36954"/>
    <cellStyle name="Comma 2 5 6 5 3 4" xfId="30531"/>
    <cellStyle name="Comma 2 5 6 5 3 5" xfId="44437"/>
    <cellStyle name="Comma 2 5 6 5 4" xfId="7549"/>
    <cellStyle name="Comma 2 5 6 5 4 2" xfId="18052"/>
    <cellStyle name="Comma 2 5 6 5 4 2 2" xfId="39101"/>
    <cellStyle name="Comma 2 5 6 5 4 3" xfId="32678"/>
    <cellStyle name="Comma 2 5 6 5 5" xfId="16879"/>
    <cellStyle name="Comma 2 5 6 5 5 2" xfId="35894"/>
    <cellStyle name="Comma 2 5 6 5 6" xfId="21284"/>
    <cellStyle name="Comma 2 5 6 5 7" xfId="29471"/>
    <cellStyle name="Comma 2 5 6 5 8" xfId="42303"/>
    <cellStyle name="Comma 2 5 6 6" xfId="5733"/>
    <cellStyle name="Comma 2 5 6 6 2" xfId="11402"/>
    <cellStyle name="Comma 2 5 6 6 2 2" xfId="20201"/>
    <cellStyle name="Comma 2 5 6 6 2 2 2" xfId="41244"/>
    <cellStyle name="Comma 2 5 6 6 2 2 3" xfId="34821"/>
    <cellStyle name="Comma 2 5 6 6 2 3" xfId="22400"/>
    <cellStyle name="Comma 2 5 6 6 2 3 2" xfId="38037"/>
    <cellStyle name="Comma 2 5 6 6 2 4" xfId="31614"/>
    <cellStyle name="Comma 2 5 6 6 2 5" xfId="43379"/>
    <cellStyle name="Comma 2 5 6 6 3" xfId="8659"/>
    <cellStyle name="Comma 2 5 6 6 3 2" xfId="19119"/>
    <cellStyle name="Comma 2 5 6 6 3 2 2" xfId="40162"/>
    <cellStyle name="Comma 2 5 6 6 3 2 3" xfId="33739"/>
    <cellStyle name="Comma 2 5 6 6 3 3" xfId="23609"/>
    <cellStyle name="Comma 2 5 6 6 3 3 2" xfId="36955"/>
    <cellStyle name="Comma 2 5 6 6 3 4" xfId="30532"/>
    <cellStyle name="Comma 2 5 6 6 3 5" xfId="44438"/>
    <cellStyle name="Comma 2 5 6 6 4" xfId="7550"/>
    <cellStyle name="Comma 2 5 6 6 4 2" xfId="18053"/>
    <cellStyle name="Comma 2 5 6 6 4 2 2" xfId="39102"/>
    <cellStyle name="Comma 2 5 6 6 4 3" xfId="32679"/>
    <cellStyle name="Comma 2 5 6 6 5" xfId="16971"/>
    <cellStyle name="Comma 2 5 6 6 5 2" xfId="35895"/>
    <cellStyle name="Comma 2 5 6 6 6" xfId="21285"/>
    <cellStyle name="Comma 2 5 6 6 7" xfId="29472"/>
    <cellStyle name="Comma 2 5 6 6 8" xfId="42304"/>
    <cellStyle name="Comma 2 5 6 7" xfId="10284"/>
    <cellStyle name="Comma 2 5 6 7 2" xfId="19337"/>
    <cellStyle name="Comma 2 5 6 7 2 2" xfId="40380"/>
    <cellStyle name="Comma 2 5 6 7 2 3" xfId="33957"/>
    <cellStyle name="Comma 2 5 6 7 3" xfId="21537"/>
    <cellStyle name="Comma 2 5 6 7 3 2" xfId="37173"/>
    <cellStyle name="Comma 2 5 6 7 4" xfId="30750"/>
    <cellStyle name="Comma 2 5 6 7 5" xfId="42516"/>
    <cellStyle name="Comma 2 5 6 8" xfId="8654"/>
    <cellStyle name="Comma 2 5 6 8 2" xfId="19114"/>
    <cellStyle name="Comma 2 5 6 8 2 2" xfId="40157"/>
    <cellStyle name="Comma 2 5 6 8 2 3" xfId="33734"/>
    <cellStyle name="Comma 2 5 6 8 3" xfId="23604"/>
    <cellStyle name="Comma 2 5 6 8 3 2" xfId="36950"/>
    <cellStyle name="Comma 2 5 6 8 4" xfId="30527"/>
    <cellStyle name="Comma 2 5 6 8 5" xfId="44433"/>
    <cellStyle name="Comma 2 5 6 9" xfId="6683"/>
    <cellStyle name="Comma 2 5 6 9 2" xfId="17190"/>
    <cellStyle name="Comma 2 5 6 9 2 2" xfId="38243"/>
    <cellStyle name="Comma 2 5 6 9 3" xfId="31820"/>
    <cellStyle name="Comma 2 5 7" xfId="2114"/>
    <cellStyle name="Comma 2 5 7 10" xfId="21286"/>
    <cellStyle name="Comma 2 5 7 11" xfId="29473"/>
    <cellStyle name="Comma 2 5 7 12" xfId="42305"/>
    <cellStyle name="Comma 2 5 7 2" xfId="2984"/>
    <cellStyle name="Comma 2 5 7 2 2" xfId="11404"/>
    <cellStyle name="Comma 2 5 7 2 2 2" xfId="20203"/>
    <cellStyle name="Comma 2 5 7 2 2 2 2" xfId="41246"/>
    <cellStyle name="Comma 2 5 7 2 2 2 3" xfId="34823"/>
    <cellStyle name="Comma 2 5 7 2 2 3" xfId="22402"/>
    <cellStyle name="Comma 2 5 7 2 2 3 2" xfId="38039"/>
    <cellStyle name="Comma 2 5 7 2 2 4" xfId="31616"/>
    <cellStyle name="Comma 2 5 7 2 2 5" xfId="43381"/>
    <cellStyle name="Comma 2 5 7 2 3" xfId="8661"/>
    <cellStyle name="Comma 2 5 7 2 3 2" xfId="19121"/>
    <cellStyle name="Comma 2 5 7 2 3 2 2" xfId="40164"/>
    <cellStyle name="Comma 2 5 7 2 3 2 3" xfId="33741"/>
    <cellStyle name="Comma 2 5 7 2 3 3" xfId="23611"/>
    <cellStyle name="Comma 2 5 7 2 3 3 2" xfId="36957"/>
    <cellStyle name="Comma 2 5 7 2 3 4" xfId="30534"/>
    <cellStyle name="Comma 2 5 7 2 3 5" xfId="44440"/>
    <cellStyle name="Comma 2 5 7 2 4" xfId="7552"/>
    <cellStyle name="Comma 2 5 7 2 4 2" xfId="18055"/>
    <cellStyle name="Comma 2 5 7 2 4 2 2" xfId="39104"/>
    <cellStyle name="Comma 2 5 7 2 4 3" xfId="32681"/>
    <cellStyle name="Comma 2 5 7 2 5" xfId="16362"/>
    <cellStyle name="Comma 2 5 7 2 5 2" xfId="35897"/>
    <cellStyle name="Comma 2 5 7 2 6" xfId="21287"/>
    <cellStyle name="Comma 2 5 7 2 7" xfId="29474"/>
    <cellStyle name="Comma 2 5 7 2 8" xfId="42306"/>
    <cellStyle name="Comma 2 5 7 3" xfId="3854"/>
    <cellStyle name="Comma 2 5 7 3 2" xfId="11405"/>
    <cellStyle name="Comma 2 5 7 3 2 2" xfId="20204"/>
    <cellStyle name="Comma 2 5 7 3 2 2 2" xfId="41247"/>
    <cellStyle name="Comma 2 5 7 3 2 2 3" xfId="34824"/>
    <cellStyle name="Comma 2 5 7 3 2 3" xfId="22403"/>
    <cellStyle name="Comma 2 5 7 3 2 3 2" xfId="38040"/>
    <cellStyle name="Comma 2 5 7 3 2 4" xfId="31617"/>
    <cellStyle name="Comma 2 5 7 3 2 5" xfId="43382"/>
    <cellStyle name="Comma 2 5 7 3 3" xfId="8662"/>
    <cellStyle name="Comma 2 5 7 3 3 2" xfId="19122"/>
    <cellStyle name="Comma 2 5 7 3 3 2 2" xfId="40165"/>
    <cellStyle name="Comma 2 5 7 3 3 2 3" xfId="33742"/>
    <cellStyle name="Comma 2 5 7 3 3 3" xfId="23612"/>
    <cellStyle name="Comma 2 5 7 3 3 3 2" xfId="36958"/>
    <cellStyle name="Comma 2 5 7 3 3 4" xfId="30535"/>
    <cellStyle name="Comma 2 5 7 3 3 5" xfId="44441"/>
    <cellStyle name="Comma 2 5 7 3 4" xfId="7553"/>
    <cellStyle name="Comma 2 5 7 3 4 2" xfId="18056"/>
    <cellStyle name="Comma 2 5 7 3 4 2 2" xfId="39105"/>
    <cellStyle name="Comma 2 5 7 3 4 3" xfId="32682"/>
    <cellStyle name="Comma 2 5 7 3 5" xfId="16550"/>
    <cellStyle name="Comma 2 5 7 3 5 2" xfId="35898"/>
    <cellStyle name="Comma 2 5 7 3 6" xfId="21288"/>
    <cellStyle name="Comma 2 5 7 3 7" xfId="29475"/>
    <cellStyle name="Comma 2 5 7 3 8" xfId="42307"/>
    <cellStyle name="Comma 2 5 7 4" xfId="4732"/>
    <cellStyle name="Comma 2 5 7 4 2" xfId="11406"/>
    <cellStyle name="Comma 2 5 7 4 2 2" xfId="20205"/>
    <cellStyle name="Comma 2 5 7 4 2 2 2" xfId="41248"/>
    <cellStyle name="Comma 2 5 7 4 2 2 3" xfId="34825"/>
    <cellStyle name="Comma 2 5 7 4 2 3" xfId="22404"/>
    <cellStyle name="Comma 2 5 7 4 2 3 2" xfId="38041"/>
    <cellStyle name="Comma 2 5 7 4 2 4" xfId="31618"/>
    <cellStyle name="Comma 2 5 7 4 2 5" xfId="43383"/>
    <cellStyle name="Comma 2 5 7 4 3" xfId="8663"/>
    <cellStyle name="Comma 2 5 7 4 3 2" xfId="19123"/>
    <cellStyle name="Comma 2 5 7 4 3 2 2" xfId="40166"/>
    <cellStyle name="Comma 2 5 7 4 3 2 3" xfId="33743"/>
    <cellStyle name="Comma 2 5 7 4 3 3" xfId="23613"/>
    <cellStyle name="Comma 2 5 7 4 3 3 2" xfId="36959"/>
    <cellStyle name="Comma 2 5 7 4 3 4" xfId="30536"/>
    <cellStyle name="Comma 2 5 7 4 3 5" xfId="44442"/>
    <cellStyle name="Comma 2 5 7 4 4" xfId="7554"/>
    <cellStyle name="Comma 2 5 7 4 4 2" xfId="18057"/>
    <cellStyle name="Comma 2 5 7 4 4 2 2" xfId="39106"/>
    <cellStyle name="Comma 2 5 7 4 4 3" xfId="32683"/>
    <cellStyle name="Comma 2 5 7 4 5" xfId="16738"/>
    <cellStyle name="Comma 2 5 7 4 5 2" xfId="35899"/>
    <cellStyle name="Comma 2 5 7 4 6" xfId="21289"/>
    <cellStyle name="Comma 2 5 7 4 7" xfId="29476"/>
    <cellStyle name="Comma 2 5 7 4 8" xfId="42308"/>
    <cellStyle name="Comma 2 5 7 5" xfId="5997"/>
    <cellStyle name="Comma 2 5 7 5 2" xfId="11407"/>
    <cellStyle name="Comma 2 5 7 5 2 2" xfId="20206"/>
    <cellStyle name="Comma 2 5 7 5 2 2 2" xfId="41249"/>
    <cellStyle name="Comma 2 5 7 5 2 2 3" xfId="34826"/>
    <cellStyle name="Comma 2 5 7 5 2 3" xfId="22405"/>
    <cellStyle name="Comma 2 5 7 5 2 3 2" xfId="38042"/>
    <cellStyle name="Comma 2 5 7 5 2 4" xfId="31619"/>
    <cellStyle name="Comma 2 5 7 5 2 5" xfId="43384"/>
    <cellStyle name="Comma 2 5 7 5 3" xfId="8664"/>
    <cellStyle name="Comma 2 5 7 5 3 2" xfId="19124"/>
    <cellStyle name="Comma 2 5 7 5 3 2 2" xfId="40167"/>
    <cellStyle name="Comma 2 5 7 5 3 2 3" xfId="33744"/>
    <cellStyle name="Comma 2 5 7 5 3 3" xfId="23614"/>
    <cellStyle name="Comma 2 5 7 5 3 3 2" xfId="36960"/>
    <cellStyle name="Comma 2 5 7 5 3 4" xfId="30537"/>
    <cellStyle name="Comma 2 5 7 5 3 5" xfId="44443"/>
    <cellStyle name="Comma 2 5 7 5 4" xfId="7555"/>
    <cellStyle name="Comma 2 5 7 5 4 2" xfId="18058"/>
    <cellStyle name="Comma 2 5 7 5 4 2 2" xfId="39107"/>
    <cellStyle name="Comma 2 5 7 5 4 3" xfId="32684"/>
    <cellStyle name="Comma 2 5 7 5 5" xfId="17026"/>
    <cellStyle name="Comma 2 5 7 5 5 2" xfId="35900"/>
    <cellStyle name="Comma 2 5 7 5 6" xfId="21290"/>
    <cellStyle name="Comma 2 5 7 5 7" xfId="29477"/>
    <cellStyle name="Comma 2 5 7 5 8" xfId="42309"/>
    <cellStyle name="Comma 2 5 7 6" xfId="11403"/>
    <cellStyle name="Comma 2 5 7 6 2" xfId="20202"/>
    <cellStyle name="Comma 2 5 7 6 2 2" xfId="41245"/>
    <cellStyle name="Comma 2 5 7 6 2 3" xfId="34822"/>
    <cellStyle name="Comma 2 5 7 6 3" xfId="22401"/>
    <cellStyle name="Comma 2 5 7 6 3 2" xfId="38038"/>
    <cellStyle name="Comma 2 5 7 6 4" xfId="31615"/>
    <cellStyle name="Comma 2 5 7 6 5" xfId="43380"/>
    <cellStyle name="Comma 2 5 7 7" xfId="8660"/>
    <cellStyle name="Comma 2 5 7 7 2" xfId="19120"/>
    <cellStyle name="Comma 2 5 7 7 2 2" xfId="40163"/>
    <cellStyle name="Comma 2 5 7 7 2 3" xfId="33740"/>
    <cellStyle name="Comma 2 5 7 7 3" xfId="23610"/>
    <cellStyle name="Comma 2 5 7 7 3 2" xfId="36956"/>
    <cellStyle name="Comma 2 5 7 7 4" xfId="30533"/>
    <cellStyle name="Comma 2 5 7 7 5" xfId="44439"/>
    <cellStyle name="Comma 2 5 7 8" xfId="7551"/>
    <cellStyle name="Comma 2 5 7 8 2" xfId="18054"/>
    <cellStyle name="Comma 2 5 7 8 2 2" xfId="39103"/>
    <cellStyle name="Comma 2 5 7 8 3" xfId="32680"/>
    <cellStyle name="Comma 2 5 7 9" xfId="16173"/>
    <cellStyle name="Comma 2 5 7 9 2" xfId="35896"/>
    <cellStyle name="Comma 2 5 8" xfId="2283"/>
    <cellStyle name="Comma 2 5 8 10" xfId="21291"/>
    <cellStyle name="Comma 2 5 8 11" xfId="29478"/>
    <cellStyle name="Comma 2 5 8 12" xfId="42310"/>
    <cellStyle name="Comma 2 5 8 2" xfId="3142"/>
    <cellStyle name="Comma 2 5 8 2 2" xfId="11409"/>
    <cellStyle name="Comma 2 5 8 2 2 2" xfId="20208"/>
    <cellStyle name="Comma 2 5 8 2 2 2 2" xfId="41251"/>
    <cellStyle name="Comma 2 5 8 2 2 2 3" xfId="34828"/>
    <cellStyle name="Comma 2 5 8 2 2 3" xfId="22407"/>
    <cellStyle name="Comma 2 5 8 2 2 3 2" xfId="38044"/>
    <cellStyle name="Comma 2 5 8 2 2 4" xfId="31621"/>
    <cellStyle name="Comma 2 5 8 2 2 5" xfId="43386"/>
    <cellStyle name="Comma 2 5 8 2 3" xfId="8666"/>
    <cellStyle name="Comma 2 5 8 2 3 2" xfId="19126"/>
    <cellStyle name="Comma 2 5 8 2 3 2 2" xfId="40169"/>
    <cellStyle name="Comma 2 5 8 2 3 2 3" xfId="33746"/>
    <cellStyle name="Comma 2 5 8 2 3 3" xfId="23616"/>
    <cellStyle name="Comma 2 5 8 2 3 3 2" xfId="36962"/>
    <cellStyle name="Comma 2 5 8 2 3 4" xfId="30539"/>
    <cellStyle name="Comma 2 5 8 2 3 5" xfId="44445"/>
    <cellStyle name="Comma 2 5 8 2 4" xfId="7557"/>
    <cellStyle name="Comma 2 5 8 2 4 2" xfId="18060"/>
    <cellStyle name="Comma 2 5 8 2 4 2 2" xfId="39109"/>
    <cellStyle name="Comma 2 5 8 2 4 3" xfId="32686"/>
    <cellStyle name="Comma 2 5 8 2 5" xfId="16385"/>
    <cellStyle name="Comma 2 5 8 2 5 2" xfId="35902"/>
    <cellStyle name="Comma 2 5 8 2 6" xfId="21292"/>
    <cellStyle name="Comma 2 5 8 2 7" xfId="29479"/>
    <cellStyle name="Comma 2 5 8 2 8" xfId="42311"/>
    <cellStyle name="Comma 2 5 8 3" xfId="4008"/>
    <cellStyle name="Comma 2 5 8 3 2" xfId="11410"/>
    <cellStyle name="Comma 2 5 8 3 2 2" xfId="20209"/>
    <cellStyle name="Comma 2 5 8 3 2 2 2" xfId="41252"/>
    <cellStyle name="Comma 2 5 8 3 2 2 3" xfId="34829"/>
    <cellStyle name="Comma 2 5 8 3 2 3" xfId="22408"/>
    <cellStyle name="Comma 2 5 8 3 2 3 2" xfId="38045"/>
    <cellStyle name="Comma 2 5 8 3 2 4" xfId="31622"/>
    <cellStyle name="Comma 2 5 8 3 2 5" xfId="43387"/>
    <cellStyle name="Comma 2 5 8 3 3" xfId="8667"/>
    <cellStyle name="Comma 2 5 8 3 3 2" xfId="19127"/>
    <cellStyle name="Comma 2 5 8 3 3 2 2" xfId="40170"/>
    <cellStyle name="Comma 2 5 8 3 3 2 3" xfId="33747"/>
    <cellStyle name="Comma 2 5 8 3 3 3" xfId="23617"/>
    <cellStyle name="Comma 2 5 8 3 3 3 2" xfId="36963"/>
    <cellStyle name="Comma 2 5 8 3 3 4" xfId="30540"/>
    <cellStyle name="Comma 2 5 8 3 3 5" xfId="44446"/>
    <cellStyle name="Comma 2 5 8 3 4" xfId="7558"/>
    <cellStyle name="Comma 2 5 8 3 4 2" xfId="18061"/>
    <cellStyle name="Comma 2 5 8 3 4 2 2" xfId="39110"/>
    <cellStyle name="Comma 2 5 8 3 4 3" xfId="32687"/>
    <cellStyle name="Comma 2 5 8 3 5" xfId="16573"/>
    <cellStyle name="Comma 2 5 8 3 5 2" xfId="35903"/>
    <cellStyle name="Comma 2 5 8 3 6" xfId="21293"/>
    <cellStyle name="Comma 2 5 8 3 7" xfId="29480"/>
    <cellStyle name="Comma 2 5 8 3 8" xfId="42312"/>
    <cellStyle name="Comma 2 5 8 4" xfId="4887"/>
    <cellStyle name="Comma 2 5 8 4 2" xfId="11411"/>
    <cellStyle name="Comma 2 5 8 4 2 2" xfId="20210"/>
    <cellStyle name="Comma 2 5 8 4 2 2 2" xfId="41253"/>
    <cellStyle name="Comma 2 5 8 4 2 2 3" xfId="34830"/>
    <cellStyle name="Comma 2 5 8 4 2 3" xfId="22409"/>
    <cellStyle name="Comma 2 5 8 4 2 3 2" xfId="38046"/>
    <cellStyle name="Comma 2 5 8 4 2 4" xfId="31623"/>
    <cellStyle name="Comma 2 5 8 4 2 5" xfId="43388"/>
    <cellStyle name="Comma 2 5 8 4 3" xfId="8668"/>
    <cellStyle name="Comma 2 5 8 4 3 2" xfId="19128"/>
    <cellStyle name="Comma 2 5 8 4 3 2 2" xfId="40171"/>
    <cellStyle name="Comma 2 5 8 4 3 2 3" xfId="33748"/>
    <cellStyle name="Comma 2 5 8 4 3 3" xfId="23618"/>
    <cellStyle name="Comma 2 5 8 4 3 3 2" xfId="36964"/>
    <cellStyle name="Comma 2 5 8 4 3 4" xfId="30541"/>
    <cellStyle name="Comma 2 5 8 4 3 5" xfId="44447"/>
    <cellStyle name="Comma 2 5 8 4 4" xfId="7559"/>
    <cellStyle name="Comma 2 5 8 4 4 2" xfId="18062"/>
    <cellStyle name="Comma 2 5 8 4 4 2 2" xfId="39111"/>
    <cellStyle name="Comma 2 5 8 4 4 3" xfId="32688"/>
    <cellStyle name="Comma 2 5 8 4 5" xfId="16761"/>
    <cellStyle name="Comma 2 5 8 4 5 2" xfId="35904"/>
    <cellStyle name="Comma 2 5 8 4 6" xfId="21294"/>
    <cellStyle name="Comma 2 5 8 4 7" xfId="29481"/>
    <cellStyle name="Comma 2 5 8 4 8" xfId="42313"/>
    <cellStyle name="Comma 2 5 8 5" xfId="6152"/>
    <cellStyle name="Comma 2 5 8 5 2" xfId="11412"/>
    <cellStyle name="Comma 2 5 8 5 2 2" xfId="20211"/>
    <cellStyle name="Comma 2 5 8 5 2 2 2" xfId="41254"/>
    <cellStyle name="Comma 2 5 8 5 2 2 3" xfId="34831"/>
    <cellStyle name="Comma 2 5 8 5 2 3" xfId="22410"/>
    <cellStyle name="Comma 2 5 8 5 2 3 2" xfId="38047"/>
    <cellStyle name="Comma 2 5 8 5 2 4" xfId="31624"/>
    <cellStyle name="Comma 2 5 8 5 2 5" xfId="43389"/>
    <cellStyle name="Comma 2 5 8 5 3" xfId="8669"/>
    <cellStyle name="Comma 2 5 8 5 3 2" xfId="19129"/>
    <cellStyle name="Comma 2 5 8 5 3 2 2" xfId="40172"/>
    <cellStyle name="Comma 2 5 8 5 3 2 3" xfId="33749"/>
    <cellStyle name="Comma 2 5 8 5 3 3" xfId="23619"/>
    <cellStyle name="Comma 2 5 8 5 3 3 2" xfId="36965"/>
    <cellStyle name="Comma 2 5 8 5 3 4" xfId="30542"/>
    <cellStyle name="Comma 2 5 8 5 3 5" xfId="44448"/>
    <cellStyle name="Comma 2 5 8 5 4" xfId="7560"/>
    <cellStyle name="Comma 2 5 8 5 4 2" xfId="18063"/>
    <cellStyle name="Comma 2 5 8 5 4 2 2" xfId="39112"/>
    <cellStyle name="Comma 2 5 8 5 4 3" xfId="32689"/>
    <cellStyle name="Comma 2 5 8 5 5" xfId="17049"/>
    <cellStyle name="Comma 2 5 8 5 5 2" xfId="35905"/>
    <cellStyle name="Comma 2 5 8 5 6" xfId="21295"/>
    <cellStyle name="Comma 2 5 8 5 7" xfId="29482"/>
    <cellStyle name="Comma 2 5 8 5 8" xfId="42314"/>
    <cellStyle name="Comma 2 5 8 6" xfId="11408"/>
    <cellStyle name="Comma 2 5 8 6 2" xfId="20207"/>
    <cellStyle name="Comma 2 5 8 6 2 2" xfId="41250"/>
    <cellStyle name="Comma 2 5 8 6 2 3" xfId="34827"/>
    <cellStyle name="Comma 2 5 8 6 3" xfId="22406"/>
    <cellStyle name="Comma 2 5 8 6 3 2" xfId="38043"/>
    <cellStyle name="Comma 2 5 8 6 4" xfId="31620"/>
    <cellStyle name="Comma 2 5 8 6 5" xfId="43385"/>
    <cellStyle name="Comma 2 5 8 7" xfId="8665"/>
    <cellStyle name="Comma 2 5 8 7 2" xfId="19125"/>
    <cellStyle name="Comma 2 5 8 7 2 2" xfId="40168"/>
    <cellStyle name="Comma 2 5 8 7 2 3" xfId="33745"/>
    <cellStyle name="Comma 2 5 8 7 3" xfId="23615"/>
    <cellStyle name="Comma 2 5 8 7 3 2" xfId="36961"/>
    <cellStyle name="Comma 2 5 8 7 4" xfId="30538"/>
    <cellStyle name="Comma 2 5 8 7 5" xfId="44444"/>
    <cellStyle name="Comma 2 5 8 8" xfId="7556"/>
    <cellStyle name="Comma 2 5 8 8 2" xfId="18059"/>
    <cellStyle name="Comma 2 5 8 8 2 2" xfId="39108"/>
    <cellStyle name="Comma 2 5 8 8 3" xfId="32685"/>
    <cellStyle name="Comma 2 5 8 9" xfId="16197"/>
    <cellStyle name="Comma 2 5 8 9 2" xfId="35901"/>
    <cellStyle name="Comma 2 5 9" xfId="2479"/>
    <cellStyle name="Comma 2 5 9 2" xfId="11413"/>
    <cellStyle name="Comma 2 5 9 2 2" xfId="20212"/>
    <cellStyle name="Comma 2 5 9 2 2 2" xfId="41255"/>
    <cellStyle name="Comma 2 5 9 2 2 3" xfId="34832"/>
    <cellStyle name="Comma 2 5 9 2 3" xfId="22411"/>
    <cellStyle name="Comma 2 5 9 2 3 2" xfId="38048"/>
    <cellStyle name="Comma 2 5 9 2 4" xfId="31625"/>
    <cellStyle name="Comma 2 5 9 2 5" xfId="43390"/>
    <cellStyle name="Comma 2 5 9 3" xfId="8670"/>
    <cellStyle name="Comma 2 5 9 3 2" xfId="19130"/>
    <cellStyle name="Comma 2 5 9 3 2 2" xfId="40173"/>
    <cellStyle name="Comma 2 5 9 3 2 3" xfId="33750"/>
    <cellStyle name="Comma 2 5 9 3 3" xfId="23620"/>
    <cellStyle name="Comma 2 5 9 3 3 2" xfId="36966"/>
    <cellStyle name="Comma 2 5 9 3 4" xfId="30543"/>
    <cellStyle name="Comma 2 5 9 3 5" xfId="44449"/>
    <cellStyle name="Comma 2 5 9 4" xfId="7561"/>
    <cellStyle name="Comma 2 5 9 4 2" xfId="18064"/>
    <cellStyle name="Comma 2 5 9 4 2 2" xfId="39113"/>
    <cellStyle name="Comma 2 5 9 4 3" xfId="32690"/>
    <cellStyle name="Comma 2 5 9 5" xfId="16254"/>
    <cellStyle name="Comma 2 5 9 5 2" xfId="35906"/>
    <cellStyle name="Comma 2 5 9 6" xfId="21296"/>
    <cellStyle name="Comma 2 5 9 7" xfId="29483"/>
    <cellStyle name="Comma 2 5 9 8" xfId="42315"/>
    <cellStyle name="Comma 2 6" xfId="1676"/>
    <cellStyle name="Comma 2 6 2" xfId="10238"/>
    <cellStyle name="Comma 2 6 2 2" xfId="19291"/>
    <cellStyle name="Comma 2 6 2 2 2" xfId="40334"/>
    <cellStyle name="Comma 2 6 2 2 3" xfId="33911"/>
    <cellStyle name="Comma 2 6 2 3" xfId="21491"/>
    <cellStyle name="Comma 2 6 2 3 2" xfId="37127"/>
    <cellStyle name="Comma 2 6 2 4" xfId="30704"/>
    <cellStyle name="Comma 2 6 2 5" xfId="42470"/>
    <cellStyle name="Comma 2 6 3" xfId="8671"/>
    <cellStyle name="Comma 2 6 3 2" xfId="19131"/>
    <cellStyle name="Comma 2 6 3 2 2" xfId="40174"/>
    <cellStyle name="Comma 2 6 3 2 3" xfId="33751"/>
    <cellStyle name="Comma 2 6 3 3" xfId="23621"/>
    <cellStyle name="Comma 2 6 3 3 2" xfId="36967"/>
    <cellStyle name="Comma 2 6 3 4" xfId="30544"/>
    <cellStyle name="Comma 2 6 3 5" xfId="44450"/>
    <cellStyle name="Comma 2 6 4" xfId="6637"/>
    <cellStyle name="Comma 2 6 4 2" xfId="17144"/>
    <cellStyle name="Comma 2 6 4 2 2" xfId="38197"/>
    <cellStyle name="Comma 2 6 4 3" xfId="31774"/>
    <cellStyle name="Comma 2 6 5" xfId="16082"/>
    <cellStyle name="Comma 2 6 5 2" xfId="34990"/>
    <cellStyle name="Comma 2 6 6" xfId="21297"/>
    <cellStyle name="Comma 2 6 7" xfId="28565"/>
    <cellStyle name="Comma 2 6 8" xfId="42316"/>
    <cellStyle name="Comma 2 7" xfId="1992"/>
    <cellStyle name="Comma 2 7 10" xfId="21298"/>
    <cellStyle name="Comma 2 7 11" xfId="29484"/>
    <cellStyle name="Comma 2 7 12" xfId="42317"/>
    <cellStyle name="Comma 2 7 2" xfId="2862"/>
    <cellStyle name="Comma 2 7 2 2" xfId="11415"/>
    <cellStyle name="Comma 2 7 2 2 2" xfId="20214"/>
    <cellStyle name="Comma 2 7 2 2 2 2" xfId="41257"/>
    <cellStyle name="Comma 2 7 2 2 2 3" xfId="34834"/>
    <cellStyle name="Comma 2 7 2 2 3" xfId="22413"/>
    <cellStyle name="Comma 2 7 2 2 3 2" xfId="38050"/>
    <cellStyle name="Comma 2 7 2 2 4" xfId="31627"/>
    <cellStyle name="Comma 2 7 2 2 5" xfId="43392"/>
    <cellStyle name="Comma 2 7 2 3" xfId="8673"/>
    <cellStyle name="Comma 2 7 2 3 2" xfId="19133"/>
    <cellStyle name="Comma 2 7 2 3 2 2" xfId="40176"/>
    <cellStyle name="Comma 2 7 2 3 2 3" xfId="33753"/>
    <cellStyle name="Comma 2 7 2 3 3" xfId="23623"/>
    <cellStyle name="Comma 2 7 2 3 3 2" xfId="36969"/>
    <cellStyle name="Comma 2 7 2 3 4" xfId="30546"/>
    <cellStyle name="Comma 2 7 2 3 5" xfId="44452"/>
    <cellStyle name="Comma 2 7 2 4" xfId="7563"/>
    <cellStyle name="Comma 2 7 2 4 2" xfId="18066"/>
    <cellStyle name="Comma 2 7 2 4 2 2" xfId="39115"/>
    <cellStyle name="Comma 2 7 2 4 3" xfId="32692"/>
    <cellStyle name="Comma 2 7 2 5" xfId="16325"/>
    <cellStyle name="Comma 2 7 2 5 2" xfId="35908"/>
    <cellStyle name="Comma 2 7 2 6" xfId="21299"/>
    <cellStyle name="Comma 2 7 2 7" xfId="29485"/>
    <cellStyle name="Comma 2 7 2 8" xfId="42318"/>
    <cellStyle name="Comma 2 7 3" xfId="3725"/>
    <cellStyle name="Comma 2 7 3 2" xfId="11416"/>
    <cellStyle name="Comma 2 7 3 2 2" xfId="20215"/>
    <cellStyle name="Comma 2 7 3 2 2 2" xfId="41258"/>
    <cellStyle name="Comma 2 7 3 2 2 3" xfId="34835"/>
    <cellStyle name="Comma 2 7 3 2 3" xfId="22414"/>
    <cellStyle name="Comma 2 7 3 2 3 2" xfId="38051"/>
    <cellStyle name="Comma 2 7 3 2 4" xfId="31628"/>
    <cellStyle name="Comma 2 7 3 2 5" xfId="43393"/>
    <cellStyle name="Comma 2 7 3 3" xfId="8674"/>
    <cellStyle name="Comma 2 7 3 3 2" xfId="19134"/>
    <cellStyle name="Comma 2 7 3 3 2 2" xfId="40177"/>
    <cellStyle name="Comma 2 7 3 3 2 3" xfId="33754"/>
    <cellStyle name="Comma 2 7 3 3 3" xfId="23624"/>
    <cellStyle name="Comma 2 7 3 3 3 2" xfId="36970"/>
    <cellStyle name="Comma 2 7 3 3 4" xfId="30547"/>
    <cellStyle name="Comma 2 7 3 3 5" xfId="44453"/>
    <cellStyle name="Comma 2 7 3 4" xfId="7564"/>
    <cellStyle name="Comma 2 7 3 4 2" xfId="18067"/>
    <cellStyle name="Comma 2 7 3 4 2 2" xfId="39116"/>
    <cellStyle name="Comma 2 7 3 4 3" xfId="32693"/>
    <cellStyle name="Comma 2 7 3 5" xfId="16513"/>
    <cellStyle name="Comma 2 7 3 5 2" xfId="35909"/>
    <cellStyle name="Comma 2 7 3 6" xfId="21300"/>
    <cellStyle name="Comma 2 7 3 7" xfId="29486"/>
    <cellStyle name="Comma 2 7 3 8" xfId="42319"/>
    <cellStyle name="Comma 2 7 4" xfId="4601"/>
    <cellStyle name="Comma 2 7 4 2" xfId="11417"/>
    <cellStyle name="Comma 2 7 4 2 2" xfId="20216"/>
    <cellStyle name="Comma 2 7 4 2 2 2" xfId="41259"/>
    <cellStyle name="Comma 2 7 4 2 2 3" xfId="34836"/>
    <cellStyle name="Comma 2 7 4 2 3" xfId="22415"/>
    <cellStyle name="Comma 2 7 4 2 3 2" xfId="38052"/>
    <cellStyle name="Comma 2 7 4 2 4" xfId="31629"/>
    <cellStyle name="Comma 2 7 4 2 5" xfId="43394"/>
    <cellStyle name="Comma 2 7 4 3" xfId="8675"/>
    <cellStyle name="Comma 2 7 4 3 2" xfId="19135"/>
    <cellStyle name="Comma 2 7 4 3 2 2" xfId="40178"/>
    <cellStyle name="Comma 2 7 4 3 2 3" xfId="33755"/>
    <cellStyle name="Comma 2 7 4 3 3" xfId="23625"/>
    <cellStyle name="Comma 2 7 4 3 3 2" xfId="36971"/>
    <cellStyle name="Comma 2 7 4 3 4" xfId="30548"/>
    <cellStyle name="Comma 2 7 4 3 5" xfId="44454"/>
    <cellStyle name="Comma 2 7 4 4" xfId="7565"/>
    <cellStyle name="Comma 2 7 4 4 2" xfId="18068"/>
    <cellStyle name="Comma 2 7 4 4 2 2" xfId="39117"/>
    <cellStyle name="Comma 2 7 4 4 3" xfId="32694"/>
    <cellStyle name="Comma 2 7 4 5" xfId="16701"/>
    <cellStyle name="Comma 2 7 4 5 2" xfId="35910"/>
    <cellStyle name="Comma 2 7 4 6" xfId="21301"/>
    <cellStyle name="Comma 2 7 4 7" xfId="29487"/>
    <cellStyle name="Comma 2 7 4 8" xfId="42320"/>
    <cellStyle name="Comma 2 7 5" xfId="5866"/>
    <cellStyle name="Comma 2 7 5 2" xfId="11418"/>
    <cellStyle name="Comma 2 7 5 2 2" xfId="20217"/>
    <cellStyle name="Comma 2 7 5 2 2 2" xfId="41260"/>
    <cellStyle name="Comma 2 7 5 2 2 3" xfId="34837"/>
    <cellStyle name="Comma 2 7 5 2 3" xfId="22416"/>
    <cellStyle name="Comma 2 7 5 2 3 2" xfId="38053"/>
    <cellStyle name="Comma 2 7 5 2 4" xfId="31630"/>
    <cellStyle name="Comma 2 7 5 2 5" xfId="43395"/>
    <cellStyle name="Comma 2 7 5 3" xfId="8676"/>
    <cellStyle name="Comma 2 7 5 3 2" xfId="19136"/>
    <cellStyle name="Comma 2 7 5 3 2 2" xfId="40179"/>
    <cellStyle name="Comma 2 7 5 3 2 3" xfId="33756"/>
    <cellStyle name="Comma 2 7 5 3 3" xfId="23626"/>
    <cellStyle name="Comma 2 7 5 3 3 2" xfId="36972"/>
    <cellStyle name="Comma 2 7 5 3 4" xfId="30549"/>
    <cellStyle name="Comma 2 7 5 3 5" xfId="44455"/>
    <cellStyle name="Comma 2 7 5 4" xfId="7566"/>
    <cellStyle name="Comma 2 7 5 4 2" xfId="18069"/>
    <cellStyle name="Comma 2 7 5 4 2 2" xfId="39118"/>
    <cellStyle name="Comma 2 7 5 4 3" xfId="32695"/>
    <cellStyle name="Comma 2 7 5 5" xfId="16989"/>
    <cellStyle name="Comma 2 7 5 5 2" xfId="35911"/>
    <cellStyle name="Comma 2 7 5 6" xfId="21302"/>
    <cellStyle name="Comma 2 7 5 7" xfId="29488"/>
    <cellStyle name="Comma 2 7 5 8" xfId="42321"/>
    <cellStyle name="Comma 2 7 6" xfId="11414"/>
    <cellStyle name="Comma 2 7 6 2" xfId="20213"/>
    <cellStyle name="Comma 2 7 6 2 2" xfId="41256"/>
    <cellStyle name="Comma 2 7 6 2 3" xfId="34833"/>
    <cellStyle name="Comma 2 7 6 3" xfId="22412"/>
    <cellStyle name="Comma 2 7 6 3 2" xfId="38049"/>
    <cellStyle name="Comma 2 7 6 4" xfId="31626"/>
    <cellStyle name="Comma 2 7 6 5" xfId="43391"/>
    <cellStyle name="Comma 2 7 7" xfId="8672"/>
    <cellStyle name="Comma 2 7 7 2" xfId="19132"/>
    <cellStyle name="Comma 2 7 7 2 2" xfId="40175"/>
    <cellStyle name="Comma 2 7 7 2 3" xfId="33752"/>
    <cellStyle name="Comma 2 7 7 3" xfId="23622"/>
    <cellStyle name="Comma 2 7 7 3 2" xfId="36968"/>
    <cellStyle name="Comma 2 7 7 4" xfId="30545"/>
    <cellStyle name="Comma 2 7 7 5" xfId="44451"/>
    <cellStyle name="Comma 2 7 8" xfId="7562"/>
    <cellStyle name="Comma 2 7 8 2" xfId="18065"/>
    <cellStyle name="Comma 2 7 8 2 2" xfId="39114"/>
    <cellStyle name="Comma 2 7 8 3" xfId="32691"/>
    <cellStyle name="Comma 2 7 9" xfId="16136"/>
    <cellStyle name="Comma 2 7 9 2" xfId="35907"/>
    <cellStyle name="Comma 2 8" xfId="2247"/>
    <cellStyle name="Comma 2 8 10" xfId="21303"/>
    <cellStyle name="Comma 2 8 11" xfId="29489"/>
    <cellStyle name="Comma 2 8 12" xfId="42322"/>
    <cellStyle name="Comma 2 8 2" xfId="3116"/>
    <cellStyle name="Comma 2 8 2 2" xfId="11420"/>
    <cellStyle name="Comma 2 8 2 2 2" xfId="20219"/>
    <cellStyle name="Comma 2 8 2 2 2 2" xfId="41262"/>
    <cellStyle name="Comma 2 8 2 2 2 3" xfId="34839"/>
    <cellStyle name="Comma 2 8 2 2 3" xfId="22418"/>
    <cellStyle name="Comma 2 8 2 2 3 2" xfId="38055"/>
    <cellStyle name="Comma 2 8 2 2 4" xfId="31632"/>
    <cellStyle name="Comma 2 8 2 2 5" xfId="43397"/>
    <cellStyle name="Comma 2 8 2 3" xfId="8678"/>
    <cellStyle name="Comma 2 8 2 3 2" xfId="19138"/>
    <cellStyle name="Comma 2 8 2 3 2 2" xfId="40181"/>
    <cellStyle name="Comma 2 8 2 3 2 3" xfId="33758"/>
    <cellStyle name="Comma 2 8 2 3 3" xfId="23628"/>
    <cellStyle name="Comma 2 8 2 3 3 2" xfId="36974"/>
    <cellStyle name="Comma 2 8 2 3 4" xfId="30551"/>
    <cellStyle name="Comma 2 8 2 3 5" xfId="44457"/>
    <cellStyle name="Comma 2 8 2 4" xfId="7568"/>
    <cellStyle name="Comma 2 8 2 4 2" xfId="18071"/>
    <cellStyle name="Comma 2 8 2 4 2 2" xfId="39120"/>
    <cellStyle name="Comma 2 8 2 4 3" xfId="32697"/>
    <cellStyle name="Comma 2 8 2 5" xfId="16380"/>
    <cellStyle name="Comma 2 8 2 5 2" xfId="35913"/>
    <cellStyle name="Comma 2 8 2 6" xfId="21304"/>
    <cellStyle name="Comma 2 8 2 7" xfId="29490"/>
    <cellStyle name="Comma 2 8 2 8" xfId="42323"/>
    <cellStyle name="Comma 2 8 3" xfId="3986"/>
    <cellStyle name="Comma 2 8 3 2" xfId="11421"/>
    <cellStyle name="Comma 2 8 3 2 2" xfId="20220"/>
    <cellStyle name="Comma 2 8 3 2 2 2" xfId="41263"/>
    <cellStyle name="Comma 2 8 3 2 2 3" xfId="34840"/>
    <cellStyle name="Comma 2 8 3 2 3" xfId="22419"/>
    <cellStyle name="Comma 2 8 3 2 3 2" xfId="38056"/>
    <cellStyle name="Comma 2 8 3 2 4" xfId="31633"/>
    <cellStyle name="Comma 2 8 3 2 5" xfId="43398"/>
    <cellStyle name="Comma 2 8 3 3" xfId="8679"/>
    <cellStyle name="Comma 2 8 3 3 2" xfId="19139"/>
    <cellStyle name="Comma 2 8 3 3 2 2" xfId="40182"/>
    <cellStyle name="Comma 2 8 3 3 2 3" xfId="33759"/>
    <cellStyle name="Comma 2 8 3 3 3" xfId="23629"/>
    <cellStyle name="Comma 2 8 3 3 3 2" xfId="36975"/>
    <cellStyle name="Comma 2 8 3 3 4" xfId="30552"/>
    <cellStyle name="Comma 2 8 3 3 5" xfId="44458"/>
    <cellStyle name="Comma 2 8 3 4" xfId="7569"/>
    <cellStyle name="Comma 2 8 3 4 2" xfId="18072"/>
    <cellStyle name="Comma 2 8 3 4 2 2" xfId="39121"/>
    <cellStyle name="Comma 2 8 3 4 3" xfId="32698"/>
    <cellStyle name="Comma 2 8 3 5" xfId="16568"/>
    <cellStyle name="Comma 2 8 3 5 2" xfId="35914"/>
    <cellStyle name="Comma 2 8 3 6" xfId="21305"/>
    <cellStyle name="Comma 2 8 3 7" xfId="29491"/>
    <cellStyle name="Comma 2 8 3 8" xfId="42324"/>
    <cellStyle name="Comma 2 8 4" xfId="4865"/>
    <cellStyle name="Comma 2 8 4 2" xfId="11422"/>
    <cellStyle name="Comma 2 8 4 2 2" xfId="20221"/>
    <cellStyle name="Comma 2 8 4 2 2 2" xfId="41264"/>
    <cellStyle name="Comma 2 8 4 2 2 3" xfId="34841"/>
    <cellStyle name="Comma 2 8 4 2 3" xfId="22420"/>
    <cellStyle name="Comma 2 8 4 2 3 2" xfId="38057"/>
    <cellStyle name="Comma 2 8 4 2 4" xfId="31634"/>
    <cellStyle name="Comma 2 8 4 2 5" xfId="43399"/>
    <cellStyle name="Comma 2 8 4 3" xfId="8680"/>
    <cellStyle name="Comma 2 8 4 3 2" xfId="19140"/>
    <cellStyle name="Comma 2 8 4 3 2 2" xfId="40183"/>
    <cellStyle name="Comma 2 8 4 3 2 3" xfId="33760"/>
    <cellStyle name="Comma 2 8 4 3 3" xfId="23630"/>
    <cellStyle name="Comma 2 8 4 3 3 2" xfId="36976"/>
    <cellStyle name="Comma 2 8 4 3 4" xfId="30553"/>
    <cellStyle name="Comma 2 8 4 3 5" xfId="44459"/>
    <cellStyle name="Comma 2 8 4 4" xfId="7570"/>
    <cellStyle name="Comma 2 8 4 4 2" xfId="18073"/>
    <cellStyle name="Comma 2 8 4 4 2 2" xfId="39122"/>
    <cellStyle name="Comma 2 8 4 4 3" xfId="32699"/>
    <cellStyle name="Comma 2 8 4 5" xfId="16756"/>
    <cellStyle name="Comma 2 8 4 5 2" xfId="35915"/>
    <cellStyle name="Comma 2 8 4 6" xfId="21306"/>
    <cellStyle name="Comma 2 8 4 7" xfId="29492"/>
    <cellStyle name="Comma 2 8 4 8" xfId="42325"/>
    <cellStyle name="Comma 2 8 5" xfId="6130"/>
    <cellStyle name="Comma 2 8 5 2" xfId="11423"/>
    <cellStyle name="Comma 2 8 5 2 2" xfId="20222"/>
    <cellStyle name="Comma 2 8 5 2 2 2" xfId="41265"/>
    <cellStyle name="Comma 2 8 5 2 2 3" xfId="34842"/>
    <cellStyle name="Comma 2 8 5 2 3" xfId="22421"/>
    <cellStyle name="Comma 2 8 5 2 3 2" xfId="38058"/>
    <cellStyle name="Comma 2 8 5 2 4" xfId="31635"/>
    <cellStyle name="Comma 2 8 5 2 5" xfId="43400"/>
    <cellStyle name="Comma 2 8 5 3" xfId="8681"/>
    <cellStyle name="Comma 2 8 5 3 2" xfId="19141"/>
    <cellStyle name="Comma 2 8 5 3 2 2" xfId="40184"/>
    <cellStyle name="Comma 2 8 5 3 2 3" xfId="33761"/>
    <cellStyle name="Comma 2 8 5 3 3" xfId="23631"/>
    <cellStyle name="Comma 2 8 5 3 3 2" xfId="36977"/>
    <cellStyle name="Comma 2 8 5 3 4" xfId="30554"/>
    <cellStyle name="Comma 2 8 5 3 5" xfId="44460"/>
    <cellStyle name="Comma 2 8 5 4" xfId="7571"/>
    <cellStyle name="Comma 2 8 5 4 2" xfId="18074"/>
    <cellStyle name="Comma 2 8 5 4 2 2" xfId="39123"/>
    <cellStyle name="Comma 2 8 5 4 3" xfId="32700"/>
    <cellStyle name="Comma 2 8 5 5" xfId="17044"/>
    <cellStyle name="Comma 2 8 5 5 2" xfId="35916"/>
    <cellStyle name="Comma 2 8 5 6" xfId="21307"/>
    <cellStyle name="Comma 2 8 5 7" xfId="29493"/>
    <cellStyle name="Comma 2 8 5 8" xfId="42326"/>
    <cellStyle name="Comma 2 8 6" xfId="11419"/>
    <cellStyle name="Comma 2 8 6 2" xfId="20218"/>
    <cellStyle name="Comma 2 8 6 2 2" xfId="41261"/>
    <cellStyle name="Comma 2 8 6 2 3" xfId="34838"/>
    <cellStyle name="Comma 2 8 6 3" xfId="22417"/>
    <cellStyle name="Comma 2 8 6 3 2" xfId="38054"/>
    <cellStyle name="Comma 2 8 6 4" xfId="31631"/>
    <cellStyle name="Comma 2 8 6 5" xfId="43396"/>
    <cellStyle name="Comma 2 8 7" xfId="8677"/>
    <cellStyle name="Comma 2 8 7 2" xfId="19137"/>
    <cellStyle name="Comma 2 8 7 2 2" xfId="40180"/>
    <cellStyle name="Comma 2 8 7 2 3" xfId="33757"/>
    <cellStyle name="Comma 2 8 7 3" xfId="23627"/>
    <cellStyle name="Comma 2 8 7 3 2" xfId="36973"/>
    <cellStyle name="Comma 2 8 7 4" xfId="30550"/>
    <cellStyle name="Comma 2 8 7 5" xfId="44456"/>
    <cellStyle name="Comma 2 8 8" xfId="7567"/>
    <cellStyle name="Comma 2 8 8 2" xfId="18070"/>
    <cellStyle name="Comma 2 8 8 2 2" xfId="39119"/>
    <cellStyle name="Comma 2 8 8 3" xfId="32696"/>
    <cellStyle name="Comma 2 8 9" xfId="16191"/>
    <cellStyle name="Comma 2 8 9 2" xfId="35912"/>
    <cellStyle name="Comma 2 9" xfId="2257"/>
    <cellStyle name="Comma 2 9 10" xfId="21308"/>
    <cellStyle name="Comma 2 9 11" xfId="29494"/>
    <cellStyle name="Comma 2 9 12" xfId="42327"/>
    <cellStyle name="Comma 2 9 2" xfId="3126"/>
    <cellStyle name="Comma 2 9 2 2" xfId="11425"/>
    <cellStyle name="Comma 2 9 2 2 2" xfId="20224"/>
    <cellStyle name="Comma 2 9 2 2 2 2" xfId="41267"/>
    <cellStyle name="Comma 2 9 2 2 2 3" xfId="34844"/>
    <cellStyle name="Comma 2 9 2 2 3" xfId="22423"/>
    <cellStyle name="Comma 2 9 2 2 3 2" xfId="38060"/>
    <cellStyle name="Comma 2 9 2 2 4" xfId="31637"/>
    <cellStyle name="Comma 2 9 2 2 5" xfId="43402"/>
    <cellStyle name="Comma 2 9 2 3" xfId="8683"/>
    <cellStyle name="Comma 2 9 2 3 2" xfId="19143"/>
    <cellStyle name="Comma 2 9 2 3 2 2" xfId="40186"/>
    <cellStyle name="Comma 2 9 2 3 2 3" xfId="33763"/>
    <cellStyle name="Comma 2 9 2 3 3" xfId="23633"/>
    <cellStyle name="Comma 2 9 2 3 3 2" xfId="36979"/>
    <cellStyle name="Comma 2 9 2 3 4" xfId="30556"/>
    <cellStyle name="Comma 2 9 2 3 5" xfId="44462"/>
    <cellStyle name="Comma 2 9 2 4" xfId="7573"/>
    <cellStyle name="Comma 2 9 2 4 2" xfId="18076"/>
    <cellStyle name="Comma 2 9 2 4 2 2" xfId="39125"/>
    <cellStyle name="Comma 2 9 2 4 3" xfId="32702"/>
    <cellStyle name="Comma 2 9 2 5" xfId="16382"/>
    <cellStyle name="Comma 2 9 2 5 2" xfId="35918"/>
    <cellStyle name="Comma 2 9 2 6" xfId="21309"/>
    <cellStyle name="Comma 2 9 2 7" xfId="29495"/>
    <cellStyle name="Comma 2 9 2 8" xfId="42328"/>
    <cellStyle name="Comma 2 9 3" xfId="3995"/>
    <cellStyle name="Comma 2 9 3 2" xfId="11426"/>
    <cellStyle name="Comma 2 9 3 2 2" xfId="20225"/>
    <cellStyle name="Comma 2 9 3 2 2 2" xfId="41268"/>
    <cellStyle name="Comma 2 9 3 2 2 3" xfId="34845"/>
    <cellStyle name="Comma 2 9 3 2 3" xfId="22424"/>
    <cellStyle name="Comma 2 9 3 2 3 2" xfId="38061"/>
    <cellStyle name="Comma 2 9 3 2 4" xfId="31638"/>
    <cellStyle name="Comma 2 9 3 2 5" xfId="43403"/>
    <cellStyle name="Comma 2 9 3 3" xfId="8684"/>
    <cellStyle name="Comma 2 9 3 3 2" xfId="19144"/>
    <cellStyle name="Comma 2 9 3 3 2 2" xfId="40187"/>
    <cellStyle name="Comma 2 9 3 3 2 3" xfId="33764"/>
    <cellStyle name="Comma 2 9 3 3 3" xfId="23634"/>
    <cellStyle name="Comma 2 9 3 3 3 2" xfId="36980"/>
    <cellStyle name="Comma 2 9 3 3 4" xfId="30557"/>
    <cellStyle name="Comma 2 9 3 3 5" xfId="44463"/>
    <cellStyle name="Comma 2 9 3 4" xfId="7574"/>
    <cellStyle name="Comma 2 9 3 4 2" xfId="18077"/>
    <cellStyle name="Comma 2 9 3 4 2 2" xfId="39126"/>
    <cellStyle name="Comma 2 9 3 4 3" xfId="32703"/>
    <cellStyle name="Comma 2 9 3 5" xfId="16570"/>
    <cellStyle name="Comma 2 9 3 5 2" xfId="35919"/>
    <cellStyle name="Comma 2 9 3 6" xfId="21310"/>
    <cellStyle name="Comma 2 9 3 7" xfId="29496"/>
    <cellStyle name="Comma 2 9 3 8" xfId="42329"/>
    <cellStyle name="Comma 2 9 4" xfId="4874"/>
    <cellStyle name="Comma 2 9 4 2" xfId="11427"/>
    <cellStyle name="Comma 2 9 4 2 2" xfId="20226"/>
    <cellStyle name="Comma 2 9 4 2 2 2" xfId="41269"/>
    <cellStyle name="Comma 2 9 4 2 2 3" xfId="34846"/>
    <cellStyle name="Comma 2 9 4 2 3" xfId="22425"/>
    <cellStyle name="Comma 2 9 4 2 3 2" xfId="38062"/>
    <cellStyle name="Comma 2 9 4 2 4" xfId="31639"/>
    <cellStyle name="Comma 2 9 4 2 5" xfId="43404"/>
    <cellStyle name="Comma 2 9 4 3" xfId="8685"/>
    <cellStyle name="Comma 2 9 4 3 2" xfId="19145"/>
    <cellStyle name="Comma 2 9 4 3 2 2" xfId="40188"/>
    <cellStyle name="Comma 2 9 4 3 2 3" xfId="33765"/>
    <cellStyle name="Comma 2 9 4 3 3" xfId="23635"/>
    <cellStyle name="Comma 2 9 4 3 3 2" xfId="36981"/>
    <cellStyle name="Comma 2 9 4 3 4" xfId="30558"/>
    <cellStyle name="Comma 2 9 4 3 5" xfId="44464"/>
    <cellStyle name="Comma 2 9 4 4" xfId="7575"/>
    <cellStyle name="Comma 2 9 4 4 2" xfId="18078"/>
    <cellStyle name="Comma 2 9 4 4 2 2" xfId="39127"/>
    <cellStyle name="Comma 2 9 4 4 3" xfId="32704"/>
    <cellStyle name="Comma 2 9 4 5" xfId="16758"/>
    <cellStyle name="Comma 2 9 4 5 2" xfId="35920"/>
    <cellStyle name="Comma 2 9 4 6" xfId="21311"/>
    <cellStyle name="Comma 2 9 4 7" xfId="29497"/>
    <cellStyle name="Comma 2 9 4 8" xfId="42330"/>
    <cellStyle name="Comma 2 9 5" xfId="6139"/>
    <cellStyle name="Comma 2 9 5 2" xfId="11428"/>
    <cellStyle name="Comma 2 9 5 2 2" xfId="20227"/>
    <cellStyle name="Comma 2 9 5 2 2 2" xfId="41270"/>
    <cellStyle name="Comma 2 9 5 2 2 3" xfId="34847"/>
    <cellStyle name="Comma 2 9 5 2 3" xfId="22426"/>
    <cellStyle name="Comma 2 9 5 2 3 2" xfId="38063"/>
    <cellStyle name="Comma 2 9 5 2 4" xfId="31640"/>
    <cellStyle name="Comma 2 9 5 2 5" xfId="43405"/>
    <cellStyle name="Comma 2 9 5 3" xfId="8686"/>
    <cellStyle name="Comma 2 9 5 3 2" xfId="19146"/>
    <cellStyle name="Comma 2 9 5 3 2 2" xfId="40189"/>
    <cellStyle name="Comma 2 9 5 3 2 3" xfId="33766"/>
    <cellStyle name="Comma 2 9 5 3 3" xfId="23636"/>
    <cellStyle name="Comma 2 9 5 3 3 2" xfId="36982"/>
    <cellStyle name="Comma 2 9 5 3 4" xfId="30559"/>
    <cellStyle name="Comma 2 9 5 3 5" xfId="44465"/>
    <cellStyle name="Comma 2 9 5 4" xfId="7576"/>
    <cellStyle name="Comma 2 9 5 4 2" xfId="18079"/>
    <cellStyle name="Comma 2 9 5 4 2 2" xfId="39128"/>
    <cellStyle name="Comma 2 9 5 4 3" xfId="32705"/>
    <cellStyle name="Comma 2 9 5 5" xfId="17046"/>
    <cellStyle name="Comma 2 9 5 5 2" xfId="35921"/>
    <cellStyle name="Comma 2 9 5 6" xfId="21312"/>
    <cellStyle name="Comma 2 9 5 7" xfId="29498"/>
    <cellStyle name="Comma 2 9 5 8" xfId="42331"/>
    <cellStyle name="Comma 2 9 6" xfId="11424"/>
    <cellStyle name="Comma 2 9 6 2" xfId="20223"/>
    <cellStyle name="Comma 2 9 6 2 2" xfId="41266"/>
    <cellStyle name="Comma 2 9 6 2 3" xfId="34843"/>
    <cellStyle name="Comma 2 9 6 3" xfId="22422"/>
    <cellStyle name="Comma 2 9 6 3 2" xfId="38059"/>
    <cellStyle name="Comma 2 9 6 4" xfId="31636"/>
    <cellStyle name="Comma 2 9 6 5" xfId="43401"/>
    <cellStyle name="Comma 2 9 7" xfId="8682"/>
    <cellStyle name="Comma 2 9 7 2" xfId="19142"/>
    <cellStyle name="Comma 2 9 7 2 2" xfId="40185"/>
    <cellStyle name="Comma 2 9 7 2 3" xfId="33762"/>
    <cellStyle name="Comma 2 9 7 3" xfId="23632"/>
    <cellStyle name="Comma 2 9 7 3 2" xfId="36978"/>
    <cellStyle name="Comma 2 9 7 4" xfId="30555"/>
    <cellStyle name="Comma 2 9 7 5" xfId="44461"/>
    <cellStyle name="Comma 2 9 8" xfId="7572"/>
    <cellStyle name="Comma 2 9 8 2" xfId="18075"/>
    <cellStyle name="Comma 2 9 8 2 2" xfId="39124"/>
    <cellStyle name="Comma 2 9 8 3" xfId="32701"/>
    <cellStyle name="Comma 2 9 9" xfId="16193"/>
    <cellStyle name="Comma 2 9 9 2" xfId="35917"/>
    <cellStyle name="Comma 2_Comparison 2015 and 2016" xfId="6428"/>
    <cellStyle name="Comma 20" xfId="7682"/>
    <cellStyle name="Comma 20 2" xfId="18159"/>
    <cellStyle name="Comma 20 2 2" xfId="39202"/>
    <cellStyle name="Comma 20 2 3" xfId="32779"/>
    <cellStyle name="Comma 20 3" xfId="22505"/>
    <cellStyle name="Comma 20 3 2" xfId="35995"/>
    <cellStyle name="Comma 20 4" xfId="29572"/>
    <cellStyle name="Comma 20 5" xfId="43482"/>
    <cellStyle name="Comma 21" xfId="6555"/>
    <cellStyle name="Comma 21 2" xfId="17085"/>
    <cellStyle name="Comma 21 2 2" xfId="38141"/>
    <cellStyle name="Comma 21 3" xfId="31718"/>
    <cellStyle name="Comma 22" xfId="15998"/>
    <cellStyle name="Comma 22 2" xfId="20309"/>
    <cellStyle name="Comma 22 3" xfId="34934"/>
    <cellStyle name="Comma 23" xfId="15999"/>
    <cellStyle name="Comma 23 2" xfId="20310"/>
    <cellStyle name="Comma 24" xfId="16000"/>
    <cellStyle name="Comma 24 2" xfId="20311"/>
    <cellStyle name="Comma 25" xfId="16001"/>
    <cellStyle name="Comma 25 2" xfId="20312"/>
    <cellStyle name="Comma 26" xfId="16006"/>
    <cellStyle name="Comma 27" xfId="28508"/>
    <cellStyle name="Comma 3" xfId="1164"/>
    <cellStyle name="Comma 3 2" xfId="1977"/>
    <cellStyle name="Comma 3 2 2" xfId="6569"/>
    <cellStyle name="Comma 3 2 3" xfId="16134"/>
    <cellStyle name="Comma 3 3" xfId="5065"/>
    <cellStyle name="Comma 3 3 2" xfId="10285"/>
    <cellStyle name="Comma 3 3 2 2" xfId="19338"/>
    <cellStyle name="Comma 3 3 2 2 2" xfId="40381"/>
    <cellStyle name="Comma 3 3 2 2 3" xfId="33958"/>
    <cellStyle name="Comma 3 3 2 3" xfId="21538"/>
    <cellStyle name="Comma 3 3 2 3 2" xfId="37174"/>
    <cellStyle name="Comma 3 3 2 4" xfId="30751"/>
    <cellStyle name="Comma 3 3 2 5" xfId="42517"/>
    <cellStyle name="Comma 3 3 3" xfId="8687"/>
    <cellStyle name="Comma 3 3 3 2" xfId="19147"/>
    <cellStyle name="Comma 3 3 3 2 2" xfId="40190"/>
    <cellStyle name="Comma 3 3 3 2 3" xfId="33767"/>
    <cellStyle name="Comma 3 3 3 3" xfId="23637"/>
    <cellStyle name="Comma 3 3 3 3 2" xfId="36983"/>
    <cellStyle name="Comma 3 3 3 4" xfId="30560"/>
    <cellStyle name="Comma 3 3 3 5" xfId="44466"/>
    <cellStyle name="Comma 3 3 4" xfId="6684"/>
    <cellStyle name="Comma 3 3 4 2" xfId="17191"/>
    <cellStyle name="Comma 3 3 4 2 2" xfId="38244"/>
    <cellStyle name="Comma 3 3 4 3" xfId="31821"/>
    <cellStyle name="Comma 3 3 5" xfId="16880"/>
    <cellStyle name="Comma 3 3 5 2" xfId="35037"/>
    <cellStyle name="Comma 3 3 6" xfId="21313"/>
    <cellStyle name="Comma 3 3 7" xfId="28612"/>
    <cellStyle name="Comma 3 3 8" xfId="42332"/>
    <cellStyle name="Comma 3 4" xfId="1337"/>
    <cellStyle name="Comma 3 4 2" xfId="11429"/>
    <cellStyle name="Comma 3 4 2 2" xfId="20228"/>
    <cellStyle name="Comma 3 4 2 2 2" xfId="41271"/>
    <cellStyle name="Comma 3 4 2 2 3" xfId="34848"/>
    <cellStyle name="Comma 3 4 2 3" xfId="22427"/>
    <cellStyle name="Comma 3 4 2 3 2" xfId="38064"/>
    <cellStyle name="Comma 3 4 2 4" xfId="31641"/>
    <cellStyle name="Comma 3 4 2 5" xfId="43406"/>
    <cellStyle name="Comma 3 4 3" xfId="8688"/>
    <cellStyle name="Comma 3 4 3 2" xfId="19148"/>
    <cellStyle name="Comma 3 4 3 2 2" xfId="40191"/>
    <cellStyle name="Comma 3 4 3 2 3" xfId="33768"/>
    <cellStyle name="Comma 3 4 3 3" xfId="23638"/>
    <cellStyle name="Comma 3 4 3 3 2" xfId="36984"/>
    <cellStyle name="Comma 3 4 3 4" xfId="30561"/>
    <cellStyle name="Comma 3 4 3 5" xfId="44467"/>
    <cellStyle name="Comma 3 4 4" xfId="7577"/>
    <cellStyle name="Comma 3 4 4 2" xfId="18080"/>
    <cellStyle name="Comma 3 4 4 2 2" xfId="39129"/>
    <cellStyle name="Comma 3 4 4 3" xfId="32706"/>
    <cellStyle name="Comma 3 4 5" xfId="16019"/>
    <cellStyle name="Comma 3 4 5 2" xfId="35922"/>
    <cellStyle name="Comma 3 4 6" xfId="21314"/>
    <cellStyle name="Comma 3 4 7" xfId="29499"/>
    <cellStyle name="Comma 3 4 8" xfId="42333"/>
    <cellStyle name="Comma 3 5" xfId="6292"/>
    <cellStyle name="Comma 3 6" xfId="6295"/>
    <cellStyle name="Comma 3 6 2" xfId="11430"/>
    <cellStyle name="Comma 3 6 2 2" xfId="20229"/>
    <cellStyle name="Comma 3 6 2 2 2" xfId="41272"/>
    <cellStyle name="Comma 3 6 2 2 3" xfId="34849"/>
    <cellStyle name="Comma 3 6 2 3" xfId="22428"/>
    <cellStyle name="Comma 3 6 2 3 2" xfId="38065"/>
    <cellStyle name="Comma 3 6 2 4" xfId="31642"/>
    <cellStyle name="Comma 3 6 2 5" xfId="43407"/>
    <cellStyle name="Comma 3 6 3" xfId="8689"/>
    <cellStyle name="Comma 3 6 3 2" xfId="19149"/>
    <cellStyle name="Comma 3 6 3 2 2" xfId="40192"/>
    <cellStyle name="Comma 3 6 3 2 3" xfId="33769"/>
    <cellStyle name="Comma 3 6 3 3" xfId="23639"/>
    <cellStyle name="Comma 3 6 3 3 2" xfId="36985"/>
    <cellStyle name="Comma 3 6 3 4" xfId="30562"/>
    <cellStyle name="Comma 3 6 3 5" xfId="44468"/>
    <cellStyle name="Comma 3 6 4" xfId="7578"/>
    <cellStyle name="Comma 3 6 4 2" xfId="18081"/>
    <cellStyle name="Comma 3 6 4 2 2" xfId="39130"/>
    <cellStyle name="Comma 3 6 4 3" xfId="32707"/>
    <cellStyle name="Comma 3 6 5" xfId="17074"/>
    <cellStyle name="Comma 3 6 5 2" xfId="35923"/>
    <cellStyle name="Comma 3 6 6" xfId="21315"/>
    <cellStyle name="Comma 3 6 7" xfId="29500"/>
    <cellStyle name="Comma 3 6 8" xfId="42334"/>
    <cellStyle name="Comma 3 7" xfId="16009"/>
    <cellStyle name="Comma 3 7 2" xfId="44559"/>
    <cellStyle name="Comma 3_Comparison 2015 and 2016" xfId="6429"/>
    <cellStyle name="Comma 4" xfId="1210"/>
    <cellStyle name="Comma 4 10" xfId="16011"/>
    <cellStyle name="Comma 4 10 2" xfId="34937"/>
    <cellStyle name="Comma 4 11" xfId="20324"/>
    <cellStyle name="Comma 4 12" xfId="28512"/>
    <cellStyle name="Comma 4 13" xfId="41353"/>
    <cellStyle name="Comma 4 2" xfId="1267"/>
    <cellStyle name="Comma 4 2 10" xfId="42335"/>
    <cellStyle name="Comma 4 2 2" xfId="1501"/>
    <cellStyle name="Comma 4 2 2 2" xfId="11431"/>
    <cellStyle name="Comma 4 2 2 2 2" xfId="20230"/>
    <cellStyle name="Comma 4 2 2 2 2 2" xfId="41273"/>
    <cellStyle name="Comma 4 2 2 2 2 3" xfId="34850"/>
    <cellStyle name="Comma 4 2 2 2 3" xfId="22429"/>
    <cellStyle name="Comma 4 2 2 2 3 2" xfId="38066"/>
    <cellStyle name="Comma 4 2 2 2 4" xfId="31643"/>
    <cellStyle name="Comma 4 2 2 2 5" xfId="43408"/>
    <cellStyle name="Comma 4 2 2 3" xfId="8691"/>
    <cellStyle name="Comma 4 2 2 3 2" xfId="19151"/>
    <cellStyle name="Comma 4 2 2 3 2 2" xfId="40194"/>
    <cellStyle name="Comma 4 2 2 3 2 3" xfId="33771"/>
    <cellStyle name="Comma 4 2 2 3 3" xfId="23641"/>
    <cellStyle name="Comma 4 2 2 3 3 2" xfId="36987"/>
    <cellStyle name="Comma 4 2 2 3 4" xfId="30564"/>
    <cellStyle name="Comma 4 2 2 3 5" xfId="44470"/>
    <cellStyle name="Comma 4 2 2 4" xfId="7579"/>
    <cellStyle name="Comma 4 2 2 4 2" xfId="18082"/>
    <cellStyle name="Comma 4 2 2 4 2 2" xfId="39131"/>
    <cellStyle name="Comma 4 2 2 4 3" xfId="32708"/>
    <cellStyle name="Comma 4 2 2 5" xfId="16071"/>
    <cellStyle name="Comma 4 2 2 5 2" xfId="35924"/>
    <cellStyle name="Comma 4 2 2 6" xfId="21317"/>
    <cellStyle name="Comma 4 2 2 7" xfId="29501"/>
    <cellStyle name="Comma 4 2 2 8" xfId="42336"/>
    <cellStyle name="Comma 4 2 3" xfId="1987"/>
    <cellStyle name="Comma 4 2 3 10" xfId="16135"/>
    <cellStyle name="Comma 4 2 3 10 2" xfId="35925"/>
    <cellStyle name="Comma 4 2 3 11" xfId="21318"/>
    <cellStyle name="Comma 4 2 3 12" xfId="29502"/>
    <cellStyle name="Comma 4 2 3 13" xfId="42337"/>
    <cellStyle name="Comma 4 2 3 2" xfId="2245"/>
    <cellStyle name="Comma 4 2 3 2 10" xfId="21319"/>
    <cellStyle name="Comma 4 2 3 2 11" xfId="29503"/>
    <cellStyle name="Comma 4 2 3 2 12" xfId="42338"/>
    <cellStyle name="Comma 4 2 3 2 2" xfId="3114"/>
    <cellStyle name="Comma 4 2 3 2 2 2" xfId="11434"/>
    <cellStyle name="Comma 4 2 3 2 2 2 2" xfId="20233"/>
    <cellStyle name="Comma 4 2 3 2 2 2 2 2" xfId="41276"/>
    <cellStyle name="Comma 4 2 3 2 2 2 2 3" xfId="34853"/>
    <cellStyle name="Comma 4 2 3 2 2 2 3" xfId="22432"/>
    <cellStyle name="Comma 4 2 3 2 2 2 3 2" xfId="38069"/>
    <cellStyle name="Comma 4 2 3 2 2 2 4" xfId="31646"/>
    <cellStyle name="Comma 4 2 3 2 2 2 5" xfId="43411"/>
    <cellStyle name="Comma 4 2 3 2 2 3" xfId="8694"/>
    <cellStyle name="Comma 4 2 3 2 2 3 2" xfId="19154"/>
    <cellStyle name="Comma 4 2 3 2 2 3 2 2" xfId="40197"/>
    <cellStyle name="Comma 4 2 3 2 2 3 2 3" xfId="33774"/>
    <cellStyle name="Comma 4 2 3 2 2 3 3" xfId="23644"/>
    <cellStyle name="Comma 4 2 3 2 2 3 3 2" xfId="36990"/>
    <cellStyle name="Comma 4 2 3 2 2 3 4" xfId="30567"/>
    <cellStyle name="Comma 4 2 3 2 2 3 5" xfId="44473"/>
    <cellStyle name="Comma 4 2 3 2 2 4" xfId="7582"/>
    <cellStyle name="Comma 4 2 3 2 2 4 2" xfId="18085"/>
    <cellStyle name="Comma 4 2 3 2 2 4 2 2" xfId="39134"/>
    <cellStyle name="Comma 4 2 3 2 2 4 3" xfId="32711"/>
    <cellStyle name="Comma 4 2 3 2 2 5" xfId="16379"/>
    <cellStyle name="Comma 4 2 3 2 2 5 2" xfId="35927"/>
    <cellStyle name="Comma 4 2 3 2 2 6" xfId="21320"/>
    <cellStyle name="Comma 4 2 3 2 2 7" xfId="29504"/>
    <cellStyle name="Comma 4 2 3 2 2 8" xfId="42339"/>
    <cellStyle name="Comma 4 2 3 2 3" xfId="3984"/>
    <cellStyle name="Comma 4 2 3 2 3 2" xfId="11435"/>
    <cellStyle name="Comma 4 2 3 2 3 2 2" xfId="20234"/>
    <cellStyle name="Comma 4 2 3 2 3 2 2 2" xfId="41277"/>
    <cellStyle name="Comma 4 2 3 2 3 2 2 3" xfId="34854"/>
    <cellStyle name="Comma 4 2 3 2 3 2 3" xfId="22433"/>
    <cellStyle name="Comma 4 2 3 2 3 2 3 2" xfId="38070"/>
    <cellStyle name="Comma 4 2 3 2 3 2 4" xfId="31647"/>
    <cellStyle name="Comma 4 2 3 2 3 2 5" xfId="43412"/>
    <cellStyle name="Comma 4 2 3 2 3 3" xfId="8695"/>
    <cellStyle name="Comma 4 2 3 2 3 3 2" xfId="19155"/>
    <cellStyle name="Comma 4 2 3 2 3 3 2 2" xfId="40198"/>
    <cellStyle name="Comma 4 2 3 2 3 3 2 3" xfId="33775"/>
    <cellStyle name="Comma 4 2 3 2 3 3 3" xfId="23645"/>
    <cellStyle name="Comma 4 2 3 2 3 3 3 2" xfId="36991"/>
    <cellStyle name="Comma 4 2 3 2 3 3 4" xfId="30568"/>
    <cellStyle name="Comma 4 2 3 2 3 3 5" xfId="44474"/>
    <cellStyle name="Comma 4 2 3 2 3 4" xfId="7583"/>
    <cellStyle name="Comma 4 2 3 2 3 4 2" xfId="18086"/>
    <cellStyle name="Comma 4 2 3 2 3 4 2 2" xfId="39135"/>
    <cellStyle name="Comma 4 2 3 2 3 4 3" xfId="32712"/>
    <cellStyle name="Comma 4 2 3 2 3 5" xfId="16567"/>
    <cellStyle name="Comma 4 2 3 2 3 5 2" xfId="35928"/>
    <cellStyle name="Comma 4 2 3 2 3 6" xfId="21321"/>
    <cellStyle name="Comma 4 2 3 2 3 7" xfId="29505"/>
    <cellStyle name="Comma 4 2 3 2 3 8" xfId="42340"/>
    <cellStyle name="Comma 4 2 3 2 4" xfId="4863"/>
    <cellStyle name="Comma 4 2 3 2 4 2" xfId="11436"/>
    <cellStyle name="Comma 4 2 3 2 4 2 2" xfId="20235"/>
    <cellStyle name="Comma 4 2 3 2 4 2 2 2" xfId="41278"/>
    <cellStyle name="Comma 4 2 3 2 4 2 2 3" xfId="34855"/>
    <cellStyle name="Comma 4 2 3 2 4 2 3" xfId="22434"/>
    <cellStyle name="Comma 4 2 3 2 4 2 3 2" xfId="38071"/>
    <cellStyle name="Comma 4 2 3 2 4 2 4" xfId="31648"/>
    <cellStyle name="Comma 4 2 3 2 4 2 5" xfId="43413"/>
    <cellStyle name="Comma 4 2 3 2 4 3" xfId="8696"/>
    <cellStyle name="Comma 4 2 3 2 4 3 2" xfId="19156"/>
    <cellStyle name="Comma 4 2 3 2 4 3 2 2" xfId="40199"/>
    <cellStyle name="Comma 4 2 3 2 4 3 2 3" xfId="33776"/>
    <cellStyle name="Comma 4 2 3 2 4 3 3" xfId="23646"/>
    <cellStyle name="Comma 4 2 3 2 4 3 3 2" xfId="36992"/>
    <cellStyle name="Comma 4 2 3 2 4 3 4" xfId="30569"/>
    <cellStyle name="Comma 4 2 3 2 4 3 5" xfId="44475"/>
    <cellStyle name="Comma 4 2 3 2 4 4" xfId="7584"/>
    <cellStyle name="Comma 4 2 3 2 4 4 2" xfId="18087"/>
    <cellStyle name="Comma 4 2 3 2 4 4 2 2" xfId="39136"/>
    <cellStyle name="Comma 4 2 3 2 4 4 3" xfId="32713"/>
    <cellStyle name="Comma 4 2 3 2 4 5" xfId="16755"/>
    <cellStyle name="Comma 4 2 3 2 4 5 2" xfId="35929"/>
    <cellStyle name="Comma 4 2 3 2 4 6" xfId="21322"/>
    <cellStyle name="Comma 4 2 3 2 4 7" xfId="29506"/>
    <cellStyle name="Comma 4 2 3 2 4 8" xfId="42341"/>
    <cellStyle name="Comma 4 2 3 2 5" xfId="6128"/>
    <cellStyle name="Comma 4 2 3 2 5 2" xfId="11437"/>
    <cellStyle name="Comma 4 2 3 2 5 2 2" xfId="20236"/>
    <cellStyle name="Comma 4 2 3 2 5 2 2 2" xfId="41279"/>
    <cellStyle name="Comma 4 2 3 2 5 2 2 3" xfId="34856"/>
    <cellStyle name="Comma 4 2 3 2 5 2 3" xfId="22435"/>
    <cellStyle name="Comma 4 2 3 2 5 2 3 2" xfId="38072"/>
    <cellStyle name="Comma 4 2 3 2 5 2 4" xfId="31649"/>
    <cellStyle name="Comma 4 2 3 2 5 2 5" xfId="43414"/>
    <cellStyle name="Comma 4 2 3 2 5 3" xfId="8697"/>
    <cellStyle name="Comma 4 2 3 2 5 3 2" xfId="19157"/>
    <cellStyle name="Comma 4 2 3 2 5 3 2 2" xfId="40200"/>
    <cellStyle name="Comma 4 2 3 2 5 3 2 3" xfId="33777"/>
    <cellStyle name="Comma 4 2 3 2 5 3 3" xfId="23647"/>
    <cellStyle name="Comma 4 2 3 2 5 3 3 2" xfId="36993"/>
    <cellStyle name="Comma 4 2 3 2 5 3 4" xfId="30570"/>
    <cellStyle name="Comma 4 2 3 2 5 3 5" xfId="44476"/>
    <cellStyle name="Comma 4 2 3 2 5 4" xfId="7585"/>
    <cellStyle name="Comma 4 2 3 2 5 4 2" xfId="18088"/>
    <cellStyle name="Comma 4 2 3 2 5 4 2 2" xfId="39137"/>
    <cellStyle name="Comma 4 2 3 2 5 4 3" xfId="32714"/>
    <cellStyle name="Comma 4 2 3 2 5 5" xfId="17043"/>
    <cellStyle name="Comma 4 2 3 2 5 5 2" xfId="35930"/>
    <cellStyle name="Comma 4 2 3 2 5 6" xfId="21323"/>
    <cellStyle name="Comma 4 2 3 2 5 7" xfId="29507"/>
    <cellStyle name="Comma 4 2 3 2 5 8" xfId="42342"/>
    <cellStyle name="Comma 4 2 3 2 6" xfId="11433"/>
    <cellStyle name="Comma 4 2 3 2 6 2" xfId="20232"/>
    <cellStyle name="Comma 4 2 3 2 6 2 2" xfId="41275"/>
    <cellStyle name="Comma 4 2 3 2 6 2 3" xfId="34852"/>
    <cellStyle name="Comma 4 2 3 2 6 3" xfId="22431"/>
    <cellStyle name="Comma 4 2 3 2 6 3 2" xfId="38068"/>
    <cellStyle name="Comma 4 2 3 2 6 4" xfId="31645"/>
    <cellStyle name="Comma 4 2 3 2 6 5" xfId="43410"/>
    <cellStyle name="Comma 4 2 3 2 7" xfId="8693"/>
    <cellStyle name="Comma 4 2 3 2 7 2" xfId="19153"/>
    <cellStyle name="Comma 4 2 3 2 7 2 2" xfId="40196"/>
    <cellStyle name="Comma 4 2 3 2 7 2 3" xfId="33773"/>
    <cellStyle name="Comma 4 2 3 2 7 3" xfId="23643"/>
    <cellStyle name="Comma 4 2 3 2 7 3 2" xfId="36989"/>
    <cellStyle name="Comma 4 2 3 2 7 4" xfId="30566"/>
    <cellStyle name="Comma 4 2 3 2 7 5" xfId="44472"/>
    <cellStyle name="Comma 4 2 3 2 8" xfId="7581"/>
    <cellStyle name="Comma 4 2 3 2 8 2" xfId="18084"/>
    <cellStyle name="Comma 4 2 3 2 8 2 2" xfId="39133"/>
    <cellStyle name="Comma 4 2 3 2 8 3" xfId="32710"/>
    <cellStyle name="Comma 4 2 3 2 9" xfId="16190"/>
    <cellStyle name="Comma 4 2 3 2 9 2" xfId="35926"/>
    <cellStyle name="Comma 4 2 3 3" xfId="2859"/>
    <cellStyle name="Comma 4 2 3 3 2" xfId="11438"/>
    <cellStyle name="Comma 4 2 3 3 2 2" xfId="20237"/>
    <cellStyle name="Comma 4 2 3 3 2 2 2" xfId="41280"/>
    <cellStyle name="Comma 4 2 3 3 2 2 3" xfId="34857"/>
    <cellStyle name="Comma 4 2 3 3 2 3" xfId="22436"/>
    <cellStyle name="Comma 4 2 3 3 2 3 2" xfId="38073"/>
    <cellStyle name="Comma 4 2 3 3 2 4" xfId="31650"/>
    <cellStyle name="Comma 4 2 3 3 2 5" xfId="43415"/>
    <cellStyle name="Comma 4 2 3 3 3" xfId="8698"/>
    <cellStyle name="Comma 4 2 3 3 3 2" xfId="19158"/>
    <cellStyle name="Comma 4 2 3 3 3 2 2" xfId="40201"/>
    <cellStyle name="Comma 4 2 3 3 3 2 3" xfId="33778"/>
    <cellStyle name="Comma 4 2 3 3 3 3" xfId="23648"/>
    <cellStyle name="Comma 4 2 3 3 3 3 2" xfId="36994"/>
    <cellStyle name="Comma 4 2 3 3 3 4" xfId="30571"/>
    <cellStyle name="Comma 4 2 3 3 3 5" xfId="44477"/>
    <cellStyle name="Comma 4 2 3 3 4" xfId="7586"/>
    <cellStyle name="Comma 4 2 3 3 4 2" xfId="18089"/>
    <cellStyle name="Comma 4 2 3 3 4 2 2" xfId="39138"/>
    <cellStyle name="Comma 4 2 3 3 4 3" xfId="32715"/>
    <cellStyle name="Comma 4 2 3 3 5" xfId="16324"/>
    <cellStyle name="Comma 4 2 3 3 5 2" xfId="35931"/>
    <cellStyle name="Comma 4 2 3 3 6" xfId="21324"/>
    <cellStyle name="Comma 4 2 3 3 7" xfId="29508"/>
    <cellStyle name="Comma 4 2 3 3 8" xfId="42343"/>
    <cellStyle name="Comma 4 2 3 4" xfId="3723"/>
    <cellStyle name="Comma 4 2 3 4 2" xfId="11439"/>
    <cellStyle name="Comma 4 2 3 4 2 2" xfId="20238"/>
    <cellStyle name="Comma 4 2 3 4 2 2 2" xfId="41281"/>
    <cellStyle name="Comma 4 2 3 4 2 2 3" xfId="34858"/>
    <cellStyle name="Comma 4 2 3 4 2 3" xfId="22437"/>
    <cellStyle name="Comma 4 2 3 4 2 3 2" xfId="38074"/>
    <cellStyle name="Comma 4 2 3 4 2 4" xfId="31651"/>
    <cellStyle name="Comma 4 2 3 4 2 5" xfId="43416"/>
    <cellStyle name="Comma 4 2 3 4 3" xfId="8699"/>
    <cellStyle name="Comma 4 2 3 4 3 2" xfId="19159"/>
    <cellStyle name="Comma 4 2 3 4 3 2 2" xfId="40202"/>
    <cellStyle name="Comma 4 2 3 4 3 2 3" xfId="33779"/>
    <cellStyle name="Comma 4 2 3 4 3 3" xfId="23649"/>
    <cellStyle name="Comma 4 2 3 4 3 3 2" xfId="36995"/>
    <cellStyle name="Comma 4 2 3 4 3 4" xfId="30572"/>
    <cellStyle name="Comma 4 2 3 4 3 5" xfId="44478"/>
    <cellStyle name="Comma 4 2 3 4 4" xfId="7587"/>
    <cellStyle name="Comma 4 2 3 4 4 2" xfId="18090"/>
    <cellStyle name="Comma 4 2 3 4 4 2 2" xfId="39139"/>
    <cellStyle name="Comma 4 2 3 4 4 3" xfId="32716"/>
    <cellStyle name="Comma 4 2 3 4 5" xfId="16512"/>
    <cellStyle name="Comma 4 2 3 4 5 2" xfId="35932"/>
    <cellStyle name="Comma 4 2 3 4 6" xfId="21325"/>
    <cellStyle name="Comma 4 2 3 4 7" xfId="29509"/>
    <cellStyle name="Comma 4 2 3 4 8" xfId="42344"/>
    <cellStyle name="Comma 4 2 3 5" xfId="4599"/>
    <cellStyle name="Comma 4 2 3 5 2" xfId="11440"/>
    <cellStyle name="Comma 4 2 3 5 2 2" xfId="20239"/>
    <cellStyle name="Comma 4 2 3 5 2 2 2" xfId="41282"/>
    <cellStyle name="Comma 4 2 3 5 2 2 3" xfId="34859"/>
    <cellStyle name="Comma 4 2 3 5 2 3" xfId="22438"/>
    <cellStyle name="Comma 4 2 3 5 2 3 2" xfId="38075"/>
    <cellStyle name="Comma 4 2 3 5 2 4" xfId="31652"/>
    <cellStyle name="Comma 4 2 3 5 2 5" xfId="43417"/>
    <cellStyle name="Comma 4 2 3 5 3" xfId="8700"/>
    <cellStyle name="Comma 4 2 3 5 3 2" xfId="19160"/>
    <cellStyle name="Comma 4 2 3 5 3 2 2" xfId="40203"/>
    <cellStyle name="Comma 4 2 3 5 3 2 3" xfId="33780"/>
    <cellStyle name="Comma 4 2 3 5 3 3" xfId="23650"/>
    <cellStyle name="Comma 4 2 3 5 3 3 2" xfId="36996"/>
    <cellStyle name="Comma 4 2 3 5 3 4" xfId="30573"/>
    <cellStyle name="Comma 4 2 3 5 3 5" xfId="44479"/>
    <cellStyle name="Comma 4 2 3 5 4" xfId="7588"/>
    <cellStyle name="Comma 4 2 3 5 4 2" xfId="18091"/>
    <cellStyle name="Comma 4 2 3 5 4 2 2" xfId="39140"/>
    <cellStyle name="Comma 4 2 3 5 4 3" xfId="32717"/>
    <cellStyle name="Comma 4 2 3 5 5" xfId="16700"/>
    <cellStyle name="Comma 4 2 3 5 5 2" xfId="35933"/>
    <cellStyle name="Comma 4 2 3 5 6" xfId="21326"/>
    <cellStyle name="Comma 4 2 3 5 7" xfId="29510"/>
    <cellStyle name="Comma 4 2 3 5 8" xfId="42345"/>
    <cellStyle name="Comma 4 2 3 6" xfId="5864"/>
    <cellStyle name="Comma 4 2 3 6 2" xfId="11441"/>
    <cellStyle name="Comma 4 2 3 6 2 2" xfId="20240"/>
    <cellStyle name="Comma 4 2 3 6 2 2 2" xfId="41283"/>
    <cellStyle name="Comma 4 2 3 6 2 2 3" xfId="34860"/>
    <cellStyle name="Comma 4 2 3 6 2 3" xfId="22439"/>
    <cellStyle name="Comma 4 2 3 6 2 3 2" xfId="38076"/>
    <cellStyle name="Comma 4 2 3 6 2 4" xfId="31653"/>
    <cellStyle name="Comma 4 2 3 6 2 5" xfId="43418"/>
    <cellStyle name="Comma 4 2 3 6 3" xfId="8701"/>
    <cellStyle name="Comma 4 2 3 6 3 2" xfId="19161"/>
    <cellStyle name="Comma 4 2 3 6 3 2 2" xfId="40204"/>
    <cellStyle name="Comma 4 2 3 6 3 2 3" xfId="33781"/>
    <cellStyle name="Comma 4 2 3 6 3 3" xfId="23651"/>
    <cellStyle name="Comma 4 2 3 6 3 3 2" xfId="36997"/>
    <cellStyle name="Comma 4 2 3 6 3 4" xfId="30574"/>
    <cellStyle name="Comma 4 2 3 6 3 5" xfId="44480"/>
    <cellStyle name="Comma 4 2 3 6 4" xfId="7589"/>
    <cellStyle name="Comma 4 2 3 6 4 2" xfId="18092"/>
    <cellStyle name="Comma 4 2 3 6 4 2 2" xfId="39141"/>
    <cellStyle name="Comma 4 2 3 6 4 3" xfId="32718"/>
    <cellStyle name="Comma 4 2 3 6 5" xfId="16988"/>
    <cellStyle name="Comma 4 2 3 6 5 2" xfId="35934"/>
    <cellStyle name="Comma 4 2 3 6 6" xfId="21327"/>
    <cellStyle name="Comma 4 2 3 6 7" xfId="29511"/>
    <cellStyle name="Comma 4 2 3 6 8" xfId="42346"/>
    <cellStyle name="Comma 4 2 3 7" xfId="11432"/>
    <cellStyle name="Comma 4 2 3 7 2" xfId="20231"/>
    <cellStyle name="Comma 4 2 3 7 2 2" xfId="41274"/>
    <cellStyle name="Comma 4 2 3 7 2 3" xfId="34851"/>
    <cellStyle name="Comma 4 2 3 7 3" xfId="22430"/>
    <cellStyle name="Comma 4 2 3 7 3 2" xfId="38067"/>
    <cellStyle name="Comma 4 2 3 7 4" xfId="31644"/>
    <cellStyle name="Comma 4 2 3 7 5" xfId="43409"/>
    <cellStyle name="Comma 4 2 3 8" xfId="8692"/>
    <cellStyle name="Comma 4 2 3 8 2" xfId="19152"/>
    <cellStyle name="Comma 4 2 3 8 2 2" xfId="40195"/>
    <cellStyle name="Comma 4 2 3 8 2 3" xfId="33772"/>
    <cellStyle name="Comma 4 2 3 8 3" xfId="23642"/>
    <cellStyle name="Comma 4 2 3 8 3 2" xfId="36988"/>
    <cellStyle name="Comma 4 2 3 8 4" xfId="30565"/>
    <cellStyle name="Comma 4 2 3 8 5" xfId="44471"/>
    <cellStyle name="Comma 4 2 3 9" xfId="7580"/>
    <cellStyle name="Comma 4 2 3 9 2" xfId="18083"/>
    <cellStyle name="Comma 4 2 3 9 2 2" xfId="39132"/>
    <cellStyle name="Comma 4 2 3 9 3" xfId="32709"/>
    <cellStyle name="Comma 4 2 4" xfId="10287"/>
    <cellStyle name="Comma 4 2 4 2" xfId="19340"/>
    <cellStyle name="Comma 4 2 4 2 2" xfId="40383"/>
    <cellStyle name="Comma 4 2 4 2 3" xfId="33960"/>
    <cellStyle name="Comma 4 2 4 3" xfId="21540"/>
    <cellStyle name="Comma 4 2 4 3 2" xfId="37176"/>
    <cellStyle name="Comma 4 2 4 4" xfId="30753"/>
    <cellStyle name="Comma 4 2 4 5" xfId="42519"/>
    <cellStyle name="Comma 4 2 5" xfId="8690"/>
    <cellStyle name="Comma 4 2 5 2" xfId="19150"/>
    <cellStyle name="Comma 4 2 5 2 2" xfId="40193"/>
    <cellStyle name="Comma 4 2 5 2 3" xfId="33770"/>
    <cellStyle name="Comma 4 2 5 3" xfId="23640"/>
    <cellStyle name="Comma 4 2 5 3 2" xfId="36986"/>
    <cellStyle name="Comma 4 2 5 4" xfId="30563"/>
    <cellStyle name="Comma 4 2 5 5" xfId="44469"/>
    <cellStyle name="Comma 4 2 6" xfId="6686"/>
    <cellStyle name="Comma 4 2 6 2" xfId="17193"/>
    <cellStyle name="Comma 4 2 6 2 2" xfId="38246"/>
    <cellStyle name="Comma 4 2 6 3" xfId="31823"/>
    <cellStyle name="Comma 4 2 7" xfId="16016"/>
    <cellStyle name="Comma 4 2 7 2" xfId="35039"/>
    <cellStyle name="Comma 4 2 8" xfId="21316"/>
    <cellStyle name="Comma 4 2 9" xfId="28614"/>
    <cellStyle name="Comma 4 3" xfId="1445"/>
    <cellStyle name="Comma 4 3 10" xfId="6685"/>
    <cellStyle name="Comma 4 3 10 2" xfId="17192"/>
    <cellStyle name="Comma 4 3 10 2 2" xfId="38245"/>
    <cellStyle name="Comma 4 3 10 3" xfId="31822"/>
    <cellStyle name="Comma 4 3 11" xfId="16021"/>
    <cellStyle name="Comma 4 3 11 2" xfId="35038"/>
    <cellStyle name="Comma 4 3 12" xfId="21328"/>
    <cellStyle name="Comma 4 3 13" xfId="28613"/>
    <cellStyle name="Comma 4 3 14" xfId="42347"/>
    <cellStyle name="Comma 4 3 2" xfId="1804"/>
    <cellStyle name="Comma 4 3 2 10" xfId="21329"/>
    <cellStyle name="Comma 4 3 2 11" xfId="29512"/>
    <cellStyle name="Comma 4 3 2 12" xfId="42348"/>
    <cellStyle name="Comma 4 3 2 2" xfId="2694"/>
    <cellStyle name="Comma 4 3 2 2 2" xfId="11443"/>
    <cellStyle name="Comma 4 3 2 2 2 2" xfId="20242"/>
    <cellStyle name="Comma 4 3 2 2 2 2 2" xfId="41285"/>
    <cellStyle name="Comma 4 3 2 2 2 2 3" xfId="34862"/>
    <cellStyle name="Comma 4 3 2 2 2 3" xfId="22441"/>
    <cellStyle name="Comma 4 3 2 2 2 3 2" xfId="38078"/>
    <cellStyle name="Comma 4 3 2 2 2 4" xfId="31655"/>
    <cellStyle name="Comma 4 3 2 2 2 5" xfId="43420"/>
    <cellStyle name="Comma 4 3 2 2 3" xfId="8704"/>
    <cellStyle name="Comma 4 3 2 2 3 2" xfId="19164"/>
    <cellStyle name="Comma 4 3 2 2 3 2 2" xfId="40207"/>
    <cellStyle name="Comma 4 3 2 2 3 2 3" xfId="33784"/>
    <cellStyle name="Comma 4 3 2 2 3 3" xfId="23654"/>
    <cellStyle name="Comma 4 3 2 2 3 3 2" xfId="37000"/>
    <cellStyle name="Comma 4 3 2 2 3 4" xfId="30577"/>
    <cellStyle name="Comma 4 3 2 2 3 5" xfId="44483"/>
    <cellStyle name="Comma 4 3 2 2 4" xfId="7591"/>
    <cellStyle name="Comma 4 3 2 2 4 2" xfId="18094"/>
    <cellStyle name="Comma 4 3 2 2 4 2 2" xfId="39143"/>
    <cellStyle name="Comma 4 3 2 2 4 3" xfId="32720"/>
    <cellStyle name="Comma 4 3 2 2 5" xfId="16274"/>
    <cellStyle name="Comma 4 3 2 2 5 2" xfId="35936"/>
    <cellStyle name="Comma 4 3 2 2 6" xfId="21330"/>
    <cellStyle name="Comma 4 3 2 2 7" xfId="29513"/>
    <cellStyle name="Comma 4 3 2 2 8" xfId="42349"/>
    <cellStyle name="Comma 4 3 2 3" xfId="3558"/>
    <cellStyle name="Comma 4 3 2 3 2" xfId="11444"/>
    <cellStyle name="Comma 4 3 2 3 2 2" xfId="20243"/>
    <cellStyle name="Comma 4 3 2 3 2 2 2" xfId="41286"/>
    <cellStyle name="Comma 4 3 2 3 2 2 3" xfId="34863"/>
    <cellStyle name="Comma 4 3 2 3 2 3" xfId="22442"/>
    <cellStyle name="Comma 4 3 2 3 2 3 2" xfId="38079"/>
    <cellStyle name="Comma 4 3 2 3 2 4" xfId="31656"/>
    <cellStyle name="Comma 4 3 2 3 2 5" xfId="43421"/>
    <cellStyle name="Comma 4 3 2 3 3" xfId="8705"/>
    <cellStyle name="Comma 4 3 2 3 3 2" xfId="19165"/>
    <cellStyle name="Comma 4 3 2 3 3 2 2" xfId="40208"/>
    <cellStyle name="Comma 4 3 2 3 3 2 3" xfId="33785"/>
    <cellStyle name="Comma 4 3 2 3 3 3" xfId="23655"/>
    <cellStyle name="Comma 4 3 2 3 3 3 2" xfId="37001"/>
    <cellStyle name="Comma 4 3 2 3 3 4" xfId="30578"/>
    <cellStyle name="Comma 4 3 2 3 3 5" xfId="44484"/>
    <cellStyle name="Comma 4 3 2 3 4" xfId="7592"/>
    <cellStyle name="Comma 4 3 2 3 4 2" xfId="18095"/>
    <cellStyle name="Comma 4 3 2 3 4 2 2" xfId="39144"/>
    <cellStyle name="Comma 4 3 2 3 4 3" xfId="32721"/>
    <cellStyle name="Comma 4 3 2 3 5" xfId="16462"/>
    <cellStyle name="Comma 4 3 2 3 5 2" xfId="35937"/>
    <cellStyle name="Comma 4 3 2 3 6" xfId="21331"/>
    <cellStyle name="Comma 4 3 2 3 7" xfId="29514"/>
    <cellStyle name="Comma 4 3 2 3 8" xfId="42350"/>
    <cellStyle name="Comma 4 3 2 4" xfId="4432"/>
    <cellStyle name="Comma 4 3 2 4 2" xfId="11445"/>
    <cellStyle name="Comma 4 3 2 4 2 2" xfId="20244"/>
    <cellStyle name="Comma 4 3 2 4 2 2 2" xfId="41287"/>
    <cellStyle name="Comma 4 3 2 4 2 2 3" xfId="34864"/>
    <cellStyle name="Comma 4 3 2 4 2 3" xfId="22443"/>
    <cellStyle name="Comma 4 3 2 4 2 3 2" xfId="38080"/>
    <cellStyle name="Comma 4 3 2 4 2 4" xfId="31657"/>
    <cellStyle name="Comma 4 3 2 4 2 5" xfId="43422"/>
    <cellStyle name="Comma 4 3 2 4 3" xfId="8706"/>
    <cellStyle name="Comma 4 3 2 4 3 2" xfId="19166"/>
    <cellStyle name="Comma 4 3 2 4 3 2 2" xfId="40209"/>
    <cellStyle name="Comma 4 3 2 4 3 2 3" xfId="33786"/>
    <cellStyle name="Comma 4 3 2 4 3 3" xfId="23656"/>
    <cellStyle name="Comma 4 3 2 4 3 3 2" xfId="37002"/>
    <cellStyle name="Comma 4 3 2 4 3 4" xfId="30579"/>
    <cellStyle name="Comma 4 3 2 4 3 5" xfId="44485"/>
    <cellStyle name="Comma 4 3 2 4 4" xfId="7593"/>
    <cellStyle name="Comma 4 3 2 4 4 2" xfId="18096"/>
    <cellStyle name="Comma 4 3 2 4 4 2 2" xfId="39145"/>
    <cellStyle name="Comma 4 3 2 4 4 3" xfId="32722"/>
    <cellStyle name="Comma 4 3 2 4 5" xfId="16650"/>
    <cellStyle name="Comma 4 3 2 4 5 2" xfId="35938"/>
    <cellStyle name="Comma 4 3 2 4 6" xfId="21332"/>
    <cellStyle name="Comma 4 3 2 4 7" xfId="29515"/>
    <cellStyle name="Comma 4 3 2 4 8" xfId="42351"/>
    <cellStyle name="Comma 4 3 2 5" xfId="5697"/>
    <cellStyle name="Comma 4 3 2 5 2" xfId="11446"/>
    <cellStyle name="Comma 4 3 2 5 2 2" xfId="20245"/>
    <cellStyle name="Comma 4 3 2 5 2 2 2" xfId="41288"/>
    <cellStyle name="Comma 4 3 2 5 2 2 3" xfId="34865"/>
    <cellStyle name="Comma 4 3 2 5 2 3" xfId="22444"/>
    <cellStyle name="Comma 4 3 2 5 2 3 2" xfId="38081"/>
    <cellStyle name="Comma 4 3 2 5 2 4" xfId="31658"/>
    <cellStyle name="Comma 4 3 2 5 2 5" xfId="43423"/>
    <cellStyle name="Comma 4 3 2 5 3" xfId="8707"/>
    <cellStyle name="Comma 4 3 2 5 3 2" xfId="19167"/>
    <cellStyle name="Comma 4 3 2 5 3 2 2" xfId="40210"/>
    <cellStyle name="Comma 4 3 2 5 3 2 3" xfId="33787"/>
    <cellStyle name="Comma 4 3 2 5 3 3" xfId="23657"/>
    <cellStyle name="Comma 4 3 2 5 3 3 2" xfId="37003"/>
    <cellStyle name="Comma 4 3 2 5 3 4" xfId="30580"/>
    <cellStyle name="Comma 4 3 2 5 3 5" xfId="44486"/>
    <cellStyle name="Comma 4 3 2 5 4" xfId="7594"/>
    <cellStyle name="Comma 4 3 2 5 4 2" xfId="18097"/>
    <cellStyle name="Comma 4 3 2 5 4 2 2" xfId="39146"/>
    <cellStyle name="Comma 4 3 2 5 4 3" xfId="32723"/>
    <cellStyle name="Comma 4 3 2 5 5" xfId="16938"/>
    <cellStyle name="Comma 4 3 2 5 5 2" xfId="35939"/>
    <cellStyle name="Comma 4 3 2 5 6" xfId="21333"/>
    <cellStyle name="Comma 4 3 2 5 7" xfId="29516"/>
    <cellStyle name="Comma 4 3 2 5 8" xfId="42352"/>
    <cellStyle name="Comma 4 3 2 6" xfId="11442"/>
    <cellStyle name="Comma 4 3 2 6 2" xfId="20241"/>
    <cellStyle name="Comma 4 3 2 6 2 2" xfId="41284"/>
    <cellStyle name="Comma 4 3 2 6 2 3" xfId="34861"/>
    <cellStyle name="Comma 4 3 2 6 3" xfId="22440"/>
    <cellStyle name="Comma 4 3 2 6 3 2" xfId="38077"/>
    <cellStyle name="Comma 4 3 2 6 4" xfId="31654"/>
    <cellStyle name="Comma 4 3 2 6 5" xfId="43419"/>
    <cellStyle name="Comma 4 3 2 7" xfId="8703"/>
    <cellStyle name="Comma 4 3 2 7 2" xfId="19163"/>
    <cellStyle name="Comma 4 3 2 7 2 2" xfId="40206"/>
    <cellStyle name="Comma 4 3 2 7 2 3" xfId="33783"/>
    <cellStyle name="Comma 4 3 2 7 3" xfId="23653"/>
    <cellStyle name="Comma 4 3 2 7 3 2" xfId="36999"/>
    <cellStyle name="Comma 4 3 2 7 4" xfId="30576"/>
    <cellStyle name="Comma 4 3 2 7 5" xfId="44482"/>
    <cellStyle name="Comma 4 3 2 8" xfId="7590"/>
    <cellStyle name="Comma 4 3 2 8 2" xfId="18093"/>
    <cellStyle name="Comma 4 3 2 8 2 2" xfId="39142"/>
    <cellStyle name="Comma 4 3 2 8 3" xfId="32719"/>
    <cellStyle name="Comma 4 3 2 9" xfId="16084"/>
    <cellStyle name="Comma 4 3 2 9 2" xfId="35935"/>
    <cellStyle name="Comma 4 3 3" xfId="2079"/>
    <cellStyle name="Comma 4 3 3 10" xfId="21334"/>
    <cellStyle name="Comma 4 3 3 11" xfId="29517"/>
    <cellStyle name="Comma 4 3 3 12" xfId="42353"/>
    <cellStyle name="Comma 4 3 3 2" xfId="2949"/>
    <cellStyle name="Comma 4 3 3 2 2" xfId="11448"/>
    <cellStyle name="Comma 4 3 3 2 2 2" xfId="20247"/>
    <cellStyle name="Comma 4 3 3 2 2 2 2" xfId="41290"/>
    <cellStyle name="Comma 4 3 3 2 2 2 3" xfId="34867"/>
    <cellStyle name="Comma 4 3 3 2 2 3" xfId="22446"/>
    <cellStyle name="Comma 4 3 3 2 2 3 2" xfId="38083"/>
    <cellStyle name="Comma 4 3 3 2 2 4" xfId="31660"/>
    <cellStyle name="Comma 4 3 3 2 2 5" xfId="43425"/>
    <cellStyle name="Comma 4 3 3 2 3" xfId="8709"/>
    <cellStyle name="Comma 4 3 3 2 3 2" xfId="19169"/>
    <cellStyle name="Comma 4 3 3 2 3 2 2" xfId="40212"/>
    <cellStyle name="Comma 4 3 3 2 3 2 3" xfId="33789"/>
    <cellStyle name="Comma 4 3 3 2 3 3" xfId="23659"/>
    <cellStyle name="Comma 4 3 3 2 3 3 2" xfId="37005"/>
    <cellStyle name="Comma 4 3 3 2 3 4" xfId="30582"/>
    <cellStyle name="Comma 4 3 3 2 3 5" xfId="44488"/>
    <cellStyle name="Comma 4 3 3 2 4" xfId="7596"/>
    <cellStyle name="Comma 4 3 3 2 4 2" xfId="18099"/>
    <cellStyle name="Comma 4 3 3 2 4 2 2" xfId="39148"/>
    <cellStyle name="Comma 4 3 3 2 4 3" xfId="32725"/>
    <cellStyle name="Comma 4 3 3 2 5" xfId="16329"/>
    <cellStyle name="Comma 4 3 3 2 5 2" xfId="35941"/>
    <cellStyle name="Comma 4 3 3 2 6" xfId="21335"/>
    <cellStyle name="Comma 4 3 3 2 7" xfId="29518"/>
    <cellStyle name="Comma 4 3 3 2 8" xfId="42354"/>
    <cellStyle name="Comma 4 3 3 3" xfId="3818"/>
    <cellStyle name="Comma 4 3 3 3 2" xfId="11449"/>
    <cellStyle name="Comma 4 3 3 3 2 2" xfId="20248"/>
    <cellStyle name="Comma 4 3 3 3 2 2 2" xfId="41291"/>
    <cellStyle name="Comma 4 3 3 3 2 2 3" xfId="34868"/>
    <cellStyle name="Comma 4 3 3 3 2 3" xfId="22447"/>
    <cellStyle name="Comma 4 3 3 3 2 3 2" xfId="38084"/>
    <cellStyle name="Comma 4 3 3 3 2 4" xfId="31661"/>
    <cellStyle name="Comma 4 3 3 3 2 5" xfId="43426"/>
    <cellStyle name="Comma 4 3 3 3 3" xfId="8710"/>
    <cellStyle name="Comma 4 3 3 3 3 2" xfId="19170"/>
    <cellStyle name="Comma 4 3 3 3 3 2 2" xfId="40213"/>
    <cellStyle name="Comma 4 3 3 3 3 2 3" xfId="33790"/>
    <cellStyle name="Comma 4 3 3 3 3 3" xfId="23660"/>
    <cellStyle name="Comma 4 3 3 3 3 3 2" xfId="37006"/>
    <cellStyle name="Comma 4 3 3 3 3 4" xfId="30583"/>
    <cellStyle name="Comma 4 3 3 3 3 5" xfId="44489"/>
    <cellStyle name="Comma 4 3 3 3 4" xfId="7597"/>
    <cellStyle name="Comma 4 3 3 3 4 2" xfId="18100"/>
    <cellStyle name="Comma 4 3 3 3 4 2 2" xfId="39149"/>
    <cellStyle name="Comma 4 3 3 3 4 3" xfId="32726"/>
    <cellStyle name="Comma 4 3 3 3 5" xfId="16517"/>
    <cellStyle name="Comma 4 3 3 3 5 2" xfId="35942"/>
    <cellStyle name="Comma 4 3 3 3 6" xfId="21336"/>
    <cellStyle name="Comma 4 3 3 3 7" xfId="29519"/>
    <cellStyle name="Comma 4 3 3 3 8" xfId="42355"/>
    <cellStyle name="Comma 4 3 3 4" xfId="4696"/>
    <cellStyle name="Comma 4 3 3 4 2" xfId="11450"/>
    <cellStyle name="Comma 4 3 3 4 2 2" xfId="20249"/>
    <cellStyle name="Comma 4 3 3 4 2 2 2" xfId="41292"/>
    <cellStyle name="Comma 4 3 3 4 2 2 3" xfId="34869"/>
    <cellStyle name="Comma 4 3 3 4 2 3" xfId="22448"/>
    <cellStyle name="Comma 4 3 3 4 2 3 2" xfId="38085"/>
    <cellStyle name="Comma 4 3 3 4 2 4" xfId="31662"/>
    <cellStyle name="Comma 4 3 3 4 2 5" xfId="43427"/>
    <cellStyle name="Comma 4 3 3 4 3" xfId="8711"/>
    <cellStyle name="Comma 4 3 3 4 3 2" xfId="19171"/>
    <cellStyle name="Comma 4 3 3 4 3 2 2" xfId="40214"/>
    <cellStyle name="Comma 4 3 3 4 3 2 3" xfId="33791"/>
    <cellStyle name="Comma 4 3 3 4 3 3" xfId="23661"/>
    <cellStyle name="Comma 4 3 3 4 3 3 2" xfId="37007"/>
    <cellStyle name="Comma 4 3 3 4 3 4" xfId="30584"/>
    <cellStyle name="Comma 4 3 3 4 3 5" xfId="44490"/>
    <cellStyle name="Comma 4 3 3 4 4" xfId="7598"/>
    <cellStyle name="Comma 4 3 3 4 4 2" xfId="18101"/>
    <cellStyle name="Comma 4 3 3 4 4 2 2" xfId="39150"/>
    <cellStyle name="Comma 4 3 3 4 4 3" xfId="32727"/>
    <cellStyle name="Comma 4 3 3 4 5" xfId="16705"/>
    <cellStyle name="Comma 4 3 3 4 5 2" xfId="35943"/>
    <cellStyle name="Comma 4 3 3 4 6" xfId="21337"/>
    <cellStyle name="Comma 4 3 3 4 7" xfId="29520"/>
    <cellStyle name="Comma 4 3 3 4 8" xfId="42356"/>
    <cellStyle name="Comma 4 3 3 5" xfId="5961"/>
    <cellStyle name="Comma 4 3 3 5 2" xfId="11451"/>
    <cellStyle name="Comma 4 3 3 5 2 2" xfId="20250"/>
    <cellStyle name="Comma 4 3 3 5 2 2 2" xfId="41293"/>
    <cellStyle name="Comma 4 3 3 5 2 2 3" xfId="34870"/>
    <cellStyle name="Comma 4 3 3 5 2 3" xfId="22449"/>
    <cellStyle name="Comma 4 3 3 5 2 3 2" xfId="38086"/>
    <cellStyle name="Comma 4 3 3 5 2 4" xfId="31663"/>
    <cellStyle name="Comma 4 3 3 5 2 5" xfId="43428"/>
    <cellStyle name="Comma 4 3 3 5 3" xfId="8712"/>
    <cellStyle name="Comma 4 3 3 5 3 2" xfId="19172"/>
    <cellStyle name="Comma 4 3 3 5 3 2 2" xfId="40215"/>
    <cellStyle name="Comma 4 3 3 5 3 2 3" xfId="33792"/>
    <cellStyle name="Comma 4 3 3 5 3 3" xfId="23662"/>
    <cellStyle name="Comma 4 3 3 5 3 3 2" xfId="37008"/>
    <cellStyle name="Comma 4 3 3 5 3 4" xfId="30585"/>
    <cellStyle name="Comma 4 3 3 5 3 5" xfId="44491"/>
    <cellStyle name="Comma 4 3 3 5 4" xfId="7599"/>
    <cellStyle name="Comma 4 3 3 5 4 2" xfId="18102"/>
    <cellStyle name="Comma 4 3 3 5 4 2 2" xfId="39151"/>
    <cellStyle name="Comma 4 3 3 5 4 3" xfId="32728"/>
    <cellStyle name="Comma 4 3 3 5 5" xfId="16993"/>
    <cellStyle name="Comma 4 3 3 5 5 2" xfId="35944"/>
    <cellStyle name="Comma 4 3 3 5 6" xfId="21338"/>
    <cellStyle name="Comma 4 3 3 5 7" xfId="29521"/>
    <cellStyle name="Comma 4 3 3 5 8" xfId="42357"/>
    <cellStyle name="Comma 4 3 3 6" xfId="11447"/>
    <cellStyle name="Comma 4 3 3 6 2" xfId="20246"/>
    <cellStyle name="Comma 4 3 3 6 2 2" xfId="41289"/>
    <cellStyle name="Comma 4 3 3 6 2 3" xfId="34866"/>
    <cellStyle name="Comma 4 3 3 6 3" xfId="22445"/>
    <cellStyle name="Comma 4 3 3 6 3 2" xfId="38082"/>
    <cellStyle name="Comma 4 3 3 6 4" xfId="31659"/>
    <cellStyle name="Comma 4 3 3 6 5" xfId="43424"/>
    <cellStyle name="Comma 4 3 3 7" xfId="8708"/>
    <cellStyle name="Comma 4 3 3 7 2" xfId="19168"/>
    <cellStyle name="Comma 4 3 3 7 2 2" xfId="40211"/>
    <cellStyle name="Comma 4 3 3 7 2 3" xfId="33788"/>
    <cellStyle name="Comma 4 3 3 7 3" xfId="23658"/>
    <cellStyle name="Comma 4 3 3 7 3 2" xfId="37004"/>
    <cellStyle name="Comma 4 3 3 7 4" xfId="30581"/>
    <cellStyle name="Comma 4 3 3 7 5" xfId="44487"/>
    <cellStyle name="Comma 4 3 3 8" xfId="7595"/>
    <cellStyle name="Comma 4 3 3 8 2" xfId="18098"/>
    <cellStyle name="Comma 4 3 3 8 2 2" xfId="39147"/>
    <cellStyle name="Comma 4 3 3 8 3" xfId="32724"/>
    <cellStyle name="Comma 4 3 3 9" xfId="16140"/>
    <cellStyle name="Comma 4 3 3 9 2" xfId="35940"/>
    <cellStyle name="Comma 4 3 4" xfId="2443"/>
    <cellStyle name="Comma 4 3 4 2" xfId="11452"/>
    <cellStyle name="Comma 4 3 4 2 2" xfId="20251"/>
    <cellStyle name="Comma 4 3 4 2 2 2" xfId="41294"/>
    <cellStyle name="Comma 4 3 4 2 2 3" xfId="34871"/>
    <cellStyle name="Comma 4 3 4 2 3" xfId="22450"/>
    <cellStyle name="Comma 4 3 4 2 3 2" xfId="38087"/>
    <cellStyle name="Comma 4 3 4 2 4" xfId="31664"/>
    <cellStyle name="Comma 4 3 4 2 5" xfId="43429"/>
    <cellStyle name="Comma 4 3 4 3" xfId="8713"/>
    <cellStyle name="Comma 4 3 4 3 2" xfId="19173"/>
    <cellStyle name="Comma 4 3 4 3 2 2" xfId="40216"/>
    <cellStyle name="Comma 4 3 4 3 2 3" xfId="33793"/>
    <cellStyle name="Comma 4 3 4 3 3" xfId="23663"/>
    <cellStyle name="Comma 4 3 4 3 3 2" xfId="37009"/>
    <cellStyle name="Comma 4 3 4 3 4" xfId="30586"/>
    <cellStyle name="Comma 4 3 4 3 5" xfId="44492"/>
    <cellStyle name="Comma 4 3 4 4" xfId="7600"/>
    <cellStyle name="Comma 4 3 4 4 2" xfId="18103"/>
    <cellStyle name="Comma 4 3 4 4 2 2" xfId="39152"/>
    <cellStyle name="Comma 4 3 4 4 3" xfId="32729"/>
    <cellStyle name="Comma 4 3 4 5" xfId="16220"/>
    <cellStyle name="Comma 4 3 4 5 2" xfId="35945"/>
    <cellStyle name="Comma 4 3 4 6" xfId="21339"/>
    <cellStyle name="Comma 4 3 4 7" xfId="29522"/>
    <cellStyle name="Comma 4 3 4 8" xfId="42358"/>
    <cellStyle name="Comma 4 3 5" xfId="3304"/>
    <cellStyle name="Comma 4 3 5 2" xfId="11453"/>
    <cellStyle name="Comma 4 3 5 2 2" xfId="20252"/>
    <cellStyle name="Comma 4 3 5 2 2 2" xfId="41295"/>
    <cellStyle name="Comma 4 3 5 2 2 3" xfId="34872"/>
    <cellStyle name="Comma 4 3 5 2 3" xfId="22451"/>
    <cellStyle name="Comma 4 3 5 2 3 2" xfId="38088"/>
    <cellStyle name="Comma 4 3 5 2 4" xfId="31665"/>
    <cellStyle name="Comma 4 3 5 2 5" xfId="43430"/>
    <cellStyle name="Comma 4 3 5 3" xfId="8714"/>
    <cellStyle name="Comma 4 3 5 3 2" xfId="19174"/>
    <cellStyle name="Comma 4 3 5 3 2 2" xfId="40217"/>
    <cellStyle name="Comma 4 3 5 3 2 3" xfId="33794"/>
    <cellStyle name="Comma 4 3 5 3 3" xfId="23664"/>
    <cellStyle name="Comma 4 3 5 3 3 2" xfId="37010"/>
    <cellStyle name="Comma 4 3 5 3 4" xfId="30587"/>
    <cellStyle name="Comma 4 3 5 3 5" xfId="44493"/>
    <cellStyle name="Comma 4 3 5 4" xfId="7601"/>
    <cellStyle name="Comma 4 3 5 4 2" xfId="18104"/>
    <cellStyle name="Comma 4 3 5 4 2 2" xfId="39153"/>
    <cellStyle name="Comma 4 3 5 4 3" xfId="32730"/>
    <cellStyle name="Comma 4 3 5 5" xfId="16408"/>
    <cellStyle name="Comma 4 3 5 5 2" xfId="35946"/>
    <cellStyle name="Comma 4 3 5 6" xfId="21340"/>
    <cellStyle name="Comma 4 3 5 7" xfId="29523"/>
    <cellStyle name="Comma 4 3 5 8" xfId="42359"/>
    <cellStyle name="Comma 4 3 6" xfId="4172"/>
    <cellStyle name="Comma 4 3 6 2" xfId="11454"/>
    <cellStyle name="Comma 4 3 6 2 2" xfId="20253"/>
    <cellStyle name="Comma 4 3 6 2 2 2" xfId="41296"/>
    <cellStyle name="Comma 4 3 6 2 2 3" xfId="34873"/>
    <cellStyle name="Comma 4 3 6 2 3" xfId="22452"/>
    <cellStyle name="Comma 4 3 6 2 3 2" xfId="38089"/>
    <cellStyle name="Comma 4 3 6 2 4" xfId="31666"/>
    <cellStyle name="Comma 4 3 6 2 5" xfId="43431"/>
    <cellStyle name="Comma 4 3 6 3" xfId="8715"/>
    <cellStyle name="Comma 4 3 6 3 2" xfId="19175"/>
    <cellStyle name="Comma 4 3 6 3 2 2" xfId="40218"/>
    <cellStyle name="Comma 4 3 6 3 2 3" xfId="33795"/>
    <cellStyle name="Comma 4 3 6 3 3" xfId="23665"/>
    <cellStyle name="Comma 4 3 6 3 3 2" xfId="37011"/>
    <cellStyle name="Comma 4 3 6 3 4" xfId="30588"/>
    <cellStyle name="Comma 4 3 6 3 5" xfId="44494"/>
    <cellStyle name="Comma 4 3 6 4" xfId="7602"/>
    <cellStyle name="Comma 4 3 6 4 2" xfId="18105"/>
    <cellStyle name="Comma 4 3 6 4 2 2" xfId="39154"/>
    <cellStyle name="Comma 4 3 6 4 3" xfId="32731"/>
    <cellStyle name="Comma 4 3 6 5" xfId="16596"/>
    <cellStyle name="Comma 4 3 6 5 2" xfId="35947"/>
    <cellStyle name="Comma 4 3 6 6" xfId="21341"/>
    <cellStyle name="Comma 4 3 6 7" xfId="29524"/>
    <cellStyle name="Comma 4 3 6 8" xfId="42360"/>
    <cellStyle name="Comma 4 3 7" xfId="5434"/>
    <cellStyle name="Comma 4 3 7 2" xfId="11455"/>
    <cellStyle name="Comma 4 3 7 2 2" xfId="20254"/>
    <cellStyle name="Comma 4 3 7 2 2 2" xfId="41297"/>
    <cellStyle name="Comma 4 3 7 2 2 3" xfId="34874"/>
    <cellStyle name="Comma 4 3 7 2 3" xfId="22453"/>
    <cellStyle name="Comma 4 3 7 2 3 2" xfId="38090"/>
    <cellStyle name="Comma 4 3 7 2 4" xfId="31667"/>
    <cellStyle name="Comma 4 3 7 2 5" xfId="43432"/>
    <cellStyle name="Comma 4 3 7 3" xfId="8716"/>
    <cellStyle name="Comma 4 3 7 3 2" xfId="19176"/>
    <cellStyle name="Comma 4 3 7 3 2 2" xfId="40219"/>
    <cellStyle name="Comma 4 3 7 3 2 3" xfId="33796"/>
    <cellStyle name="Comma 4 3 7 3 3" xfId="23666"/>
    <cellStyle name="Comma 4 3 7 3 3 2" xfId="37012"/>
    <cellStyle name="Comma 4 3 7 3 4" xfId="30589"/>
    <cellStyle name="Comma 4 3 7 3 5" xfId="44495"/>
    <cellStyle name="Comma 4 3 7 4" xfId="7603"/>
    <cellStyle name="Comma 4 3 7 4 2" xfId="18106"/>
    <cellStyle name="Comma 4 3 7 4 2 2" xfId="39155"/>
    <cellStyle name="Comma 4 3 7 4 3" xfId="32732"/>
    <cellStyle name="Comma 4 3 7 5" xfId="16884"/>
    <cellStyle name="Comma 4 3 7 5 2" xfId="35948"/>
    <cellStyle name="Comma 4 3 7 6" xfId="21342"/>
    <cellStyle name="Comma 4 3 7 7" xfId="29525"/>
    <cellStyle name="Comma 4 3 7 8" xfId="42361"/>
    <cellStyle name="Comma 4 3 8" xfId="10286"/>
    <cellStyle name="Comma 4 3 8 2" xfId="19339"/>
    <cellStyle name="Comma 4 3 8 2 2" xfId="40382"/>
    <cellStyle name="Comma 4 3 8 2 3" xfId="33959"/>
    <cellStyle name="Comma 4 3 8 3" xfId="21539"/>
    <cellStyle name="Comma 4 3 8 3 2" xfId="37175"/>
    <cellStyle name="Comma 4 3 8 4" xfId="30752"/>
    <cellStyle name="Comma 4 3 8 5" xfId="42518"/>
    <cellStyle name="Comma 4 3 9" xfId="8702"/>
    <cellStyle name="Comma 4 3 9 2" xfId="19162"/>
    <cellStyle name="Comma 4 3 9 2 2" xfId="40205"/>
    <cellStyle name="Comma 4 3 9 2 3" xfId="33782"/>
    <cellStyle name="Comma 4 3 9 3" xfId="23652"/>
    <cellStyle name="Comma 4 3 9 3 2" xfId="36998"/>
    <cellStyle name="Comma 4 3 9 4" xfId="30575"/>
    <cellStyle name="Comma 4 3 9 5" xfId="44481"/>
    <cellStyle name="Comma 4 4" xfId="1671"/>
    <cellStyle name="Comma 4 4 2" xfId="11456"/>
    <cellStyle name="Comma 4 4 2 2" xfId="20255"/>
    <cellStyle name="Comma 4 4 2 2 2" xfId="41298"/>
    <cellStyle name="Comma 4 4 2 2 3" xfId="34875"/>
    <cellStyle name="Comma 4 4 2 3" xfId="22454"/>
    <cellStyle name="Comma 4 4 2 3 2" xfId="38091"/>
    <cellStyle name="Comma 4 4 2 4" xfId="31668"/>
    <cellStyle name="Comma 4 4 2 5" xfId="43433"/>
    <cellStyle name="Comma 4 4 3" xfId="8717"/>
    <cellStyle name="Comma 4 4 3 2" xfId="19177"/>
    <cellStyle name="Comma 4 4 3 2 2" xfId="40220"/>
    <cellStyle name="Comma 4 4 3 2 3" xfId="33797"/>
    <cellStyle name="Comma 4 4 3 3" xfId="23667"/>
    <cellStyle name="Comma 4 4 3 3 2" xfId="37013"/>
    <cellStyle name="Comma 4 4 3 4" xfId="30590"/>
    <cellStyle name="Comma 4 4 3 5" xfId="44496"/>
    <cellStyle name="Comma 4 4 4" xfId="7604"/>
    <cellStyle name="Comma 4 4 4 2" xfId="18107"/>
    <cellStyle name="Comma 4 4 4 2 2" xfId="39156"/>
    <cellStyle name="Comma 4 4 4 3" xfId="32733"/>
    <cellStyle name="Comma 4 4 5" xfId="16081"/>
    <cellStyle name="Comma 4 4 5 2" xfId="35949"/>
    <cellStyle name="Comma 4 4 6" xfId="21343"/>
    <cellStyle name="Comma 4 4 7" xfId="29526"/>
    <cellStyle name="Comma 4 4 8" xfId="42362"/>
    <cellStyle name="Comma 4 5" xfId="1666"/>
    <cellStyle name="Comma 4 5 10" xfId="21344"/>
    <cellStyle name="Comma 4 5 11" xfId="29527"/>
    <cellStyle name="Comma 4 5 12" xfId="42363"/>
    <cellStyle name="Comma 4 5 2" xfId="2610"/>
    <cellStyle name="Comma 4 5 2 2" xfId="11458"/>
    <cellStyle name="Comma 4 5 2 2 2" xfId="20257"/>
    <cellStyle name="Comma 4 5 2 2 2 2" xfId="41300"/>
    <cellStyle name="Comma 4 5 2 2 2 3" xfId="34877"/>
    <cellStyle name="Comma 4 5 2 2 3" xfId="22456"/>
    <cellStyle name="Comma 4 5 2 2 3 2" xfId="38093"/>
    <cellStyle name="Comma 4 5 2 2 4" xfId="31670"/>
    <cellStyle name="Comma 4 5 2 2 5" xfId="43435"/>
    <cellStyle name="Comma 4 5 2 3" xfId="8719"/>
    <cellStyle name="Comma 4 5 2 3 2" xfId="19179"/>
    <cellStyle name="Comma 4 5 2 3 2 2" xfId="40222"/>
    <cellStyle name="Comma 4 5 2 3 2 3" xfId="33799"/>
    <cellStyle name="Comma 4 5 2 3 3" xfId="23669"/>
    <cellStyle name="Comma 4 5 2 3 3 2" xfId="37015"/>
    <cellStyle name="Comma 4 5 2 3 4" xfId="30592"/>
    <cellStyle name="Comma 4 5 2 3 5" xfId="44498"/>
    <cellStyle name="Comma 4 5 2 4" xfId="7606"/>
    <cellStyle name="Comma 4 5 2 4 2" xfId="18109"/>
    <cellStyle name="Comma 4 5 2 4 2 2" xfId="39158"/>
    <cellStyle name="Comma 4 5 2 4 3" xfId="32735"/>
    <cellStyle name="Comma 4 5 2 5" xfId="16271"/>
    <cellStyle name="Comma 4 5 2 5 2" xfId="35951"/>
    <cellStyle name="Comma 4 5 2 6" xfId="21345"/>
    <cellStyle name="Comma 4 5 2 7" xfId="29528"/>
    <cellStyle name="Comma 4 5 2 8" xfId="42364"/>
    <cellStyle name="Comma 4 5 3" xfId="3473"/>
    <cellStyle name="Comma 4 5 3 2" xfId="11459"/>
    <cellStyle name="Comma 4 5 3 2 2" xfId="20258"/>
    <cellStyle name="Comma 4 5 3 2 2 2" xfId="41301"/>
    <cellStyle name="Comma 4 5 3 2 2 3" xfId="34878"/>
    <cellStyle name="Comma 4 5 3 2 3" xfId="22457"/>
    <cellStyle name="Comma 4 5 3 2 3 2" xfId="38094"/>
    <cellStyle name="Comma 4 5 3 2 4" xfId="31671"/>
    <cellStyle name="Comma 4 5 3 2 5" xfId="43436"/>
    <cellStyle name="Comma 4 5 3 3" xfId="8720"/>
    <cellStyle name="Comma 4 5 3 3 2" xfId="19180"/>
    <cellStyle name="Comma 4 5 3 3 2 2" xfId="40223"/>
    <cellStyle name="Comma 4 5 3 3 2 3" xfId="33800"/>
    <cellStyle name="Comma 4 5 3 3 3" xfId="23670"/>
    <cellStyle name="Comma 4 5 3 3 3 2" xfId="37016"/>
    <cellStyle name="Comma 4 5 3 3 4" xfId="30593"/>
    <cellStyle name="Comma 4 5 3 3 5" xfId="44499"/>
    <cellStyle name="Comma 4 5 3 4" xfId="7607"/>
    <cellStyle name="Comma 4 5 3 4 2" xfId="18110"/>
    <cellStyle name="Comma 4 5 3 4 2 2" xfId="39159"/>
    <cellStyle name="Comma 4 5 3 4 3" xfId="32736"/>
    <cellStyle name="Comma 4 5 3 5" xfId="16459"/>
    <cellStyle name="Comma 4 5 3 5 2" xfId="35952"/>
    <cellStyle name="Comma 4 5 3 6" xfId="21346"/>
    <cellStyle name="Comma 4 5 3 7" xfId="29529"/>
    <cellStyle name="Comma 4 5 3 8" xfId="42365"/>
    <cellStyle name="Comma 4 5 4" xfId="4343"/>
    <cellStyle name="Comma 4 5 4 2" xfId="11460"/>
    <cellStyle name="Comma 4 5 4 2 2" xfId="20259"/>
    <cellStyle name="Comma 4 5 4 2 2 2" xfId="41302"/>
    <cellStyle name="Comma 4 5 4 2 2 3" xfId="34879"/>
    <cellStyle name="Comma 4 5 4 2 3" xfId="22458"/>
    <cellStyle name="Comma 4 5 4 2 3 2" xfId="38095"/>
    <cellStyle name="Comma 4 5 4 2 4" xfId="31672"/>
    <cellStyle name="Comma 4 5 4 2 5" xfId="43437"/>
    <cellStyle name="Comma 4 5 4 3" xfId="8721"/>
    <cellStyle name="Comma 4 5 4 3 2" xfId="19181"/>
    <cellStyle name="Comma 4 5 4 3 2 2" xfId="40224"/>
    <cellStyle name="Comma 4 5 4 3 2 3" xfId="33801"/>
    <cellStyle name="Comma 4 5 4 3 3" xfId="23671"/>
    <cellStyle name="Comma 4 5 4 3 3 2" xfId="37017"/>
    <cellStyle name="Comma 4 5 4 3 4" xfId="30594"/>
    <cellStyle name="Comma 4 5 4 3 5" xfId="44500"/>
    <cellStyle name="Comma 4 5 4 4" xfId="7608"/>
    <cellStyle name="Comma 4 5 4 4 2" xfId="18111"/>
    <cellStyle name="Comma 4 5 4 4 2 2" xfId="39160"/>
    <cellStyle name="Comma 4 5 4 4 3" xfId="32737"/>
    <cellStyle name="Comma 4 5 4 5" xfId="16647"/>
    <cellStyle name="Comma 4 5 4 5 2" xfId="35953"/>
    <cellStyle name="Comma 4 5 4 6" xfId="21347"/>
    <cellStyle name="Comma 4 5 4 7" xfId="29530"/>
    <cellStyle name="Comma 4 5 4 8" xfId="42366"/>
    <cellStyle name="Comma 4 5 5" xfId="5605"/>
    <cellStyle name="Comma 4 5 5 2" xfId="11461"/>
    <cellStyle name="Comma 4 5 5 2 2" xfId="20260"/>
    <cellStyle name="Comma 4 5 5 2 2 2" xfId="41303"/>
    <cellStyle name="Comma 4 5 5 2 2 3" xfId="34880"/>
    <cellStyle name="Comma 4 5 5 2 3" xfId="22459"/>
    <cellStyle name="Comma 4 5 5 2 3 2" xfId="38096"/>
    <cellStyle name="Comma 4 5 5 2 4" xfId="31673"/>
    <cellStyle name="Comma 4 5 5 2 5" xfId="43438"/>
    <cellStyle name="Comma 4 5 5 3" xfId="8722"/>
    <cellStyle name="Comma 4 5 5 3 2" xfId="19182"/>
    <cellStyle name="Comma 4 5 5 3 2 2" xfId="40225"/>
    <cellStyle name="Comma 4 5 5 3 2 3" xfId="33802"/>
    <cellStyle name="Comma 4 5 5 3 3" xfId="23672"/>
    <cellStyle name="Comma 4 5 5 3 3 2" xfId="37018"/>
    <cellStyle name="Comma 4 5 5 3 4" xfId="30595"/>
    <cellStyle name="Comma 4 5 5 3 5" xfId="44501"/>
    <cellStyle name="Comma 4 5 5 4" xfId="7609"/>
    <cellStyle name="Comma 4 5 5 4 2" xfId="18112"/>
    <cellStyle name="Comma 4 5 5 4 2 2" xfId="39161"/>
    <cellStyle name="Comma 4 5 5 4 3" xfId="32738"/>
    <cellStyle name="Comma 4 5 5 5" xfId="16935"/>
    <cellStyle name="Comma 4 5 5 5 2" xfId="35954"/>
    <cellStyle name="Comma 4 5 5 6" xfId="21348"/>
    <cellStyle name="Comma 4 5 5 7" xfId="29531"/>
    <cellStyle name="Comma 4 5 5 8" xfId="42367"/>
    <cellStyle name="Comma 4 5 6" xfId="11457"/>
    <cellStyle name="Comma 4 5 6 2" xfId="20256"/>
    <cellStyle name="Comma 4 5 6 2 2" xfId="41299"/>
    <cellStyle name="Comma 4 5 6 2 3" xfId="34876"/>
    <cellStyle name="Comma 4 5 6 3" xfId="22455"/>
    <cellStyle name="Comma 4 5 6 3 2" xfId="38092"/>
    <cellStyle name="Comma 4 5 6 4" xfId="31669"/>
    <cellStyle name="Comma 4 5 6 5" xfId="43434"/>
    <cellStyle name="Comma 4 5 7" xfId="8718"/>
    <cellStyle name="Comma 4 5 7 2" xfId="19178"/>
    <cellStyle name="Comma 4 5 7 2 2" xfId="40221"/>
    <cellStyle name="Comma 4 5 7 2 3" xfId="33798"/>
    <cellStyle name="Comma 4 5 7 3" xfId="23668"/>
    <cellStyle name="Comma 4 5 7 3 2" xfId="37014"/>
    <cellStyle name="Comma 4 5 7 4" xfId="30591"/>
    <cellStyle name="Comma 4 5 7 5" xfId="44497"/>
    <cellStyle name="Comma 4 5 8" xfId="7605"/>
    <cellStyle name="Comma 4 5 8 2" xfId="18108"/>
    <cellStyle name="Comma 4 5 8 2 2" xfId="39157"/>
    <cellStyle name="Comma 4 5 8 3" xfId="32734"/>
    <cellStyle name="Comma 4 5 9" xfId="16078"/>
    <cellStyle name="Comma 4 5 9 2" xfId="35950"/>
    <cellStyle name="Comma 4 6" xfId="1995"/>
    <cellStyle name="Comma 4 6 10" xfId="21349"/>
    <cellStyle name="Comma 4 6 11" xfId="29532"/>
    <cellStyle name="Comma 4 6 12" xfId="42368"/>
    <cellStyle name="Comma 4 6 2" xfId="2865"/>
    <cellStyle name="Comma 4 6 2 2" xfId="11463"/>
    <cellStyle name="Comma 4 6 2 2 2" xfId="20262"/>
    <cellStyle name="Comma 4 6 2 2 2 2" xfId="41305"/>
    <cellStyle name="Comma 4 6 2 2 2 3" xfId="34882"/>
    <cellStyle name="Comma 4 6 2 2 3" xfId="22461"/>
    <cellStyle name="Comma 4 6 2 2 3 2" xfId="38098"/>
    <cellStyle name="Comma 4 6 2 2 4" xfId="31675"/>
    <cellStyle name="Comma 4 6 2 2 5" xfId="43440"/>
    <cellStyle name="Comma 4 6 2 3" xfId="8724"/>
    <cellStyle name="Comma 4 6 2 3 2" xfId="19184"/>
    <cellStyle name="Comma 4 6 2 3 2 2" xfId="40227"/>
    <cellStyle name="Comma 4 6 2 3 2 3" xfId="33804"/>
    <cellStyle name="Comma 4 6 2 3 3" xfId="23674"/>
    <cellStyle name="Comma 4 6 2 3 3 2" xfId="37020"/>
    <cellStyle name="Comma 4 6 2 3 4" xfId="30597"/>
    <cellStyle name="Comma 4 6 2 3 5" xfId="44503"/>
    <cellStyle name="Comma 4 6 2 4" xfId="7611"/>
    <cellStyle name="Comma 4 6 2 4 2" xfId="18114"/>
    <cellStyle name="Comma 4 6 2 4 2 2" xfId="39163"/>
    <cellStyle name="Comma 4 6 2 4 3" xfId="32740"/>
    <cellStyle name="Comma 4 6 2 5" xfId="16326"/>
    <cellStyle name="Comma 4 6 2 5 2" xfId="35956"/>
    <cellStyle name="Comma 4 6 2 6" xfId="21350"/>
    <cellStyle name="Comma 4 6 2 7" xfId="29533"/>
    <cellStyle name="Comma 4 6 2 8" xfId="42369"/>
    <cellStyle name="Comma 4 6 3" xfId="3730"/>
    <cellStyle name="Comma 4 6 3 2" xfId="11464"/>
    <cellStyle name="Comma 4 6 3 2 2" xfId="20263"/>
    <cellStyle name="Comma 4 6 3 2 2 2" xfId="41306"/>
    <cellStyle name="Comma 4 6 3 2 2 3" xfId="34883"/>
    <cellStyle name="Comma 4 6 3 2 3" xfId="22462"/>
    <cellStyle name="Comma 4 6 3 2 3 2" xfId="38099"/>
    <cellStyle name="Comma 4 6 3 2 4" xfId="31676"/>
    <cellStyle name="Comma 4 6 3 2 5" xfId="43441"/>
    <cellStyle name="Comma 4 6 3 3" xfId="8725"/>
    <cellStyle name="Comma 4 6 3 3 2" xfId="19185"/>
    <cellStyle name="Comma 4 6 3 3 2 2" xfId="40228"/>
    <cellStyle name="Comma 4 6 3 3 2 3" xfId="33805"/>
    <cellStyle name="Comma 4 6 3 3 3" xfId="23675"/>
    <cellStyle name="Comma 4 6 3 3 3 2" xfId="37021"/>
    <cellStyle name="Comma 4 6 3 3 4" xfId="30598"/>
    <cellStyle name="Comma 4 6 3 3 5" xfId="44504"/>
    <cellStyle name="Comma 4 6 3 4" xfId="7612"/>
    <cellStyle name="Comma 4 6 3 4 2" xfId="18115"/>
    <cellStyle name="Comma 4 6 3 4 2 2" xfId="39164"/>
    <cellStyle name="Comma 4 6 3 4 3" xfId="32741"/>
    <cellStyle name="Comma 4 6 3 5" xfId="16514"/>
    <cellStyle name="Comma 4 6 3 5 2" xfId="35957"/>
    <cellStyle name="Comma 4 6 3 6" xfId="21351"/>
    <cellStyle name="Comma 4 6 3 7" xfId="29534"/>
    <cellStyle name="Comma 4 6 3 8" xfId="42370"/>
    <cellStyle name="Comma 4 6 4" xfId="4606"/>
    <cellStyle name="Comma 4 6 4 2" xfId="11465"/>
    <cellStyle name="Comma 4 6 4 2 2" xfId="20264"/>
    <cellStyle name="Comma 4 6 4 2 2 2" xfId="41307"/>
    <cellStyle name="Comma 4 6 4 2 2 3" xfId="34884"/>
    <cellStyle name="Comma 4 6 4 2 3" xfId="22463"/>
    <cellStyle name="Comma 4 6 4 2 3 2" xfId="38100"/>
    <cellStyle name="Comma 4 6 4 2 4" xfId="31677"/>
    <cellStyle name="Comma 4 6 4 2 5" xfId="43442"/>
    <cellStyle name="Comma 4 6 4 3" xfId="8726"/>
    <cellStyle name="Comma 4 6 4 3 2" xfId="19186"/>
    <cellStyle name="Comma 4 6 4 3 2 2" xfId="40229"/>
    <cellStyle name="Comma 4 6 4 3 2 3" xfId="33806"/>
    <cellStyle name="Comma 4 6 4 3 3" xfId="23676"/>
    <cellStyle name="Comma 4 6 4 3 3 2" xfId="37022"/>
    <cellStyle name="Comma 4 6 4 3 4" xfId="30599"/>
    <cellStyle name="Comma 4 6 4 3 5" xfId="44505"/>
    <cellStyle name="Comma 4 6 4 4" xfId="7613"/>
    <cellStyle name="Comma 4 6 4 4 2" xfId="18116"/>
    <cellStyle name="Comma 4 6 4 4 2 2" xfId="39165"/>
    <cellStyle name="Comma 4 6 4 4 3" xfId="32742"/>
    <cellStyle name="Comma 4 6 4 5" xfId="16702"/>
    <cellStyle name="Comma 4 6 4 5 2" xfId="35958"/>
    <cellStyle name="Comma 4 6 4 6" xfId="21352"/>
    <cellStyle name="Comma 4 6 4 7" xfId="29535"/>
    <cellStyle name="Comma 4 6 4 8" xfId="42371"/>
    <cellStyle name="Comma 4 6 5" xfId="5871"/>
    <cellStyle name="Comma 4 6 5 2" xfId="11466"/>
    <cellStyle name="Comma 4 6 5 2 2" xfId="20265"/>
    <cellStyle name="Comma 4 6 5 2 2 2" xfId="41308"/>
    <cellStyle name="Comma 4 6 5 2 2 3" xfId="34885"/>
    <cellStyle name="Comma 4 6 5 2 3" xfId="22464"/>
    <cellStyle name="Comma 4 6 5 2 3 2" xfId="38101"/>
    <cellStyle name="Comma 4 6 5 2 4" xfId="31678"/>
    <cellStyle name="Comma 4 6 5 2 5" xfId="43443"/>
    <cellStyle name="Comma 4 6 5 3" xfId="8727"/>
    <cellStyle name="Comma 4 6 5 3 2" xfId="19187"/>
    <cellStyle name="Comma 4 6 5 3 2 2" xfId="40230"/>
    <cellStyle name="Comma 4 6 5 3 2 3" xfId="33807"/>
    <cellStyle name="Comma 4 6 5 3 3" xfId="23677"/>
    <cellStyle name="Comma 4 6 5 3 3 2" xfId="37023"/>
    <cellStyle name="Comma 4 6 5 3 4" xfId="30600"/>
    <cellStyle name="Comma 4 6 5 3 5" xfId="44506"/>
    <cellStyle name="Comma 4 6 5 4" xfId="7614"/>
    <cellStyle name="Comma 4 6 5 4 2" xfId="18117"/>
    <cellStyle name="Comma 4 6 5 4 2 2" xfId="39166"/>
    <cellStyle name="Comma 4 6 5 4 3" xfId="32743"/>
    <cellStyle name="Comma 4 6 5 5" xfId="16990"/>
    <cellStyle name="Comma 4 6 5 5 2" xfId="35959"/>
    <cellStyle name="Comma 4 6 5 6" xfId="21353"/>
    <cellStyle name="Comma 4 6 5 7" xfId="29536"/>
    <cellStyle name="Comma 4 6 5 8" xfId="42372"/>
    <cellStyle name="Comma 4 6 6" xfId="11462"/>
    <cellStyle name="Comma 4 6 6 2" xfId="20261"/>
    <cellStyle name="Comma 4 6 6 2 2" xfId="41304"/>
    <cellStyle name="Comma 4 6 6 2 3" xfId="34881"/>
    <cellStyle name="Comma 4 6 6 3" xfId="22460"/>
    <cellStyle name="Comma 4 6 6 3 2" xfId="38097"/>
    <cellStyle name="Comma 4 6 6 4" xfId="31674"/>
    <cellStyle name="Comma 4 6 6 5" xfId="43439"/>
    <cellStyle name="Comma 4 6 7" xfId="8723"/>
    <cellStyle name="Comma 4 6 7 2" xfId="19183"/>
    <cellStyle name="Comma 4 6 7 2 2" xfId="40226"/>
    <cellStyle name="Comma 4 6 7 2 3" xfId="33803"/>
    <cellStyle name="Comma 4 6 7 3" xfId="23673"/>
    <cellStyle name="Comma 4 6 7 3 2" xfId="37019"/>
    <cellStyle name="Comma 4 6 7 4" xfId="30596"/>
    <cellStyle name="Comma 4 6 7 5" xfId="44502"/>
    <cellStyle name="Comma 4 6 8" xfId="7610"/>
    <cellStyle name="Comma 4 6 8 2" xfId="18113"/>
    <cellStyle name="Comma 4 6 8 2 2" xfId="39162"/>
    <cellStyle name="Comma 4 6 8 3" xfId="32739"/>
    <cellStyle name="Comma 4 6 9" xfId="16137"/>
    <cellStyle name="Comma 4 6 9 2" xfId="35955"/>
    <cellStyle name="Comma 4 7" xfId="10112"/>
    <cellStyle name="Comma 4 7 2" xfId="19236"/>
    <cellStyle name="Comma 4 7 2 2" xfId="40279"/>
    <cellStyle name="Comma 4 7 2 3" xfId="33856"/>
    <cellStyle name="Comma 4 7 3" xfId="21436"/>
    <cellStyle name="Comma 4 7 3 2" xfId="37072"/>
    <cellStyle name="Comma 4 7 4" xfId="30649"/>
    <cellStyle name="Comma 4 7 5" xfId="42415"/>
    <cellStyle name="Comma 4 8" xfId="7704"/>
    <cellStyle name="Comma 4 8 2" xfId="18165"/>
    <cellStyle name="Comma 4 8 2 2" xfId="39208"/>
    <cellStyle name="Comma 4 8 2 3" xfId="32785"/>
    <cellStyle name="Comma 4 8 3" xfId="22645"/>
    <cellStyle name="Comma 4 8 3 2" xfId="36001"/>
    <cellStyle name="Comma 4 8 4" xfId="29578"/>
    <cellStyle name="Comma 4 8 5" xfId="43487"/>
    <cellStyle name="Comma 4 9" xfId="6561"/>
    <cellStyle name="Comma 4 9 2" xfId="17089"/>
    <cellStyle name="Comma 4 9 2 2" xfId="38144"/>
    <cellStyle name="Comma 4 9 3" xfId="31721"/>
    <cellStyle name="Comma 4_Data - Monthly Commodity Prices" xfId="7676"/>
    <cellStyle name="Comma 5" xfId="1213"/>
    <cellStyle name="Comma 5 2" xfId="1446"/>
    <cellStyle name="Comma 5 2 10" xfId="7615"/>
    <cellStyle name="Comma 5 2 10 2" xfId="18118"/>
    <cellStyle name="Comma 5 2 10 2 2" xfId="39167"/>
    <cellStyle name="Comma 5 2 10 3" xfId="32744"/>
    <cellStyle name="Comma 5 2 11" xfId="16022"/>
    <cellStyle name="Comma 5 2 11 2" xfId="35960"/>
    <cellStyle name="Comma 5 2 12" xfId="21354"/>
    <cellStyle name="Comma 5 2 13" xfId="29537"/>
    <cellStyle name="Comma 5 2 14" xfId="42373"/>
    <cellStyle name="Comma 5 2 2" xfId="1667"/>
    <cellStyle name="Comma 5 2 2 10" xfId="21355"/>
    <cellStyle name="Comma 5 2 2 11" xfId="29538"/>
    <cellStyle name="Comma 5 2 2 12" xfId="42374"/>
    <cellStyle name="Comma 5 2 2 2" xfId="2611"/>
    <cellStyle name="Comma 5 2 2 2 2" xfId="11469"/>
    <cellStyle name="Comma 5 2 2 2 2 2" xfId="20268"/>
    <cellStyle name="Comma 5 2 2 2 2 2 2" xfId="41311"/>
    <cellStyle name="Comma 5 2 2 2 2 2 3" xfId="34888"/>
    <cellStyle name="Comma 5 2 2 2 2 3" xfId="22467"/>
    <cellStyle name="Comma 5 2 2 2 2 3 2" xfId="38104"/>
    <cellStyle name="Comma 5 2 2 2 2 4" xfId="31681"/>
    <cellStyle name="Comma 5 2 2 2 2 5" xfId="43446"/>
    <cellStyle name="Comma 5 2 2 2 3" xfId="8730"/>
    <cellStyle name="Comma 5 2 2 2 3 2" xfId="19190"/>
    <cellStyle name="Comma 5 2 2 2 3 2 2" xfId="40233"/>
    <cellStyle name="Comma 5 2 2 2 3 2 3" xfId="33810"/>
    <cellStyle name="Comma 5 2 2 2 3 3" xfId="23680"/>
    <cellStyle name="Comma 5 2 2 2 3 3 2" xfId="37026"/>
    <cellStyle name="Comma 5 2 2 2 3 4" xfId="30603"/>
    <cellStyle name="Comma 5 2 2 2 3 5" xfId="44509"/>
    <cellStyle name="Comma 5 2 2 2 4" xfId="7617"/>
    <cellStyle name="Comma 5 2 2 2 4 2" xfId="18120"/>
    <cellStyle name="Comma 5 2 2 2 4 2 2" xfId="39169"/>
    <cellStyle name="Comma 5 2 2 2 4 3" xfId="32746"/>
    <cellStyle name="Comma 5 2 2 2 5" xfId="16272"/>
    <cellStyle name="Comma 5 2 2 2 5 2" xfId="35962"/>
    <cellStyle name="Comma 5 2 2 2 6" xfId="21356"/>
    <cellStyle name="Comma 5 2 2 2 7" xfId="29539"/>
    <cellStyle name="Comma 5 2 2 2 8" xfId="42375"/>
    <cellStyle name="Comma 5 2 2 3" xfId="3474"/>
    <cellStyle name="Comma 5 2 2 3 2" xfId="11470"/>
    <cellStyle name="Comma 5 2 2 3 2 2" xfId="20269"/>
    <cellStyle name="Comma 5 2 2 3 2 2 2" xfId="41312"/>
    <cellStyle name="Comma 5 2 2 3 2 2 3" xfId="34889"/>
    <cellStyle name="Comma 5 2 2 3 2 3" xfId="22468"/>
    <cellStyle name="Comma 5 2 2 3 2 3 2" xfId="38105"/>
    <cellStyle name="Comma 5 2 2 3 2 4" xfId="31682"/>
    <cellStyle name="Comma 5 2 2 3 2 5" xfId="43447"/>
    <cellStyle name="Comma 5 2 2 3 3" xfId="8731"/>
    <cellStyle name="Comma 5 2 2 3 3 2" xfId="19191"/>
    <cellStyle name="Comma 5 2 2 3 3 2 2" xfId="40234"/>
    <cellStyle name="Comma 5 2 2 3 3 2 3" xfId="33811"/>
    <cellStyle name="Comma 5 2 2 3 3 3" xfId="23681"/>
    <cellStyle name="Comma 5 2 2 3 3 3 2" xfId="37027"/>
    <cellStyle name="Comma 5 2 2 3 3 4" xfId="30604"/>
    <cellStyle name="Comma 5 2 2 3 3 5" xfId="44510"/>
    <cellStyle name="Comma 5 2 2 3 4" xfId="7618"/>
    <cellStyle name="Comma 5 2 2 3 4 2" xfId="18121"/>
    <cellStyle name="Comma 5 2 2 3 4 2 2" xfId="39170"/>
    <cellStyle name="Comma 5 2 2 3 4 3" xfId="32747"/>
    <cellStyle name="Comma 5 2 2 3 5" xfId="16460"/>
    <cellStyle name="Comma 5 2 2 3 5 2" xfId="35963"/>
    <cellStyle name="Comma 5 2 2 3 6" xfId="21357"/>
    <cellStyle name="Comma 5 2 2 3 7" xfId="29540"/>
    <cellStyle name="Comma 5 2 2 3 8" xfId="42376"/>
    <cellStyle name="Comma 5 2 2 4" xfId="4345"/>
    <cellStyle name="Comma 5 2 2 4 2" xfId="11471"/>
    <cellStyle name="Comma 5 2 2 4 2 2" xfId="20270"/>
    <cellStyle name="Comma 5 2 2 4 2 2 2" xfId="41313"/>
    <cellStyle name="Comma 5 2 2 4 2 2 3" xfId="34890"/>
    <cellStyle name="Comma 5 2 2 4 2 3" xfId="22469"/>
    <cellStyle name="Comma 5 2 2 4 2 3 2" xfId="38106"/>
    <cellStyle name="Comma 5 2 2 4 2 4" xfId="31683"/>
    <cellStyle name="Comma 5 2 2 4 2 5" xfId="43448"/>
    <cellStyle name="Comma 5 2 2 4 3" xfId="8732"/>
    <cellStyle name="Comma 5 2 2 4 3 2" xfId="19192"/>
    <cellStyle name="Comma 5 2 2 4 3 2 2" xfId="40235"/>
    <cellStyle name="Comma 5 2 2 4 3 2 3" xfId="33812"/>
    <cellStyle name="Comma 5 2 2 4 3 3" xfId="23682"/>
    <cellStyle name="Comma 5 2 2 4 3 3 2" xfId="37028"/>
    <cellStyle name="Comma 5 2 2 4 3 4" xfId="30605"/>
    <cellStyle name="Comma 5 2 2 4 3 5" xfId="44511"/>
    <cellStyle name="Comma 5 2 2 4 4" xfId="7619"/>
    <cellStyle name="Comma 5 2 2 4 4 2" xfId="18122"/>
    <cellStyle name="Comma 5 2 2 4 4 2 2" xfId="39171"/>
    <cellStyle name="Comma 5 2 2 4 4 3" xfId="32748"/>
    <cellStyle name="Comma 5 2 2 4 5" xfId="16648"/>
    <cellStyle name="Comma 5 2 2 4 5 2" xfId="35964"/>
    <cellStyle name="Comma 5 2 2 4 6" xfId="21358"/>
    <cellStyle name="Comma 5 2 2 4 7" xfId="29541"/>
    <cellStyle name="Comma 5 2 2 4 8" xfId="42377"/>
    <cellStyle name="Comma 5 2 2 5" xfId="5607"/>
    <cellStyle name="Comma 5 2 2 5 2" xfId="11472"/>
    <cellStyle name="Comma 5 2 2 5 2 2" xfId="20271"/>
    <cellStyle name="Comma 5 2 2 5 2 2 2" xfId="41314"/>
    <cellStyle name="Comma 5 2 2 5 2 2 3" xfId="34891"/>
    <cellStyle name="Comma 5 2 2 5 2 3" xfId="22470"/>
    <cellStyle name="Comma 5 2 2 5 2 3 2" xfId="38107"/>
    <cellStyle name="Comma 5 2 2 5 2 4" xfId="31684"/>
    <cellStyle name="Comma 5 2 2 5 2 5" xfId="43449"/>
    <cellStyle name="Comma 5 2 2 5 3" xfId="8733"/>
    <cellStyle name="Comma 5 2 2 5 3 2" xfId="19193"/>
    <cellStyle name="Comma 5 2 2 5 3 2 2" xfId="40236"/>
    <cellStyle name="Comma 5 2 2 5 3 2 3" xfId="33813"/>
    <cellStyle name="Comma 5 2 2 5 3 3" xfId="23683"/>
    <cellStyle name="Comma 5 2 2 5 3 3 2" xfId="37029"/>
    <cellStyle name="Comma 5 2 2 5 3 4" xfId="30606"/>
    <cellStyle name="Comma 5 2 2 5 3 5" xfId="44512"/>
    <cellStyle name="Comma 5 2 2 5 4" xfId="7620"/>
    <cellStyle name="Comma 5 2 2 5 4 2" xfId="18123"/>
    <cellStyle name="Comma 5 2 2 5 4 2 2" xfId="39172"/>
    <cellStyle name="Comma 5 2 2 5 4 3" xfId="32749"/>
    <cellStyle name="Comma 5 2 2 5 5" xfId="16936"/>
    <cellStyle name="Comma 5 2 2 5 5 2" xfId="35965"/>
    <cellStyle name="Comma 5 2 2 5 6" xfId="21359"/>
    <cellStyle name="Comma 5 2 2 5 7" xfId="29542"/>
    <cellStyle name="Comma 5 2 2 5 8" xfId="42378"/>
    <cellStyle name="Comma 5 2 2 6" xfId="11468"/>
    <cellStyle name="Comma 5 2 2 6 2" xfId="20267"/>
    <cellStyle name="Comma 5 2 2 6 2 2" xfId="41310"/>
    <cellStyle name="Comma 5 2 2 6 2 3" xfId="34887"/>
    <cellStyle name="Comma 5 2 2 6 3" xfId="22466"/>
    <cellStyle name="Comma 5 2 2 6 3 2" xfId="38103"/>
    <cellStyle name="Comma 5 2 2 6 4" xfId="31680"/>
    <cellStyle name="Comma 5 2 2 6 5" xfId="43445"/>
    <cellStyle name="Comma 5 2 2 7" xfId="8729"/>
    <cellStyle name="Comma 5 2 2 7 2" xfId="19189"/>
    <cellStyle name="Comma 5 2 2 7 2 2" xfId="40232"/>
    <cellStyle name="Comma 5 2 2 7 2 3" xfId="33809"/>
    <cellStyle name="Comma 5 2 2 7 3" xfId="23679"/>
    <cellStyle name="Comma 5 2 2 7 3 2" xfId="37025"/>
    <cellStyle name="Comma 5 2 2 7 4" xfId="30602"/>
    <cellStyle name="Comma 5 2 2 7 5" xfId="44508"/>
    <cellStyle name="Comma 5 2 2 8" xfId="7616"/>
    <cellStyle name="Comma 5 2 2 8 2" xfId="18119"/>
    <cellStyle name="Comma 5 2 2 8 2 2" xfId="39168"/>
    <cellStyle name="Comma 5 2 2 8 3" xfId="32745"/>
    <cellStyle name="Comma 5 2 2 9" xfId="16079"/>
    <cellStyle name="Comma 5 2 2 9 2" xfId="35961"/>
    <cellStyle name="Comma 5 2 3" xfId="1996"/>
    <cellStyle name="Comma 5 2 3 10" xfId="21360"/>
    <cellStyle name="Comma 5 2 3 11" xfId="29543"/>
    <cellStyle name="Comma 5 2 3 12" xfId="42379"/>
    <cellStyle name="Comma 5 2 3 2" xfId="2866"/>
    <cellStyle name="Comma 5 2 3 2 2" xfId="11474"/>
    <cellStyle name="Comma 5 2 3 2 2 2" xfId="20273"/>
    <cellStyle name="Comma 5 2 3 2 2 2 2" xfId="41316"/>
    <cellStyle name="Comma 5 2 3 2 2 2 3" xfId="34893"/>
    <cellStyle name="Comma 5 2 3 2 2 3" xfId="22472"/>
    <cellStyle name="Comma 5 2 3 2 2 3 2" xfId="38109"/>
    <cellStyle name="Comma 5 2 3 2 2 4" xfId="31686"/>
    <cellStyle name="Comma 5 2 3 2 2 5" xfId="43451"/>
    <cellStyle name="Comma 5 2 3 2 3" xfId="8735"/>
    <cellStyle name="Comma 5 2 3 2 3 2" xfId="19195"/>
    <cellStyle name="Comma 5 2 3 2 3 2 2" xfId="40238"/>
    <cellStyle name="Comma 5 2 3 2 3 2 3" xfId="33815"/>
    <cellStyle name="Comma 5 2 3 2 3 3" xfId="23685"/>
    <cellStyle name="Comma 5 2 3 2 3 3 2" xfId="37031"/>
    <cellStyle name="Comma 5 2 3 2 3 4" xfId="30608"/>
    <cellStyle name="Comma 5 2 3 2 3 5" xfId="44514"/>
    <cellStyle name="Comma 5 2 3 2 4" xfId="7622"/>
    <cellStyle name="Comma 5 2 3 2 4 2" xfId="18125"/>
    <cellStyle name="Comma 5 2 3 2 4 2 2" xfId="39174"/>
    <cellStyle name="Comma 5 2 3 2 4 3" xfId="32751"/>
    <cellStyle name="Comma 5 2 3 2 5" xfId="16327"/>
    <cellStyle name="Comma 5 2 3 2 5 2" xfId="35967"/>
    <cellStyle name="Comma 5 2 3 2 6" xfId="21361"/>
    <cellStyle name="Comma 5 2 3 2 7" xfId="29544"/>
    <cellStyle name="Comma 5 2 3 2 8" xfId="42380"/>
    <cellStyle name="Comma 5 2 3 3" xfId="3732"/>
    <cellStyle name="Comma 5 2 3 3 2" xfId="11475"/>
    <cellStyle name="Comma 5 2 3 3 2 2" xfId="20274"/>
    <cellStyle name="Comma 5 2 3 3 2 2 2" xfId="41317"/>
    <cellStyle name="Comma 5 2 3 3 2 2 3" xfId="34894"/>
    <cellStyle name="Comma 5 2 3 3 2 3" xfId="22473"/>
    <cellStyle name="Comma 5 2 3 3 2 3 2" xfId="38110"/>
    <cellStyle name="Comma 5 2 3 3 2 4" xfId="31687"/>
    <cellStyle name="Comma 5 2 3 3 2 5" xfId="43452"/>
    <cellStyle name="Comma 5 2 3 3 3" xfId="8736"/>
    <cellStyle name="Comma 5 2 3 3 3 2" xfId="19196"/>
    <cellStyle name="Comma 5 2 3 3 3 2 2" xfId="40239"/>
    <cellStyle name="Comma 5 2 3 3 3 2 3" xfId="33816"/>
    <cellStyle name="Comma 5 2 3 3 3 3" xfId="23686"/>
    <cellStyle name="Comma 5 2 3 3 3 3 2" xfId="37032"/>
    <cellStyle name="Comma 5 2 3 3 3 4" xfId="30609"/>
    <cellStyle name="Comma 5 2 3 3 3 5" xfId="44515"/>
    <cellStyle name="Comma 5 2 3 3 4" xfId="7623"/>
    <cellStyle name="Comma 5 2 3 3 4 2" xfId="18126"/>
    <cellStyle name="Comma 5 2 3 3 4 2 2" xfId="39175"/>
    <cellStyle name="Comma 5 2 3 3 4 3" xfId="32752"/>
    <cellStyle name="Comma 5 2 3 3 5" xfId="16515"/>
    <cellStyle name="Comma 5 2 3 3 5 2" xfId="35968"/>
    <cellStyle name="Comma 5 2 3 3 6" xfId="21362"/>
    <cellStyle name="Comma 5 2 3 3 7" xfId="29545"/>
    <cellStyle name="Comma 5 2 3 3 8" xfId="42381"/>
    <cellStyle name="Comma 5 2 3 4" xfId="4608"/>
    <cellStyle name="Comma 5 2 3 4 2" xfId="11476"/>
    <cellStyle name="Comma 5 2 3 4 2 2" xfId="20275"/>
    <cellStyle name="Comma 5 2 3 4 2 2 2" xfId="41318"/>
    <cellStyle name="Comma 5 2 3 4 2 2 3" xfId="34895"/>
    <cellStyle name="Comma 5 2 3 4 2 3" xfId="22474"/>
    <cellStyle name="Comma 5 2 3 4 2 3 2" xfId="38111"/>
    <cellStyle name="Comma 5 2 3 4 2 4" xfId="31688"/>
    <cellStyle name="Comma 5 2 3 4 2 5" xfId="43453"/>
    <cellStyle name="Comma 5 2 3 4 3" xfId="8737"/>
    <cellStyle name="Comma 5 2 3 4 3 2" xfId="19197"/>
    <cellStyle name="Comma 5 2 3 4 3 2 2" xfId="40240"/>
    <cellStyle name="Comma 5 2 3 4 3 2 3" xfId="33817"/>
    <cellStyle name="Comma 5 2 3 4 3 3" xfId="23687"/>
    <cellStyle name="Comma 5 2 3 4 3 3 2" xfId="37033"/>
    <cellStyle name="Comma 5 2 3 4 3 4" xfId="30610"/>
    <cellStyle name="Comma 5 2 3 4 3 5" xfId="44516"/>
    <cellStyle name="Comma 5 2 3 4 4" xfId="7624"/>
    <cellStyle name="Comma 5 2 3 4 4 2" xfId="18127"/>
    <cellStyle name="Comma 5 2 3 4 4 2 2" xfId="39176"/>
    <cellStyle name="Comma 5 2 3 4 4 3" xfId="32753"/>
    <cellStyle name="Comma 5 2 3 4 5" xfId="16703"/>
    <cellStyle name="Comma 5 2 3 4 5 2" xfId="35969"/>
    <cellStyle name="Comma 5 2 3 4 6" xfId="21363"/>
    <cellStyle name="Comma 5 2 3 4 7" xfId="29546"/>
    <cellStyle name="Comma 5 2 3 4 8" xfId="42382"/>
    <cellStyle name="Comma 5 2 3 5" xfId="5873"/>
    <cellStyle name="Comma 5 2 3 5 2" xfId="11477"/>
    <cellStyle name="Comma 5 2 3 5 2 2" xfId="20276"/>
    <cellStyle name="Comma 5 2 3 5 2 2 2" xfId="41319"/>
    <cellStyle name="Comma 5 2 3 5 2 2 3" xfId="34896"/>
    <cellStyle name="Comma 5 2 3 5 2 3" xfId="22475"/>
    <cellStyle name="Comma 5 2 3 5 2 3 2" xfId="38112"/>
    <cellStyle name="Comma 5 2 3 5 2 4" xfId="31689"/>
    <cellStyle name="Comma 5 2 3 5 2 5" xfId="43454"/>
    <cellStyle name="Comma 5 2 3 5 3" xfId="8738"/>
    <cellStyle name="Comma 5 2 3 5 3 2" xfId="19198"/>
    <cellStyle name="Comma 5 2 3 5 3 2 2" xfId="40241"/>
    <cellStyle name="Comma 5 2 3 5 3 2 3" xfId="33818"/>
    <cellStyle name="Comma 5 2 3 5 3 3" xfId="23688"/>
    <cellStyle name="Comma 5 2 3 5 3 3 2" xfId="37034"/>
    <cellStyle name="Comma 5 2 3 5 3 4" xfId="30611"/>
    <cellStyle name="Comma 5 2 3 5 3 5" xfId="44517"/>
    <cellStyle name="Comma 5 2 3 5 4" xfId="7625"/>
    <cellStyle name="Comma 5 2 3 5 4 2" xfId="18128"/>
    <cellStyle name="Comma 5 2 3 5 4 2 2" xfId="39177"/>
    <cellStyle name="Comma 5 2 3 5 4 3" xfId="32754"/>
    <cellStyle name="Comma 5 2 3 5 5" xfId="16991"/>
    <cellStyle name="Comma 5 2 3 5 5 2" xfId="35970"/>
    <cellStyle name="Comma 5 2 3 5 6" xfId="21364"/>
    <cellStyle name="Comma 5 2 3 5 7" xfId="29547"/>
    <cellStyle name="Comma 5 2 3 5 8" xfId="42383"/>
    <cellStyle name="Comma 5 2 3 6" xfId="11473"/>
    <cellStyle name="Comma 5 2 3 6 2" xfId="20272"/>
    <cellStyle name="Comma 5 2 3 6 2 2" xfId="41315"/>
    <cellStyle name="Comma 5 2 3 6 2 3" xfId="34892"/>
    <cellStyle name="Comma 5 2 3 6 3" xfId="22471"/>
    <cellStyle name="Comma 5 2 3 6 3 2" xfId="38108"/>
    <cellStyle name="Comma 5 2 3 6 4" xfId="31685"/>
    <cellStyle name="Comma 5 2 3 6 5" xfId="43450"/>
    <cellStyle name="Comma 5 2 3 7" xfId="8734"/>
    <cellStyle name="Comma 5 2 3 7 2" xfId="19194"/>
    <cellStyle name="Comma 5 2 3 7 2 2" xfId="40237"/>
    <cellStyle name="Comma 5 2 3 7 2 3" xfId="33814"/>
    <cellStyle name="Comma 5 2 3 7 3" xfId="23684"/>
    <cellStyle name="Comma 5 2 3 7 3 2" xfId="37030"/>
    <cellStyle name="Comma 5 2 3 7 4" xfId="30607"/>
    <cellStyle name="Comma 5 2 3 7 5" xfId="44513"/>
    <cellStyle name="Comma 5 2 3 8" xfId="7621"/>
    <cellStyle name="Comma 5 2 3 8 2" xfId="18124"/>
    <cellStyle name="Comma 5 2 3 8 2 2" xfId="39173"/>
    <cellStyle name="Comma 5 2 3 8 3" xfId="32750"/>
    <cellStyle name="Comma 5 2 3 9" xfId="16138"/>
    <cellStyle name="Comma 5 2 3 9 2" xfId="35966"/>
    <cellStyle name="Comma 5 2 4" xfId="2444"/>
    <cellStyle name="Comma 5 2 4 2" xfId="11478"/>
    <cellStyle name="Comma 5 2 4 2 2" xfId="20277"/>
    <cellStyle name="Comma 5 2 4 2 2 2" xfId="41320"/>
    <cellStyle name="Comma 5 2 4 2 2 3" xfId="34897"/>
    <cellStyle name="Comma 5 2 4 2 3" xfId="22476"/>
    <cellStyle name="Comma 5 2 4 2 3 2" xfId="38113"/>
    <cellStyle name="Comma 5 2 4 2 4" xfId="31690"/>
    <cellStyle name="Comma 5 2 4 2 5" xfId="43455"/>
    <cellStyle name="Comma 5 2 4 3" xfId="8739"/>
    <cellStyle name="Comma 5 2 4 3 2" xfId="19199"/>
    <cellStyle name="Comma 5 2 4 3 2 2" xfId="40242"/>
    <cellStyle name="Comma 5 2 4 3 2 3" xfId="33819"/>
    <cellStyle name="Comma 5 2 4 3 3" xfId="23689"/>
    <cellStyle name="Comma 5 2 4 3 3 2" xfId="37035"/>
    <cellStyle name="Comma 5 2 4 3 4" xfId="30612"/>
    <cellStyle name="Comma 5 2 4 3 5" xfId="44518"/>
    <cellStyle name="Comma 5 2 4 4" xfId="7626"/>
    <cellStyle name="Comma 5 2 4 4 2" xfId="18129"/>
    <cellStyle name="Comma 5 2 4 4 2 2" xfId="39178"/>
    <cellStyle name="Comma 5 2 4 4 3" xfId="32755"/>
    <cellStyle name="Comma 5 2 4 5" xfId="16221"/>
    <cellStyle name="Comma 5 2 4 5 2" xfId="35971"/>
    <cellStyle name="Comma 5 2 4 6" xfId="21365"/>
    <cellStyle name="Comma 5 2 4 7" xfId="29548"/>
    <cellStyle name="Comma 5 2 4 8" xfId="42384"/>
    <cellStyle name="Comma 5 2 5" xfId="3306"/>
    <cellStyle name="Comma 5 2 5 2" xfId="11479"/>
    <cellStyle name="Comma 5 2 5 2 2" xfId="20278"/>
    <cellStyle name="Comma 5 2 5 2 2 2" xfId="41321"/>
    <cellStyle name="Comma 5 2 5 2 2 3" xfId="34898"/>
    <cellStyle name="Comma 5 2 5 2 3" xfId="22477"/>
    <cellStyle name="Comma 5 2 5 2 3 2" xfId="38114"/>
    <cellStyle name="Comma 5 2 5 2 4" xfId="31691"/>
    <cellStyle name="Comma 5 2 5 2 5" xfId="43456"/>
    <cellStyle name="Comma 5 2 5 3" xfId="8740"/>
    <cellStyle name="Comma 5 2 5 3 2" xfId="19200"/>
    <cellStyle name="Comma 5 2 5 3 2 2" xfId="40243"/>
    <cellStyle name="Comma 5 2 5 3 2 3" xfId="33820"/>
    <cellStyle name="Comma 5 2 5 3 3" xfId="23690"/>
    <cellStyle name="Comma 5 2 5 3 3 2" xfId="37036"/>
    <cellStyle name="Comma 5 2 5 3 4" xfId="30613"/>
    <cellStyle name="Comma 5 2 5 3 5" xfId="44519"/>
    <cellStyle name="Comma 5 2 5 4" xfId="7627"/>
    <cellStyle name="Comma 5 2 5 4 2" xfId="18130"/>
    <cellStyle name="Comma 5 2 5 4 2 2" xfId="39179"/>
    <cellStyle name="Comma 5 2 5 4 3" xfId="32756"/>
    <cellStyle name="Comma 5 2 5 5" xfId="16409"/>
    <cellStyle name="Comma 5 2 5 5 2" xfId="35972"/>
    <cellStyle name="Comma 5 2 5 6" xfId="21366"/>
    <cellStyle name="Comma 5 2 5 7" xfId="29549"/>
    <cellStyle name="Comma 5 2 5 8" xfId="42385"/>
    <cellStyle name="Comma 5 2 6" xfId="4174"/>
    <cellStyle name="Comma 5 2 6 2" xfId="11480"/>
    <cellStyle name="Comma 5 2 6 2 2" xfId="20279"/>
    <cellStyle name="Comma 5 2 6 2 2 2" xfId="41322"/>
    <cellStyle name="Comma 5 2 6 2 2 3" xfId="34899"/>
    <cellStyle name="Comma 5 2 6 2 3" xfId="22478"/>
    <cellStyle name="Comma 5 2 6 2 3 2" xfId="38115"/>
    <cellStyle name="Comma 5 2 6 2 4" xfId="31692"/>
    <cellStyle name="Comma 5 2 6 2 5" xfId="43457"/>
    <cellStyle name="Comma 5 2 6 3" xfId="8741"/>
    <cellStyle name="Comma 5 2 6 3 2" xfId="19201"/>
    <cellStyle name="Comma 5 2 6 3 2 2" xfId="40244"/>
    <cellStyle name="Comma 5 2 6 3 2 3" xfId="33821"/>
    <cellStyle name="Comma 5 2 6 3 3" xfId="23691"/>
    <cellStyle name="Comma 5 2 6 3 3 2" xfId="37037"/>
    <cellStyle name="Comma 5 2 6 3 4" xfId="30614"/>
    <cellStyle name="Comma 5 2 6 3 5" xfId="44520"/>
    <cellStyle name="Comma 5 2 6 4" xfId="7628"/>
    <cellStyle name="Comma 5 2 6 4 2" xfId="18131"/>
    <cellStyle name="Comma 5 2 6 4 2 2" xfId="39180"/>
    <cellStyle name="Comma 5 2 6 4 3" xfId="32757"/>
    <cellStyle name="Comma 5 2 6 5" xfId="16597"/>
    <cellStyle name="Comma 5 2 6 5 2" xfId="35973"/>
    <cellStyle name="Comma 5 2 6 6" xfId="21367"/>
    <cellStyle name="Comma 5 2 6 7" xfId="29550"/>
    <cellStyle name="Comma 5 2 6 8" xfId="42386"/>
    <cellStyle name="Comma 5 2 7" xfId="5436"/>
    <cellStyle name="Comma 5 2 7 2" xfId="11481"/>
    <cellStyle name="Comma 5 2 7 2 2" xfId="20280"/>
    <cellStyle name="Comma 5 2 7 2 2 2" xfId="41323"/>
    <cellStyle name="Comma 5 2 7 2 2 3" xfId="34900"/>
    <cellStyle name="Comma 5 2 7 2 3" xfId="22479"/>
    <cellStyle name="Comma 5 2 7 2 3 2" xfId="38116"/>
    <cellStyle name="Comma 5 2 7 2 4" xfId="31693"/>
    <cellStyle name="Comma 5 2 7 2 5" xfId="43458"/>
    <cellStyle name="Comma 5 2 7 3" xfId="8742"/>
    <cellStyle name="Comma 5 2 7 3 2" xfId="19202"/>
    <cellStyle name="Comma 5 2 7 3 2 2" xfId="40245"/>
    <cellStyle name="Comma 5 2 7 3 2 3" xfId="33822"/>
    <cellStyle name="Comma 5 2 7 3 3" xfId="23692"/>
    <cellStyle name="Comma 5 2 7 3 3 2" xfId="37038"/>
    <cellStyle name="Comma 5 2 7 3 4" xfId="30615"/>
    <cellStyle name="Comma 5 2 7 3 5" xfId="44521"/>
    <cellStyle name="Comma 5 2 7 4" xfId="7629"/>
    <cellStyle name="Comma 5 2 7 4 2" xfId="18132"/>
    <cellStyle name="Comma 5 2 7 4 2 2" xfId="39181"/>
    <cellStyle name="Comma 5 2 7 4 3" xfId="32758"/>
    <cellStyle name="Comma 5 2 7 5" xfId="16885"/>
    <cellStyle name="Comma 5 2 7 5 2" xfId="35974"/>
    <cellStyle name="Comma 5 2 7 6" xfId="21368"/>
    <cellStyle name="Comma 5 2 7 7" xfId="29551"/>
    <cellStyle name="Comma 5 2 7 8" xfId="42387"/>
    <cellStyle name="Comma 5 2 8" xfId="11467"/>
    <cellStyle name="Comma 5 2 8 2" xfId="20266"/>
    <cellStyle name="Comma 5 2 8 2 2" xfId="41309"/>
    <cellStyle name="Comma 5 2 8 2 3" xfId="34886"/>
    <cellStyle name="Comma 5 2 8 3" xfId="22465"/>
    <cellStyle name="Comma 5 2 8 3 2" xfId="38102"/>
    <cellStyle name="Comma 5 2 8 4" xfId="31679"/>
    <cellStyle name="Comma 5 2 8 5" xfId="43444"/>
    <cellStyle name="Comma 5 2 9" xfId="8728"/>
    <cellStyle name="Comma 5 2 9 2" xfId="19188"/>
    <cellStyle name="Comma 5 2 9 2 2" xfId="40231"/>
    <cellStyle name="Comma 5 2 9 2 3" xfId="33808"/>
    <cellStyle name="Comma 5 2 9 3" xfId="23678"/>
    <cellStyle name="Comma 5 2 9 3 2" xfId="37024"/>
    <cellStyle name="Comma 5 2 9 4" xfId="30601"/>
    <cellStyle name="Comma 5 2 9 5" xfId="44507"/>
    <cellStyle name="Comma 5 3" xfId="10113"/>
    <cellStyle name="Comma 5 3 2" xfId="19237"/>
    <cellStyle name="Comma 5 3 2 2" xfId="40280"/>
    <cellStyle name="Comma 5 3 2 3" xfId="33857"/>
    <cellStyle name="Comma 5 3 3" xfId="21437"/>
    <cellStyle name="Comma 5 3 3 2" xfId="37073"/>
    <cellStyle name="Comma 5 3 4" xfId="30650"/>
    <cellStyle name="Comma 5 3 5" xfId="42416"/>
    <cellStyle name="Comma 5 4" xfId="7705"/>
    <cellStyle name="Comma 5 4 2" xfId="18166"/>
    <cellStyle name="Comma 5 4 2 2" xfId="39209"/>
    <cellStyle name="Comma 5 4 2 3" xfId="32786"/>
    <cellStyle name="Comma 5 4 3" xfId="22646"/>
    <cellStyle name="Comma 5 4 3 2" xfId="36002"/>
    <cellStyle name="Comma 5 4 4" xfId="29579"/>
    <cellStyle name="Comma 5 4 5" xfId="43488"/>
    <cellStyle name="Comma 5 5" xfId="6562"/>
    <cellStyle name="Comma 5 5 2" xfId="17090"/>
    <cellStyle name="Comma 5 5 2 2" xfId="38145"/>
    <cellStyle name="Comma 5 5 3" xfId="31722"/>
    <cellStyle name="Comma 5 6" xfId="16013"/>
    <cellStyle name="Comma 5 6 2" xfId="34938"/>
    <cellStyle name="Comma 5 7" xfId="20325"/>
    <cellStyle name="Comma 5 8" xfId="28513"/>
    <cellStyle name="Comma 5 9" xfId="41354"/>
    <cellStyle name="Comma 6" xfId="1212"/>
    <cellStyle name="Comma 6 2" xfId="1502"/>
    <cellStyle name="Comma 6 2 2" xfId="11482"/>
    <cellStyle name="Comma 6 2 2 2" xfId="20281"/>
    <cellStyle name="Comma 6 2 2 2 2" xfId="41324"/>
    <cellStyle name="Comma 6 2 2 2 3" xfId="34901"/>
    <cellStyle name="Comma 6 2 2 3" xfId="22480"/>
    <cellStyle name="Comma 6 2 2 3 2" xfId="38117"/>
    <cellStyle name="Comma 6 2 2 4" xfId="31694"/>
    <cellStyle name="Comma 6 2 2 5" xfId="43459"/>
    <cellStyle name="Comma 6 2 3" xfId="8743"/>
    <cellStyle name="Comma 6 2 3 2" xfId="19203"/>
    <cellStyle name="Comma 6 2 3 2 2" xfId="40246"/>
    <cellStyle name="Comma 6 2 3 2 3" xfId="33823"/>
    <cellStyle name="Comma 6 2 3 3" xfId="23693"/>
    <cellStyle name="Comma 6 2 3 3 2" xfId="37039"/>
    <cellStyle name="Comma 6 2 3 4" xfId="30616"/>
    <cellStyle name="Comma 6 2 3 5" xfId="44522"/>
    <cellStyle name="Comma 6 2 4" xfId="7630"/>
    <cellStyle name="Comma 6 2 4 2" xfId="18133"/>
    <cellStyle name="Comma 6 2 4 2 2" xfId="39182"/>
    <cellStyle name="Comma 6 2 4 3" xfId="32759"/>
    <cellStyle name="Comma 6 2 5" xfId="16072"/>
    <cellStyle name="Comma 6 2 5 2" xfId="35975"/>
    <cellStyle name="Comma 6 2 6" xfId="21369"/>
    <cellStyle name="Comma 6 2 7" xfId="29552"/>
    <cellStyle name="Comma 6 2 8" xfId="42388"/>
    <cellStyle name="Comma 6 3" xfId="10288"/>
    <cellStyle name="Comma 6 3 2" xfId="19341"/>
    <cellStyle name="Comma 6 3 2 2" xfId="40384"/>
    <cellStyle name="Comma 6 3 2 3" xfId="33961"/>
    <cellStyle name="Comma 6 3 3" xfId="21541"/>
    <cellStyle name="Comma 6 3 3 2" xfId="37177"/>
    <cellStyle name="Comma 6 3 4" xfId="30754"/>
    <cellStyle name="Comma 6 3 5" xfId="42520"/>
    <cellStyle name="Comma 6 4" xfId="7688"/>
    <cellStyle name="Comma 6 4 2" xfId="18163"/>
    <cellStyle name="Comma 6 4 2 2" xfId="39206"/>
    <cellStyle name="Comma 6 4 2 3" xfId="32783"/>
    <cellStyle name="Comma 6 4 3" xfId="22604"/>
    <cellStyle name="Comma 6 4 3 2" xfId="35999"/>
    <cellStyle name="Comma 6 4 4" xfId="29576"/>
    <cellStyle name="Comma 6 4 5" xfId="43485"/>
    <cellStyle name="Comma 6 5" xfId="6687"/>
    <cellStyle name="Comma 6 5 2" xfId="17194"/>
    <cellStyle name="Comma 6 5 2 2" xfId="38247"/>
    <cellStyle name="Comma 6 5 3" xfId="31824"/>
    <cellStyle name="Comma 6 6" xfId="16012"/>
    <cellStyle name="Comma 6 6 2" xfId="35040"/>
    <cellStyle name="Comma 6 7" xfId="20320"/>
    <cellStyle name="Comma 6 8" xfId="28615"/>
    <cellStyle name="Comma 6 9" xfId="41350"/>
    <cellStyle name="Comma 7" xfId="1216"/>
    <cellStyle name="Comma 7 10" xfId="42389"/>
    <cellStyle name="Comma 7 2" xfId="1270"/>
    <cellStyle name="Comma 7 2 2" xfId="1503"/>
    <cellStyle name="Comma 7 2 2 2" xfId="11483"/>
    <cellStyle name="Comma 7 2 2 2 2" xfId="20282"/>
    <cellStyle name="Comma 7 2 2 2 2 2" xfId="41325"/>
    <cellStyle name="Comma 7 2 2 2 2 3" xfId="34902"/>
    <cellStyle name="Comma 7 2 2 2 3" xfId="22481"/>
    <cellStyle name="Comma 7 2 2 2 3 2" xfId="38118"/>
    <cellStyle name="Comma 7 2 2 2 4" xfId="31695"/>
    <cellStyle name="Comma 7 2 2 2 5" xfId="43460"/>
    <cellStyle name="Comma 7 2 2 3" xfId="8746"/>
    <cellStyle name="Comma 7 2 2 3 2" xfId="19206"/>
    <cellStyle name="Comma 7 2 2 3 2 2" xfId="40249"/>
    <cellStyle name="Comma 7 2 2 3 2 3" xfId="33826"/>
    <cellStyle name="Comma 7 2 2 3 3" xfId="23696"/>
    <cellStyle name="Comma 7 2 2 3 3 2" xfId="37042"/>
    <cellStyle name="Comma 7 2 2 3 4" xfId="30619"/>
    <cellStyle name="Comma 7 2 2 3 5" xfId="44525"/>
    <cellStyle name="Comma 7 2 2 4" xfId="7631"/>
    <cellStyle name="Comma 7 2 2 4 2" xfId="18134"/>
    <cellStyle name="Comma 7 2 2 4 2 2" xfId="39183"/>
    <cellStyle name="Comma 7 2 2 4 3" xfId="32760"/>
    <cellStyle name="Comma 7 2 2 5" xfId="16073"/>
    <cellStyle name="Comma 7 2 2 5 2" xfId="35976"/>
    <cellStyle name="Comma 7 2 2 6" xfId="21372"/>
    <cellStyle name="Comma 7 2 2 7" xfId="29553"/>
    <cellStyle name="Comma 7 2 2 8" xfId="42391"/>
    <cellStyle name="Comma 7 2 3" xfId="10290"/>
    <cellStyle name="Comma 7 2 3 2" xfId="19343"/>
    <cellStyle name="Comma 7 2 3 2 2" xfId="40386"/>
    <cellStyle name="Comma 7 2 3 2 3" xfId="33963"/>
    <cellStyle name="Comma 7 2 3 3" xfId="21543"/>
    <cellStyle name="Comma 7 2 3 3 2" xfId="37179"/>
    <cellStyle name="Comma 7 2 3 4" xfId="30756"/>
    <cellStyle name="Comma 7 2 3 5" xfId="42522"/>
    <cellStyle name="Comma 7 2 4" xfId="8745"/>
    <cellStyle name="Comma 7 2 4 2" xfId="19205"/>
    <cellStyle name="Comma 7 2 4 2 2" xfId="40248"/>
    <cellStyle name="Comma 7 2 4 2 3" xfId="33825"/>
    <cellStyle name="Comma 7 2 4 3" xfId="23695"/>
    <cellStyle name="Comma 7 2 4 3 2" xfId="37041"/>
    <cellStyle name="Comma 7 2 4 4" xfId="30618"/>
    <cellStyle name="Comma 7 2 4 5" xfId="44524"/>
    <cellStyle name="Comma 7 2 5" xfId="6689"/>
    <cellStyle name="Comma 7 2 5 2" xfId="17196"/>
    <cellStyle name="Comma 7 2 5 2 2" xfId="38249"/>
    <cellStyle name="Comma 7 2 5 3" xfId="31826"/>
    <cellStyle name="Comma 7 2 6" xfId="16017"/>
    <cellStyle name="Comma 7 2 6 2" xfId="35042"/>
    <cellStyle name="Comma 7 2 7" xfId="21371"/>
    <cellStyle name="Comma 7 2 8" xfId="28617"/>
    <cellStyle name="Comma 7 2 9" xfId="42390"/>
    <cellStyle name="Comma 7 3" xfId="1504"/>
    <cellStyle name="Comma 7 3 2" xfId="11484"/>
    <cellStyle name="Comma 7 3 2 2" xfId="20283"/>
    <cellStyle name="Comma 7 3 2 2 2" xfId="41326"/>
    <cellStyle name="Comma 7 3 2 2 3" xfId="34903"/>
    <cellStyle name="Comma 7 3 2 3" xfId="22482"/>
    <cellStyle name="Comma 7 3 2 3 2" xfId="38119"/>
    <cellStyle name="Comma 7 3 2 4" xfId="31696"/>
    <cellStyle name="Comma 7 3 2 5" xfId="43461"/>
    <cellStyle name="Comma 7 3 3" xfId="8747"/>
    <cellStyle name="Comma 7 3 3 2" xfId="19207"/>
    <cellStyle name="Comma 7 3 3 2 2" xfId="40250"/>
    <cellStyle name="Comma 7 3 3 2 3" xfId="33827"/>
    <cellStyle name="Comma 7 3 3 3" xfId="23697"/>
    <cellStyle name="Comma 7 3 3 3 2" xfId="37043"/>
    <cellStyle name="Comma 7 3 3 4" xfId="30620"/>
    <cellStyle name="Comma 7 3 3 5" xfId="44526"/>
    <cellStyle name="Comma 7 3 4" xfId="7632"/>
    <cellStyle name="Comma 7 3 4 2" xfId="18135"/>
    <cellStyle name="Comma 7 3 4 2 2" xfId="39184"/>
    <cellStyle name="Comma 7 3 4 3" xfId="32761"/>
    <cellStyle name="Comma 7 3 5" xfId="16074"/>
    <cellStyle name="Comma 7 3 5 2" xfId="35977"/>
    <cellStyle name="Comma 7 3 6" xfId="21373"/>
    <cellStyle name="Comma 7 3 7" xfId="29554"/>
    <cellStyle name="Comma 7 3 8" xfId="42392"/>
    <cellStyle name="Comma 7 4" xfId="10289"/>
    <cellStyle name="Comma 7 4 2" xfId="19342"/>
    <cellStyle name="Comma 7 4 2 2" xfId="40385"/>
    <cellStyle name="Comma 7 4 2 3" xfId="33962"/>
    <cellStyle name="Comma 7 4 3" xfId="21542"/>
    <cellStyle name="Comma 7 4 3 2" xfId="37178"/>
    <cellStyle name="Comma 7 4 4" xfId="30755"/>
    <cellStyle name="Comma 7 4 5" xfId="42521"/>
    <cellStyle name="Comma 7 5" xfId="8744"/>
    <cellStyle name="Comma 7 5 2" xfId="19204"/>
    <cellStyle name="Comma 7 5 2 2" xfId="40247"/>
    <cellStyle name="Comma 7 5 2 3" xfId="33824"/>
    <cellStyle name="Comma 7 5 3" xfId="23694"/>
    <cellStyle name="Comma 7 5 3 2" xfId="37040"/>
    <cellStyle name="Comma 7 5 4" xfId="30617"/>
    <cellStyle name="Comma 7 5 5" xfId="44523"/>
    <cellStyle name="Comma 7 6" xfId="6688"/>
    <cellStyle name="Comma 7 6 2" xfId="17195"/>
    <cellStyle name="Comma 7 6 2 2" xfId="38248"/>
    <cellStyle name="Comma 7 6 3" xfId="31825"/>
    <cellStyle name="Comma 7 7" xfId="16014"/>
    <cellStyle name="Comma 7 7 2" xfId="35041"/>
    <cellStyle name="Comma 7 8" xfId="21370"/>
    <cellStyle name="Comma 7 9" xfId="28616"/>
    <cellStyle name="Comma 8" xfId="1453"/>
    <cellStyle name="Comma 8 10" xfId="8748"/>
    <cellStyle name="Comma 8 10 2" xfId="19208"/>
    <cellStyle name="Comma 8 10 2 2" xfId="40251"/>
    <cellStyle name="Comma 8 10 2 3" xfId="33828"/>
    <cellStyle name="Comma 8 10 3" xfId="23698"/>
    <cellStyle name="Comma 8 10 3 2" xfId="37044"/>
    <cellStyle name="Comma 8 10 4" xfId="30621"/>
    <cellStyle name="Comma 8 10 5" xfId="44527"/>
    <cellStyle name="Comma 8 11" xfId="6690"/>
    <cellStyle name="Comma 8 11 2" xfId="17197"/>
    <cellStyle name="Comma 8 11 2 2" xfId="38250"/>
    <cellStyle name="Comma 8 11 3" xfId="31827"/>
    <cellStyle name="Comma 8 12" xfId="16023"/>
    <cellStyle name="Comma 8 12 2" xfId="35043"/>
    <cellStyle name="Comma 8 13" xfId="21374"/>
    <cellStyle name="Comma 8 14" xfId="28618"/>
    <cellStyle name="Comma 8 15" xfId="42393"/>
    <cellStyle name="Comma 8 2" xfId="1807"/>
    <cellStyle name="Comma 8 2 10" xfId="21375"/>
    <cellStyle name="Comma 8 2 11" xfId="29555"/>
    <cellStyle name="Comma 8 2 12" xfId="42394"/>
    <cellStyle name="Comma 8 2 2" xfId="2697"/>
    <cellStyle name="Comma 8 2 2 2" xfId="11486"/>
    <cellStyle name="Comma 8 2 2 2 2" xfId="20285"/>
    <cellStyle name="Comma 8 2 2 2 2 2" xfId="41328"/>
    <cellStyle name="Comma 8 2 2 2 2 3" xfId="34905"/>
    <cellStyle name="Comma 8 2 2 2 3" xfId="22484"/>
    <cellStyle name="Comma 8 2 2 2 3 2" xfId="38121"/>
    <cellStyle name="Comma 8 2 2 2 4" xfId="31698"/>
    <cellStyle name="Comma 8 2 2 2 5" xfId="43463"/>
    <cellStyle name="Comma 8 2 2 3" xfId="8750"/>
    <cellStyle name="Comma 8 2 2 3 2" xfId="19210"/>
    <cellStyle name="Comma 8 2 2 3 2 2" xfId="40253"/>
    <cellStyle name="Comma 8 2 2 3 2 3" xfId="33830"/>
    <cellStyle name="Comma 8 2 2 3 3" xfId="23700"/>
    <cellStyle name="Comma 8 2 2 3 3 2" xfId="37046"/>
    <cellStyle name="Comma 8 2 2 3 4" xfId="30623"/>
    <cellStyle name="Comma 8 2 2 3 5" xfId="44529"/>
    <cellStyle name="Comma 8 2 2 4" xfId="7634"/>
    <cellStyle name="Comma 8 2 2 4 2" xfId="18137"/>
    <cellStyle name="Comma 8 2 2 4 2 2" xfId="39186"/>
    <cellStyle name="Comma 8 2 2 4 3" xfId="32763"/>
    <cellStyle name="Comma 8 2 2 5" xfId="16275"/>
    <cellStyle name="Comma 8 2 2 5 2" xfId="35979"/>
    <cellStyle name="Comma 8 2 2 6" xfId="21376"/>
    <cellStyle name="Comma 8 2 2 7" xfId="29556"/>
    <cellStyle name="Comma 8 2 2 8" xfId="42395"/>
    <cellStyle name="Comma 8 2 3" xfId="3561"/>
    <cellStyle name="Comma 8 2 3 2" xfId="11487"/>
    <cellStyle name="Comma 8 2 3 2 2" xfId="20286"/>
    <cellStyle name="Comma 8 2 3 2 2 2" xfId="41329"/>
    <cellStyle name="Comma 8 2 3 2 2 3" xfId="34906"/>
    <cellStyle name="Comma 8 2 3 2 3" xfId="22485"/>
    <cellStyle name="Comma 8 2 3 2 3 2" xfId="38122"/>
    <cellStyle name="Comma 8 2 3 2 4" xfId="31699"/>
    <cellStyle name="Comma 8 2 3 2 5" xfId="43464"/>
    <cellStyle name="Comma 8 2 3 3" xfId="8751"/>
    <cellStyle name="Comma 8 2 3 3 2" xfId="19211"/>
    <cellStyle name="Comma 8 2 3 3 2 2" xfId="40254"/>
    <cellStyle name="Comma 8 2 3 3 2 3" xfId="33831"/>
    <cellStyle name="Comma 8 2 3 3 3" xfId="23701"/>
    <cellStyle name="Comma 8 2 3 3 3 2" xfId="37047"/>
    <cellStyle name="Comma 8 2 3 3 4" xfId="30624"/>
    <cellStyle name="Comma 8 2 3 3 5" xfId="44530"/>
    <cellStyle name="Comma 8 2 3 4" xfId="7635"/>
    <cellStyle name="Comma 8 2 3 4 2" xfId="18138"/>
    <cellStyle name="Comma 8 2 3 4 2 2" xfId="39187"/>
    <cellStyle name="Comma 8 2 3 4 3" xfId="32764"/>
    <cellStyle name="Comma 8 2 3 5" xfId="16463"/>
    <cellStyle name="Comma 8 2 3 5 2" xfId="35980"/>
    <cellStyle name="Comma 8 2 3 6" xfId="21377"/>
    <cellStyle name="Comma 8 2 3 7" xfId="29557"/>
    <cellStyle name="Comma 8 2 3 8" xfId="42396"/>
    <cellStyle name="Comma 8 2 4" xfId="4436"/>
    <cellStyle name="Comma 8 2 4 2" xfId="11488"/>
    <cellStyle name="Comma 8 2 4 2 2" xfId="20287"/>
    <cellStyle name="Comma 8 2 4 2 2 2" xfId="41330"/>
    <cellStyle name="Comma 8 2 4 2 2 3" xfId="34907"/>
    <cellStyle name="Comma 8 2 4 2 3" xfId="22486"/>
    <cellStyle name="Comma 8 2 4 2 3 2" xfId="38123"/>
    <cellStyle name="Comma 8 2 4 2 4" xfId="31700"/>
    <cellStyle name="Comma 8 2 4 2 5" xfId="43465"/>
    <cellStyle name="Comma 8 2 4 3" xfId="8752"/>
    <cellStyle name="Comma 8 2 4 3 2" xfId="19212"/>
    <cellStyle name="Comma 8 2 4 3 2 2" xfId="40255"/>
    <cellStyle name="Comma 8 2 4 3 2 3" xfId="33832"/>
    <cellStyle name="Comma 8 2 4 3 3" xfId="23702"/>
    <cellStyle name="Comma 8 2 4 3 3 2" xfId="37048"/>
    <cellStyle name="Comma 8 2 4 3 4" xfId="30625"/>
    <cellStyle name="Comma 8 2 4 3 5" xfId="44531"/>
    <cellStyle name="Comma 8 2 4 4" xfId="7636"/>
    <cellStyle name="Comma 8 2 4 4 2" xfId="18139"/>
    <cellStyle name="Comma 8 2 4 4 2 2" xfId="39188"/>
    <cellStyle name="Comma 8 2 4 4 3" xfId="32765"/>
    <cellStyle name="Comma 8 2 4 5" xfId="16651"/>
    <cellStyle name="Comma 8 2 4 5 2" xfId="35981"/>
    <cellStyle name="Comma 8 2 4 6" xfId="21378"/>
    <cellStyle name="Comma 8 2 4 7" xfId="29558"/>
    <cellStyle name="Comma 8 2 4 8" xfId="42397"/>
    <cellStyle name="Comma 8 2 5" xfId="5701"/>
    <cellStyle name="Comma 8 2 5 2" xfId="11489"/>
    <cellStyle name="Comma 8 2 5 2 2" xfId="20288"/>
    <cellStyle name="Comma 8 2 5 2 2 2" xfId="41331"/>
    <cellStyle name="Comma 8 2 5 2 2 3" xfId="34908"/>
    <cellStyle name="Comma 8 2 5 2 3" xfId="22487"/>
    <cellStyle name="Comma 8 2 5 2 3 2" xfId="38124"/>
    <cellStyle name="Comma 8 2 5 2 4" xfId="31701"/>
    <cellStyle name="Comma 8 2 5 2 5" xfId="43466"/>
    <cellStyle name="Comma 8 2 5 3" xfId="8753"/>
    <cellStyle name="Comma 8 2 5 3 2" xfId="19213"/>
    <cellStyle name="Comma 8 2 5 3 2 2" xfId="40256"/>
    <cellStyle name="Comma 8 2 5 3 2 3" xfId="33833"/>
    <cellStyle name="Comma 8 2 5 3 3" xfId="23703"/>
    <cellStyle name="Comma 8 2 5 3 3 2" xfId="37049"/>
    <cellStyle name="Comma 8 2 5 3 4" xfId="30626"/>
    <cellStyle name="Comma 8 2 5 3 5" xfId="44532"/>
    <cellStyle name="Comma 8 2 5 4" xfId="7637"/>
    <cellStyle name="Comma 8 2 5 4 2" xfId="18140"/>
    <cellStyle name="Comma 8 2 5 4 2 2" xfId="39189"/>
    <cellStyle name="Comma 8 2 5 4 3" xfId="32766"/>
    <cellStyle name="Comma 8 2 5 5" xfId="16939"/>
    <cellStyle name="Comma 8 2 5 5 2" xfId="35982"/>
    <cellStyle name="Comma 8 2 5 6" xfId="21379"/>
    <cellStyle name="Comma 8 2 5 7" xfId="29559"/>
    <cellStyle name="Comma 8 2 5 8" xfId="42398"/>
    <cellStyle name="Comma 8 2 6" xfId="11485"/>
    <cellStyle name="Comma 8 2 6 2" xfId="20284"/>
    <cellStyle name="Comma 8 2 6 2 2" xfId="41327"/>
    <cellStyle name="Comma 8 2 6 2 3" xfId="34904"/>
    <cellStyle name="Comma 8 2 6 3" xfId="22483"/>
    <cellStyle name="Comma 8 2 6 3 2" xfId="38120"/>
    <cellStyle name="Comma 8 2 6 4" xfId="31697"/>
    <cellStyle name="Comma 8 2 6 5" xfId="43462"/>
    <cellStyle name="Comma 8 2 7" xfId="8749"/>
    <cellStyle name="Comma 8 2 7 2" xfId="19209"/>
    <cellStyle name="Comma 8 2 7 2 2" xfId="40252"/>
    <cellStyle name="Comma 8 2 7 2 3" xfId="33829"/>
    <cellStyle name="Comma 8 2 7 3" xfId="23699"/>
    <cellStyle name="Comma 8 2 7 3 2" xfId="37045"/>
    <cellStyle name="Comma 8 2 7 4" xfId="30622"/>
    <cellStyle name="Comma 8 2 7 5" xfId="44528"/>
    <cellStyle name="Comma 8 2 8" xfId="7633"/>
    <cellStyle name="Comma 8 2 8 2" xfId="18136"/>
    <cellStyle name="Comma 8 2 8 2 2" xfId="39185"/>
    <cellStyle name="Comma 8 2 8 3" xfId="32762"/>
    <cellStyle name="Comma 8 2 9" xfId="16085"/>
    <cellStyle name="Comma 8 2 9 2" xfId="35978"/>
    <cellStyle name="Comma 8 3" xfId="2082"/>
    <cellStyle name="Comma 8 3 10" xfId="21380"/>
    <cellStyle name="Comma 8 3 11" xfId="29560"/>
    <cellStyle name="Comma 8 3 12" xfId="42399"/>
    <cellStyle name="Comma 8 3 2" xfId="2952"/>
    <cellStyle name="Comma 8 3 2 2" xfId="11491"/>
    <cellStyle name="Comma 8 3 2 2 2" xfId="20290"/>
    <cellStyle name="Comma 8 3 2 2 2 2" xfId="41333"/>
    <cellStyle name="Comma 8 3 2 2 2 3" xfId="34910"/>
    <cellStyle name="Comma 8 3 2 2 3" xfId="22489"/>
    <cellStyle name="Comma 8 3 2 2 3 2" xfId="38126"/>
    <cellStyle name="Comma 8 3 2 2 4" xfId="31703"/>
    <cellStyle name="Comma 8 3 2 2 5" xfId="43468"/>
    <cellStyle name="Comma 8 3 2 3" xfId="8755"/>
    <cellStyle name="Comma 8 3 2 3 2" xfId="19215"/>
    <cellStyle name="Comma 8 3 2 3 2 2" xfId="40258"/>
    <cellStyle name="Comma 8 3 2 3 2 3" xfId="33835"/>
    <cellStyle name="Comma 8 3 2 3 3" xfId="23705"/>
    <cellStyle name="Comma 8 3 2 3 3 2" xfId="37051"/>
    <cellStyle name="Comma 8 3 2 3 4" xfId="30628"/>
    <cellStyle name="Comma 8 3 2 3 5" xfId="44534"/>
    <cellStyle name="Comma 8 3 2 4" xfId="7639"/>
    <cellStyle name="Comma 8 3 2 4 2" xfId="18142"/>
    <cellStyle name="Comma 8 3 2 4 2 2" xfId="39191"/>
    <cellStyle name="Comma 8 3 2 4 3" xfId="32768"/>
    <cellStyle name="Comma 8 3 2 5" xfId="16330"/>
    <cellStyle name="Comma 8 3 2 5 2" xfId="35984"/>
    <cellStyle name="Comma 8 3 2 6" xfId="21381"/>
    <cellStyle name="Comma 8 3 2 7" xfId="29561"/>
    <cellStyle name="Comma 8 3 2 8" xfId="42400"/>
    <cellStyle name="Comma 8 3 3" xfId="3822"/>
    <cellStyle name="Comma 8 3 3 2" xfId="11492"/>
    <cellStyle name="Comma 8 3 3 2 2" xfId="20291"/>
    <cellStyle name="Comma 8 3 3 2 2 2" xfId="41334"/>
    <cellStyle name="Comma 8 3 3 2 2 3" xfId="34911"/>
    <cellStyle name="Comma 8 3 3 2 3" xfId="22490"/>
    <cellStyle name="Comma 8 3 3 2 3 2" xfId="38127"/>
    <cellStyle name="Comma 8 3 3 2 4" xfId="31704"/>
    <cellStyle name="Comma 8 3 3 2 5" xfId="43469"/>
    <cellStyle name="Comma 8 3 3 3" xfId="8756"/>
    <cellStyle name="Comma 8 3 3 3 2" xfId="19216"/>
    <cellStyle name="Comma 8 3 3 3 2 2" xfId="40259"/>
    <cellStyle name="Comma 8 3 3 3 2 3" xfId="33836"/>
    <cellStyle name="Comma 8 3 3 3 3" xfId="23706"/>
    <cellStyle name="Comma 8 3 3 3 3 2" xfId="37052"/>
    <cellStyle name="Comma 8 3 3 3 4" xfId="30629"/>
    <cellStyle name="Comma 8 3 3 3 5" xfId="44535"/>
    <cellStyle name="Comma 8 3 3 4" xfId="7640"/>
    <cellStyle name="Comma 8 3 3 4 2" xfId="18143"/>
    <cellStyle name="Comma 8 3 3 4 2 2" xfId="39192"/>
    <cellStyle name="Comma 8 3 3 4 3" xfId="32769"/>
    <cellStyle name="Comma 8 3 3 5" xfId="16518"/>
    <cellStyle name="Comma 8 3 3 5 2" xfId="35985"/>
    <cellStyle name="Comma 8 3 3 6" xfId="21382"/>
    <cellStyle name="Comma 8 3 3 7" xfId="29562"/>
    <cellStyle name="Comma 8 3 3 8" xfId="42401"/>
    <cellStyle name="Comma 8 3 4" xfId="4700"/>
    <cellStyle name="Comma 8 3 4 2" xfId="11493"/>
    <cellStyle name="Comma 8 3 4 2 2" xfId="20292"/>
    <cellStyle name="Comma 8 3 4 2 2 2" xfId="41335"/>
    <cellStyle name="Comma 8 3 4 2 2 3" xfId="34912"/>
    <cellStyle name="Comma 8 3 4 2 3" xfId="22491"/>
    <cellStyle name="Comma 8 3 4 2 3 2" xfId="38128"/>
    <cellStyle name="Comma 8 3 4 2 4" xfId="31705"/>
    <cellStyle name="Comma 8 3 4 2 5" xfId="43470"/>
    <cellStyle name="Comma 8 3 4 3" xfId="8757"/>
    <cellStyle name="Comma 8 3 4 3 2" xfId="19217"/>
    <cellStyle name="Comma 8 3 4 3 2 2" xfId="40260"/>
    <cellStyle name="Comma 8 3 4 3 2 3" xfId="33837"/>
    <cellStyle name="Comma 8 3 4 3 3" xfId="23707"/>
    <cellStyle name="Comma 8 3 4 3 3 2" xfId="37053"/>
    <cellStyle name="Comma 8 3 4 3 4" xfId="30630"/>
    <cellStyle name="Comma 8 3 4 3 5" xfId="44536"/>
    <cellStyle name="Comma 8 3 4 4" xfId="7641"/>
    <cellStyle name="Comma 8 3 4 4 2" xfId="18144"/>
    <cellStyle name="Comma 8 3 4 4 2 2" xfId="39193"/>
    <cellStyle name="Comma 8 3 4 4 3" xfId="32770"/>
    <cellStyle name="Comma 8 3 4 5" xfId="16706"/>
    <cellStyle name="Comma 8 3 4 5 2" xfId="35986"/>
    <cellStyle name="Comma 8 3 4 6" xfId="21383"/>
    <cellStyle name="Comma 8 3 4 7" xfId="29563"/>
    <cellStyle name="Comma 8 3 4 8" xfId="42402"/>
    <cellStyle name="Comma 8 3 5" xfId="5965"/>
    <cellStyle name="Comma 8 3 5 2" xfId="11494"/>
    <cellStyle name="Comma 8 3 5 2 2" xfId="20293"/>
    <cellStyle name="Comma 8 3 5 2 2 2" xfId="41336"/>
    <cellStyle name="Comma 8 3 5 2 2 3" xfId="34913"/>
    <cellStyle name="Comma 8 3 5 2 3" xfId="22492"/>
    <cellStyle name="Comma 8 3 5 2 3 2" xfId="38129"/>
    <cellStyle name="Comma 8 3 5 2 4" xfId="31706"/>
    <cellStyle name="Comma 8 3 5 2 5" xfId="43471"/>
    <cellStyle name="Comma 8 3 5 3" xfId="8758"/>
    <cellStyle name="Comma 8 3 5 3 2" xfId="19218"/>
    <cellStyle name="Comma 8 3 5 3 2 2" xfId="40261"/>
    <cellStyle name="Comma 8 3 5 3 2 3" xfId="33838"/>
    <cellStyle name="Comma 8 3 5 3 3" xfId="23708"/>
    <cellStyle name="Comma 8 3 5 3 3 2" xfId="37054"/>
    <cellStyle name="Comma 8 3 5 3 4" xfId="30631"/>
    <cellStyle name="Comma 8 3 5 3 5" xfId="44537"/>
    <cellStyle name="Comma 8 3 5 4" xfId="7642"/>
    <cellStyle name="Comma 8 3 5 4 2" xfId="18145"/>
    <cellStyle name="Comma 8 3 5 4 2 2" xfId="39194"/>
    <cellStyle name="Comma 8 3 5 4 3" xfId="32771"/>
    <cellStyle name="Comma 8 3 5 5" xfId="16994"/>
    <cellStyle name="Comma 8 3 5 5 2" xfId="35987"/>
    <cellStyle name="Comma 8 3 5 6" xfId="21384"/>
    <cellStyle name="Comma 8 3 5 7" xfId="29564"/>
    <cellStyle name="Comma 8 3 5 8" xfId="42403"/>
    <cellStyle name="Comma 8 3 6" xfId="11490"/>
    <cellStyle name="Comma 8 3 6 2" xfId="20289"/>
    <cellStyle name="Comma 8 3 6 2 2" xfId="41332"/>
    <cellStyle name="Comma 8 3 6 2 3" xfId="34909"/>
    <cellStyle name="Comma 8 3 6 3" xfId="22488"/>
    <cellStyle name="Comma 8 3 6 3 2" xfId="38125"/>
    <cellStyle name="Comma 8 3 6 4" xfId="31702"/>
    <cellStyle name="Comma 8 3 6 5" xfId="43467"/>
    <cellStyle name="Comma 8 3 7" xfId="8754"/>
    <cellStyle name="Comma 8 3 7 2" xfId="19214"/>
    <cellStyle name="Comma 8 3 7 2 2" xfId="40257"/>
    <cellStyle name="Comma 8 3 7 2 3" xfId="33834"/>
    <cellStyle name="Comma 8 3 7 3" xfId="23704"/>
    <cellStyle name="Comma 8 3 7 3 2" xfId="37050"/>
    <cellStyle name="Comma 8 3 7 4" xfId="30627"/>
    <cellStyle name="Comma 8 3 7 5" xfId="44533"/>
    <cellStyle name="Comma 8 3 8" xfId="7638"/>
    <cellStyle name="Comma 8 3 8 2" xfId="18141"/>
    <cellStyle name="Comma 8 3 8 2 2" xfId="39190"/>
    <cellStyle name="Comma 8 3 8 3" xfId="32767"/>
    <cellStyle name="Comma 8 3 9" xfId="16141"/>
    <cellStyle name="Comma 8 3 9 2" xfId="35983"/>
    <cellStyle name="Comma 8 4" xfId="2447"/>
    <cellStyle name="Comma 8 4 2" xfId="11495"/>
    <cellStyle name="Comma 8 4 2 2" xfId="20294"/>
    <cellStyle name="Comma 8 4 2 2 2" xfId="41337"/>
    <cellStyle name="Comma 8 4 2 2 3" xfId="34914"/>
    <cellStyle name="Comma 8 4 2 3" xfId="22493"/>
    <cellStyle name="Comma 8 4 2 3 2" xfId="38130"/>
    <cellStyle name="Comma 8 4 2 4" xfId="31707"/>
    <cellStyle name="Comma 8 4 2 5" xfId="43472"/>
    <cellStyle name="Comma 8 4 3" xfId="8759"/>
    <cellStyle name="Comma 8 4 3 2" xfId="19219"/>
    <cellStyle name="Comma 8 4 3 2 2" xfId="40262"/>
    <cellStyle name="Comma 8 4 3 2 3" xfId="33839"/>
    <cellStyle name="Comma 8 4 3 3" xfId="23709"/>
    <cellStyle name="Comma 8 4 3 3 2" xfId="37055"/>
    <cellStyle name="Comma 8 4 3 4" xfId="30632"/>
    <cellStyle name="Comma 8 4 3 5" xfId="44538"/>
    <cellStyle name="Comma 8 4 4" xfId="7643"/>
    <cellStyle name="Comma 8 4 4 2" xfId="18146"/>
    <cellStyle name="Comma 8 4 4 2 2" xfId="39195"/>
    <cellStyle name="Comma 8 4 4 3" xfId="32772"/>
    <cellStyle name="Comma 8 4 5" xfId="16222"/>
    <cellStyle name="Comma 8 4 5 2" xfId="35988"/>
    <cellStyle name="Comma 8 4 6" xfId="21385"/>
    <cellStyle name="Comma 8 4 7" xfId="29565"/>
    <cellStyle name="Comma 8 4 8" xfId="42404"/>
    <cellStyle name="Comma 8 5" xfId="3310"/>
    <cellStyle name="Comma 8 5 2" xfId="11496"/>
    <cellStyle name="Comma 8 5 2 2" xfId="20295"/>
    <cellStyle name="Comma 8 5 2 2 2" xfId="41338"/>
    <cellStyle name="Comma 8 5 2 2 3" xfId="34915"/>
    <cellStyle name="Comma 8 5 2 3" xfId="22494"/>
    <cellStyle name="Comma 8 5 2 3 2" xfId="38131"/>
    <cellStyle name="Comma 8 5 2 4" xfId="31708"/>
    <cellStyle name="Comma 8 5 2 5" xfId="43473"/>
    <cellStyle name="Comma 8 5 3" xfId="8760"/>
    <cellStyle name="Comma 8 5 3 2" xfId="19220"/>
    <cellStyle name="Comma 8 5 3 2 2" xfId="40263"/>
    <cellStyle name="Comma 8 5 3 2 3" xfId="33840"/>
    <cellStyle name="Comma 8 5 3 3" xfId="23710"/>
    <cellStyle name="Comma 8 5 3 3 2" xfId="37056"/>
    <cellStyle name="Comma 8 5 3 4" xfId="30633"/>
    <cellStyle name="Comma 8 5 3 5" xfId="44539"/>
    <cellStyle name="Comma 8 5 4" xfId="7644"/>
    <cellStyle name="Comma 8 5 4 2" xfId="18147"/>
    <cellStyle name="Comma 8 5 4 2 2" xfId="39196"/>
    <cellStyle name="Comma 8 5 4 3" xfId="32773"/>
    <cellStyle name="Comma 8 5 5" xfId="16410"/>
    <cellStyle name="Comma 8 5 5 2" xfId="35989"/>
    <cellStyle name="Comma 8 5 6" xfId="21386"/>
    <cellStyle name="Comma 8 5 7" xfId="29566"/>
    <cellStyle name="Comma 8 5 8" xfId="42405"/>
    <cellStyle name="Comma 8 6" xfId="4178"/>
    <cellStyle name="Comma 8 6 2" xfId="11497"/>
    <cellStyle name="Comma 8 6 2 2" xfId="20296"/>
    <cellStyle name="Comma 8 6 2 2 2" xfId="41339"/>
    <cellStyle name="Comma 8 6 2 2 3" xfId="34916"/>
    <cellStyle name="Comma 8 6 2 3" xfId="22495"/>
    <cellStyle name="Comma 8 6 2 3 2" xfId="38132"/>
    <cellStyle name="Comma 8 6 2 4" xfId="31709"/>
    <cellStyle name="Comma 8 6 2 5" xfId="43474"/>
    <cellStyle name="Comma 8 6 3" xfId="8761"/>
    <cellStyle name="Comma 8 6 3 2" xfId="19221"/>
    <cellStyle name="Comma 8 6 3 2 2" xfId="40264"/>
    <cellStyle name="Comma 8 6 3 2 3" xfId="33841"/>
    <cellStyle name="Comma 8 6 3 3" xfId="23711"/>
    <cellStyle name="Comma 8 6 3 3 2" xfId="37057"/>
    <cellStyle name="Comma 8 6 3 4" xfId="30634"/>
    <cellStyle name="Comma 8 6 3 5" xfId="44540"/>
    <cellStyle name="Comma 8 6 4" xfId="7645"/>
    <cellStyle name="Comma 8 6 4 2" xfId="18148"/>
    <cellStyle name="Comma 8 6 4 2 2" xfId="39197"/>
    <cellStyle name="Comma 8 6 4 3" xfId="32774"/>
    <cellStyle name="Comma 8 6 5" xfId="16598"/>
    <cellStyle name="Comma 8 6 5 2" xfId="35990"/>
    <cellStyle name="Comma 8 6 6" xfId="21387"/>
    <cellStyle name="Comma 8 6 7" xfId="29567"/>
    <cellStyle name="Comma 8 6 8" xfId="42406"/>
    <cellStyle name="Comma 8 7" xfId="5066"/>
    <cellStyle name="Comma 8 7 2" xfId="11498"/>
    <cellStyle name="Comma 8 7 2 2" xfId="20297"/>
    <cellStyle name="Comma 8 7 2 2 2" xfId="41340"/>
    <cellStyle name="Comma 8 7 2 2 3" xfId="34917"/>
    <cellStyle name="Comma 8 7 2 3" xfId="22496"/>
    <cellStyle name="Comma 8 7 2 3 2" xfId="38133"/>
    <cellStyle name="Comma 8 7 2 4" xfId="31710"/>
    <cellStyle name="Comma 8 7 2 5" xfId="43475"/>
    <cellStyle name="Comma 8 7 3" xfId="8762"/>
    <cellStyle name="Comma 8 7 3 2" xfId="19222"/>
    <cellStyle name="Comma 8 7 3 2 2" xfId="40265"/>
    <cellStyle name="Comma 8 7 3 2 3" xfId="33842"/>
    <cellStyle name="Comma 8 7 3 3" xfId="23712"/>
    <cellStyle name="Comma 8 7 3 3 2" xfId="37058"/>
    <cellStyle name="Comma 8 7 3 4" xfId="30635"/>
    <cellStyle name="Comma 8 7 3 5" xfId="44541"/>
    <cellStyle name="Comma 8 7 4" xfId="7646"/>
    <cellStyle name="Comma 8 7 4 2" xfId="18149"/>
    <cellStyle name="Comma 8 7 4 2 2" xfId="39198"/>
    <cellStyle name="Comma 8 7 4 3" xfId="32775"/>
    <cellStyle name="Comma 8 7 5" xfId="16881"/>
    <cellStyle name="Comma 8 7 5 2" xfId="35991"/>
    <cellStyle name="Comma 8 7 6" xfId="21388"/>
    <cellStyle name="Comma 8 7 7" xfId="29568"/>
    <cellStyle name="Comma 8 7 8" xfId="42407"/>
    <cellStyle name="Comma 8 8" xfId="5440"/>
    <cellStyle name="Comma 8 8 2" xfId="11499"/>
    <cellStyle name="Comma 8 8 2 2" xfId="20298"/>
    <cellStyle name="Comma 8 8 2 2 2" xfId="41341"/>
    <cellStyle name="Comma 8 8 2 2 3" xfId="34918"/>
    <cellStyle name="Comma 8 8 2 3" xfId="22497"/>
    <cellStyle name="Comma 8 8 2 3 2" xfId="38134"/>
    <cellStyle name="Comma 8 8 2 4" xfId="31711"/>
    <cellStyle name="Comma 8 8 2 5" xfId="43476"/>
    <cellStyle name="Comma 8 8 3" xfId="8763"/>
    <cellStyle name="Comma 8 8 3 2" xfId="19223"/>
    <cellStyle name="Comma 8 8 3 2 2" xfId="40266"/>
    <cellStyle name="Comma 8 8 3 2 3" xfId="33843"/>
    <cellStyle name="Comma 8 8 3 3" xfId="23713"/>
    <cellStyle name="Comma 8 8 3 3 2" xfId="37059"/>
    <cellStyle name="Comma 8 8 3 4" xfId="30636"/>
    <cellStyle name="Comma 8 8 3 5" xfId="44542"/>
    <cellStyle name="Comma 8 8 4" xfId="7647"/>
    <cellStyle name="Comma 8 8 4 2" xfId="18150"/>
    <cellStyle name="Comma 8 8 4 2 2" xfId="39199"/>
    <cellStyle name="Comma 8 8 4 3" xfId="32776"/>
    <cellStyle name="Comma 8 8 5" xfId="16886"/>
    <cellStyle name="Comma 8 8 5 2" xfId="35992"/>
    <cellStyle name="Comma 8 8 6" xfId="21389"/>
    <cellStyle name="Comma 8 8 7" xfId="29569"/>
    <cellStyle name="Comma 8 8 8" xfId="42408"/>
    <cellStyle name="Comma 8 9" xfId="10291"/>
    <cellStyle name="Comma 8 9 2" xfId="19344"/>
    <cellStyle name="Comma 8 9 2 2" xfId="40387"/>
    <cellStyle name="Comma 8 9 2 3" xfId="33964"/>
    <cellStyle name="Comma 8 9 3" xfId="21544"/>
    <cellStyle name="Comma 8 9 3 2" xfId="37180"/>
    <cellStyle name="Comma 8 9 4" xfId="30757"/>
    <cellStyle name="Comma 8 9 5" xfId="42523"/>
    <cellStyle name="Comma 9" xfId="1656"/>
    <cellStyle name="Comma 9 2" xfId="6692"/>
    <cellStyle name="Comma 9 3" xfId="16076"/>
    <cellStyle name="Commentaire" xfId="1247"/>
    <cellStyle name="CountryTitle" xfId="44560"/>
    <cellStyle name="Currency" xfId="6307"/>
    <cellStyle name="Currency 10" xfId="6556"/>
    <cellStyle name="Currency 10 2" xfId="17086"/>
    <cellStyle name="Currency 10 2 2" xfId="38142"/>
    <cellStyle name="Currency 10 3" xfId="31719"/>
    <cellStyle name="Currency 11" xfId="17077"/>
    <cellStyle name="Currency 11 2" xfId="34935"/>
    <cellStyle name="Currency 12" xfId="28509"/>
    <cellStyle name="Currency 2" xfId="1505"/>
    <cellStyle name="Currency 2 2" xfId="6474"/>
    <cellStyle name="Currency 2 2 2" xfId="15947"/>
    <cellStyle name="Currency 2 2 2 2" xfId="20300"/>
    <cellStyle name="Currency 2 2 2 2 2" xfId="41343"/>
    <cellStyle name="Currency 2 2 2 2 3" xfId="34920"/>
    <cellStyle name="Currency 2 2 2 3" xfId="22501"/>
    <cellStyle name="Currency 2 2 2 3 2" xfId="38136"/>
    <cellStyle name="Currency 2 2 2 4" xfId="31713"/>
    <cellStyle name="Currency 2 2 2 5" xfId="43478"/>
    <cellStyle name="Currency 2 2 3" xfId="8764"/>
    <cellStyle name="Currency 2 2 3 2" xfId="19224"/>
    <cellStyle name="Currency 2 2 3 2 2" xfId="40267"/>
    <cellStyle name="Currency 2 2 3 2 3" xfId="33844"/>
    <cellStyle name="Currency 2 2 3 3" xfId="23714"/>
    <cellStyle name="Currency 2 2 3 3 2" xfId="37060"/>
    <cellStyle name="Currency 2 2 3 4" xfId="30637"/>
    <cellStyle name="Currency 2 2 3 5" xfId="44543"/>
    <cellStyle name="Currency 2 2 4" xfId="7672"/>
    <cellStyle name="Currency 2 2 4 2" xfId="18155"/>
    <cellStyle name="Currency 2 2 4 2 2" xfId="39200"/>
    <cellStyle name="Currency 2 2 4 3" xfId="32777"/>
    <cellStyle name="Currency 2 2 5" xfId="17078"/>
    <cellStyle name="Currency 2 2 5 2" xfId="35993"/>
    <cellStyle name="Currency 2 2 6" xfId="21390"/>
    <cellStyle name="Currency 2 2 7" xfId="29570"/>
    <cellStyle name="Currency 2 2 8" xfId="42409"/>
    <cellStyle name="Currency 2 3" xfId="10073"/>
    <cellStyle name="Currency 2 3 2" xfId="19235"/>
    <cellStyle name="Currency 2 3 2 2" xfId="40278"/>
    <cellStyle name="Currency 2 3 2 3" xfId="33855"/>
    <cellStyle name="Currency 2 3 3" xfId="21435"/>
    <cellStyle name="Currency 2 3 3 2" xfId="37071"/>
    <cellStyle name="Currency 2 3 4" xfId="30648"/>
    <cellStyle name="Currency 2 3 5" xfId="42414"/>
    <cellStyle name="Currency 2 4" xfId="7686"/>
    <cellStyle name="Currency 2 4 2" xfId="18162"/>
    <cellStyle name="Currency 2 4 2 2" xfId="39205"/>
    <cellStyle name="Currency 2 4 2 3" xfId="32782"/>
    <cellStyle name="Currency 2 4 3" xfId="35998"/>
    <cellStyle name="Currency 2 4 4" xfId="29575"/>
    <cellStyle name="Currency 2 5" xfId="6558"/>
    <cellStyle name="Currency 2 5 2" xfId="17088"/>
    <cellStyle name="Currency 2 6" xfId="16075"/>
    <cellStyle name="Currency 3" xfId="1669"/>
    <cellStyle name="Currency 3 2" xfId="5067"/>
    <cellStyle name="Currency 3 2 2" xfId="10292"/>
    <cellStyle name="Currency 3 2 2 2" xfId="19345"/>
    <cellStyle name="Currency 3 2 2 2 2" xfId="40388"/>
    <cellStyle name="Currency 3 2 2 2 3" xfId="33965"/>
    <cellStyle name="Currency 3 2 2 3" xfId="21545"/>
    <cellStyle name="Currency 3 2 2 3 2" xfId="37181"/>
    <cellStyle name="Currency 3 2 2 4" xfId="30758"/>
    <cellStyle name="Currency 3 2 2 5" xfId="42524"/>
    <cellStyle name="Currency 3 2 3" xfId="8765"/>
    <cellStyle name="Currency 3 2 3 2" xfId="19225"/>
    <cellStyle name="Currency 3 2 3 2 2" xfId="40268"/>
    <cellStyle name="Currency 3 2 3 2 3" xfId="33845"/>
    <cellStyle name="Currency 3 2 3 3" xfId="23715"/>
    <cellStyle name="Currency 3 2 3 3 2" xfId="37061"/>
    <cellStyle name="Currency 3 2 3 4" xfId="30638"/>
    <cellStyle name="Currency 3 2 3 5" xfId="44544"/>
    <cellStyle name="Currency 3 2 4" xfId="6691"/>
    <cellStyle name="Currency 3 2 4 2" xfId="17198"/>
    <cellStyle name="Currency 3 2 4 2 2" xfId="38251"/>
    <cellStyle name="Currency 3 2 4 3" xfId="31828"/>
    <cellStyle name="Currency 3 2 5" xfId="16882"/>
    <cellStyle name="Currency 3 2 5 2" xfId="35044"/>
    <cellStyle name="Currency 3 2 6" xfId="21391"/>
    <cellStyle name="Currency 3 2 7" xfId="28619"/>
    <cellStyle name="Currency 3 2 8" xfId="42410"/>
    <cellStyle name="Currency 3 3" xfId="10115"/>
    <cellStyle name="Currency 3 3 2" xfId="19238"/>
    <cellStyle name="Currency 3 3 2 2" xfId="40281"/>
    <cellStyle name="Currency 3 3 2 3" xfId="33858"/>
    <cellStyle name="Currency 3 3 3" xfId="21438"/>
    <cellStyle name="Currency 3 3 3 2" xfId="37074"/>
    <cellStyle name="Currency 3 3 4" xfId="30651"/>
    <cellStyle name="Currency 3 3 5" xfId="42417"/>
    <cellStyle name="Currency 3 4" xfId="7689"/>
    <cellStyle name="Currency 3 4 2" xfId="18164"/>
    <cellStyle name="Currency 3 4 2 2" xfId="39207"/>
    <cellStyle name="Currency 3 4 2 3" xfId="32784"/>
    <cellStyle name="Currency 3 4 3" xfId="22605"/>
    <cellStyle name="Currency 3 4 3 2" xfId="36000"/>
    <cellStyle name="Currency 3 4 4" xfId="29577"/>
    <cellStyle name="Currency 3 4 5" xfId="43486"/>
    <cellStyle name="Currency 3 5" xfId="6564"/>
    <cellStyle name="Currency 3 5 2" xfId="17091"/>
    <cellStyle name="Currency 3 6" xfId="16080"/>
    <cellStyle name="Currency 3 7" xfId="20321"/>
    <cellStyle name="Currency 3 8" xfId="41351"/>
    <cellStyle name="Currency 3_Comparison 2015 and 2016" xfId="6430"/>
    <cellStyle name="Currency 4" xfId="1203"/>
    <cellStyle name="Currency 4 2" xfId="11500"/>
    <cellStyle name="Currency 4 2 2" xfId="20299"/>
    <cellStyle name="Currency 4 2 2 2" xfId="41342"/>
    <cellStyle name="Currency 4 2 2 3" xfId="34919"/>
    <cellStyle name="Currency 4 2 3" xfId="22498"/>
    <cellStyle name="Currency 4 2 3 2" xfId="38135"/>
    <cellStyle name="Currency 4 2 4" xfId="31712"/>
    <cellStyle name="Currency 4 2 5" xfId="43477"/>
    <cellStyle name="Currency 4 3" xfId="8766"/>
    <cellStyle name="Currency 4 3 2" xfId="19226"/>
    <cellStyle name="Currency 4 3 2 2" xfId="40269"/>
    <cellStyle name="Currency 4 3 2 3" xfId="33846"/>
    <cellStyle name="Currency 4 3 3" xfId="37062"/>
    <cellStyle name="Currency 4 3 4" xfId="30639"/>
    <cellStyle name="Currency 4 4" xfId="7648"/>
    <cellStyle name="Currency 4 4 2" xfId="18151"/>
    <cellStyle name="Currency 4 5" xfId="16010"/>
    <cellStyle name="Currency 5" xfId="6507"/>
    <cellStyle name="Currency 5 2" xfId="15980"/>
    <cellStyle name="Currency 5 2 2" xfId="20303"/>
    <cellStyle name="Currency 5 2 2 2" xfId="41346"/>
    <cellStyle name="Currency 5 2 2 3" xfId="34923"/>
    <cellStyle name="Currency 5 2 3" xfId="22504"/>
    <cellStyle name="Currency 5 2 3 2" xfId="38139"/>
    <cellStyle name="Currency 5 2 4" xfId="31716"/>
    <cellStyle name="Currency 5 2 5" xfId="43481"/>
    <cellStyle name="Currency 5 3" xfId="8786"/>
    <cellStyle name="Currency 5 3 2" xfId="19230"/>
    <cellStyle name="Currency 5 3 2 2" xfId="40273"/>
    <cellStyle name="Currency 5 3 2 3" xfId="33850"/>
    <cellStyle name="Currency 5 3 3" xfId="28406"/>
    <cellStyle name="Currency 5 3 3 2" xfId="37066"/>
    <cellStyle name="Currency 5 3 4" xfId="30643"/>
    <cellStyle name="Currency 5 3 5" xfId="44548"/>
    <cellStyle name="Currency 5 4" xfId="7679"/>
    <cellStyle name="Currency 5 4 2" xfId="18158"/>
    <cellStyle name="Currency 5 4 2 2" xfId="39201"/>
    <cellStyle name="Currency 5 4 3" xfId="32778"/>
    <cellStyle name="Currency 5 5" xfId="17081"/>
    <cellStyle name="Currency 5 5 2" xfId="35994"/>
    <cellStyle name="Currency 5 6" xfId="20333"/>
    <cellStyle name="Currency 5 7" xfId="29571"/>
    <cellStyle name="Currency 5 8" xfId="41356"/>
    <cellStyle name="Currency 6" xfId="6509"/>
    <cellStyle name="Currency 6 2" xfId="10057"/>
    <cellStyle name="Currency 6 2 2" xfId="19233"/>
    <cellStyle name="Currency 6 2 2 2" xfId="40276"/>
    <cellStyle name="Currency 6 2 3" xfId="33853"/>
    <cellStyle name="Currency 6 3" xfId="17082"/>
    <cellStyle name="Currency 6 3 2" xfId="37069"/>
    <cellStyle name="Currency 6 4" xfId="21433"/>
    <cellStyle name="Currency 6 5" xfId="30646"/>
    <cellStyle name="Currency 6 6" xfId="42412"/>
    <cellStyle name="Currency 7" xfId="10547"/>
    <cellStyle name="Currency 7 2" xfId="19346"/>
    <cellStyle name="Currency 7 2 2" xfId="40389"/>
    <cellStyle name="Currency 7 2 3" xfId="33966"/>
    <cellStyle name="Currency 7 3" xfId="22506"/>
    <cellStyle name="Currency 7 3 2" xfId="37182"/>
    <cellStyle name="Currency 7 4" xfId="30759"/>
    <cellStyle name="Currency 7 5" xfId="43483"/>
    <cellStyle name="Currency 8" xfId="15982"/>
    <cellStyle name="Currency 8 2" xfId="20304"/>
    <cellStyle name="Currency 8 2 2" xfId="41347"/>
    <cellStyle name="Currency 8 2 3" xfId="34924"/>
    <cellStyle name="Currency 8 3" xfId="38140"/>
    <cellStyle name="Currency 8 4" xfId="31717"/>
    <cellStyle name="Currency 9" xfId="7683"/>
    <cellStyle name="Currency 9 2" xfId="18160"/>
    <cellStyle name="Currency 9 2 2" xfId="39203"/>
    <cellStyle name="Currency 9 2 3" xfId="32780"/>
    <cellStyle name="Currency 9 3" xfId="35996"/>
    <cellStyle name="Currency 9 4" xfId="29573"/>
    <cellStyle name="Entrée" xfId="1248"/>
    <cellStyle name="Explanatory Text" xfId="173" builtinId="53" customBuiltin="1"/>
    <cellStyle name="Explanatory Text 2" xfId="6530"/>
    <cellStyle name="Explanatory Text 3" xfId="44619"/>
    <cellStyle name="Footnote" xfId="44561"/>
    <cellStyle name="Good" xfId="163" builtinId="26" customBuiltin="1"/>
    <cellStyle name="Good 2" xfId="6529"/>
    <cellStyle name="Good 3" xfId="44609"/>
    <cellStyle name="Heading 1" xfId="159" builtinId="16" customBuiltin="1"/>
    <cellStyle name="Heading 1 2" xfId="6528"/>
    <cellStyle name="Heading 2" xfId="160" builtinId="17" customBuiltin="1"/>
    <cellStyle name="Heading 2 2" xfId="6520"/>
    <cellStyle name="Heading 3" xfId="161" builtinId="18" customBuiltin="1"/>
    <cellStyle name="Heading 3 2" xfId="6527"/>
    <cellStyle name="Heading 4" xfId="162" builtinId="19" customBuiltin="1"/>
    <cellStyle name="Heading 4 2" xfId="6526"/>
    <cellStyle name="Hyperlink" xfId="28" builtinId="8"/>
    <cellStyle name="Hyperlink 2" xfId="6285"/>
    <cellStyle name="Hyperlink 2 2" xfId="15995"/>
    <cellStyle name="Hyperlink 3" xfId="6298"/>
    <cellStyle name="Hyperlink 3 2" xfId="15996"/>
    <cellStyle name="Hyperlink 4" xfId="6299"/>
    <cellStyle name="Hyperlink 5" xfId="6303"/>
    <cellStyle name="Hyperlink 5 2" xfId="17076"/>
    <cellStyle name="Hyperlink 5 3" xfId="28479"/>
    <cellStyle name="Hyperlink 6" xfId="6553"/>
    <cellStyle name="Hyperlink 6 2" xfId="17084"/>
    <cellStyle name="Hyperlink 6 3" xfId="44562"/>
    <cellStyle name="Hyperlink 7" xfId="6554"/>
    <cellStyle name="Hyperlink 8" xfId="15990"/>
    <cellStyle name="Hyperlink 9" xfId="20316"/>
    <cellStyle name="Input" xfId="166" builtinId="20" customBuiltin="1"/>
    <cellStyle name="Input 2" xfId="6525"/>
    <cellStyle name="Input 3" xfId="44612"/>
    <cellStyle name="Insatisfaisant" xfId="1249"/>
    <cellStyle name="Linked Cell" xfId="169" builtinId="24" customBuiltin="1"/>
    <cellStyle name="Linked Cell 2" xfId="6524"/>
    <cellStyle name="Linked Cell 3" xfId="44615"/>
    <cellStyle name="Neutral" xfId="165" builtinId="28" customBuiltin="1"/>
    <cellStyle name="Neutral 2" xfId="6523"/>
    <cellStyle name="Neutral 3" xfId="44611"/>
    <cellStyle name="Neutre" xfId="1250"/>
    <cellStyle name="Normal" xfId="0" builtinId="0"/>
    <cellStyle name="Normal [0]" xfId="44563"/>
    <cellStyle name="Normal [2]" xfId="44564"/>
    <cellStyle name="Normal 10" xfId="1101"/>
    <cellStyle name="Normal 10 10" xfId="1376"/>
    <cellStyle name="Normal 10 10 2" xfId="1747"/>
    <cellStyle name="Normal 10 10 2 2" xfId="2649"/>
    <cellStyle name="Normal 10 10 2 2 2" xfId="11503"/>
    <cellStyle name="Normal 10 10 2 2 3" xfId="23718"/>
    <cellStyle name="Normal 10 10 2 3" xfId="3513"/>
    <cellStyle name="Normal 10 10 2 3 2" xfId="11504"/>
    <cellStyle name="Normal 10 10 2 3 3" xfId="23719"/>
    <cellStyle name="Normal 10 10 2 4" xfId="4385"/>
    <cellStyle name="Normal 10 10 2 4 2" xfId="11505"/>
    <cellStyle name="Normal 10 10 2 4 3" xfId="23720"/>
    <cellStyle name="Normal 10 10 2 5" xfId="5650"/>
    <cellStyle name="Normal 10 10 2 5 2" xfId="11506"/>
    <cellStyle name="Normal 10 10 2 5 3" xfId="23721"/>
    <cellStyle name="Normal 10 10 2 6" xfId="11502"/>
    <cellStyle name="Normal 10 10 2 7" xfId="23717"/>
    <cellStyle name="Normal 10 10 2_LNG &amp; LPG rework" xfId="8978"/>
    <cellStyle name="Normal 10 10 3" xfId="2034"/>
    <cellStyle name="Normal 10 10 3 2" xfId="2904"/>
    <cellStyle name="Normal 10 10 3 2 2" xfId="11508"/>
    <cellStyle name="Normal 10 10 3 2 3" xfId="23723"/>
    <cellStyle name="Normal 10 10 3 3" xfId="3771"/>
    <cellStyle name="Normal 10 10 3 3 2" xfId="11509"/>
    <cellStyle name="Normal 10 10 3 3 3" xfId="23724"/>
    <cellStyle name="Normal 10 10 3 4" xfId="4649"/>
    <cellStyle name="Normal 10 10 3 4 2" xfId="11510"/>
    <cellStyle name="Normal 10 10 3 4 3" xfId="23725"/>
    <cellStyle name="Normal 10 10 3 5" xfId="5914"/>
    <cellStyle name="Normal 10 10 3 5 2" xfId="11511"/>
    <cellStyle name="Normal 10 10 3 5 3" xfId="23726"/>
    <cellStyle name="Normal 10 10 3 6" xfId="11507"/>
    <cellStyle name="Normal 10 10 3 7" xfId="23722"/>
    <cellStyle name="Normal 10 10 3_LNG &amp; LPG rework" xfId="8977"/>
    <cellStyle name="Normal 10 10 4" xfId="2398"/>
    <cellStyle name="Normal 10 10 4 2" xfId="11512"/>
    <cellStyle name="Normal 10 10 4 3" xfId="23727"/>
    <cellStyle name="Normal 10 10 5" xfId="3257"/>
    <cellStyle name="Normal 10 10 5 2" xfId="11513"/>
    <cellStyle name="Normal 10 10 5 3" xfId="23728"/>
    <cellStyle name="Normal 10 10 6" xfId="4125"/>
    <cellStyle name="Normal 10 10 6 2" xfId="11514"/>
    <cellStyle name="Normal 10 10 6 3" xfId="23729"/>
    <cellStyle name="Normal 10 10 7" xfId="5387"/>
    <cellStyle name="Normal 10 10 7 2" xfId="11515"/>
    <cellStyle name="Normal 10 10 7 3" xfId="23730"/>
    <cellStyle name="Normal 10 10 8" xfId="11501"/>
    <cellStyle name="Normal 10 10 9" xfId="23716"/>
    <cellStyle name="Normal 10 10_LNG &amp; LPG rework" xfId="8982"/>
    <cellStyle name="Normal 10 11" xfId="1381"/>
    <cellStyle name="Normal 10 11 2" xfId="1752"/>
    <cellStyle name="Normal 10 11 2 2" xfId="2653"/>
    <cellStyle name="Normal 10 11 2 2 2" xfId="11518"/>
    <cellStyle name="Normal 10 11 2 2 3" xfId="23733"/>
    <cellStyle name="Normal 10 11 2 3" xfId="3517"/>
    <cellStyle name="Normal 10 11 2 3 2" xfId="11519"/>
    <cellStyle name="Normal 10 11 2 3 3" xfId="23734"/>
    <cellStyle name="Normal 10 11 2 4" xfId="4389"/>
    <cellStyle name="Normal 10 11 2 4 2" xfId="11520"/>
    <cellStyle name="Normal 10 11 2 4 3" xfId="23735"/>
    <cellStyle name="Normal 10 11 2 5" xfId="5654"/>
    <cellStyle name="Normal 10 11 2 5 2" xfId="11521"/>
    <cellStyle name="Normal 10 11 2 5 3" xfId="23736"/>
    <cellStyle name="Normal 10 11 2 6" xfId="11517"/>
    <cellStyle name="Normal 10 11 2 7" xfId="23732"/>
    <cellStyle name="Normal 10 11 2_LNG &amp; LPG rework" xfId="8976"/>
    <cellStyle name="Normal 10 11 3" xfId="2038"/>
    <cellStyle name="Normal 10 11 3 2" xfId="2908"/>
    <cellStyle name="Normal 10 11 3 2 2" xfId="11523"/>
    <cellStyle name="Normal 10 11 3 2 3" xfId="23738"/>
    <cellStyle name="Normal 10 11 3 3" xfId="3775"/>
    <cellStyle name="Normal 10 11 3 3 2" xfId="11524"/>
    <cellStyle name="Normal 10 11 3 3 3" xfId="23739"/>
    <cellStyle name="Normal 10 11 3 4" xfId="4653"/>
    <cellStyle name="Normal 10 11 3 4 2" xfId="11525"/>
    <cellStyle name="Normal 10 11 3 4 3" xfId="23740"/>
    <cellStyle name="Normal 10 11 3 5" xfId="5918"/>
    <cellStyle name="Normal 10 11 3 5 2" xfId="11526"/>
    <cellStyle name="Normal 10 11 3 5 3" xfId="23741"/>
    <cellStyle name="Normal 10 11 3 6" xfId="11522"/>
    <cellStyle name="Normal 10 11 3 7" xfId="23737"/>
    <cellStyle name="Normal 10 11 3_LNG &amp; LPG rework" xfId="8975"/>
    <cellStyle name="Normal 10 11 4" xfId="2402"/>
    <cellStyle name="Normal 10 11 4 2" xfId="11527"/>
    <cellStyle name="Normal 10 11 4 3" xfId="23742"/>
    <cellStyle name="Normal 10 11 5" xfId="3261"/>
    <cellStyle name="Normal 10 11 5 2" xfId="11528"/>
    <cellStyle name="Normal 10 11 5 3" xfId="23743"/>
    <cellStyle name="Normal 10 11 6" xfId="4129"/>
    <cellStyle name="Normal 10 11 6 2" xfId="11529"/>
    <cellStyle name="Normal 10 11 6 3" xfId="23744"/>
    <cellStyle name="Normal 10 11 7" xfId="5391"/>
    <cellStyle name="Normal 10 11 7 2" xfId="11530"/>
    <cellStyle name="Normal 10 11 7 3" xfId="23745"/>
    <cellStyle name="Normal 10 11 8" xfId="11516"/>
    <cellStyle name="Normal 10 11 9" xfId="23731"/>
    <cellStyle name="Normal 10 11_LNG &amp; LPG rework" xfId="8983"/>
    <cellStyle name="Normal 10 12" xfId="1388"/>
    <cellStyle name="Normal 10 12 2" xfId="1758"/>
    <cellStyle name="Normal 10 12 2 2" xfId="2658"/>
    <cellStyle name="Normal 10 12 2 2 2" xfId="11533"/>
    <cellStyle name="Normal 10 12 2 2 3" xfId="23748"/>
    <cellStyle name="Normal 10 12 2 3" xfId="3522"/>
    <cellStyle name="Normal 10 12 2 3 2" xfId="11534"/>
    <cellStyle name="Normal 10 12 2 3 3" xfId="23749"/>
    <cellStyle name="Normal 10 12 2 4" xfId="4394"/>
    <cellStyle name="Normal 10 12 2 4 2" xfId="11535"/>
    <cellStyle name="Normal 10 12 2 4 3" xfId="23750"/>
    <cellStyle name="Normal 10 12 2 5" xfId="5659"/>
    <cellStyle name="Normal 10 12 2 5 2" xfId="11536"/>
    <cellStyle name="Normal 10 12 2 5 3" xfId="23751"/>
    <cellStyle name="Normal 10 12 2 6" xfId="11532"/>
    <cellStyle name="Normal 10 12 2 7" xfId="23747"/>
    <cellStyle name="Normal 10 12 2_LNG &amp; LPG rework" xfId="8984"/>
    <cellStyle name="Normal 10 12 3" xfId="2043"/>
    <cellStyle name="Normal 10 12 3 2" xfId="2913"/>
    <cellStyle name="Normal 10 12 3 2 2" xfId="11538"/>
    <cellStyle name="Normal 10 12 3 2 3" xfId="23753"/>
    <cellStyle name="Normal 10 12 3 3" xfId="3780"/>
    <cellStyle name="Normal 10 12 3 3 2" xfId="11539"/>
    <cellStyle name="Normal 10 12 3 3 3" xfId="23754"/>
    <cellStyle name="Normal 10 12 3 4" xfId="4658"/>
    <cellStyle name="Normal 10 12 3 4 2" xfId="11540"/>
    <cellStyle name="Normal 10 12 3 4 3" xfId="23755"/>
    <cellStyle name="Normal 10 12 3 5" xfId="5923"/>
    <cellStyle name="Normal 10 12 3 5 2" xfId="11541"/>
    <cellStyle name="Normal 10 12 3 5 3" xfId="23756"/>
    <cellStyle name="Normal 10 12 3 6" xfId="11537"/>
    <cellStyle name="Normal 10 12 3 7" xfId="23752"/>
    <cellStyle name="Normal 10 12 3_LNG &amp; LPG rework" xfId="8986"/>
    <cellStyle name="Normal 10 12 4" xfId="2407"/>
    <cellStyle name="Normal 10 12 4 2" xfId="11542"/>
    <cellStyle name="Normal 10 12 4 3" xfId="23757"/>
    <cellStyle name="Normal 10 12 5" xfId="3266"/>
    <cellStyle name="Normal 10 12 5 2" xfId="11543"/>
    <cellStyle name="Normal 10 12 5 3" xfId="23758"/>
    <cellStyle name="Normal 10 12 6" xfId="4134"/>
    <cellStyle name="Normal 10 12 6 2" xfId="11544"/>
    <cellStyle name="Normal 10 12 6 3" xfId="23759"/>
    <cellStyle name="Normal 10 12 7" xfId="5396"/>
    <cellStyle name="Normal 10 12 7 2" xfId="11545"/>
    <cellStyle name="Normal 10 12 7 3" xfId="23760"/>
    <cellStyle name="Normal 10 12 8" xfId="11531"/>
    <cellStyle name="Normal 10 12 9" xfId="23746"/>
    <cellStyle name="Normal 10 12_LNG &amp; LPG rework" xfId="8985"/>
    <cellStyle name="Normal 10 13" xfId="1401"/>
    <cellStyle name="Normal 10 13 2" xfId="1769"/>
    <cellStyle name="Normal 10 13 2 2" xfId="2662"/>
    <cellStyle name="Normal 10 13 2 2 2" xfId="11548"/>
    <cellStyle name="Normal 10 13 2 2 3" xfId="23763"/>
    <cellStyle name="Normal 10 13 2 3" xfId="3526"/>
    <cellStyle name="Normal 10 13 2 3 2" xfId="11549"/>
    <cellStyle name="Normal 10 13 2 3 3" xfId="23764"/>
    <cellStyle name="Normal 10 13 2 4" xfId="4398"/>
    <cellStyle name="Normal 10 13 2 4 2" xfId="11550"/>
    <cellStyle name="Normal 10 13 2 4 3" xfId="23765"/>
    <cellStyle name="Normal 10 13 2 5" xfId="5663"/>
    <cellStyle name="Normal 10 13 2 5 2" xfId="11551"/>
    <cellStyle name="Normal 10 13 2 5 3" xfId="23766"/>
    <cellStyle name="Normal 10 13 2 6" xfId="11547"/>
    <cellStyle name="Normal 10 13 2 7" xfId="23762"/>
    <cellStyle name="Normal 10 13 2_LNG &amp; LPG rework" xfId="8988"/>
    <cellStyle name="Normal 10 13 3" xfId="2047"/>
    <cellStyle name="Normal 10 13 3 2" xfId="2917"/>
    <cellStyle name="Normal 10 13 3 2 2" xfId="11553"/>
    <cellStyle name="Normal 10 13 3 2 3" xfId="23768"/>
    <cellStyle name="Normal 10 13 3 3" xfId="3784"/>
    <cellStyle name="Normal 10 13 3 3 2" xfId="11554"/>
    <cellStyle name="Normal 10 13 3 3 3" xfId="23769"/>
    <cellStyle name="Normal 10 13 3 4" xfId="4662"/>
    <cellStyle name="Normal 10 13 3 4 2" xfId="11555"/>
    <cellStyle name="Normal 10 13 3 4 3" xfId="23770"/>
    <cellStyle name="Normal 10 13 3 5" xfId="5927"/>
    <cellStyle name="Normal 10 13 3 5 2" xfId="11556"/>
    <cellStyle name="Normal 10 13 3 5 3" xfId="23771"/>
    <cellStyle name="Normal 10 13 3 6" xfId="11552"/>
    <cellStyle name="Normal 10 13 3 7" xfId="23767"/>
    <cellStyle name="Normal 10 13 3_LNG &amp; LPG rework" xfId="8989"/>
    <cellStyle name="Normal 10 13 4" xfId="2411"/>
    <cellStyle name="Normal 10 13 4 2" xfId="11557"/>
    <cellStyle name="Normal 10 13 4 3" xfId="23772"/>
    <cellStyle name="Normal 10 13 5" xfId="3270"/>
    <cellStyle name="Normal 10 13 5 2" xfId="11558"/>
    <cellStyle name="Normal 10 13 5 3" xfId="23773"/>
    <cellStyle name="Normal 10 13 6" xfId="4138"/>
    <cellStyle name="Normal 10 13 6 2" xfId="11559"/>
    <cellStyle name="Normal 10 13 6 3" xfId="23774"/>
    <cellStyle name="Normal 10 13 7" xfId="5400"/>
    <cellStyle name="Normal 10 13 7 2" xfId="11560"/>
    <cellStyle name="Normal 10 13 7 3" xfId="23775"/>
    <cellStyle name="Normal 10 13 8" xfId="11546"/>
    <cellStyle name="Normal 10 13 9" xfId="23761"/>
    <cellStyle name="Normal 10 13_LNG &amp; LPG rework" xfId="8987"/>
    <cellStyle name="Normal 10 14" xfId="1408"/>
    <cellStyle name="Normal 10 14 2" xfId="1774"/>
    <cellStyle name="Normal 10 14 2 2" xfId="2666"/>
    <cellStyle name="Normal 10 14 2 2 2" xfId="11563"/>
    <cellStyle name="Normal 10 14 2 2 3" xfId="23778"/>
    <cellStyle name="Normal 10 14 2 3" xfId="3530"/>
    <cellStyle name="Normal 10 14 2 3 2" xfId="11564"/>
    <cellStyle name="Normal 10 14 2 3 3" xfId="23779"/>
    <cellStyle name="Normal 10 14 2 4" xfId="4402"/>
    <cellStyle name="Normal 10 14 2 4 2" xfId="11565"/>
    <cellStyle name="Normal 10 14 2 4 3" xfId="23780"/>
    <cellStyle name="Normal 10 14 2 5" xfId="5667"/>
    <cellStyle name="Normal 10 14 2 5 2" xfId="11566"/>
    <cellStyle name="Normal 10 14 2 5 3" xfId="23781"/>
    <cellStyle name="Normal 10 14 2 6" xfId="11562"/>
    <cellStyle name="Normal 10 14 2 7" xfId="23777"/>
    <cellStyle name="Normal 10 14 2_LNG &amp; LPG rework" xfId="8991"/>
    <cellStyle name="Normal 10 14 3" xfId="2051"/>
    <cellStyle name="Normal 10 14 3 2" xfId="2921"/>
    <cellStyle name="Normal 10 14 3 2 2" xfId="11568"/>
    <cellStyle name="Normal 10 14 3 2 3" xfId="23783"/>
    <cellStyle name="Normal 10 14 3 3" xfId="3788"/>
    <cellStyle name="Normal 10 14 3 3 2" xfId="11569"/>
    <cellStyle name="Normal 10 14 3 3 3" xfId="23784"/>
    <cellStyle name="Normal 10 14 3 4" xfId="4666"/>
    <cellStyle name="Normal 10 14 3 4 2" xfId="11570"/>
    <cellStyle name="Normal 10 14 3 4 3" xfId="23785"/>
    <cellStyle name="Normal 10 14 3 5" xfId="5931"/>
    <cellStyle name="Normal 10 14 3 5 2" xfId="11571"/>
    <cellStyle name="Normal 10 14 3 5 3" xfId="23786"/>
    <cellStyle name="Normal 10 14 3 6" xfId="11567"/>
    <cellStyle name="Normal 10 14 3 7" xfId="23782"/>
    <cellStyle name="Normal 10 14 3_LNG &amp; LPG rework" xfId="8992"/>
    <cellStyle name="Normal 10 14 4" xfId="2415"/>
    <cellStyle name="Normal 10 14 4 2" xfId="11572"/>
    <cellStyle name="Normal 10 14 4 3" xfId="23787"/>
    <cellStyle name="Normal 10 14 5" xfId="3274"/>
    <cellStyle name="Normal 10 14 5 2" xfId="11573"/>
    <cellStyle name="Normal 10 14 5 3" xfId="23788"/>
    <cellStyle name="Normal 10 14 6" xfId="4142"/>
    <cellStyle name="Normal 10 14 6 2" xfId="11574"/>
    <cellStyle name="Normal 10 14 6 3" xfId="23789"/>
    <cellStyle name="Normal 10 14 7" xfId="5404"/>
    <cellStyle name="Normal 10 14 7 2" xfId="11575"/>
    <cellStyle name="Normal 10 14 7 3" xfId="23790"/>
    <cellStyle name="Normal 10 14 8" xfId="11561"/>
    <cellStyle name="Normal 10 14 9" xfId="23776"/>
    <cellStyle name="Normal 10 14_LNG &amp; LPG rework" xfId="8990"/>
    <cellStyle name="Normal 10 15" xfId="1413"/>
    <cellStyle name="Normal 10 15 2" xfId="1779"/>
    <cellStyle name="Normal 10 15 2 2" xfId="2670"/>
    <cellStyle name="Normal 10 15 2 2 2" xfId="11578"/>
    <cellStyle name="Normal 10 15 2 2 3" xfId="23793"/>
    <cellStyle name="Normal 10 15 2 3" xfId="3534"/>
    <cellStyle name="Normal 10 15 2 3 2" xfId="11579"/>
    <cellStyle name="Normal 10 15 2 3 3" xfId="23794"/>
    <cellStyle name="Normal 10 15 2 4" xfId="4406"/>
    <cellStyle name="Normal 10 15 2 4 2" xfId="11580"/>
    <cellStyle name="Normal 10 15 2 4 3" xfId="23795"/>
    <cellStyle name="Normal 10 15 2 5" xfId="5671"/>
    <cellStyle name="Normal 10 15 2 5 2" xfId="11581"/>
    <cellStyle name="Normal 10 15 2 5 3" xfId="23796"/>
    <cellStyle name="Normal 10 15 2 6" xfId="11577"/>
    <cellStyle name="Normal 10 15 2 7" xfId="23792"/>
    <cellStyle name="Normal 10 15 2_LNG &amp; LPG rework" xfId="8994"/>
    <cellStyle name="Normal 10 15 3" xfId="2055"/>
    <cellStyle name="Normal 10 15 3 2" xfId="2925"/>
    <cellStyle name="Normal 10 15 3 2 2" xfId="11583"/>
    <cellStyle name="Normal 10 15 3 2 3" xfId="23798"/>
    <cellStyle name="Normal 10 15 3 3" xfId="3792"/>
    <cellStyle name="Normal 10 15 3 3 2" xfId="11584"/>
    <cellStyle name="Normal 10 15 3 3 3" xfId="23799"/>
    <cellStyle name="Normal 10 15 3 4" xfId="4670"/>
    <cellStyle name="Normal 10 15 3 4 2" xfId="11585"/>
    <cellStyle name="Normal 10 15 3 4 3" xfId="23800"/>
    <cellStyle name="Normal 10 15 3 5" xfId="5935"/>
    <cellStyle name="Normal 10 15 3 5 2" xfId="11586"/>
    <cellStyle name="Normal 10 15 3 5 3" xfId="23801"/>
    <cellStyle name="Normal 10 15 3 6" xfId="11582"/>
    <cellStyle name="Normal 10 15 3 7" xfId="23797"/>
    <cellStyle name="Normal 10 15 3_LNG &amp; LPG rework" xfId="8995"/>
    <cellStyle name="Normal 10 15 4" xfId="2419"/>
    <cellStyle name="Normal 10 15 4 2" xfId="11587"/>
    <cellStyle name="Normal 10 15 4 3" xfId="23802"/>
    <cellStyle name="Normal 10 15 5" xfId="3278"/>
    <cellStyle name="Normal 10 15 5 2" xfId="11588"/>
    <cellStyle name="Normal 10 15 5 3" xfId="23803"/>
    <cellStyle name="Normal 10 15 6" xfId="4146"/>
    <cellStyle name="Normal 10 15 6 2" xfId="11589"/>
    <cellStyle name="Normal 10 15 6 3" xfId="23804"/>
    <cellStyle name="Normal 10 15 7" xfId="5408"/>
    <cellStyle name="Normal 10 15 7 2" xfId="11590"/>
    <cellStyle name="Normal 10 15 7 3" xfId="23805"/>
    <cellStyle name="Normal 10 15 8" xfId="11576"/>
    <cellStyle name="Normal 10 15 9" xfId="23791"/>
    <cellStyle name="Normal 10 15_LNG &amp; LPG rework" xfId="8993"/>
    <cellStyle name="Normal 10 16" xfId="1417"/>
    <cellStyle name="Normal 10 16 2" xfId="1783"/>
    <cellStyle name="Normal 10 16 2 2" xfId="2674"/>
    <cellStyle name="Normal 10 16 2 2 2" xfId="11593"/>
    <cellStyle name="Normal 10 16 2 2 3" xfId="23808"/>
    <cellStyle name="Normal 10 16 2 3" xfId="3538"/>
    <cellStyle name="Normal 10 16 2 3 2" xfId="11594"/>
    <cellStyle name="Normal 10 16 2 3 3" xfId="23809"/>
    <cellStyle name="Normal 10 16 2 4" xfId="4410"/>
    <cellStyle name="Normal 10 16 2 4 2" xfId="11595"/>
    <cellStyle name="Normal 10 16 2 4 3" xfId="23810"/>
    <cellStyle name="Normal 10 16 2 5" xfId="5675"/>
    <cellStyle name="Normal 10 16 2 5 2" xfId="11596"/>
    <cellStyle name="Normal 10 16 2 5 3" xfId="23811"/>
    <cellStyle name="Normal 10 16 2 6" xfId="11592"/>
    <cellStyle name="Normal 10 16 2 7" xfId="23807"/>
    <cellStyle name="Normal 10 16 2_LNG &amp; LPG rework" xfId="8997"/>
    <cellStyle name="Normal 10 16 3" xfId="2059"/>
    <cellStyle name="Normal 10 16 3 2" xfId="2929"/>
    <cellStyle name="Normal 10 16 3 2 2" xfId="11598"/>
    <cellStyle name="Normal 10 16 3 2 3" xfId="23813"/>
    <cellStyle name="Normal 10 16 3 3" xfId="3796"/>
    <cellStyle name="Normal 10 16 3 3 2" xfId="11599"/>
    <cellStyle name="Normal 10 16 3 3 3" xfId="23814"/>
    <cellStyle name="Normal 10 16 3 4" xfId="4674"/>
    <cellStyle name="Normal 10 16 3 4 2" xfId="11600"/>
    <cellStyle name="Normal 10 16 3 4 3" xfId="23815"/>
    <cellStyle name="Normal 10 16 3 5" xfId="5939"/>
    <cellStyle name="Normal 10 16 3 5 2" xfId="11601"/>
    <cellStyle name="Normal 10 16 3 5 3" xfId="23816"/>
    <cellStyle name="Normal 10 16 3 6" xfId="11597"/>
    <cellStyle name="Normal 10 16 3 7" xfId="23812"/>
    <cellStyle name="Normal 10 16 3_LNG &amp; LPG rework" xfId="8974"/>
    <cellStyle name="Normal 10 16 4" xfId="2423"/>
    <cellStyle name="Normal 10 16 4 2" xfId="11602"/>
    <cellStyle name="Normal 10 16 4 3" xfId="23817"/>
    <cellStyle name="Normal 10 16 5" xfId="3282"/>
    <cellStyle name="Normal 10 16 5 2" xfId="11603"/>
    <cellStyle name="Normal 10 16 5 3" xfId="23818"/>
    <cellStyle name="Normal 10 16 6" xfId="4150"/>
    <cellStyle name="Normal 10 16 6 2" xfId="11604"/>
    <cellStyle name="Normal 10 16 6 3" xfId="23819"/>
    <cellStyle name="Normal 10 16 7" xfId="5412"/>
    <cellStyle name="Normal 10 16 7 2" xfId="11605"/>
    <cellStyle name="Normal 10 16 7 3" xfId="23820"/>
    <cellStyle name="Normal 10 16 8" xfId="11591"/>
    <cellStyle name="Normal 10 16 9" xfId="23806"/>
    <cellStyle name="Normal 10 16_LNG &amp; LPG rework" xfId="8996"/>
    <cellStyle name="Normal 10 17" xfId="1427"/>
    <cellStyle name="Normal 10 17 2" xfId="1791"/>
    <cellStyle name="Normal 10 17 2 2" xfId="2682"/>
    <cellStyle name="Normal 10 17 2 2 2" xfId="11608"/>
    <cellStyle name="Normal 10 17 2 2 3" xfId="23823"/>
    <cellStyle name="Normal 10 17 2 3" xfId="3546"/>
    <cellStyle name="Normal 10 17 2 3 2" xfId="11609"/>
    <cellStyle name="Normal 10 17 2 3 3" xfId="23824"/>
    <cellStyle name="Normal 10 17 2 4" xfId="4418"/>
    <cellStyle name="Normal 10 17 2 4 2" xfId="11610"/>
    <cellStyle name="Normal 10 17 2 4 3" xfId="23825"/>
    <cellStyle name="Normal 10 17 2 5" xfId="5683"/>
    <cellStyle name="Normal 10 17 2 5 2" xfId="11611"/>
    <cellStyle name="Normal 10 17 2 5 3" xfId="23826"/>
    <cellStyle name="Normal 10 17 2 6" xfId="11607"/>
    <cellStyle name="Normal 10 17 2 7" xfId="23822"/>
    <cellStyle name="Normal 10 17 2_LNG &amp; LPG rework" xfId="8972"/>
    <cellStyle name="Normal 10 17 3" xfId="2067"/>
    <cellStyle name="Normal 10 17 3 2" xfId="2937"/>
    <cellStyle name="Normal 10 17 3 2 2" xfId="11613"/>
    <cellStyle name="Normal 10 17 3 2 3" xfId="23828"/>
    <cellStyle name="Normal 10 17 3 3" xfId="3804"/>
    <cellStyle name="Normal 10 17 3 3 2" xfId="11614"/>
    <cellStyle name="Normal 10 17 3 3 3" xfId="23829"/>
    <cellStyle name="Normal 10 17 3 4" xfId="4682"/>
    <cellStyle name="Normal 10 17 3 4 2" xfId="11615"/>
    <cellStyle name="Normal 10 17 3 4 3" xfId="23830"/>
    <cellStyle name="Normal 10 17 3 5" xfId="5947"/>
    <cellStyle name="Normal 10 17 3 5 2" xfId="11616"/>
    <cellStyle name="Normal 10 17 3 5 3" xfId="23831"/>
    <cellStyle name="Normal 10 17 3 6" xfId="11612"/>
    <cellStyle name="Normal 10 17 3 7" xfId="23827"/>
    <cellStyle name="Normal 10 17 3_LNG &amp; LPG rework" xfId="8971"/>
    <cellStyle name="Normal 10 17 4" xfId="2431"/>
    <cellStyle name="Normal 10 17 4 2" xfId="11617"/>
    <cellStyle name="Normal 10 17 4 3" xfId="23832"/>
    <cellStyle name="Normal 10 17 5" xfId="3290"/>
    <cellStyle name="Normal 10 17 5 2" xfId="11618"/>
    <cellStyle name="Normal 10 17 5 3" xfId="23833"/>
    <cellStyle name="Normal 10 17 6" xfId="4158"/>
    <cellStyle name="Normal 10 17 6 2" xfId="11619"/>
    <cellStyle name="Normal 10 17 6 3" xfId="23834"/>
    <cellStyle name="Normal 10 17 7" xfId="5420"/>
    <cellStyle name="Normal 10 17 7 2" xfId="11620"/>
    <cellStyle name="Normal 10 17 7 3" xfId="23835"/>
    <cellStyle name="Normal 10 17 8" xfId="11606"/>
    <cellStyle name="Normal 10 17 9" xfId="23821"/>
    <cellStyle name="Normal 10 17_LNG &amp; LPG rework" xfId="8973"/>
    <cellStyle name="Normal 10 18" xfId="1433"/>
    <cellStyle name="Normal 10 18 2" xfId="1797"/>
    <cellStyle name="Normal 10 18 2 2" xfId="2687"/>
    <cellStyle name="Normal 10 18 2 2 2" xfId="11623"/>
    <cellStyle name="Normal 10 18 2 2 3" xfId="23838"/>
    <cellStyle name="Normal 10 18 2 3" xfId="3551"/>
    <cellStyle name="Normal 10 18 2 3 2" xfId="11624"/>
    <cellStyle name="Normal 10 18 2 3 3" xfId="23839"/>
    <cellStyle name="Normal 10 18 2 4" xfId="4423"/>
    <cellStyle name="Normal 10 18 2 4 2" xfId="11625"/>
    <cellStyle name="Normal 10 18 2 4 3" xfId="23840"/>
    <cellStyle name="Normal 10 18 2 5" xfId="5688"/>
    <cellStyle name="Normal 10 18 2 5 2" xfId="11626"/>
    <cellStyle name="Normal 10 18 2 5 3" xfId="23841"/>
    <cellStyle name="Normal 10 18 2 6" xfId="11622"/>
    <cellStyle name="Normal 10 18 2 7" xfId="23837"/>
    <cellStyle name="Normal 10 18 2_LNG &amp; LPG rework" xfId="8969"/>
    <cellStyle name="Normal 10 18 3" xfId="2072"/>
    <cellStyle name="Normal 10 18 3 2" xfId="2942"/>
    <cellStyle name="Normal 10 18 3 2 2" xfId="11628"/>
    <cellStyle name="Normal 10 18 3 2 3" xfId="23843"/>
    <cellStyle name="Normal 10 18 3 3" xfId="3809"/>
    <cellStyle name="Normal 10 18 3 3 2" xfId="11629"/>
    <cellStyle name="Normal 10 18 3 3 3" xfId="23844"/>
    <cellStyle name="Normal 10 18 3 4" xfId="4687"/>
    <cellStyle name="Normal 10 18 3 4 2" xfId="11630"/>
    <cellStyle name="Normal 10 18 3 4 3" xfId="23845"/>
    <cellStyle name="Normal 10 18 3 5" xfId="5952"/>
    <cellStyle name="Normal 10 18 3 5 2" xfId="11631"/>
    <cellStyle name="Normal 10 18 3 5 3" xfId="23846"/>
    <cellStyle name="Normal 10 18 3 6" xfId="11627"/>
    <cellStyle name="Normal 10 18 3 7" xfId="23842"/>
    <cellStyle name="Normal 10 18 3_LNG &amp; LPG rework" xfId="8968"/>
    <cellStyle name="Normal 10 18 4" xfId="2436"/>
    <cellStyle name="Normal 10 18 4 2" xfId="11632"/>
    <cellStyle name="Normal 10 18 4 3" xfId="23847"/>
    <cellStyle name="Normal 10 18 5" xfId="3295"/>
    <cellStyle name="Normal 10 18 5 2" xfId="11633"/>
    <cellStyle name="Normal 10 18 5 3" xfId="23848"/>
    <cellStyle name="Normal 10 18 6" xfId="4163"/>
    <cellStyle name="Normal 10 18 6 2" xfId="11634"/>
    <cellStyle name="Normal 10 18 6 3" xfId="23849"/>
    <cellStyle name="Normal 10 18 7" xfId="5425"/>
    <cellStyle name="Normal 10 18 7 2" xfId="11635"/>
    <cellStyle name="Normal 10 18 7 3" xfId="23850"/>
    <cellStyle name="Normal 10 18 8" xfId="11621"/>
    <cellStyle name="Normal 10 18 9" xfId="23836"/>
    <cellStyle name="Normal 10 18_LNG &amp; LPG rework" xfId="8970"/>
    <cellStyle name="Normal 10 19" xfId="1661"/>
    <cellStyle name="Normal 10 19 2" xfId="1966"/>
    <cellStyle name="Normal 10 19 2 2" xfId="2855"/>
    <cellStyle name="Normal 10 19 2 2 2" xfId="11638"/>
    <cellStyle name="Normal 10 19 2 2 3" xfId="23853"/>
    <cellStyle name="Normal 10 19 2 3" xfId="3719"/>
    <cellStyle name="Normal 10 19 2 3 2" xfId="11639"/>
    <cellStyle name="Normal 10 19 2 3 3" xfId="23854"/>
    <cellStyle name="Normal 10 19 2 4" xfId="4594"/>
    <cellStyle name="Normal 10 19 2 4 2" xfId="11640"/>
    <cellStyle name="Normal 10 19 2 4 3" xfId="23855"/>
    <cellStyle name="Normal 10 19 2 5" xfId="5859"/>
    <cellStyle name="Normal 10 19 2 5 2" xfId="11641"/>
    <cellStyle name="Normal 10 19 2 5 3" xfId="23856"/>
    <cellStyle name="Normal 10 19 2 6" xfId="11637"/>
    <cellStyle name="Normal 10 19 2 7" xfId="23852"/>
    <cellStyle name="Normal 10 19 2_LNG &amp; LPG rework" xfId="8998"/>
    <cellStyle name="Normal 10 19 3" xfId="2240"/>
    <cellStyle name="Normal 10 19 3 2" xfId="3110"/>
    <cellStyle name="Normal 10 19 3 2 2" xfId="11643"/>
    <cellStyle name="Normal 10 19 3 2 3" xfId="23858"/>
    <cellStyle name="Normal 10 19 3 3" xfId="3980"/>
    <cellStyle name="Normal 10 19 3 3 2" xfId="11644"/>
    <cellStyle name="Normal 10 19 3 3 3" xfId="23859"/>
    <cellStyle name="Normal 10 19 3 4" xfId="4858"/>
    <cellStyle name="Normal 10 19 3 4 2" xfId="11645"/>
    <cellStyle name="Normal 10 19 3 4 3" xfId="23860"/>
    <cellStyle name="Normal 10 19 3 5" xfId="6123"/>
    <cellStyle name="Normal 10 19 3 5 2" xfId="11646"/>
    <cellStyle name="Normal 10 19 3 5 3" xfId="23861"/>
    <cellStyle name="Normal 10 19 3 6" xfId="11642"/>
    <cellStyle name="Normal 10 19 3 7" xfId="23857"/>
    <cellStyle name="Normal 10 19 3_LNG &amp; LPG rework" xfId="8999"/>
    <cellStyle name="Normal 10 19 4" xfId="2605"/>
    <cellStyle name="Normal 10 19 4 2" xfId="11647"/>
    <cellStyle name="Normal 10 19 4 3" xfId="23862"/>
    <cellStyle name="Normal 10 19 5" xfId="3468"/>
    <cellStyle name="Normal 10 19 5 2" xfId="11648"/>
    <cellStyle name="Normal 10 19 5 3" xfId="23863"/>
    <cellStyle name="Normal 10 19 6" xfId="4336"/>
    <cellStyle name="Normal 10 19 6 2" xfId="11649"/>
    <cellStyle name="Normal 10 19 6 3" xfId="23864"/>
    <cellStyle name="Normal 10 19 7" xfId="5598"/>
    <cellStyle name="Normal 10 19 7 2" xfId="11650"/>
    <cellStyle name="Normal 10 19 7 3" xfId="23865"/>
    <cellStyle name="Normal 10 19 8" xfId="11636"/>
    <cellStyle name="Normal 10 19 9" xfId="23851"/>
    <cellStyle name="Normal 10 19_LNG &amp; LPG rework" xfId="8967"/>
    <cellStyle name="Normal 10 2" xfId="1276"/>
    <cellStyle name="Normal 10 2 10" xfId="4090"/>
    <cellStyle name="Normal 10 2 10 2" xfId="11651"/>
    <cellStyle name="Normal 10 2 10 3" xfId="23867"/>
    <cellStyle name="Normal 10 2 11" xfId="5069"/>
    <cellStyle name="Normal 10 2 11 2" xfId="11652"/>
    <cellStyle name="Normal 10 2 11 3" xfId="23868"/>
    <cellStyle name="Normal 10 2 12" xfId="5351"/>
    <cellStyle name="Normal 10 2 12 2" xfId="11653"/>
    <cellStyle name="Normal 10 2 12 3" xfId="23869"/>
    <cellStyle name="Normal 10 2 13" xfId="10294"/>
    <cellStyle name="Normal 10 2 14" xfId="23866"/>
    <cellStyle name="Normal 10 2 2" xfId="1506"/>
    <cellStyle name="Normal 10 2 2 10" xfId="5488"/>
    <cellStyle name="Normal 10 2 2 10 2" xfId="11654"/>
    <cellStyle name="Normal 10 2 2 10 3" xfId="23871"/>
    <cellStyle name="Normal 10 2 2 11" xfId="10295"/>
    <cellStyle name="Normal 10 2 2 12" xfId="23870"/>
    <cellStyle name="Normal 10 2 2 2" xfId="1507"/>
    <cellStyle name="Normal 10 2 2 2 10" xfId="23872"/>
    <cellStyle name="Normal 10 2 2 2 2" xfId="1856"/>
    <cellStyle name="Normal 10 2 2 2 2 2" xfId="2746"/>
    <cellStyle name="Normal 10 2 2 2 2 2 2" xfId="11655"/>
    <cellStyle name="Normal 10 2 2 2 2 2 3" xfId="23874"/>
    <cellStyle name="Normal 10 2 2 2 2 3" xfId="3610"/>
    <cellStyle name="Normal 10 2 2 2 2 3 2" xfId="11656"/>
    <cellStyle name="Normal 10 2 2 2 2 3 3" xfId="23875"/>
    <cellStyle name="Normal 10 2 2 2 2 4" xfId="4485"/>
    <cellStyle name="Normal 10 2 2 2 2 4 2" xfId="11657"/>
    <cellStyle name="Normal 10 2 2 2 2 4 3" xfId="23876"/>
    <cellStyle name="Normal 10 2 2 2 2 5" xfId="5072"/>
    <cellStyle name="Normal 10 2 2 2 2 5 2" xfId="11658"/>
    <cellStyle name="Normal 10 2 2 2 2 5 3" xfId="23877"/>
    <cellStyle name="Normal 10 2 2 2 2 6" xfId="5750"/>
    <cellStyle name="Normal 10 2 2 2 2 6 2" xfId="11659"/>
    <cellStyle name="Normal 10 2 2 2 2 6 3" xfId="23878"/>
    <cellStyle name="Normal 10 2 2 2 2 7" xfId="10297"/>
    <cellStyle name="Normal 10 2 2 2 2 8" xfId="23873"/>
    <cellStyle name="Normal 10 2 2 2 2_LNG &amp; LPG rework" xfId="9002"/>
    <cellStyle name="Normal 10 2 2 2 3" xfId="2131"/>
    <cellStyle name="Normal 10 2 2 2 3 2" xfId="3001"/>
    <cellStyle name="Normal 10 2 2 2 3 2 2" xfId="11661"/>
    <cellStyle name="Normal 10 2 2 2 3 2 3" xfId="23880"/>
    <cellStyle name="Normal 10 2 2 2 3 3" xfId="3871"/>
    <cellStyle name="Normal 10 2 2 2 3 3 2" xfId="11662"/>
    <cellStyle name="Normal 10 2 2 2 3 3 3" xfId="23881"/>
    <cellStyle name="Normal 10 2 2 2 3 4" xfId="4749"/>
    <cellStyle name="Normal 10 2 2 2 3 4 2" xfId="11663"/>
    <cellStyle name="Normal 10 2 2 2 3 4 3" xfId="23882"/>
    <cellStyle name="Normal 10 2 2 2 3 5" xfId="6014"/>
    <cellStyle name="Normal 10 2 2 2 3 5 2" xfId="11664"/>
    <cellStyle name="Normal 10 2 2 2 3 5 3" xfId="23883"/>
    <cellStyle name="Normal 10 2 2 2 3 6" xfId="11660"/>
    <cellStyle name="Normal 10 2 2 2 3 7" xfId="23879"/>
    <cellStyle name="Normal 10 2 2 2 3_LNG &amp; LPG rework" xfId="8966"/>
    <cellStyle name="Normal 10 2 2 2 4" xfId="2496"/>
    <cellStyle name="Normal 10 2 2 2 4 2" xfId="11665"/>
    <cellStyle name="Normal 10 2 2 2 4 3" xfId="23884"/>
    <cellStyle name="Normal 10 2 2 2 5" xfId="3359"/>
    <cellStyle name="Normal 10 2 2 2 5 2" xfId="11666"/>
    <cellStyle name="Normal 10 2 2 2 5 3" xfId="23885"/>
    <cellStyle name="Normal 10 2 2 2 6" xfId="4227"/>
    <cellStyle name="Normal 10 2 2 2 6 2" xfId="11667"/>
    <cellStyle name="Normal 10 2 2 2 6 3" xfId="23886"/>
    <cellStyle name="Normal 10 2 2 2 7" xfId="5071"/>
    <cellStyle name="Normal 10 2 2 2 7 2" xfId="11668"/>
    <cellStyle name="Normal 10 2 2 2 7 3" xfId="23887"/>
    <cellStyle name="Normal 10 2 2 2 8" xfId="5489"/>
    <cellStyle name="Normal 10 2 2 2 8 2" xfId="11669"/>
    <cellStyle name="Normal 10 2 2 2 8 3" xfId="23888"/>
    <cellStyle name="Normal 10 2 2 2 9" xfId="10296"/>
    <cellStyle name="Normal 10 2 2 2_LNG &amp; LPG rework" xfId="9003"/>
    <cellStyle name="Normal 10 2 2 3" xfId="1855"/>
    <cellStyle name="Normal 10 2 2 3 2" xfId="2745"/>
    <cellStyle name="Normal 10 2 2 3 2 2" xfId="11670"/>
    <cellStyle name="Normal 10 2 2 3 2 3" xfId="23890"/>
    <cellStyle name="Normal 10 2 2 3 3" xfId="3609"/>
    <cellStyle name="Normal 10 2 2 3 3 2" xfId="11671"/>
    <cellStyle name="Normal 10 2 2 3 3 3" xfId="23891"/>
    <cellStyle name="Normal 10 2 2 3 4" xfId="4484"/>
    <cellStyle name="Normal 10 2 2 3 4 2" xfId="11672"/>
    <cellStyle name="Normal 10 2 2 3 4 3" xfId="23892"/>
    <cellStyle name="Normal 10 2 2 3 5" xfId="5073"/>
    <cellStyle name="Normal 10 2 2 3 5 2" xfId="11673"/>
    <cellStyle name="Normal 10 2 2 3 5 3" xfId="23893"/>
    <cellStyle name="Normal 10 2 2 3 6" xfId="5749"/>
    <cellStyle name="Normal 10 2 2 3 6 2" xfId="11674"/>
    <cellStyle name="Normal 10 2 2 3 6 3" xfId="23894"/>
    <cellStyle name="Normal 10 2 2 3 7" xfId="10298"/>
    <cellStyle name="Normal 10 2 2 3 8" xfId="23889"/>
    <cellStyle name="Normal 10 2 2 3_LNG &amp; LPG rework" xfId="8965"/>
    <cellStyle name="Normal 10 2 2 4" xfId="2130"/>
    <cellStyle name="Normal 10 2 2 4 2" xfId="3000"/>
    <cellStyle name="Normal 10 2 2 4 2 2" xfId="11676"/>
    <cellStyle name="Normal 10 2 2 4 2 3" xfId="23896"/>
    <cellStyle name="Normal 10 2 2 4 3" xfId="3870"/>
    <cellStyle name="Normal 10 2 2 4 3 2" xfId="11677"/>
    <cellStyle name="Normal 10 2 2 4 3 3" xfId="23897"/>
    <cellStyle name="Normal 10 2 2 4 4" xfId="4748"/>
    <cellStyle name="Normal 10 2 2 4 4 2" xfId="11678"/>
    <cellStyle name="Normal 10 2 2 4 4 3" xfId="23898"/>
    <cellStyle name="Normal 10 2 2 4 5" xfId="6013"/>
    <cellStyle name="Normal 10 2 2 4 5 2" xfId="11679"/>
    <cellStyle name="Normal 10 2 2 4 5 3" xfId="23899"/>
    <cellStyle name="Normal 10 2 2 4 6" xfId="11675"/>
    <cellStyle name="Normal 10 2 2 4 7" xfId="23895"/>
    <cellStyle name="Normal 10 2 2 4_LNG &amp; LPG rework" xfId="9004"/>
    <cellStyle name="Normal 10 2 2 5" xfId="2348"/>
    <cellStyle name="Normal 10 2 2 5 2" xfId="3207"/>
    <cellStyle name="Normal 10 2 2 5 2 2" xfId="11681"/>
    <cellStyle name="Normal 10 2 2 5 2 3" xfId="23901"/>
    <cellStyle name="Normal 10 2 2 5 3" xfId="4073"/>
    <cellStyle name="Normal 10 2 2 5 3 2" xfId="11682"/>
    <cellStyle name="Normal 10 2 2 5 3 3" xfId="23902"/>
    <cellStyle name="Normal 10 2 2 5 4" xfId="4952"/>
    <cellStyle name="Normal 10 2 2 5 4 2" xfId="11683"/>
    <cellStyle name="Normal 10 2 2 5 4 3" xfId="23903"/>
    <cellStyle name="Normal 10 2 2 5 5" xfId="6217"/>
    <cellStyle name="Normal 10 2 2 5 5 2" xfId="11684"/>
    <cellStyle name="Normal 10 2 2 5 5 3" xfId="23904"/>
    <cellStyle name="Normal 10 2 2 5 6" xfId="11680"/>
    <cellStyle name="Normal 10 2 2 5 7" xfId="23900"/>
    <cellStyle name="Normal 10 2 2 5_LNG &amp; LPG rework" xfId="9005"/>
    <cellStyle name="Normal 10 2 2 6" xfId="2495"/>
    <cellStyle name="Normal 10 2 2 6 2" xfId="11685"/>
    <cellStyle name="Normal 10 2 2 6 3" xfId="23905"/>
    <cellStyle name="Normal 10 2 2 7" xfId="3358"/>
    <cellStyle name="Normal 10 2 2 7 2" xfId="11686"/>
    <cellStyle name="Normal 10 2 2 7 3" xfId="23906"/>
    <cellStyle name="Normal 10 2 2 8" xfId="4226"/>
    <cellStyle name="Normal 10 2 2 8 2" xfId="11687"/>
    <cellStyle name="Normal 10 2 2 8 3" xfId="23907"/>
    <cellStyle name="Normal 10 2 2 9" xfId="5070"/>
    <cellStyle name="Normal 10 2 2 9 2" xfId="11688"/>
    <cellStyle name="Normal 10 2 2 9 3" xfId="23908"/>
    <cellStyle name="Normal 10 2 2_LNG &amp; LPG rework" xfId="9001"/>
    <cellStyle name="Normal 10 2 3" xfId="1508"/>
    <cellStyle name="Normal 10 2 3 10" xfId="23909"/>
    <cellStyle name="Normal 10 2 3 2" xfId="1857"/>
    <cellStyle name="Normal 10 2 3 2 2" xfId="2747"/>
    <cellStyle name="Normal 10 2 3 2 2 2" xfId="11689"/>
    <cellStyle name="Normal 10 2 3 2 2 3" xfId="23911"/>
    <cellStyle name="Normal 10 2 3 2 3" xfId="3611"/>
    <cellStyle name="Normal 10 2 3 2 3 2" xfId="11690"/>
    <cellStyle name="Normal 10 2 3 2 3 3" xfId="23912"/>
    <cellStyle name="Normal 10 2 3 2 4" xfId="4486"/>
    <cellStyle name="Normal 10 2 3 2 4 2" xfId="11691"/>
    <cellStyle name="Normal 10 2 3 2 4 3" xfId="23913"/>
    <cellStyle name="Normal 10 2 3 2 5" xfId="5075"/>
    <cellStyle name="Normal 10 2 3 2 5 2" xfId="11692"/>
    <cellStyle name="Normal 10 2 3 2 5 3" xfId="23914"/>
    <cellStyle name="Normal 10 2 3 2 6" xfId="5751"/>
    <cellStyle name="Normal 10 2 3 2 6 2" xfId="11693"/>
    <cellStyle name="Normal 10 2 3 2 6 3" xfId="23915"/>
    <cellStyle name="Normal 10 2 3 2 7" xfId="10300"/>
    <cellStyle name="Normal 10 2 3 2 8" xfId="23910"/>
    <cellStyle name="Normal 10 2 3 2_LNG &amp; LPG rework" xfId="9006"/>
    <cellStyle name="Normal 10 2 3 3" xfId="2132"/>
    <cellStyle name="Normal 10 2 3 3 2" xfId="3002"/>
    <cellStyle name="Normal 10 2 3 3 2 2" xfId="11695"/>
    <cellStyle name="Normal 10 2 3 3 2 3" xfId="23917"/>
    <cellStyle name="Normal 10 2 3 3 3" xfId="3872"/>
    <cellStyle name="Normal 10 2 3 3 3 2" xfId="11696"/>
    <cellStyle name="Normal 10 2 3 3 3 3" xfId="23918"/>
    <cellStyle name="Normal 10 2 3 3 4" xfId="4750"/>
    <cellStyle name="Normal 10 2 3 3 4 2" xfId="11697"/>
    <cellStyle name="Normal 10 2 3 3 4 3" xfId="23919"/>
    <cellStyle name="Normal 10 2 3 3 5" xfId="6015"/>
    <cellStyle name="Normal 10 2 3 3 5 2" xfId="11698"/>
    <cellStyle name="Normal 10 2 3 3 5 3" xfId="23920"/>
    <cellStyle name="Normal 10 2 3 3 6" xfId="11694"/>
    <cellStyle name="Normal 10 2 3 3 7" xfId="23916"/>
    <cellStyle name="Normal 10 2 3 3_LNG &amp; LPG rework" xfId="8964"/>
    <cellStyle name="Normal 10 2 3 4" xfId="2497"/>
    <cellStyle name="Normal 10 2 3 4 2" xfId="11699"/>
    <cellStyle name="Normal 10 2 3 4 3" xfId="23921"/>
    <cellStyle name="Normal 10 2 3 5" xfId="3360"/>
    <cellStyle name="Normal 10 2 3 5 2" xfId="11700"/>
    <cellStyle name="Normal 10 2 3 5 3" xfId="23922"/>
    <cellStyle name="Normal 10 2 3 6" xfId="4228"/>
    <cellStyle name="Normal 10 2 3 6 2" xfId="11701"/>
    <cellStyle name="Normal 10 2 3 6 3" xfId="23923"/>
    <cellStyle name="Normal 10 2 3 7" xfId="5074"/>
    <cellStyle name="Normal 10 2 3 7 2" xfId="11702"/>
    <cellStyle name="Normal 10 2 3 7 3" xfId="23924"/>
    <cellStyle name="Normal 10 2 3 8" xfId="5490"/>
    <cellStyle name="Normal 10 2 3 8 2" xfId="11703"/>
    <cellStyle name="Normal 10 2 3 8 3" xfId="23925"/>
    <cellStyle name="Normal 10 2 3 9" xfId="10299"/>
    <cellStyle name="Normal 10 2 3_LNG &amp; LPG rework" xfId="9007"/>
    <cellStyle name="Normal 10 2 4" xfId="1985"/>
    <cellStyle name="Normal 10 2 4 2" xfId="5076"/>
    <cellStyle name="Normal 10 2 4 2 2" xfId="11704"/>
    <cellStyle name="Normal 10 2 4 2 3" xfId="23927"/>
    <cellStyle name="Normal 10 2 4 3" xfId="5631"/>
    <cellStyle name="Normal 10 2 4 3 2" xfId="11705"/>
    <cellStyle name="Normal 10 2 4 3 3" xfId="23928"/>
    <cellStyle name="Normal 10 2 4 4" xfId="10301"/>
    <cellStyle name="Normal 10 2 4 5" xfId="23926"/>
    <cellStyle name="Normal 10 2 4_LNG &amp; LPG rework" xfId="8963"/>
    <cellStyle name="Normal 10 2 5" xfId="1684"/>
    <cellStyle name="Normal 10 2 5 2" xfId="2616"/>
    <cellStyle name="Normal 10 2 5 2 2" xfId="11707"/>
    <cellStyle name="Normal 10 2 5 2 3" xfId="23930"/>
    <cellStyle name="Normal 10 2 5 3" xfId="3479"/>
    <cellStyle name="Normal 10 2 5 3 2" xfId="11708"/>
    <cellStyle name="Normal 10 2 5 3 3" xfId="23931"/>
    <cellStyle name="Normal 10 2 5 4" xfId="4350"/>
    <cellStyle name="Normal 10 2 5 4 2" xfId="11709"/>
    <cellStyle name="Normal 10 2 5 4 3" xfId="23932"/>
    <cellStyle name="Normal 10 2 5 5" xfId="5614"/>
    <cellStyle name="Normal 10 2 5 5 2" xfId="11710"/>
    <cellStyle name="Normal 10 2 5 5 3" xfId="23933"/>
    <cellStyle name="Normal 10 2 5 6" xfId="11706"/>
    <cellStyle name="Normal 10 2 5 7" xfId="23929"/>
    <cellStyle name="Normal 10 2 5_LNG &amp; LPG rework" xfId="8962"/>
    <cellStyle name="Normal 10 2 6" xfId="2001"/>
    <cellStyle name="Normal 10 2 6 2" xfId="2871"/>
    <cellStyle name="Normal 10 2 6 2 2" xfId="11712"/>
    <cellStyle name="Normal 10 2 6 2 3" xfId="23935"/>
    <cellStyle name="Normal 10 2 6 3" xfId="3737"/>
    <cellStyle name="Normal 10 2 6 3 2" xfId="11713"/>
    <cellStyle name="Normal 10 2 6 3 3" xfId="23936"/>
    <cellStyle name="Normal 10 2 6 4" xfId="4614"/>
    <cellStyle name="Normal 10 2 6 4 2" xfId="11714"/>
    <cellStyle name="Normal 10 2 6 4 3" xfId="23937"/>
    <cellStyle name="Normal 10 2 6 5" xfId="5879"/>
    <cellStyle name="Normal 10 2 6 5 2" xfId="11715"/>
    <cellStyle name="Normal 10 2 6 5 3" xfId="23938"/>
    <cellStyle name="Normal 10 2 6 6" xfId="11711"/>
    <cellStyle name="Normal 10 2 6 7" xfId="23934"/>
    <cellStyle name="Normal 10 2 6_LNG &amp; LPG rework" xfId="8855"/>
    <cellStyle name="Normal 10 2 7" xfId="2304"/>
    <cellStyle name="Normal 10 2 7 2" xfId="3163"/>
    <cellStyle name="Normal 10 2 7 2 2" xfId="11717"/>
    <cellStyle name="Normal 10 2 7 2 3" xfId="23940"/>
    <cellStyle name="Normal 10 2 7 3" xfId="4029"/>
    <cellStyle name="Normal 10 2 7 3 2" xfId="11718"/>
    <cellStyle name="Normal 10 2 7 3 3" xfId="23941"/>
    <cellStyle name="Normal 10 2 7 4" xfId="4908"/>
    <cellStyle name="Normal 10 2 7 4 2" xfId="11719"/>
    <cellStyle name="Normal 10 2 7 4 3" xfId="23942"/>
    <cellStyle name="Normal 10 2 7 5" xfId="6173"/>
    <cellStyle name="Normal 10 2 7 5 2" xfId="11720"/>
    <cellStyle name="Normal 10 2 7 5 3" xfId="23943"/>
    <cellStyle name="Normal 10 2 7 6" xfId="11716"/>
    <cellStyle name="Normal 10 2 7 7" xfId="23939"/>
    <cellStyle name="Normal 10 2 7_LNG &amp; LPG rework" xfId="9008"/>
    <cellStyle name="Normal 10 2 8" xfId="2365"/>
    <cellStyle name="Normal 10 2 8 2" xfId="11721"/>
    <cellStyle name="Normal 10 2 8 3" xfId="23944"/>
    <cellStyle name="Normal 10 2 9" xfId="3224"/>
    <cellStyle name="Normal 10 2 9 2" xfId="11722"/>
    <cellStyle name="Normal 10 2 9 3" xfId="23945"/>
    <cellStyle name="Normal 10 2_LNG &amp; LPG rework" xfId="9000"/>
    <cellStyle name="Normal 10 20" xfId="1680"/>
    <cellStyle name="Normal 10 20 2" xfId="1998"/>
    <cellStyle name="Normal 10 20 2 2" xfId="2868"/>
    <cellStyle name="Normal 10 20 2 2 2" xfId="11725"/>
    <cellStyle name="Normal 10 20 2 2 3" xfId="23948"/>
    <cellStyle name="Normal 10 20 2 3" xfId="3734"/>
    <cellStyle name="Normal 10 20 2 3 2" xfId="11726"/>
    <cellStyle name="Normal 10 20 2 3 3" xfId="23949"/>
    <cellStyle name="Normal 10 20 2 4" xfId="4611"/>
    <cellStyle name="Normal 10 20 2 4 2" xfId="11727"/>
    <cellStyle name="Normal 10 20 2 4 3" xfId="23950"/>
    <cellStyle name="Normal 10 20 2 5" xfId="5876"/>
    <cellStyle name="Normal 10 20 2 5 2" xfId="11728"/>
    <cellStyle name="Normal 10 20 2 5 3" xfId="23951"/>
    <cellStyle name="Normal 10 20 2 6" xfId="11724"/>
    <cellStyle name="Normal 10 20 2 7" xfId="23947"/>
    <cellStyle name="Normal 10 20 2_LNG &amp; LPG rework" xfId="8960"/>
    <cellStyle name="Normal 10 20 3" xfId="2613"/>
    <cellStyle name="Normal 10 20 3 2" xfId="11729"/>
    <cellStyle name="Normal 10 20 3 3" xfId="23952"/>
    <cellStyle name="Normal 10 20 4" xfId="3476"/>
    <cellStyle name="Normal 10 20 4 2" xfId="11730"/>
    <cellStyle name="Normal 10 20 4 3" xfId="23953"/>
    <cellStyle name="Normal 10 20 5" xfId="4347"/>
    <cellStyle name="Normal 10 20 5 2" xfId="11731"/>
    <cellStyle name="Normal 10 20 5 3" xfId="23954"/>
    <cellStyle name="Normal 10 20 6" xfId="5611"/>
    <cellStyle name="Normal 10 20 6 2" xfId="11732"/>
    <cellStyle name="Normal 10 20 6 3" xfId="23955"/>
    <cellStyle name="Normal 10 20 7" xfId="11723"/>
    <cellStyle name="Normal 10 20 8" xfId="23946"/>
    <cellStyle name="Normal 10 20_LNG &amp; LPG rework" xfId="8961"/>
    <cellStyle name="Normal 10 21" xfId="2252"/>
    <cellStyle name="Normal 10 21 2" xfId="3121"/>
    <cellStyle name="Normal 10 21 2 2" xfId="11734"/>
    <cellStyle name="Normal 10 21 2 3" xfId="23957"/>
    <cellStyle name="Normal 10 21 3" xfId="3990"/>
    <cellStyle name="Normal 10 21 3 2" xfId="11735"/>
    <cellStyle name="Normal 10 21 3 3" xfId="23958"/>
    <cellStyle name="Normal 10 21 4" xfId="4869"/>
    <cellStyle name="Normal 10 21 4 2" xfId="11736"/>
    <cellStyle name="Normal 10 21 4 3" xfId="23959"/>
    <cellStyle name="Normal 10 21 5" xfId="6134"/>
    <cellStyle name="Normal 10 21 5 2" xfId="11737"/>
    <cellStyle name="Normal 10 21 5 3" xfId="23960"/>
    <cellStyle name="Normal 10 21 6" xfId="11733"/>
    <cellStyle name="Normal 10 21 7" xfId="23956"/>
    <cellStyle name="Normal 10 21_LNG &amp; LPG rework" xfId="9009"/>
    <cellStyle name="Normal 10 22" xfId="2266"/>
    <cellStyle name="Normal 10 22 2" xfId="3130"/>
    <cellStyle name="Normal 10 22 2 2" xfId="11739"/>
    <cellStyle name="Normal 10 22 2 3" xfId="23962"/>
    <cellStyle name="Normal 10 22 3" xfId="3998"/>
    <cellStyle name="Normal 10 22 3 2" xfId="11740"/>
    <cellStyle name="Normal 10 22 3 3" xfId="23963"/>
    <cellStyle name="Normal 10 22 4" xfId="4877"/>
    <cellStyle name="Normal 10 22 4 2" xfId="11741"/>
    <cellStyle name="Normal 10 22 4 3" xfId="23964"/>
    <cellStyle name="Normal 10 22 5" xfId="6142"/>
    <cellStyle name="Normal 10 22 5 2" xfId="11742"/>
    <cellStyle name="Normal 10 22 5 3" xfId="23965"/>
    <cellStyle name="Normal 10 22 6" xfId="11738"/>
    <cellStyle name="Normal 10 22 7" xfId="23961"/>
    <cellStyle name="Normal 10 22_LNG &amp; LPG rework" xfId="8959"/>
    <cellStyle name="Normal 10 23" xfId="2362"/>
    <cellStyle name="Normal 10 23 2" xfId="11743"/>
    <cellStyle name="Normal 10 23 3" xfId="23966"/>
    <cellStyle name="Normal 10 24" xfId="3221"/>
    <cellStyle name="Normal 10 24 2" xfId="11744"/>
    <cellStyle name="Normal 10 24 3" xfId="23967"/>
    <cellStyle name="Normal 10 25" xfId="4087"/>
    <cellStyle name="Normal 10 25 2" xfId="11745"/>
    <cellStyle name="Normal 10 25 3" xfId="23968"/>
    <cellStyle name="Normal 10 26" xfId="5068"/>
    <cellStyle name="Normal 10 26 2" xfId="11746"/>
    <cellStyle name="Normal 10 26 3" xfId="23969"/>
    <cellStyle name="Normal 10 27" xfId="5348"/>
    <cellStyle name="Normal 10 27 2" xfId="11747"/>
    <cellStyle name="Normal 10 27 3" xfId="23970"/>
    <cellStyle name="Normal 10 28" xfId="1272"/>
    <cellStyle name="Normal 10 28 2" xfId="11748"/>
    <cellStyle name="Normal 10 28 3" xfId="23971"/>
    <cellStyle name="Normal 10 29" xfId="10293"/>
    <cellStyle name="Normal 10 3" xfId="1287"/>
    <cellStyle name="Normal 10 3 10" xfId="5355"/>
    <cellStyle name="Normal 10 3 10 2" xfId="11749"/>
    <cellStyle name="Normal 10 3 10 3" xfId="23973"/>
    <cellStyle name="Normal 10 3 11" xfId="10302"/>
    <cellStyle name="Normal 10 3 12" xfId="23972"/>
    <cellStyle name="Normal 10 3 2" xfId="1509"/>
    <cellStyle name="Normal 10 3 2 10" xfId="23974"/>
    <cellStyle name="Normal 10 3 2 2" xfId="1858"/>
    <cellStyle name="Normal 10 3 2 2 2" xfId="2748"/>
    <cellStyle name="Normal 10 3 2 2 2 2" xfId="11750"/>
    <cellStyle name="Normal 10 3 2 2 2 3" xfId="23976"/>
    <cellStyle name="Normal 10 3 2 2 3" xfId="3612"/>
    <cellStyle name="Normal 10 3 2 2 3 2" xfId="11751"/>
    <cellStyle name="Normal 10 3 2 2 3 3" xfId="23977"/>
    <cellStyle name="Normal 10 3 2 2 4" xfId="4487"/>
    <cellStyle name="Normal 10 3 2 2 4 2" xfId="11752"/>
    <cellStyle name="Normal 10 3 2 2 4 3" xfId="23978"/>
    <cellStyle name="Normal 10 3 2 2 5" xfId="5079"/>
    <cellStyle name="Normal 10 3 2 2 5 2" xfId="11753"/>
    <cellStyle name="Normal 10 3 2 2 5 3" xfId="23979"/>
    <cellStyle name="Normal 10 3 2 2 6" xfId="5752"/>
    <cellStyle name="Normal 10 3 2 2 6 2" xfId="11754"/>
    <cellStyle name="Normal 10 3 2 2 6 3" xfId="23980"/>
    <cellStyle name="Normal 10 3 2 2 7" xfId="10304"/>
    <cellStyle name="Normal 10 3 2 2 8" xfId="23975"/>
    <cellStyle name="Normal 10 3 2 2_LNG &amp; LPG rework" xfId="8956"/>
    <cellStyle name="Normal 10 3 2 3" xfId="2133"/>
    <cellStyle name="Normal 10 3 2 3 2" xfId="3003"/>
    <cellStyle name="Normal 10 3 2 3 2 2" xfId="11756"/>
    <cellStyle name="Normal 10 3 2 3 2 3" xfId="23982"/>
    <cellStyle name="Normal 10 3 2 3 3" xfId="3873"/>
    <cellStyle name="Normal 10 3 2 3 3 2" xfId="11757"/>
    <cellStyle name="Normal 10 3 2 3 3 3" xfId="23983"/>
    <cellStyle name="Normal 10 3 2 3 4" xfId="4751"/>
    <cellStyle name="Normal 10 3 2 3 4 2" xfId="11758"/>
    <cellStyle name="Normal 10 3 2 3 4 3" xfId="23984"/>
    <cellStyle name="Normal 10 3 2 3 5" xfId="6016"/>
    <cellStyle name="Normal 10 3 2 3 5 2" xfId="11759"/>
    <cellStyle name="Normal 10 3 2 3 5 3" xfId="23985"/>
    <cellStyle name="Normal 10 3 2 3 6" xfId="11755"/>
    <cellStyle name="Normal 10 3 2 3 7" xfId="23981"/>
    <cellStyle name="Normal 10 3 2 3_LNG &amp; LPG rework" xfId="9010"/>
    <cellStyle name="Normal 10 3 2 4" xfId="2498"/>
    <cellStyle name="Normal 10 3 2 4 2" xfId="11760"/>
    <cellStyle name="Normal 10 3 2 4 3" xfId="23986"/>
    <cellStyle name="Normal 10 3 2 5" xfId="3361"/>
    <cellStyle name="Normal 10 3 2 5 2" xfId="11761"/>
    <cellStyle name="Normal 10 3 2 5 3" xfId="23987"/>
    <cellStyle name="Normal 10 3 2 6" xfId="4229"/>
    <cellStyle name="Normal 10 3 2 6 2" xfId="11762"/>
    <cellStyle name="Normal 10 3 2 6 3" xfId="23988"/>
    <cellStyle name="Normal 10 3 2 7" xfId="5078"/>
    <cellStyle name="Normal 10 3 2 7 2" xfId="11763"/>
    <cellStyle name="Normal 10 3 2 7 3" xfId="23989"/>
    <cellStyle name="Normal 10 3 2 8" xfId="5491"/>
    <cellStyle name="Normal 10 3 2 8 2" xfId="11764"/>
    <cellStyle name="Normal 10 3 2 8 3" xfId="23990"/>
    <cellStyle name="Normal 10 3 2 9" xfId="10303"/>
    <cellStyle name="Normal 10 3 2_LNG &amp; LPG rework" xfId="8957"/>
    <cellStyle name="Normal 10 3 3" xfId="1694"/>
    <cellStyle name="Normal 10 3 3 2" xfId="2620"/>
    <cellStyle name="Normal 10 3 3 2 2" xfId="11765"/>
    <cellStyle name="Normal 10 3 3 2 3" xfId="23992"/>
    <cellStyle name="Normal 10 3 3 3" xfId="3483"/>
    <cellStyle name="Normal 10 3 3 3 2" xfId="11766"/>
    <cellStyle name="Normal 10 3 3 3 3" xfId="23993"/>
    <cellStyle name="Normal 10 3 3 4" xfId="4354"/>
    <cellStyle name="Normal 10 3 3 4 2" xfId="11767"/>
    <cellStyle name="Normal 10 3 3 4 3" xfId="23994"/>
    <cellStyle name="Normal 10 3 3 5" xfId="5080"/>
    <cellStyle name="Normal 10 3 3 5 2" xfId="11768"/>
    <cellStyle name="Normal 10 3 3 5 3" xfId="23995"/>
    <cellStyle name="Normal 10 3 3 6" xfId="5618"/>
    <cellStyle name="Normal 10 3 3 6 2" xfId="11769"/>
    <cellStyle name="Normal 10 3 3 6 3" xfId="23996"/>
    <cellStyle name="Normal 10 3 3 7" xfId="10305"/>
    <cellStyle name="Normal 10 3 3 8" xfId="23991"/>
    <cellStyle name="Normal 10 3 3_LNG &amp; LPG rework" xfId="8955"/>
    <cellStyle name="Normal 10 3 4" xfId="2005"/>
    <cellStyle name="Normal 10 3 4 2" xfId="2875"/>
    <cellStyle name="Normal 10 3 4 2 2" xfId="11771"/>
    <cellStyle name="Normal 10 3 4 2 3" xfId="23998"/>
    <cellStyle name="Normal 10 3 4 3" xfId="3741"/>
    <cellStyle name="Normal 10 3 4 3 2" xfId="11772"/>
    <cellStyle name="Normal 10 3 4 3 3" xfId="23999"/>
    <cellStyle name="Normal 10 3 4 4" xfId="4618"/>
    <cellStyle name="Normal 10 3 4 4 2" xfId="11773"/>
    <cellStyle name="Normal 10 3 4 4 3" xfId="24000"/>
    <cellStyle name="Normal 10 3 4 5" xfId="5883"/>
    <cellStyle name="Normal 10 3 4 5 2" xfId="11774"/>
    <cellStyle name="Normal 10 3 4 5 3" xfId="24001"/>
    <cellStyle name="Normal 10 3 4 6" xfId="11770"/>
    <cellStyle name="Normal 10 3 4 7" xfId="23997"/>
    <cellStyle name="Normal 10 3 4_LNG &amp; LPG rework" xfId="8954"/>
    <cellStyle name="Normal 10 3 5" xfId="2326"/>
    <cellStyle name="Normal 10 3 5 2" xfId="3185"/>
    <cellStyle name="Normal 10 3 5 2 2" xfId="11776"/>
    <cellStyle name="Normal 10 3 5 2 3" xfId="24003"/>
    <cellStyle name="Normal 10 3 5 3" xfId="4051"/>
    <cellStyle name="Normal 10 3 5 3 2" xfId="11777"/>
    <cellStyle name="Normal 10 3 5 3 3" xfId="24004"/>
    <cellStyle name="Normal 10 3 5 4" xfId="4930"/>
    <cellStyle name="Normal 10 3 5 4 2" xfId="11778"/>
    <cellStyle name="Normal 10 3 5 4 3" xfId="24005"/>
    <cellStyle name="Normal 10 3 5 5" xfId="6195"/>
    <cellStyle name="Normal 10 3 5 5 2" xfId="11779"/>
    <cellStyle name="Normal 10 3 5 5 3" xfId="24006"/>
    <cellStyle name="Normal 10 3 5 6" xfId="11775"/>
    <cellStyle name="Normal 10 3 5 7" xfId="24002"/>
    <cellStyle name="Normal 10 3 5_LNG &amp; LPG rework" xfId="9011"/>
    <cellStyle name="Normal 10 3 6" xfId="2369"/>
    <cellStyle name="Normal 10 3 6 2" xfId="11780"/>
    <cellStyle name="Normal 10 3 6 3" xfId="24007"/>
    <cellStyle name="Normal 10 3 7" xfId="3228"/>
    <cellStyle name="Normal 10 3 7 2" xfId="11781"/>
    <cellStyle name="Normal 10 3 7 3" xfId="24008"/>
    <cellStyle name="Normal 10 3 8" xfId="4094"/>
    <cellStyle name="Normal 10 3 8 2" xfId="11782"/>
    <cellStyle name="Normal 10 3 8 3" xfId="24009"/>
    <cellStyle name="Normal 10 3 9" xfId="5077"/>
    <cellStyle name="Normal 10 3 9 2" xfId="11783"/>
    <cellStyle name="Normal 10 3 9 3" xfId="24010"/>
    <cellStyle name="Normal 10 3_LNG &amp; LPG rework" xfId="8958"/>
    <cellStyle name="Normal 10 30" xfId="22602"/>
    <cellStyle name="Normal 10 31" xfId="44565"/>
    <cellStyle name="Normal 10 4" xfId="1294"/>
    <cellStyle name="Normal 10 4 10" xfId="24011"/>
    <cellStyle name="Normal 10 4 2" xfId="1701"/>
    <cellStyle name="Normal 10 4 2 2" xfId="2624"/>
    <cellStyle name="Normal 10 4 2 2 2" xfId="11784"/>
    <cellStyle name="Normal 10 4 2 2 3" xfId="24013"/>
    <cellStyle name="Normal 10 4 2 3" xfId="3487"/>
    <cellStyle name="Normal 10 4 2 3 2" xfId="11785"/>
    <cellStyle name="Normal 10 4 2 3 3" xfId="24014"/>
    <cellStyle name="Normal 10 4 2 4" xfId="4358"/>
    <cellStyle name="Normal 10 4 2 4 2" xfId="11786"/>
    <cellStyle name="Normal 10 4 2 4 3" xfId="24015"/>
    <cellStyle name="Normal 10 4 2 5" xfId="5082"/>
    <cellStyle name="Normal 10 4 2 5 2" xfId="11787"/>
    <cellStyle name="Normal 10 4 2 5 3" xfId="24016"/>
    <cellStyle name="Normal 10 4 2 6" xfId="5622"/>
    <cellStyle name="Normal 10 4 2 6 2" xfId="11788"/>
    <cellStyle name="Normal 10 4 2 6 3" xfId="24017"/>
    <cellStyle name="Normal 10 4 2 7" xfId="10307"/>
    <cellStyle name="Normal 10 4 2 8" xfId="24012"/>
    <cellStyle name="Normal 10 4 2_LNG &amp; LPG rework" xfId="9013"/>
    <cellStyle name="Normal 10 4 3" xfId="2009"/>
    <cellStyle name="Normal 10 4 3 2" xfId="2879"/>
    <cellStyle name="Normal 10 4 3 2 2" xfId="11790"/>
    <cellStyle name="Normal 10 4 3 2 3" xfId="24019"/>
    <cellStyle name="Normal 10 4 3 3" xfId="3745"/>
    <cellStyle name="Normal 10 4 3 3 2" xfId="11791"/>
    <cellStyle name="Normal 10 4 3 3 3" xfId="24020"/>
    <cellStyle name="Normal 10 4 3 4" xfId="4622"/>
    <cellStyle name="Normal 10 4 3 4 2" xfId="11792"/>
    <cellStyle name="Normal 10 4 3 4 3" xfId="24021"/>
    <cellStyle name="Normal 10 4 3 5" xfId="5887"/>
    <cellStyle name="Normal 10 4 3 5 2" xfId="11793"/>
    <cellStyle name="Normal 10 4 3 5 3" xfId="24022"/>
    <cellStyle name="Normal 10 4 3 6" xfId="11789"/>
    <cellStyle name="Normal 10 4 3 7" xfId="24018"/>
    <cellStyle name="Normal 10 4 3_LNG &amp; LPG rework" xfId="9014"/>
    <cellStyle name="Normal 10 4 4" xfId="2373"/>
    <cellStyle name="Normal 10 4 4 2" xfId="11794"/>
    <cellStyle name="Normal 10 4 4 3" xfId="24023"/>
    <cellStyle name="Normal 10 4 5" xfId="3232"/>
    <cellStyle name="Normal 10 4 5 2" xfId="11795"/>
    <cellStyle name="Normal 10 4 5 3" xfId="24024"/>
    <cellStyle name="Normal 10 4 6" xfId="4098"/>
    <cellStyle name="Normal 10 4 6 2" xfId="11796"/>
    <cellStyle name="Normal 10 4 6 3" xfId="24025"/>
    <cellStyle name="Normal 10 4 7" xfId="5081"/>
    <cellStyle name="Normal 10 4 7 2" xfId="11797"/>
    <cellStyle name="Normal 10 4 7 3" xfId="24026"/>
    <cellStyle name="Normal 10 4 8" xfId="5359"/>
    <cellStyle name="Normal 10 4 8 2" xfId="11798"/>
    <cellStyle name="Normal 10 4 8 3" xfId="24027"/>
    <cellStyle name="Normal 10 4 9" xfId="10306"/>
    <cellStyle name="Normal 10 4_LNG &amp; LPG rework" xfId="9012"/>
    <cellStyle name="Normal 10 5" xfId="1303"/>
    <cellStyle name="Normal 10 5 10" xfId="24028"/>
    <cellStyle name="Normal 10 5 2" xfId="1709"/>
    <cellStyle name="Normal 10 5 2 2" xfId="2628"/>
    <cellStyle name="Normal 10 5 2 2 2" xfId="11800"/>
    <cellStyle name="Normal 10 5 2 2 3" xfId="24030"/>
    <cellStyle name="Normal 10 5 2 3" xfId="3491"/>
    <cellStyle name="Normal 10 5 2 3 2" xfId="11801"/>
    <cellStyle name="Normal 10 5 2 3 3" xfId="24031"/>
    <cellStyle name="Normal 10 5 2 4" xfId="4362"/>
    <cellStyle name="Normal 10 5 2 4 2" xfId="11802"/>
    <cellStyle name="Normal 10 5 2 4 3" xfId="24032"/>
    <cellStyle name="Normal 10 5 2 5" xfId="5626"/>
    <cellStyle name="Normal 10 5 2 5 2" xfId="11803"/>
    <cellStyle name="Normal 10 5 2 5 3" xfId="24033"/>
    <cellStyle name="Normal 10 5 2 6" xfId="11799"/>
    <cellStyle name="Normal 10 5 2 7" xfId="24029"/>
    <cellStyle name="Normal 10 5 2_LNG &amp; LPG rework" xfId="9015"/>
    <cellStyle name="Normal 10 5 3" xfId="2013"/>
    <cellStyle name="Normal 10 5 3 2" xfId="2883"/>
    <cellStyle name="Normal 10 5 3 2 2" xfId="11805"/>
    <cellStyle name="Normal 10 5 3 2 3" xfId="24035"/>
    <cellStyle name="Normal 10 5 3 3" xfId="3749"/>
    <cellStyle name="Normal 10 5 3 3 2" xfId="11806"/>
    <cellStyle name="Normal 10 5 3 3 3" xfId="24036"/>
    <cellStyle name="Normal 10 5 3 4" xfId="4626"/>
    <cellStyle name="Normal 10 5 3 4 2" xfId="11807"/>
    <cellStyle name="Normal 10 5 3 4 3" xfId="24037"/>
    <cellStyle name="Normal 10 5 3 5" xfId="5891"/>
    <cellStyle name="Normal 10 5 3 5 2" xfId="11808"/>
    <cellStyle name="Normal 10 5 3 5 3" xfId="24038"/>
    <cellStyle name="Normal 10 5 3 6" xfId="11804"/>
    <cellStyle name="Normal 10 5 3 7" xfId="24034"/>
    <cellStyle name="Normal 10 5 3_LNG &amp; LPG rework" xfId="9017"/>
    <cellStyle name="Normal 10 5 4" xfId="2377"/>
    <cellStyle name="Normal 10 5 4 2" xfId="11809"/>
    <cellStyle name="Normal 10 5 4 3" xfId="24039"/>
    <cellStyle name="Normal 10 5 5" xfId="3236"/>
    <cellStyle name="Normal 10 5 5 2" xfId="11810"/>
    <cellStyle name="Normal 10 5 5 3" xfId="24040"/>
    <cellStyle name="Normal 10 5 6" xfId="4102"/>
    <cellStyle name="Normal 10 5 6 2" xfId="11811"/>
    <cellStyle name="Normal 10 5 6 3" xfId="24041"/>
    <cellStyle name="Normal 10 5 7" xfId="5083"/>
    <cellStyle name="Normal 10 5 7 2" xfId="11812"/>
    <cellStyle name="Normal 10 5 7 3" xfId="24042"/>
    <cellStyle name="Normal 10 5 8" xfId="5363"/>
    <cellStyle name="Normal 10 5 8 2" xfId="11813"/>
    <cellStyle name="Normal 10 5 8 3" xfId="24043"/>
    <cellStyle name="Normal 10 5 9" xfId="10308"/>
    <cellStyle name="Normal 10 5_LNG &amp; LPG rework" xfId="9016"/>
    <cellStyle name="Normal 10 6" xfId="1329"/>
    <cellStyle name="Normal 10 7" xfId="1347"/>
    <cellStyle name="Normal 10 7 2" xfId="1718"/>
    <cellStyle name="Normal 10 7 2 2" xfId="2632"/>
    <cellStyle name="Normal 10 7 2 2 2" xfId="11816"/>
    <cellStyle name="Normal 10 7 2 2 3" xfId="24046"/>
    <cellStyle name="Normal 10 7 2 3" xfId="3495"/>
    <cellStyle name="Normal 10 7 2 3 2" xfId="11817"/>
    <cellStyle name="Normal 10 7 2 3 3" xfId="24047"/>
    <cellStyle name="Normal 10 7 2 4" xfId="4367"/>
    <cellStyle name="Normal 10 7 2 4 2" xfId="11818"/>
    <cellStyle name="Normal 10 7 2 4 3" xfId="24048"/>
    <cellStyle name="Normal 10 7 2 5" xfId="5632"/>
    <cellStyle name="Normal 10 7 2 5 2" xfId="11819"/>
    <cellStyle name="Normal 10 7 2 5 3" xfId="24049"/>
    <cellStyle name="Normal 10 7 2 6" xfId="11815"/>
    <cellStyle name="Normal 10 7 2 7" xfId="24045"/>
    <cellStyle name="Normal 10 7 2_LNG &amp; LPG rework" xfId="9018"/>
    <cellStyle name="Normal 10 7 3" xfId="2017"/>
    <cellStyle name="Normal 10 7 3 2" xfId="2887"/>
    <cellStyle name="Normal 10 7 3 2 2" xfId="11821"/>
    <cellStyle name="Normal 10 7 3 2 3" xfId="24051"/>
    <cellStyle name="Normal 10 7 3 3" xfId="3753"/>
    <cellStyle name="Normal 10 7 3 3 2" xfId="11822"/>
    <cellStyle name="Normal 10 7 3 3 3" xfId="24052"/>
    <cellStyle name="Normal 10 7 3 4" xfId="4631"/>
    <cellStyle name="Normal 10 7 3 4 2" xfId="11823"/>
    <cellStyle name="Normal 10 7 3 4 3" xfId="24053"/>
    <cellStyle name="Normal 10 7 3 5" xfId="5896"/>
    <cellStyle name="Normal 10 7 3 5 2" xfId="11824"/>
    <cellStyle name="Normal 10 7 3 5 3" xfId="24054"/>
    <cellStyle name="Normal 10 7 3 6" xfId="11820"/>
    <cellStyle name="Normal 10 7 3 7" xfId="24050"/>
    <cellStyle name="Normal 10 7 3_LNG &amp; LPG rework" xfId="9020"/>
    <cellStyle name="Normal 10 7 4" xfId="2381"/>
    <cellStyle name="Normal 10 7 4 2" xfId="11825"/>
    <cellStyle name="Normal 10 7 4 3" xfId="24055"/>
    <cellStyle name="Normal 10 7 5" xfId="3240"/>
    <cellStyle name="Normal 10 7 5 2" xfId="11826"/>
    <cellStyle name="Normal 10 7 5 3" xfId="24056"/>
    <cellStyle name="Normal 10 7 6" xfId="4106"/>
    <cellStyle name="Normal 10 7 6 2" xfId="11827"/>
    <cellStyle name="Normal 10 7 6 3" xfId="24057"/>
    <cellStyle name="Normal 10 7 7" xfId="5368"/>
    <cellStyle name="Normal 10 7 7 2" xfId="11828"/>
    <cellStyle name="Normal 10 7 7 3" xfId="24058"/>
    <cellStyle name="Normal 10 7 8" xfId="11814"/>
    <cellStyle name="Normal 10 7 9" xfId="24044"/>
    <cellStyle name="Normal 10 7_LNG &amp; LPG rework" xfId="9019"/>
    <cellStyle name="Normal 10 8" xfId="1353"/>
    <cellStyle name="Normal 10 8 2" xfId="1724"/>
    <cellStyle name="Normal 10 8 2 2" xfId="2636"/>
    <cellStyle name="Normal 10 8 2 2 2" xfId="11831"/>
    <cellStyle name="Normal 10 8 2 2 3" xfId="24061"/>
    <cellStyle name="Normal 10 8 2 3" xfId="3500"/>
    <cellStyle name="Normal 10 8 2 3 2" xfId="11832"/>
    <cellStyle name="Normal 10 8 2 3 3" xfId="24062"/>
    <cellStyle name="Normal 10 8 2 4" xfId="4372"/>
    <cellStyle name="Normal 10 8 2 4 2" xfId="11833"/>
    <cellStyle name="Normal 10 8 2 4 3" xfId="24063"/>
    <cellStyle name="Normal 10 8 2 5" xfId="5637"/>
    <cellStyle name="Normal 10 8 2 5 2" xfId="11834"/>
    <cellStyle name="Normal 10 8 2 5 3" xfId="24064"/>
    <cellStyle name="Normal 10 8 2 6" xfId="11830"/>
    <cellStyle name="Normal 10 8 2 7" xfId="24060"/>
    <cellStyle name="Normal 10 8 2_LNG &amp; LPG rework" xfId="9022"/>
    <cellStyle name="Normal 10 8 3" xfId="2021"/>
    <cellStyle name="Normal 10 8 3 2" xfId="2891"/>
    <cellStyle name="Normal 10 8 3 2 2" xfId="11836"/>
    <cellStyle name="Normal 10 8 3 2 3" xfId="24066"/>
    <cellStyle name="Normal 10 8 3 3" xfId="3758"/>
    <cellStyle name="Normal 10 8 3 3 2" xfId="11837"/>
    <cellStyle name="Normal 10 8 3 3 3" xfId="24067"/>
    <cellStyle name="Normal 10 8 3 4" xfId="4636"/>
    <cellStyle name="Normal 10 8 3 4 2" xfId="11838"/>
    <cellStyle name="Normal 10 8 3 4 3" xfId="24068"/>
    <cellStyle name="Normal 10 8 3 5" xfId="5901"/>
    <cellStyle name="Normal 10 8 3 5 2" xfId="11839"/>
    <cellStyle name="Normal 10 8 3 5 3" xfId="24069"/>
    <cellStyle name="Normal 10 8 3 6" xfId="11835"/>
    <cellStyle name="Normal 10 8 3 7" xfId="24065"/>
    <cellStyle name="Normal 10 8 3_LNG &amp; LPG rework" xfId="9232"/>
    <cellStyle name="Normal 10 8 4" xfId="2385"/>
    <cellStyle name="Normal 10 8 4 2" xfId="11840"/>
    <cellStyle name="Normal 10 8 4 3" xfId="24070"/>
    <cellStyle name="Normal 10 8 5" xfId="3244"/>
    <cellStyle name="Normal 10 8 5 2" xfId="11841"/>
    <cellStyle name="Normal 10 8 5 3" xfId="24071"/>
    <cellStyle name="Normal 10 8 6" xfId="4112"/>
    <cellStyle name="Normal 10 8 6 2" xfId="11842"/>
    <cellStyle name="Normal 10 8 6 3" xfId="24072"/>
    <cellStyle name="Normal 10 8 7" xfId="5374"/>
    <cellStyle name="Normal 10 8 7 2" xfId="11843"/>
    <cellStyle name="Normal 10 8 7 3" xfId="24073"/>
    <cellStyle name="Normal 10 8 8" xfId="11829"/>
    <cellStyle name="Normal 10 8 9" xfId="24059"/>
    <cellStyle name="Normal 10 8_LNG &amp; LPG rework" xfId="9021"/>
    <cellStyle name="Normal 10 9" xfId="1368"/>
    <cellStyle name="Normal 10 9 2" xfId="1739"/>
    <cellStyle name="Normal 10 9 2 2" xfId="2643"/>
    <cellStyle name="Normal 10 9 2 2 2" xfId="11846"/>
    <cellStyle name="Normal 10 9 2 2 3" xfId="24076"/>
    <cellStyle name="Normal 10 9 2 3" xfId="3507"/>
    <cellStyle name="Normal 10 9 2 3 2" xfId="11847"/>
    <cellStyle name="Normal 10 9 2 3 3" xfId="24077"/>
    <cellStyle name="Normal 10 9 2 4" xfId="4379"/>
    <cellStyle name="Normal 10 9 2 4 2" xfId="11848"/>
    <cellStyle name="Normal 10 9 2 4 3" xfId="24078"/>
    <cellStyle name="Normal 10 9 2 5" xfId="5644"/>
    <cellStyle name="Normal 10 9 2 5 2" xfId="11849"/>
    <cellStyle name="Normal 10 9 2 5 3" xfId="24079"/>
    <cellStyle name="Normal 10 9 2 6" xfId="11845"/>
    <cellStyle name="Normal 10 9 2 7" xfId="24075"/>
    <cellStyle name="Normal 10 9 2_LNG &amp; LPG rework" xfId="9024"/>
    <cellStyle name="Normal 10 9 3" xfId="2028"/>
    <cellStyle name="Normal 10 9 3 2" xfId="2898"/>
    <cellStyle name="Normal 10 9 3 2 2" xfId="11851"/>
    <cellStyle name="Normal 10 9 3 2 3" xfId="24081"/>
    <cellStyle name="Normal 10 9 3 3" xfId="3765"/>
    <cellStyle name="Normal 10 9 3 3 2" xfId="11852"/>
    <cellStyle name="Normal 10 9 3 3 3" xfId="24082"/>
    <cellStyle name="Normal 10 9 3 4" xfId="4643"/>
    <cellStyle name="Normal 10 9 3 4 2" xfId="11853"/>
    <cellStyle name="Normal 10 9 3 4 3" xfId="24083"/>
    <cellStyle name="Normal 10 9 3 5" xfId="5908"/>
    <cellStyle name="Normal 10 9 3 5 2" xfId="11854"/>
    <cellStyle name="Normal 10 9 3 5 3" xfId="24084"/>
    <cellStyle name="Normal 10 9 3 6" xfId="11850"/>
    <cellStyle name="Normal 10 9 3 7" xfId="24080"/>
    <cellStyle name="Normal 10 9 3_LNG &amp; LPG rework" xfId="8858"/>
    <cellStyle name="Normal 10 9 4" xfId="2392"/>
    <cellStyle name="Normal 10 9 4 2" xfId="11855"/>
    <cellStyle name="Normal 10 9 4 3" xfId="24085"/>
    <cellStyle name="Normal 10 9 5" xfId="3251"/>
    <cellStyle name="Normal 10 9 5 2" xfId="11856"/>
    <cellStyle name="Normal 10 9 5 3" xfId="24086"/>
    <cellStyle name="Normal 10 9 6" xfId="4119"/>
    <cellStyle name="Normal 10 9 6 2" xfId="11857"/>
    <cellStyle name="Normal 10 9 6 3" xfId="24087"/>
    <cellStyle name="Normal 10 9 7" xfId="5381"/>
    <cellStyle name="Normal 10 9 7 2" xfId="11858"/>
    <cellStyle name="Normal 10 9 7 3" xfId="24088"/>
    <cellStyle name="Normal 10 9 8" xfId="11844"/>
    <cellStyle name="Normal 10 9 9" xfId="24074"/>
    <cellStyle name="Normal 10 9_LNG &amp; LPG rework" xfId="9023"/>
    <cellStyle name="Normal 10_2015  Data" xfId="5084"/>
    <cellStyle name="Normal 100" xfId="655"/>
    <cellStyle name="Normal 100 2" xfId="6247"/>
    <cellStyle name="Normal 100 2 2" xfId="11859"/>
    <cellStyle name="Normal 100 2 3" xfId="24089"/>
    <cellStyle name="Normal 101" xfId="4"/>
    <cellStyle name="Normal 101 2" xfId="6248"/>
    <cellStyle name="Normal 101 2 2" xfId="11860"/>
    <cellStyle name="Normal 101 2 3" xfId="24090"/>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3"/>
    <cellStyle name="Normal 11 10 2 2 3" xfId="24093"/>
    <cellStyle name="Normal 11 10 2 3" xfId="3514"/>
    <cellStyle name="Normal 11 10 2 3 2" xfId="11864"/>
    <cellStyle name="Normal 11 10 2 3 3" xfId="24094"/>
    <cellStyle name="Normal 11 10 2 4" xfId="4386"/>
    <cellStyle name="Normal 11 10 2 4 2" xfId="11865"/>
    <cellStyle name="Normal 11 10 2 4 3" xfId="24095"/>
    <cellStyle name="Normal 11 10 2 5" xfId="5651"/>
    <cellStyle name="Normal 11 10 2 5 2" xfId="11866"/>
    <cellStyle name="Normal 11 10 2 5 3" xfId="24096"/>
    <cellStyle name="Normal 11 10 2 6" xfId="11862"/>
    <cellStyle name="Normal 11 10 2 7" xfId="24092"/>
    <cellStyle name="Normal 11 10 2_LNG &amp; LPG rework" xfId="9025"/>
    <cellStyle name="Normal 11 10 3" xfId="2035"/>
    <cellStyle name="Normal 11 10 3 2" xfId="2905"/>
    <cellStyle name="Normal 11 10 3 2 2" xfId="11868"/>
    <cellStyle name="Normal 11 10 3 2 3" xfId="24098"/>
    <cellStyle name="Normal 11 10 3 3" xfId="3772"/>
    <cellStyle name="Normal 11 10 3 3 2" xfId="11869"/>
    <cellStyle name="Normal 11 10 3 3 3" xfId="24099"/>
    <cellStyle name="Normal 11 10 3 4" xfId="4650"/>
    <cellStyle name="Normal 11 10 3 4 2" xfId="11870"/>
    <cellStyle name="Normal 11 10 3 4 3" xfId="24100"/>
    <cellStyle name="Normal 11 10 3 5" xfId="5915"/>
    <cellStyle name="Normal 11 10 3 5 2" xfId="11871"/>
    <cellStyle name="Normal 11 10 3 5 3" xfId="24101"/>
    <cellStyle name="Normal 11 10 3 6" xfId="11867"/>
    <cellStyle name="Normal 11 10 3 7" xfId="24097"/>
    <cellStyle name="Normal 11 10 3_LNG &amp; LPG rework" xfId="9026"/>
    <cellStyle name="Normal 11 10 4" xfId="2399"/>
    <cellStyle name="Normal 11 10 4 2" xfId="11872"/>
    <cellStyle name="Normal 11 10 4 3" xfId="24102"/>
    <cellStyle name="Normal 11 10 5" xfId="3258"/>
    <cellStyle name="Normal 11 10 5 2" xfId="11873"/>
    <cellStyle name="Normal 11 10 5 3" xfId="24103"/>
    <cellStyle name="Normal 11 10 6" xfId="4126"/>
    <cellStyle name="Normal 11 10 6 2" xfId="11874"/>
    <cellStyle name="Normal 11 10 6 3" xfId="24104"/>
    <cellStyle name="Normal 11 10 7" xfId="5388"/>
    <cellStyle name="Normal 11 10 7 2" xfId="11875"/>
    <cellStyle name="Normal 11 10 7 3" xfId="24105"/>
    <cellStyle name="Normal 11 10 8" xfId="11861"/>
    <cellStyle name="Normal 11 10 9" xfId="24091"/>
    <cellStyle name="Normal 11 10_LNG &amp; LPG rework" xfId="8953"/>
    <cellStyle name="Normal 11 11" xfId="1382"/>
    <cellStyle name="Normal 11 11 2" xfId="1753"/>
    <cellStyle name="Normal 11 11 2 2" xfId="2654"/>
    <cellStyle name="Normal 11 11 2 2 2" xfId="11878"/>
    <cellStyle name="Normal 11 11 2 2 3" xfId="24108"/>
    <cellStyle name="Normal 11 11 2 3" xfId="3518"/>
    <cellStyle name="Normal 11 11 2 3 2" xfId="11879"/>
    <cellStyle name="Normal 11 11 2 3 3" xfId="24109"/>
    <cellStyle name="Normal 11 11 2 4" xfId="4390"/>
    <cellStyle name="Normal 11 11 2 4 2" xfId="11880"/>
    <cellStyle name="Normal 11 11 2 4 3" xfId="24110"/>
    <cellStyle name="Normal 11 11 2 5" xfId="5655"/>
    <cellStyle name="Normal 11 11 2 5 2" xfId="11881"/>
    <cellStyle name="Normal 11 11 2 5 3" xfId="24111"/>
    <cellStyle name="Normal 11 11 2 6" xfId="11877"/>
    <cellStyle name="Normal 11 11 2 7" xfId="24107"/>
    <cellStyle name="Normal 11 11 2_LNG &amp; LPG rework" xfId="8951"/>
    <cellStyle name="Normal 11 11 3" xfId="2039"/>
    <cellStyle name="Normal 11 11 3 2" xfId="2909"/>
    <cellStyle name="Normal 11 11 3 2 2" xfId="11883"/>
    <cellStyle name="Normal 11 11 3 2 3" xfId="24113"/>
    <cellStyle name="Normal 11 11 3 3" xfId="3776"/>
    <cellStyle name="Normal 11 11 3 3 2" xfId="11884"/>
    <cellStyle name="Normal 11 11 3 3 3" xfId="24114"/>
    <cellStyle name="Normal 11 11 3 4" xfId="4654"/>
    <cellStyle name="Normal 11 11 3 4 2" xfId="11885"/>
    <cellStyle name="Normal 11 11 3 4 3" xfId="24115"/>
    <cellStyle name="Normal 11 11 3 5" xfId="5919"/>
    <cellStyle name="Normal 11 11 3 5 2" xfId="11886"/>
    <cellStyle name="Normal 11 11 3 5 3" xfId="24116"/>
    <cellStyle name="Normal 11 11 3 6" xfId="11882"/>
    <cellStyle name="Normal 11 11 3 7" xfId="24112"/>
    <cellStyle name="Normal 11 11 3_LNG &amp; LPG rework" xfId="9027"/>
    <cellStyle name="Normal 11 11 4" xfId="2403"/>
    <cellStyle name="Normal 11 11 4 2" xfId="11887"/>
    <cellStyle name="Normal 11 11 4 3" xfId="24117"/>
    <cellStyle name="Normal 11 11 5" xfId="3262"/>
    <cellStyle name="Normal 11 11 5 2" xfId="11888"/>
    <cellStyle name="Normal 11 11 5 3" xfId="24118"/>
    <cellStyle name="Normal 11 11 6" xfId="4130"/>
    <cellStyle name="Normal 11 11 6 2" xfId="11889"/>
    <cellStyle name="Normal 11 11 6 3" xfId="24119"/>
    <cellStyle name="Normal 11 11 7" xfId="5392"/>
    <cellStyle name="Normal 11 11 7 2" xfId="11890"/>
    <cellStyle name="Normal 11 11 7 3" xfId="24120"/>
    <cellStyle name="Normal 11 11 8" xfId="11876"/>
    <cellStyle name="Normal 11 11 9" xfId="24106"/>
    <cellStyle name="Normal 11 11_LNG &amp; LPG rework" xfId="8952"/>
    <cellStyle name="Normal 11 12" xfId="1389"/>
    <cellStyle name="Normal 11 12 2" xfId="1759"/>
    <cellStyle name="Normal 11 12 2 2" xfId="2659"/>
    <cellStyle name="Normal 11 12 2 2 2" xfId="11893"/>
    <cellStyle name="Normal 11 12 2 2 3" xfId="24123"/>
    <cellStyle name="Normal 11 12 2 3" xfId="3523"/>
    <cellStyle name="Normal 11 12 2 3 2" xfId="11894"/>
    <cellStyle name="Normal 11 12 2 3 3" xfId="24124"/>
    <cellStyle name="Normal 11 12 2 4" xfId="4395"/>
    <cellStyle name="Normal 11 12 2 4 2" xfId="11895"/>
    <cellStyle name="Normal 11 12 2 4 3" xfId="24125"/>
    <cellStyle name="Normal 11 12 2 5" xfId="5660"/>
    <cellStyle name="Normal 11 12 2 5 2" xfId="11896"/>
    <cellStyle name="Normal 11 12 2 5 3" xfId="24126"/>
    <cellStyle name="Normal 11 12 2 6" xfId="11892"/>
    <cellStyle name="Normal 11 12 2 7" xfId="24122"/>
    <cellStyle name="Normal 11 12 2_LNG &amp; LPG rework" xfId="9028"/>
    <cellStyle name="Normal 11 12 3" xfId="2044"/>
    <cellStyle name="Normal 11 12 3 2" xfId="2914"/>
    <cellStyle name="Normal 11 12 3 2 2" xfId="11898"/>
    <cellStyle name="Normal 11 12 3 2 3" xfId="24128"/>
    <cellStyle name="Normal 11 12 3 3" xfId="3781"/>
    <cellStyle name="Normal 11 12 3 3 2" xfId="11899"/>
    <cellStyle name="Normal 11 12 3 3 3" xfId="24129"/>
    <cellStyle name="Normal 11 12 3 4" xfId="4659"/>
    <cellStyle name="Normal 11 12 3 4 2" xfId="11900"/>
    <cellStyle name="Normal 11 12 3 4 3" xfId="24130"/>
    <cellStyle name="Normal 11 12 3 5" xfId="5924"/>
    <cellStyle name="Normal 11 12 3 5 2" xfId="11901"/>
    <cellStyle name="Normal 11 12 3 5 3" xfId="24131"/>
    <cellStyle name="Normal 11 12 3 6" xfId="11897"/>
    <cellStyle name="Normal 11 12 3 7" xfId="24127"/>
    <cellStyle name="Normal 11 12 3_LNG &amp; LPG rework" xfId="9030"/>
    <cellStyle name="Normal 11 12 4" xfId="2408"/>
    <cellStyle name="Normal 11 12 4 2" xfId="11902"/>
    <cellStyle name="Normal 11 12 4 3" xfId="24132"/>
    <cellStyle name="Normal 11 12 5" xfId="3267"/>
    <cellStyle name="Normal 11 12 5 2" xfId="11903"/>
    <cellStyle name="Normal 11 12 5 3" xfId="24133"/>
    <cellStyle name="Normal 11 12 6" xfId="4135"/>
    <cellStyle name="Normal 11 12 6 2" xfId="11904"/>
    <cellStyle name="Normal 11 12 6 3" xfId="24134"/>
    <cellStyle name="Normal 11 12 7" xfId="5397"/>
    <cellStyle name="Normal 11 12 7 2" xfId="11905"/>
    <cellStyle name="Normal 11 12 7 3" xfId="24135"/>
    <cellStyle name="Normal 11 12 8" xfId="11891"/>
    <cellStyle name="Normal 11 12 9" xfId="24121"/>
    <cellStyle name="Normal 11 12_LNG &amp; LPG rework" xfId="9029"/>
    <cellStyle name="Normal 11 13" xfId="1402"/>
    <cellStyle name="Normal 11 13 2" xfId="1770"/>
    <cellStyle name="Normal 11 13 2 2" xfId="2663"/>
    <cellStyle name="Normal 11 13 2 2 2" xfId="11908"/>
    <cellStyle name="Normal 11 13 2 2 3" xfId="24138"/>
    <cellStyle name="Normal 11 13 2 3" xfId="3527"/>
    <cellStyle name="Normal 11 13 2 3 2" xfId="11909"/>
    <cellStyle name="Normal 11 13 2 3 3" xfId="24139"/>
    <cellStyle name="Normal 11 13 2 4" xfId="4399"/>
    <cellStyle name="Normal 11 13 2 4 2" xfId="11910"/>
    <cellStyle name="Normal 11 13 2 4 3" xfId="24140"/>
    <cellStyle name="Normal 11 13 2 5" xfId="5664"/>
    <cellStyle name="Normal 11 13 2 5 2" xfId="11911"/>
    <cellStyle name="Normal 11 13 2 5 3" xfId="24141"/>
    <cellStyle name="Normal 11 13 2 6" xfId="11907"/>
    <cellStyle name="Normal 11 13 2 7" xfId="24137"/>
    <cellStyle name="Normal 11 13 2_LNG &amp; LPG rework" xfId="9032"/>
    <cellStyle name="Normal 11 13 3" xfId="2048"/>
    <cellStyle name="Normal 11 13 3 2" xfId="2918"/>
    <cellStyle name="Normal 11 13 3 2 2" xfId="11913"/>
    <cellStyle name="Normal 11 13 3 2 3" xfId="24143"/>
    <cellStyle name="Normal 11 13 3 3" xfId="3785"/>
    <cellStyle name="Normal 11 13 3 3 2" xfId="11914"/>
    <cellStyle name="Normal 11 13 3 3 3" xfId="24144"/>
    <cellStyle name="Normal 11 13 3 4" xfId="4663"/>
    <cellStyle name="Normal 11 13 3 4 2" xfId="11915"/>
    <cellStyle name="Normal 11 13 3 4 3" xfId="24145"/>
    <cellStyle name="Normal 11 13 3 5" xfId="5928"/>
    <cellStyle name="Normal 11 13 3 5 2" xfId="11916"/>
    <cellStyle name="Normal 11 13 3 5 3" xfId="24146"/>
    <cellStyle name="Normal 11 13 3 6" xfId="11912"/>
    <cellStyle name="Normal 11 13 3 7" xfId="24142"/>
    <cellStyle name="Normal 11 13 3_LNG &amp; LPG rework" xfId="9033"/>
    <cellStyle name="Normal 11 13 4" xfId="2412"/>
    <cellStyle name="Normal 11 13 4 2" xfId="11917"/>
    <cellStyle name="Normal 11 13 4 3" xfId="24147"/>
    <cellStyle name="Normal 11 13 5" xfId="3271"/>
    <cellStyle name="Normal 11 13 5 2" xfId="11918"/>
    <cellStyle name="Normal 11 13 5 3" xfId="24148"/>
    <cellStyle name="Normal 11 13 6" xfId="4139"/>
    <cellStyle name="Normal 11 13 6 2" xfId="11919"/>
    <cellStyle name="Normal 11 13 6 3" xfId="24149"/>
    <cellStyle name="Normal 11 13 7" xfId="5401"/>
    <cellStyle name="Normal 11 13 7 2" xfId="11920"/>
    <cellStyle name="Normal 11 13 7 3" xfId="24150"/>
    <cellStyle name="Normal 11 13 8" xfId="11906"/>
    <cellStyle name="Normal 11 13 9" xfId="24136"/>
    <cellStyle name="Normal 11 13_LNG &amp; LPG rework" xfId="9031"/>
    <cellStyle name="Normal 11 14" xfId="1409"/>
    <cellStyle name="Normal 11 14 2" xfId="1775"/>
    <cellStyle name="Normal 11 14 2 2" xfId="2667"/>
    <cellStyle name="Normal 11 14 2 2 2" xfId="11923"/>
    <cellStyle name="Normal 11 14 2 2 3" xfId="24153"/>
    <cellStyle name="Normal 11 14 2 3" xfId="3531"/>
    <cellStyle name="Normal 11 14 2 3 2" xfId="11924"/>
    <cellStyle name="Normal 11 14 2 3 3" xfId="24154"/>
    <cellStyle name="Normal 11 14 2 4" xfId="4403"/>
    <cellStyle name="Normal 11 14 2 4 2" xfId="11925"/>
    <cellStyle name="Normal 11 14 2 4 3" xfId="24155"/>
    <cellStyle name="Normal 11 14 2 5" xfId="5668"/>
    <cellStyle name="Normal 11 14 2 5 2" xfId="11926"/>
    <cellStyle name="Normal 11 14 2 5 3" xfId="24156"/>
    <cellStyle name="Normal 11 14 2 6" xfId="11922"/>
    <cellStyle name="Normal 11 14 2 7" xfId="24152"/>
    <cellStyle name="Normal 11 14 2_LNG &amp; LPG rework" xfId="9034"/>
    <cellStyle name="Normal 11 14 3" xfId="2052"/>
    <cellStyle name="Normal 11 14 3 2" xfId="2922"/>
    <cellStyle name="Normal 11 14 3 2 2" xfId="11928"/>
    <cellStyle name="Normal 11 14 3 2 3" xfId="24158"/>
    <cellStyle name="Normal 11 14 3 3" xfId="3789"/>
    <cellStyle name="Normal 11 14 3 3 2" xfId="11929"/>
    <cellStyle name="Normal 11 14 3 3 3" xfId="24159"/>
    <cellStyle name="Normal 11 14 3 4" xfId="4667"/>
    <cellStyle name="Normal 11 14 3 4 2" xfId="11930"/>
    <cellStyle name="Normal 11 14 3 4 3" xfId="24160"/>
    <cellStyle name="Normal 11 14 3 5" xfId="5932"/>
    <cellStyle name="Normal 11 14 3 5 2" xfId="11931"/>
    <cellStyle name="Normal 11 14 3 5 3" xfId="24161"/>
    <cellStyle name="Normal 11 14 3 6" xfId="11927"/>
    <cellStyle name="Normal 11 14 3 7" xfId="24157"/>
    <cellStyle name="Normal 11 14 3_LNG &amp; LPG rework" xfId="8949"/>
    <cellStyle name="Normal 11 14 4" xfId="2416"/>
    <cellStyle name="Normal 11 14 4 2" xfId="11932"/>
    <cellStyle name="Normal 11 14 4 3" xfId="24162"/>
    <cellStyle name="Normal 11 14 5" xfId="3275"/>
    <cellStyle name="Normal 11 14 5 2" xfId="11933"/>
    <cellStyle name="Normal 11 14 5 3" xfId="24163"/>
    <cellStyle name="Normal 11 14 6" xfId="4143"/>
    <cellStyle name="Normal 11 14 6 2" xfId="11934"/>
    <cellStyle name="Normal 11 14 6 3" xfId="24164"/>
    <cellStyle name="Normal 11 14 7" xfId="5405"/>
    <cellStyle name="Normal 11 14 7 2" xfId="11935"/>
    <cellStyle name="Normal 11 14 7 3" xfId="24165"/>
    <cellStyle name="Normal 11 14 8" xfId="11921"/>
    <cellStyle name="Normal 11 14 9" xfId="24151"/>
    <cellStyle name="Normal 11 14_LNG &amp; LPG rework" xfId="8950"/>
    <cellStyle name="Normal 11 15" xfId="1414"/>
    <cellStyle name="Normal 11 15 2" xfId="1780"/>
    <cellStyle name="Normal 11 15 2 2" xfId="2671"/>
    <cellStyle name="Normal 11 15 2 2 2" xfId="11938"/>
    <cellStyle name="Normal 11 15 2 2 3" xfId="24168"/>
    <cellStyle name="Normal 11 15 2 3" xfId="3535"/>
    <cellStyle name="Normal 11 15 2 3 2" xfId="11939"/>
    <cellStyle name="Normal 11 15 2 3 3" xfId="24169"/>
    <cellStyle name="Normal 11 15 2 4" xfId="4407"/>
    <cellStyle name="Normal 11 15 2 4 2" xfId="11940"/>
    <cellStyle name="Normal 11 15 2 4 3" xfId="24170"/>
    <cellStyle name="Normal 11 15 2 5" xfId="5672"/>
    <cellStyle name="Normal 11 15 2 5 2" xfId="11941"/>
    <cellStyle name="Normal 11 15 2 5 3" xfId="24171"/>
    <cellStyle name="Normal 11 15 2 6" xfId="11937"/>
    <cellStyle name="Normal 11 15 2 7" xfId="24167"/>
    <cellStyle name="Normal 11 15 2_LNG &amp; LPG rework" xfId="9035"/>
    <cellStyle name="Normal 11 15 3" xfId="2056"/>
    <cellStyle name="Normal 11 15 3 2" xfId="2926"/>
    <cellStyle name="Normal 11 15 3 2 2" xfId="11943"/>
    <cellStyle name="Normal 11 15 3 2 3" xfId="24173"/>
    <cellStyle name="Normal 11 15 3 3" xfId="3793"/>
    <cellStyle name="Normal 11 15 3 3 2" xfId="11944"/>
    <cellStyle name="Normal 11 15 3 3 3" xfId="24174"/>
    <cellStyle name="Normal 11 15 3 4" xfId="4671"/>
    <cellStyle name="Normal 11 15 3 4 2" xfId="11945"/>
    <cellStyle name="Normal 11 15 3 4 3" xfId="24175"/>
    <cellStyle name="Normal 11 15 3 5" xfId="5936"/>
    <cellStyle name="Normal 11 15 3 5 2" xfId="11946"/>
    <cellStyle name="Normal 11 15 3 5 3" xfId="24176"/>
    <cellStyle name="Normal 11 15 3 6" xfId="11942"/>
    <cellStyle name="Normal 11 15 3 7" xfId="24172"/>
    <cellStyle name="Normal 11 15 3_LNG &amp; LPG rework" xfId="9036"/>
    <cellStyle name="Normal 11 15 4" xfId="2420"/>
    <cellStyle name="Normal 11 15 4 2" xfId="11947"/>
    <cellStyle name="Normal 11 15 4 3" xfId="24177"/>
    <cellStyle name="Normal 11 15 5" xfId="3279"/>
    <cellStyle name="Normal 11 15 5 2" xfId="11948"/>
    <cellStyle name="Normal 11 15 5 3" xfId="24178"/>
    <cellStyle name="Normal 11 15 6" xfId="4147"/>
    <cellStyle name="Normal 11 15 6 2" xfId="11949"/>
    <cellStyle name="Normal 11 15 6 3" xfId="24179"/>
    <cellStyle name="Normal 11 15 7" xfId="5409"/>
    <cellStyle name="Normal 11 15 7 2" xfId="11950"/>
    <cellStyle name="Normal 11 15 7 3" xfId="24180"/>
    <cellStyle name="Normal 11 15 8" xfId="11936"/>
    <cellStyle name="Normal 11 15 9" xfId="24166"/>
    <cellStyle name="Normal 11 15_LNG &amp; LPG rework" xfId="8948"/>
    <cellStyle name="Normal 11 16" xfId="1418"/>
    <cellStyle name="Normal 11 16 2" xfId="1784"/>
    <cellStyle name="Normal 11 16 2 2" xfId="2675"/>
    <cellStyle name="Normal 11 16 2 2 2" xfId="11953"/>
    <cellStyle name="Normal 11 16 2 2 3" xfId="24183"/>
    <cellStyle name="Normal 11 16 2 3" xfId="3539"/>
    <cellStyle name="Normal 11 16 2 3 2" xfId="11954"/>
    <cellStyle name="Normal 11 16 2 3 3" xfId="24184"/>
    <cellStyle name="Normal 11 16 2 4" xfId="4411"/>
    <cellStyle name="Normal 11 16 2 4 2" xfId="11955"/>
    <cellStyle name="Normal 11 16 2 4 3" xfId="24185"/>
    <cellStyle name="Normal 11 16 2 5" xfId="5676"/>
    <cellStyle name="Normal 11 16 2 5 2" xfId="11956"/>
    <cellStyle name="Normal 11 16 2 5 3" xfId="24186"/>
    <cellStyle name="Normal 11 16 2 6" xfId="11952"/>
    <cellStyle name="Normal 11 16 2 7" xfId="24182"/>
    <cellStyle name="Normal 11 16 2_LNG &amp; LPG rework" xfId="9038"/>
    <cellStyle name="Normal 11 16 3" xfId="2060"/>
    <cellStyle name="Normal 11 16 3 2" xfId="2930"/>
    <cellStyle name="Normal 11 16 3 2 2" xfId="11958"/>
    <cellStyle name="Normal 11 16 3 2 3" xfId="24188"/>
    <cellStyle name="Normal 11 16 3 3" xfId="3797"/>
    <cellStyle name="Normal 11 16 3 3 2" xfId="11959"/>
    <cellStyle name="Normal 11 16 3 3 3" xfId="24189"/>
    <cellStyle name="Normal 11 16 3 4" xfId="4675"/>
    <cellStyle name="Normal 11 16 3 4 2" xfId="11960"/>
    <cellStyle name="Normal 11 16 3 4 3" xfId="24190"/>
    <cellStyle name="Normal 11 16 3 5" xfId="5940"/>
    <cellStyle name="Normal 11 16 3 5 2" xfId="11961"/>
    <cellStyle name="Normal 11 16 3 5 3" xfId="24191"/>
    <cellStyle name="Normal 11 16 3 6" xfId="11957"/>
    <cellStyle name="Normal 11 16 3 7" xfId="24187"/>
    <cellStyle name="Normal 11 16 3_LNG &amp; LPG rework" xfId="9039"/>
    <cellStyle name="Normal 11 16 4" xfId="2424"/>
    <cellStyle name="Normal 11 16 4 2" xfId="11962"/>
    <cellStyle name="Normal 11 16 4 3" xfId="24192"/>
    <cellStyle name="Normal 11 16 5" xfId="3283"/>
    <cellStyle name="Normal 11 16 5 2" xfId="11963"/>
    <cellStyle name="Normal 11 16 5 3" xfId="24193"/>
    <cellStyle name="Normal 11 16 6" xfId="4151"/>
    <cellStyle name="Normal 11 16 6 2" xfId="11964"/>
    <cellStyle name="Normal 11 16 6 3" xfId="24194"/>
    <cellStyle name="Normal 11 16 7" xfId="5413"/>
    <cellStyle name="Normal 11 16 7 2" xfId="11965"/>
    <cellStyle name="Normal 11 16 7 3" xfId="24195"/>
    <cellStyle name="Normal 11 16 8" xfId="11951"/>
    <cellStyle name="Normal 11 16 9" xfId="24181"/>
    <cellStyle name="Normal 11 16_LNG &amp; LPG rework" xfId="9037"/>
    <cellStyle name="Normal 11 17" xfId="1428"/>
    <cellStyle name="Normal 11 17 2" xfId="1792"/>
    <cellStyle name="Normal 11 17 2 2" xfId="2683"/>
    <cellStyle name="Normal 11 17 2 2 2" xfId="11968"/>
    <cellStyle name="Normal 11 17 2 2 3" xfId="24198"/>
    <cellStyle name="Normal 11 17 2 3" xfId="3547"/>
    <cellStyle name="Normal 11 17 2 3 2" xfId="11969"/>
    <cellStyle name="Normal 11 17 2 3 3" xfId="24199"/>
    <cellStyle name="Normal 11 17 2 4" xfId="4419"/>
    <cellStyle name="Normal 11 17 2 4 2" xfId="11970"/>
    <cellStyle name="Normal 11 17 2 4 3" xfId="24200"/>
    <cellStyle name="Normal 11 17 2 5" xfId="5684"/>
    <cellStyle name="Normal 11 17 2 5 2" xfId="11971"/>
    <cellStyle name="Normal 11 17 2 5 3" xfId="24201"/>
    <cellStyle name="Normal 11 17 2 6" xfId="11967"/>
    <cellStyle name="Normal 11 17 2 7" xfId="24197"/>
    <cellStyle name="Normal 11 17 2_LNG &amp; LPG rework" xfId="9041"/>
    <cellStyle name="Normal 11 17 3" xfId="2068"/>
    <cellStyle name="Normal 11 17 3 2" xfId="2938"/>
    <cellStyle name="Normal 11 17 3 2 2" xfId="11973"/>
    <cellStyle name="Normal 11 17 3 2 3" xfId="24203"/>
    <cellStyle name="Normal 11 17 3 3" xfId="3805"/>
    <cellStyle name="Normal 11 17 3 3 2" xfId="11974"/>
    <cellStyle name="Normal 11 17 3 3 3" xfId="24204"/>
    <cellStyle name="Normal 11 17 3 4" xfId="4683"/>
    <cellStyle name="Normal 11 17 3 4 2" xfId="11975"/>
    <cellStyle name="Normal 11 17 3 4 3" xfId="24205"/>
    <cellStyle name="Normal 11 17 3 5" xfId="5948"/>
    <cellStyle name="Normal 11 17 3 5 2" xfId="11976"/>
    <cellStyle name="Normal 11 17 3 5 3" xfId="24206"/>
    <cellStyle name="Normal 11 17 3 6" xfId="11972"/>
    <cellStyle name="Normal 11 17 3 7" xfId="24202"/>
    <cellStyle name="Normal 11 17 3_LNG &amp; LPG rework" xfId="8947"/>
    <cellStyle name="Normal 11 17 4" xfId="2432"/>
    <cellStyle name="Normal 11 17 4 2" xfId="11977"/>
    <cellStyle name="Normal 11 17 4 3" xfId="24207"/>
    <cellStyle name="Normal 11 17 5" xfId="3291"/>
    <cellStyle name="Normal 11 17 5 2" xfId="11978"/>
    <cellStyle name="Normal 11 17 5 3" xfId="24208"/>
    <cellStyle name="Normal 11 17 6" xfId="4159"/>
    <cellStyle name="Normal 11 17 6 2" xfId="11979"/>
    <cellStyle name="Normal 11 17 6 3" xfId="24209"/>
    <cellStyle name="Normal 11 17 7" xfId="5421"/>
    <cellStyle name="Normal 11 17 7 2" xfId="11980"/>
    <cellStyle name="Normal 11 17 7 3" xfId="24210"/>
    <cellStyle name="Normal 11 17 8" xfId="11966"/>
    <cellStyle name="Normal 11 17 9" xfId="24196"/>
    <cellStyle name="Normal 11 17_LNG &amp; LPG rework" xfId="9040"/>
    <cellStyle name="Normal 11 18" xfId="1434"/>
    <cellStyle name="Normal 11 18 2" xfId="1798"/>
    <cellStyle name="Normal 11 18 2 2" xfId="2688"/>
    <cellStyle name="Normal 11 18 2 2 2" xfId="11983"/>
    <cellStyle name="Normal 11 18 2 2 3" xfId="24213"/>
    <cellStyle name="Normal 11 18 2 3" xfId="3552"/>
    <cellStyle name="Normal 11 18 2 3 2" xfId="11984"/>
    <cellStyle name="Normal 11 18 2 3 3" xfId="24214"/>
    <cellStyle name="Normal 11 18 2 4" xfId="4424"/>
    <cellStyle name="Normal 11 18 2 4 2" xfId="11985"/>
    <cellStyle name="Normal 11 18 2 4 3" xfId="24215"/>
    <cellStyle name="Normal 11 18 2 5" xfId="5689"/>
    <cellStyle name="Normal 11 18 2 5 2" xfId="11986"/>
    <cellStyle name="Normal 11 18 2 5 3" xfId="24216"/>
    <cellStyle name="Normal 11 18 2 6" xfId="11982"/>
    <cellStyle name="Normal 11 18 2 7" xfId="24212"/>
    <cellStyle name="Normal 11 18 2_LNG &amp; LPG rework" xfId="9042"/>
    <cellStyle name="Normal 11 18 3" xfId="2073"/>
    <cellStyle name="Normal 11 18 3 2" xfId="2943"/>
    <cellStyle name="Normal 11 18 3 2 2" xfId="11988"/>
    <cellStyle name="Normal 11 18 3 2 3" xfId="24218"/>
    <cellStyle name="Normal 11 18 3 3" xfId="3810"/>
    <cellStyle name="Normal 11 18 3 3 2" xfId="11989"/>
    <cellStyle name="Normal 11 18 3 3 3" xfId="24219"/>
    <cellStyle name="Normal 11 18 3 4" xfId="4688"/>
    <cellStyle name="Normal 11 18 3 4 2" xfId="11990"/>
    <cellStyle name="Normal 11 18 3 4 3" xfId="24220"/>
    <cellStyle name="Normal 11 18 3 5" xfId="5953"/>
    <cellStyle name="Normal 11 18 3 5 2" xfId="11991"/>
    <cellStyle name="Normal 11 18 3 5 3" xfId="24221"/>
    <cellStyle name="Normal 11 18 3 6" xfId="11987"/>
    <cellStyle name="Normal 11 18 3 7" xfId="24217"/>
    <cellStyle name="Normal 11 18 3_LNG &amp; LPG rework" xfId="9044"/>
    <cellStyle name="Normal 11 18 4" xfId="2437"/>
    <cellStyle name="Normal 11 18 4 2" xfId="11992"/>
    <cellStyle name="Normal 11 18 4 3" xfId="24222"/>
    <cellStyle name="Normal 11 18 5" xfId="3296"/>
    <cellStyle name="Normal 11 18 5 2" xfId="11993"/>
    <cellStyle name="Normal 11 18 5 3" xfId="24223"/>
    <cellStyle name="Normal 11 18 6" xfId="4164"/>
    <cellStyle name="Normal 11 18 6 2" xfId="11994"/>
    <cellStyle name="Normal 11 18 6 3" xfId="24224"/>
    <cellStyle name="Normal 11 18 7" xfId="5426"/>
    <cellStyle name="Normal 11 18 7 2" xfId="11995"/>
    <cellStyle name="Normal 11 18 7 3" xfId="24225"/>
    <cellStyle name="Normal 11 18 8" xfId="11981"/>
    <cellStyle name="Normal 11 18 9" xfId="24211"/>
    <cellStyle name="Normal 11 18_LNG &amp; LPG rework" xfId="9043"/>
    <cellStyle name="Normal 11 19" xfId="1662"/>
    <cellStyle name="Normal 11 19 2" xfId="1967"/>
    <cellStyle name="Normal 11 19 2 2" xfId="2856"/>
    <cellStyle name="Normal 11 19 2 2 2" xfId="11998"/>
    <cellStyle name="Normal 11 19 2 2 3" xfId="24228"/>
    <cellStyle name="Normal 11 19 2 3" xfId="3720"/>
    <cellStyle name="Normal 11 19 2 3 2" xfId="11999"/>
    <cellStyle name="Normal 11 19 2 3 3" xfId="24229"/>
    <cellStyle name="Normal 11 19 2 4" xfId="4595"/>
    <cellStyle name="Normal 11 19 2 4 2" xfId="12000"/>
    <cellStyle name="Normal 11 19 2 4 3" xfId="24230"/>
    <cellStyle name="Normal 11 19 2 5" xfId="5860"/>
    <cellStyle name="Normal 11 19 2 5 2" xfId="12001"/>
    <cellStyle name="Normal 11 19 2 5 3" xfId="24231"/>
    <cellStyle name="Normal 11 19 2 6" xfId="11997"/>
    <cellStyle name="Normal 11 19 2 7" xfId="24227"/>
    <cellStyle name="Normal 11 19 2_LNG &amp; LPG rework" xfId="8945"/>
    <cellStyle name="Normal 11 19 3" xfId="2241"/>
    <cellStyle name="Normal 11 19 3 2" xfId="3111"/>
    <cellStyle name="Normal 11 19 3 2 2" xfId="12003"/>
    <cellStyle name="Normal 11 19 3 2 3" xfId="24233"/>
    <cellStyle name="Normal 11 19 3 3" xfId="3981"/>
    <cellStyle name="Normal 11 19 3 3 2" xfId="12004"/>
    <cellStyle name="Normal 11 19 3 3 3" xfId="24234"/>
    <cellStyle name="Normal 11 19 3 4" xfId="4859"/>
    <cellStyle name="Normal 11 19 3 4 2" xfId="12005"/>
    <cellStyle name="Normal 11 19 3 4 3" xfId="24235"/>
    <cellStyle name="Normal 11 19 3 5" xfId="6124"/>
    <cellStyle name="Normal 11 19 3 5 2" xfId="12006"/>
    <cellStyle name="Normal 11 19 3 5 3" xfId="24236"/>
    <cellStyle name="Normal 11 19 3 6" xfId="12002"/>
    <cellStyle name="Normal 11 19 3 7" xfId="24232"/>
    <cellStyle name="Normal 11 19 3_LNG &amp; LPG rework" xfId="8944"/>
    <cellStyle name="Normal 11 19 4" xfId="2606"/>
    <cellStyle name="Normal 11 19 4 2" xfId="12007"/>
    <cellStyle name="Normal 11 19 4 3" xfId="24237"/>
    <cellStyle name="Normal 11 19 5" xfId="3469"/>
    <cellStyle name="Normal 11 19 5 2" xfId="12008"/>
    <cellStyle name="Normal 11 19 5 3" xfId="24238"/>
    <cellStyle name="Normal 11 19 6" xfId="4337"/>
    <cellStyle name="Normal 11 19 6 2" xfId="12009"/>
    <cellStyle name="Normal 11 19 6 3" xfId="24239"/>
    <cellStyle name="Normal 11 19 7" xfId="5599"/>
    <cellStyle name="Normal 11 19 7 2" xfId="12010"/>
    <cellStyle name="Normal 11 19 7 3" xfId="24240"/>
    <cellStyle name="Normal 11 19 8" xfId="11996"/>
    <cellStyle name="Normal 11 19 9" xfId="24226"/>
    <cellStyle name="Normal 11 19_LNG &amp; LPG rework" xfId="8946"/>
    <cellStyle name="Normal 11 2" xfId="1277"/>
    <cellStyle name="Normal 11 2 10" xfId="5086"/>
    <cellStyle name="Normal 11 2 10 2" xfId="12011"/>
    <cellStyle name="Normal 11 2 10 3" xfId="24242"/>
    <cellStyle name="Normal 11 2 11" xfId="5352"/>
    <cellStyle name="Normal 11 2 11 2" xfId="12012"/>
    <cellStyle name="Normal 11 2 11 3" xfId="24243"/>
    <cellStyle name="Normal 11 2 12" xfId="10309"/>
    <cellStyle name="Normal 11 2 13" xfId="24241"/>
    <cellStyle name="Normal 11 2 2" xfId="1510"/>
    <cellStyle name="Normal 11 2 2 10" xfId="5492"/>
    <cellStyle name="Normal 11 2 2 10 2" xfId="12013"/>
    <cellStyle name="Normal 11 2 2 10 3" xfId="24245"/>
    <cellStyle name="Normal 11 2 2 11" xfId="10310"/>
    <cellStyle name="Normal 11 2 2 12" xfId="24244"/>
    <cellStyle name="Normal 11 2 2 2" xfId="1511"/>
    <cellStyle name="Normal 11 2 2 2 10" xfId="24246"/>
    <cellStyle name="Normal 11 2 2 2 2" xfId="1860"/>
    <cellStyle name="Normal 11 2 2 2 2 2" xfId="2750"/>
    <cellStyle name="Normal 11 2 2 2 2 2 2" xfId="12014"/>
    <cellStyle name="Normal 11 2 2 2 2 2 3" xfId="24248"/>
    <cellStyle name="Normal 11 2 2 2 2 3" xfId="3614"/>
    <cellStyle name="Normal 11 2 2 2 2 3 2" xfId="12015"/>
    <cellStyle name="Normal 11 2 2 2 2 3 3" xfId="24249"/>
    <cellStyle name="Normal 11 2 2 2 2 4" xfId="4489"/>
    <cellStyle name="Normal 11 2 2 2 2 4 2" xfId="12016"/>
    <cellStyle name="Normal 11 2 2 2 2 4 3" xfId="24250"/>
    <cellStyle name="Normal 11 2 2 2 2 5" xfId="5089"/>
    <cellStyle name="Normal 11 2 2 2 2 5 2" xfId="12017"/>
    <cellStyle name="Normal 11 2 2 2 2 5 3" xfId="24251"/>
    <cellStyle name="Normal 11 2 2 2 2 6" xfId="5754"/>
    <cellStyle name="Normal 11 2 2 2 2 6 2" xfId="12018"/>
    <cellStyle name="Normal 11 2 2 2 2 6 3" xfId="24252"/>
    <cellStyle name="Normal 11 2 2 2 2 7" xfId="10312"/>
    <cellStyle name="Normal 11 2 2 2 2 8" xfId="24247"/>
    <cellStyle name="Normal 11 2 2 2 2_LNG &amp; LPG rework" xfId="8940"/>
    <cellStyle name="Normal 11 2 2 2 3" xfId="2135"/>
    <cellStyle name="Normal 11 2 2 2 3 2" xfId="3005"/>
    <cellStyle name="Normal 11 2 2 2 3 2 2" xfId="12020"/>
    <cellStyle name="Normal 11 2 2 2 3 2 3" xfId="24254"/>
    <cellStyle name="Normal 11 2 2 2 3 3" xfId="3875"/>
    <cellStyle name="Normal 11 2 2 2 3 3 2" xfId="12021"/>
    <cellStyle name="Normal 11 2 2 2 3 3 3" xfId="24255"/>
    <cellStyle name="Normal 11 2 2 2 3 4" xfId="4753"/>
    <cellStyle name="Normal 11 2 2 2 3 4 2" xfId="12022"/>
    <cellStyle name="Normal 11 2 2 2 3 4 3" xfId="24256"/>
    <cellStyle name="Normal 11 2 2 2 3 5" xfId="6018"/>
    <cellStyle name="Normal 11 2 2 2 3 5 2" xfId="12023"/>
    <cellStyle name="Normal 11 2 2 2 3 5 3" xfId="24257"/>
    <cellStyle name="Normal 11 2 2 2 3 6" xfId="12019"/>
    <cellStyle name="Normal 11 2 2 2 3 7" xfId="24253"/>
    <cellStyle name="Normal 11 2 2 2 3_LNG &amp; LPG rework" xfId="9233"/>
    <cellStyle name="Normal 11 2 2 2 4" xfId="2500"/>
    <cellStyle name="Normal 11 2 2 2 4 2" xfId="12024"/>
    <cellStyle name="Normal 11 2 2 2 4 3" xfId="24258"/>
    <cellStyle name="Normal 11 2 2 2 5" xfId="3363"/>
    <cellStyle name="Normal 11 2 2 2 5 2" xfId="12025"/>
    <cellStyle name="Normal 11 2 2 2 5 3" xfId="24259"/>
    <cellStyle name="Normal 11 2 2 2 6" xfId="4231"/>
    <cellStyle name="Normal 11 2 2 2 6 2" xfId="12026"/>
    <cellStyle name="Normal 11 2 2 2 6 3" xfId="24260"/>
    <cellStyle name="Normal 11 2 2 2 7" xfId="5088"/>
    <cellStyle name="Normal 11 2 2 2 7 2" xfId="12027"/>
    <cellStyle name="Normal 11 2 2 2 7 3" xfId="24261"/>
    <cellStyle name="Normal 11 2 2 2 8" xfId="5493"/>
    <cellStyle name="Normal 11 2 2 2 8 2" xfId="12028"/>
    <cellStyle name="Normal 11 2 2 2 8 3" xfId="24262"/>
    <cellStyle name="Normal 11 2 2 2 9" xfId="10311"/>
    <cellStyle name="Normal 11 2 2 2_LNG &amp; LPG rework" xfId="8941"/>
    <cellStyle name="Normal 11 2 2 3" xfId="1859"/>
    <cellStyle name="Normal 11 2 2 3 2" xfId="2749"/>
    <cellStyle name="Normal 11 2 2 3 2 2" xfId="12029"/>
    <cellStyle name="Normal 11 2 2 3 2 3" xfId="24264"/>
    <cellStyle name="Normal 11 2 2 3 3" xfId="3613"/>
    <cellStyle name="Normal 11 2 2 3 3 2" xfId="12030"/>
    <cellStyle name="Normal 11 2 2 3 3 3" xfId="24265"/>
    <cellStyle name="Normal 11 2 2 3 4" xfId="4488"/>
    <cellStyle name="Normal 11 2 2 3 4 2" xfId="12031"/>
    <cellStyle name="Normal 11 2 2 3 4 3" xfId="24266"/>
    <cellStyle name="Normal 11 2 2 3 5" xfId="5090"/>
    <cellStyle name="Normal 11 2 2 3 5 2" xfId="12032"/>
    <cellStyle name="Normal 11 2 2 3 5 3" xfId="24267"/>
    <cellStyle name="Normal 11 2 2 3 6" xfId="5753"/>
    <cellStyle name="Normal 11 2 2 3 6 2" xfId="12033"/>
    <cellStyle name="Normal 11 2 2 3 6 3" xfId="24268"/>
    <cellStyle name="Normal 11 2 2 3 7" xfId="10313"/>
    <cellStyle name="Normal 11 2 2 3 8" xfId="24263"/>
    <cellStyle name="Normal 11 2 2 3_LNG &amp; LPG rework" xfId="8939"/>
    <cellStyle name="Normal 11 2 2 4" xfId="2134"/>
    <cellStyle name="Normal 11 2 2 4 2" xfId="3004"/>
    <cellStyle name="Normal 11 2 2 4 2 2" xfId="12035"/>
    <cellStyle name="Normal 11 2 2 4 2 3" xfId="24270"/>
    <cellStyle name="Normal 11 2 2 4 3" xfId="3874"/>
    <cellStyle name="Normal 11 2 2 4 3 2" xfId="12036"/>
    <cellStyle name="Normal 11 2 2 4 3 3" xfId="24271"/>
    <cellStyle name="Normal 11 2 2 4 4" xfId="4752"/>
    <cellStyle name="Normal 11 2 2 4 4 2" xfId="12037"/>
    <cellStyle name="Normal 11 2 2 4 4 3" xfId="24272"/>
    <cellStyle name="Normal 11 2 2 4 5" xfId="6017"/>
    <cellStyle name="Normal 11 2 2 4 5 2" xfId="12038"/>
    <cellStyle name="Normal 11 2 2 4 5 3" xfId="24273"/>
    <cellStyle name="Normal 11 2 2 4 6" xfId="12034"/>
    <cellStyle name="Normal 11 2 2 4 7" xfId="24269"/>
    <cellStyle name="Normal 11 2 2 4_LNG &amp; LPG rework" xfId="8938"/>
    <cellStyle name="Normal 11 2 2 5" xfId="2349"/>
    <cellStyle name="Normal 11 2 2 5 2" xfId="3208"/>
    <cellStyle name="Normal 11 2 2 5 2 2" xfId="12040"/>
    <cellStyle name="Normal 11 2 2 5 2 3" xfId="24275"/>
    <cellStyle name="Normal 11 2 2 5 3" xfId="4074"/>
    <cellStyle name="Normal 11 2 2 5 3 2" xfId="12041"/>
    <cellStyle name="Normal 11 2 2 5 3 3" xfId="24276"/>
    <cellStyle name="Normal 11 2 2 5 4" xfId="4953"/>
    <cellStyle name="Normal 11 2 2 5 4 2" xfId="12042"/>
    <cellStyle name="Normal 11 2 2 5 4 3" xfId="24277"/>
    <cellStyle name="Normal 11 2 2 5 5" xfId="6218"/>
    <cellStyle name="Normal 11 2 2 5 5 2" xfId="12043"/>
    <cellStyle name="Normal 11 2 2 5 5 3" xfId="24278"/>
    <cellStyle name="Normal 11 2 2 5 6" xfId="12039"/>
    <cellStyle name="Normal 11 2 2 5 7" xfId="24274"/>
    <cellStyle name="Normal 11 2 2 5_LNG &amp; LPG rework" xfId="8937"/>
    <cellStyle name="Normal 11 2 2 6" xfId="2499"/>
    <cellStyle name="Normal 11 2 2 6 2" xfId="12044"/>
    <cellStyle name="Normal 11 2 2 6 3" xfId="24279"/>
    <cellStyle name="Normal 11 2 2 7" xfId="3362"/>
    <cellStyle name="Normal 11 2 2 7 2" xfId="12045"/>
    <cellStyle name="Normal 11 2 2 7 3" xfId="24280"/>
    <cellStyle name="Normal 11 2 2 8" xfId="4230"/>
    <cellStyle name="Normal 11 2 2 8 2" xfId="12046"/>
    <cellStyle name="Normal 11 2 2 8 3" xfId="24281"/>
    <cellStyle name="Normal 11 2 2 9" xfId="5087"/>
    <cellStyle name="Normal 11 2 2 9 2" xfId="12047"/>
    <cellStyle name="Normal 11 2 2 9 3" xfId="24282"/>
    <cellStyle name="Normal 11 2 2_LNG &amp; LPG rework" xfId="8942"/>
    <cellStyle name="Normal 11 2 3" xfId="1512"/>
    <cellStyle name="Normal 11 2 3 10" xfId="24283"/>
    <cellStyle name="Normal 11 2 3 2" xfId="1861"/>
    <cellStyle name="Normal 11 2 3 2 2" xfId="2751"/>
    <cellStyle name="Normal 11 2 3 2 2 2" xfId="12048"/>
    <cellStyle name="Normal 11 2 3 2 2 3" xfId="24285"/>
    <cellStyle name="Normal 11 2 3 2 3" xfId="3615"/>
    <cellStyle name="Normal 11 2 3 2 3 2" xfId="12049"/>
    <cellStyle name="Normal 11 2 3 2 3 3" xfId="24286"/>
    <cellStyle name="Normal 11 2 3 2 4" xfId="4490"/>
    <cellStyle name="Normal 11 2 3 2 4 2" xfId="12050"/>
    <cellStyle name="Normal 11 2 3 2 4 3" xfId="24287"/>
    <cellStyle name="Normal 11 2 3 2 5" xfId="5092"/>
    <cellStyle name="Normal 11 2 3 2 5 2" xfId="12051"/>
    <cellStyle name="Normal 11 2 3 2 5 3" xfId="24288"/>
    <cellStyle name="Normal 11 2 3 2 6" xfId="5755"/>
    <cellStyle name="Normal 11 2 3 2 6 2" xfId="12052"/>
    <cellStyle name="Normal 11 2 3 2 6 3" xfId="24289"/>
    <cellStyle name="Normal 11 2 3 2 7" xfId="10315"/>
    <cellStyle name="Normal 11 2 3 2 8" xfId="24284"/>
    <cellStyle name="Normal 11 2 3 2_LNG &amp; LPG rework" xfId="8935"/>
    <cellStyle name="Normal 11 2 3 3" xfId="2136"/>
    <cellStyle name="Normal 11 2 3 3 2" xfId="3006"/>
    <cellStyle name="Normal 11 2 3 3 2 2" xfId="12054"/>
    <cellStyle name="Normal 11 2 3 3 2 3" xfId="24291"/>
    <cellStyle name="Normal 11 2 3 3 3" xfId="3876"/>
    <cellStyle name="Normal 11 2 3 3 3 2" xfId="12055"/>
    <cellStyle name="Normal 11 2 3 3 3 3" xfId="24292"/>
    <cellStyle name="Normal 11 2 3 3 4" xfId="4754"/>
    <cellStyle name="Normal 11 2 3 3 4 2" xfId="12056"/>
    <cellStyle name="Normal 11 2 3 3 4 3" xfId="24293"/>
    <cellStyle name="Normal 11 2 3 3 5" xfId="6019"/>
    <cellStyle name="Normal 11 2 3 3 5 2" xfId="12057"/>
    <cellStyle name="Normal 11 2 3 3 5 3" xfId="24294"/>
    <cellStyle name="Normal 11 2 3 3 6" xfId="12053"/>
    <cellStyle name="Normal 11 2 3 3 7" xfId="24290"/>
    <cellStyle name="Normal 11 2 3 3_LNG &amp; LPG rework" xfId="8934"/>
    <cellStyle name="Normal 11 2 3 4" xfId="2501"/>
    <cellStyle name="Normal 11 2 3 4 2" xfId="12058"/>
    <cellStyle name="Normal 11 2 3 4 3" xfId="24295"/>
    <cellStyle name="Normal 11 2 3 5" xfId="3364"/>
    <cellStyle name="Normal 11 2 3 5 2" xfId="12059"/>
    <cellStyle name="Normal 11 2 3 5 3" xfId="24296"/>
    <cellStyle name="Normal 11 2 3 6" xfId="4232"/>
    <cellStyle name="Normal 11 2 3 6 2" xfId="12060"/>
    <cellStyle name="Normal 11 2 3 6 3" xfId="24297"/>
    <cellStyle name="Normal 11 2 3 7" xfId="5091"/>
    <cellStyle name="Normal 11 2 3 7 2" xfId="12061"/>
    <cellStyle name="Normal 11 2 3 7 3" xfId="24298"/>
    <cellStyle name="Normal 11 2 3 8" xfId="5494"/>
    <cellStyle name="Normal 11 2 3 8 2" xfId="12062"/>
    <cellStyle name="Normal 11 2 3 8 3" xfId="24299"/>
    <cellStyle name="Normal 11 2 3 9" xfId="10314"/>
    <cellStyle name="Normal 11 2 3_LNG &amp; LPG rework" xfId="8936"/>
    <cellStyle name="Normal 11 2 4" xfId="1685"/>
    <cellStyle name="Normal 11 2 4 2" xfId="2617"/>
    <cellStyle name="Normal 11 2 4 2 2" xfId="12063"/>
    <cellStyle name="Normal 11 2 4 2 3" xfId="24301"/>
    <cellStyle name="Normal 11 2 4 3" xfId="3480"/>
    <cellStyle name="Normal 11 2 4 3 2" xfId="12064"/>
    <cellStyle name="Normal 11 2 4 3 3" xfId="24302"/>
    <cellStyle name="Normal 11 2 4 4" xfId="4351"/>
    <cellStyle name="Normal 11 2 4 4 2" xfId="12065"/>
    <cellStyle name="Normal 11 2 4 4 3" xfId="24303"/>
    <cellStyle name="Normal 11 2 4 5" xfId="5093"/>
    <cellStyle name="Normal 11 2 4 5 2" xfId="12066"/>
    <cellStyle name="Normal 11 2 4 5 3" xfId="24304"/>
    <cellStyle name="Normal 11 2 4 6" xfId="5615"/>
    <cellStyle name="Normal 11 2 4 6 2" xfId="12067"/>
    <cellStyle name="Normal 11 2 4 6 3" xfId="24305"/>
    <cellStyle name="Normal 11 2 4 7" xfId="10316"/>
    <cellStyle name="Normal 11 2 4 8" xfId="24300"/>
    <cellStyle name="Normal 11 2 4_LNG &amp; LPG rework" xfId="8933"/>
    <cellStyle name="Normal 11 2 5" xfId="2002"/>
    <cellStyle name="Normal 11 2 5 2" xfId="2872"/>
    <cellStyle name="Normal 11 2 5 2 2" xfId="12069"/>
    <cellStyle name="Normal 11 2 5 2 3" xfId="24307"/>
    <cellStyle name="Normal 11 2 5 3" xfId="3738"/>
    <cellStyle name="Normal 11 2 5 3 2" xfId="12070"/>
    <cellStyle name="Normal 11 2 5 3 3" xfId="24308"/>
    <cellStyle name="Normal 11 2 5 4" xfId="4615"/>
    <cellStyle name="Normal 11 2 5 4 2" xfId="12071"/>
    <cellStyle name="Normal 11 2 5 4 3" xfId="24309"/>
    <cellStyle name="Normal 11 2 5 5" xfId="5880"/>
    <cellStyle name="Normal 11 2 5 5 2" xfId="12072"/>
    <cellStyle name="Normal 11 2 5 5 3" xfId="24310"/>
    <cellStyle name="Normal 11 2 5 6" xfId="12068"/>
    <cellStyle name="Normal 11 2 5 7" xfId="24306"/>
    <cellStyle name="Normal 11 2 5_LNG &amp; LPG rework" xfId="8932"/>
    <cellStyle name="Normal 11 2 6" xfId="2305"/>
    <cellStyle name="Normal 11 2 6 2" xfId="3164"/>
    <cellStyle name="Normal 11 2 6 2 2" xfId="12074"/>
    <cellStyle name="Normal 11 2 6 2 3" xfId="24312"/>
    <cellStyle name="Normal 11 2 6 3" xfId="4030"/>
    <cellStyle name="Normal 11 2 6 3 2" xfId="12075"/>
    <cellStyle name="Normal 11 2 6 3 3" xfId="24313"/>
    <cellStyle name="Normal 11 2 6 4" xfId="4909"/>
    <cellStyle name="Normal 11 2 6 4 2" xfId="12076"/>
    <cellStyle name="Normal 11 2 6 4 3" xfId="24314"/>
    <cellStyle name="Normal 11 2 6 5" xfId="6174"/>
    <cellStyle name="Normal 11 2 6 5 2" xfId="12077"/>
    <cellStyle name="Normal 11 2 6 5 3" xfId="24315"/>
    <cellStyle name="Normal 11 2 6 6" xfId="12073"/>
    <cellStyle name="Normal 11 2 6 7" xfId="24311"/>
    <cellStyle name="Normal 11 2 6_LNG &amp; LPG rework" xfId="8931"/>
    <cellStyle name="Normal 11 2 7" xfId="2366"/>
    <cellStyle name="Normal 11 2 7 2" xfId="12078"/>
    <cellStyle name="Normal 11 2 7 3" xfId="24316"/>
    <cellStyle name="Normal 11 2 8" xfId="3225"/>
    <cellStyle name="Normal 11 2 8 2" xfId="12079"/>
    <cellStyle name="Normal 11 2 8 3" xfId="24317"/>
    <cellStyle name="Normal 11 2 9" xfId="4091"/>
    <cellStyle name="Normal 11 2 9 2" xfId="12080"/>
    <cellStyle name="Normal 11 2 9 3" xfId="24318"/>
    <cellStyle name="Normal 11 2_LNG &amp; LPG rework" xfId="8943"/>
    <cellStyle name="Normal 11 20" xfId="1681"/>
    <cellStyle name="Normal 11 20 2" xfId="1999"/>
    <cellStyle name="Normal 11 20 2 2" xfId="2869"/>
    <cellStyle name="Normal 11 20 2 2 2" xfId="12083"/>
    <cellStyle name="Normal 11 20 2 2 3" xfId="24321"/>
    <cellStyle name="Normal 11 20 2 3" xfId="3735"/>
    <cellStyle name="Normal 11 20 2 3 2" xfId="12084"/>
    <cellStyle name="Normal 11 20 2 3 3" xfId="24322"/>
    <cellStyle name="Normal 11 20 2 4" xfId="4612"/>
    <cellStyle name="Normal 11 20 2 4 2" xfId="12085"/>
    <cellStyle name="Normal 11 20 2 4 3" xfId="24323"/>
    <cellStyle name="Normal 11 20 2 5" xfId="5877"/>
    <cellStyle name="Normal 11 20 2 5 2" xfId="12086"/>
    <cellStyle name="Normal 11 20 2 5 3" xfId="24324"/>
    <cellStyle name="Normal 11 20 2 6" xfId="12082"/>
    <cellStyle name="Normal 11 20 2 7" xfId="24320"/>
    <cellStyle name="Normal 11 20 2_LNG &amp; LPG rework" xfId="9045"/>
    <cellStyle name="Normal 11 20 3" xfId="2614"/>
    <cellStyle name="Normal 11 20 3 2" xfId="12087"/>
    <cellStyle name="Normal 11 20 3 3" xfId="24325"/>
    <cellStyle name="Normal 11 20 4" xfId="3477"/>
    <cellStyle name="Normal 11 20 4 2" xfId="12088"/>
    <cellStyle name="Normal 11 20 4 3" xfId="24326"/>
    <cellStyle name="Normal 11 20 5" xfId="4348"/>
    <cellStyle name="Normal 11 20 5 2" xfId="12089"/>
    <cellStyle name="Normal 11 20 5 3" xfId="24327"/>
    <cellStyle name="Normal 11 20 6" xfId="5612"/>
    <cellStyle name="Normal 11 20 6 2" xfId="12090"/>
    <cellStyle name="Normal 11 20 6 3" xfId="24328"/>
    <cellStyle name="Normal 11 20 7" xfId="12081"/>
    <cellStyle name="Normal 11 20 8" xfId="24319"/>
    <cellStyle name="Normal 11 20_LNG &amp; LPG rework" xfId="9046"/>
    <cellStyle name="Normal 11 21" xfId="2253"/>
    <cellStyle name="Normal 11 21 2" xfId="3122"/>
    <cellStyle name="Normal 11 21 2 2" xfId="12092"/>
    <cellStyle name="Normal 11 21 2 3" xfId="24330"/>
    <cellStyle name="Normal 11 21 3" xfId="3991"/>
    <cellStyle name="Normal 11 21 3 2" xfId="12093"/>
    <cellStyle name="Normal 11 21 3 3" xfId="24331"/>
    <cellStyle name="Normal 11 21 4" xfId="4870"/>
    <cellStyle name="Normal 11 21 4 2" xfId="12094"/>
    <cellStyle name="Normal 11 21 4 3" xfId="24332"/>
    <cellStyle name="Normal 11 21 5" xfId="6135"/>
    <cellStyle name="Normal 11 21 5 2" xfId="12095"/>
    <cellStyle name="Normal 11 21 5 3" xfId="24333"/>
    <cellStyle name="Normal 11 21 6" xfId="12091"/>
    <cellStyle name="Normal 11 21 7" xfId="24329"/>
    <cellStyle name="Normal 11 21_LNG &amp; LPG rework" xfId="9047"/>
    <cellStyle name="Normal 11 22" xfId="2267"/>
    <cellStyle name="Normal 11 22 2" xfId="3131"/>
    <cellStyle name="Normal 11 22 2 2" xfId="12097"/>
    <cellStyle name="Normal 11 22 2 3" xfId="24335"/>
    <cellStyle name="Normal 11 22 3" xfId="3999"/>
    <cellStyle name="Normal 11 22 3 2" xfId="12098"/>
    <cellStyle name="Normal 11 22 3 3" xfId="24336"/>
    <cellStyle name="Normal 11 22 4" xfId="4878"/>
    <cellStyle name="Normal 11 22 4 2" xfId="12099"/>
    <cellStyle name="Normal 11 22 4 3" xfId="24337"/>
    <cellStyle name="Normal 11 22 5" xfId="6143"/>
    <cellStyle name="Normal 11 22 5 2" xfId="12100"/>
    <cellStyle name="Normal 11 22 5 3" xfId="24338"/>
    <cellStyle name="Normal 11 22 6" xfId="12096"/>
    <cellStyle name="Normal 11 22 7" xfId="24334"/>
    <cellStyle name="Normal 11 22_LNG &amp; LPG rework" xfId="9048"/>
    <cellStyle name="Normal 11 23" xfId="2363"/>
    <cellStyle name="Normal 11 23 2" xfId="12101"/>
    <cellStyle name="Normal 11 23 3" xfId="24339"/>
    <cellStyle name="Normal 11 24" xfId="3222"/>
    <cellStyle name="Normal 11 24 2" xfId="12102"/>
    <cellStyle name="Normal 11 24 3" xfId="24340"/>
    <cellStyle name="Normal 11 25" xfId="4088"/>
    <cellStyle name="Normal 11 25 2" xfId="12103"/>
    <cellStyle name="Normal 11 25 3" xfId="24341"/>
    <cellStyle name="Normal 11 26" xfId="5085"/>
    <cellStyle name="Normal 11 26 2" xfId="12104"/>
    <cellStyle name="Normal 11 26 3" xfId="24342"/>
    <cellStyle name="Normal 11 27" xfId="5349"/>
    <cellStyle name="Normal 11 27 2" xfId="12105"/>
    <cellStyle name="Normal 11 27 3" xfId="24343"/>
    <cellStyle name="Normal 11 28" xfId="1273"/>
    <cellStyle name="Normal 11 28 2" xfId="12106"/>
    <cellStyle name="Normal 11 28 3" xfId="24344"/>
    <cellStyle name="Normal 11 29" xfId="6560"/>
    <cellStyle name="Normal 11 29 2" xfId="44566"/>
    <cellStyle name="Normal 11 3" xfId="1288"/>
    <cellStyle name="Normal 11 3 10" xfId="5356"/>
    <cellStyle name="Normal 11 3 10 2" xfId="12107"/>
    <cellStyle name="Normal 11 3 10 3" xfId="24346"/>
    <cellStyle name="Normal 11 3 11" xfId="10317"/>
    <cellStyle name="Normal 11 3 12" xfId="24345"/>
    <cellStyle name="Normal 11 3 2" xfId="1513"/>
    <cellStyle name="Normal 11 3 2 10" xfId="24347"/>
    <cellStyle name="Normal 11 3 2 2" xfId="1862"/>
    <cellStyle name="Normal 11 3 2 2 2" xfId="2752"/>
    <cellStyle name="Normal 11 3 2 2 2 2" xfId="12108"/>
    <cellStyle name="Normal 11 3 2 2 2 3" xfId="24349"/>
    <cellStyle name="Normal 11 3 2 2 3" xfId="3616"/>
    <cellStyle name="Normal 11 3 2 2 3 2" xfId="12109"/>
    <cellStyle name="Normal 11 3 2 2 3 3" xfId="24350"/>
    <cellStyle name="Normal 11 3 2 2 4" xfId="4491"/>
    <cellStyle name="Normal 11 3 2 2 4 2" xfId="12110"/>
    <cellStyle name="Normal 11 3 2 2 4 3" xfId="24351"/>
    <cellStyle name="Normal 11 3 2 2 5" xfId="5096"/>
    <cellStyle name="Normal 11 3 2 2 5 2" xfId="12111"/>
    <cellStyle name="Normal 11 3 2 2 5 3" xfId="24352"/>
    <cellStyle name="Normal 11 3 2 2 6" xfId="5756"/>
    <cellStyle name="Normal 11 3 2 2 6 2" xfId="12112"/>
    <cellStyle name="Normal 11 3 2 2 6 3" xfId="24353"/>
    <cellStyle name="Normal 11 3 2 2 7" xfId="10319"/>
    <cellStyle name="Normal 11 3 2 2 8" xfId="24348"/>
    <cellStyle name="Normal 11 3 2 2_LNG &amp; LPG rework" xfId="9050"/>
    <cellStyle name="Normal 11 3 2 3" xfId="2137"/>
    <cellStyle name="Normal 11 3 2 3 2" xfId="3007"/>
    <cellStyle name="Normal 11 3 2 3 2 2" xfId="12114"/>
    <cellStyle name="Normal 11 3 2 3 2 3" xfId="24355"/>
    <cellStyle name="Normal 11 3 2 3 3" xfId="3877"/>
    <cellStyle name="Normal 11 3 2 3 3 2" xfId="12115"/>
    <cellStyle name="Normal 11 3 2 3 3 3" xfId="24356"/>
    <cellStyle name="Normal 11 3 2 3 4" xfId="4755"/>
    <cellStyle name="Normal 11 3 2 3 4 2" xfId="12116"/>
    <cellStyle name="Normal 11 3 2 3 4 3" xfId="24357"/>
    <cellStyle name="Normal 11 3 2 3 5" xfId="6020"/>
    <cellStyle name="Normal 11 3 2 3 5 2" xfId="12117"/>
    <cellStyle name="Normal 11 3 2 3 5 3" xfId="24358"/>
    <cellStyle name="Normal 11 3 2 3 6" xfId="12113"/>
    <cellStyle name="Normal 11 3 2 3 7" xfId="24354"/>
    <cellStyle name="Normal 11 3 2 3_LNG &amp; LPG rework" xfId="9051"/>
    <cellStyle name="Normal 11 3 2 4" xfId="2502"/>
    <cellStyle name="Normal 11 3 2 4 2" xfId="12118"/>
    <cellStyle name="Normal 11 3 2 4 3" xfId="24359"/>
    <cellStyle name="Normal 11 3 2 5" xfId="3365"/>
    <cellStyle name="Normal 11 3 2 5 2" xfId="12119"/>
    <cellStyle name="Normal 11 3 2 5 3" xfId="24360"/>
    <cellStyle name="Normal 11 3 2 6" xfId="4233"/>
    <cellStyle name="Normal 11 3 2 6 2" xfId="12120"/>
    <cellStyle name="Normal 11 3 2 6 3" xfId="24361"/>
    <cellStyle name="Normal 11 3 2 7" xfId="5095"/>
    <cellStyle name="Normal 11 3 2 7 2" xfId="12121"/>
    <cellStyle name="Normal 11 3 2 7 3" xfId="24362"/>
    <cellStyle name="Normal 11 3 2 8" xfId="5495"/>
    <cellStyle name="Normal 11 3 2 8 2" xfId="12122"/>
    <cellStyle name="Normal 11 3 2 8 3" xfId="24363"/>
    <cellStyle name="Normal 11 3 2 9" xfId="10318"/>
    <cellStyle name="Normal 11 3 2_LNG &amp; LPG rework" xfId="8930"/>
    <cellStyle name="Normal 11 3 3" xfId="1695"/>
    <cellStyle name="Normal 11 3 3 2" xfId="2621"/>
    <cellStyle name="Normal 11 3 3 2 2" xfId="12123"/>
    <cellStyle name="Normal 11 3 3 2 3" xfId="24365"/>
    <cellStyle name="Normal 11 3 3 3" xfId="3484"/>
    <cellStyle name="Normal 11 3 3 3 2" xfId="12124"/>
    <cellStyle name="Normal 11 3 3 3 3" xfId="24366"/>
    <cellStyle name="Normal 11 3 3 4" xfId="4355"/>
    <cellStyle name="Normal 11 3 3 4 2" xfId="12125"/>
    <cellStyle name="Normal 11 3 3 4 3" xfId="24367"/>
    <cellStyle name="Normal 11 3 3 5" xfId="5097"/>
    <cellStyle name="Normal 11 3 3 5 2" xfId="12126"/>
    <cellStyle name="Normal 11 3 3 5 3" xfId="24368"/>
    <cellStyle name="Normal 11 3 3 6" xfId="5619"/>
    <cellStyle name="Normal 11 3 3 6 2" xfId="12127"/>
    <cellStyle name="Normal 11 3 3 6 3" xfId="24369"/>
    <cellStyle name="Normal 11 3 3 7" xfId="10320"/>
    <cellStyle name="Normal 11 3 3 8" xfId="24364"/>
    <cellStyle name="Normal 11 3 3_LNG &amp; LPG rework" xfId="9052"/>
    <cellStyle name="Normal 11 3 4" xfId="2006"/>
    <cellStyle name="Normal 11 3 4 2" xfId="2876"/>
    <cellStyle name="Normal 11 3 4 2 2" xfId="12129"/>
    <cellStyle name="Normal 11 3 4 2 3" xfId="24371"/>
    <cellStyle name="Normal 11 3 4 3" xfId="3742"/>
    <cellStyle name="Normal 11 3 4 3 2" xfId="12130"/>
    <cellStyle name="Normal 11 3 4 3 3" xfId="24372"/>
    <cellStyle name="Normal 11 3 4 4" xfId="4619"/>
    <cellStyle name="Normal 11 3 4 4 2" xfId="12131"/>
    <cellStyle name="Normal 11 3 4 4 3" xfId="24373"/>
    <cellStyle name="Normal 11 3 4 5" xfId="5884"/>
    <cellStyle name="Normal 11 3 4 5 2" xfId="12132"/>
    <cellStyle name="Normal 11 3 4 5 3" xfId="24374"/>
    <cellStyle name="Normal 11 3 4 6" xfId="12128"/>
    <cellStyle name="Normal 11 3 4 7" xfId="24370"/>
    <cellStyle name="Normal 11 3 4_LNG &amp; LPG rework" xfId="9053"/>
    <cellStyle name="Normal 11 3 5" xfId="2327"/>
    <cellStyle name="Normal 11 3 5 2" xfId="3186"/>
    <cellStyle name="Normal 11 3 5 2 2" xfId="12134"/>
    <cellStyle name="Normal 11 3 5 2 3" xfId="24376"/>
    <cellStyle name="Normal 11 3 5 3" xfId="4052"/>
    <cellStyle name="Normal 11 3 5 3 2" xfId="12135"/>
    <cellStyle name="Normal 11 3 5 3 3" xfId="24377"/>
    <cellStyle name="Normal 11 3 5 4" xfId="4931"/>
    <cellStyle name="Normal 11 3 5 4 2" xfId="12136"/>
    <cellStyle name="Normal 11 3 5 4 3" xfId="24378"/>
    <cellStyle name="Normal 11 3 5 5" xfId="6196"/>
    <cellStyle name="Normal 11 3 5 5 2" xfId="12137"/>
    <cellStyle name="Normal 11 3 5 5 3" xfId="24379"/>
    <cellStyle name="Normal 11 3 5 6" xfId="12133"/>
    <cellStyle name="Normal 11 3 5 7" xfId="24375"/>
    <cellStyle name="Normal 11 3 5_LNG &amp; LPG rework" xfId="9054"/>
    <cellStyle name="Normal 11 3 6" xfId="2370"/>
    <cellStyle name="Normal 11 3 6 2" xfId="12138"/>
    <cellStyle name="Normal 11 3 6 3" xfId="24380"/>
    <cellStyle name="Normal 11 3 7" xfId="3229"/>
    <cellStyle name="Normal 11 3 7 2" xfId="12139"/>
    <cellStyle name="Normal 11 3 7 3" xfId="24381"/>
    <cellStyle name="Normal 11 3 8" xfId="4095"/>
    <cellStyle name="Normal 11 3 8 2" xfId="12140"/>
    <cellStyle name="Normal 11 3 8 3" xfId="24382"/>
    <cellStyle name="Normal 11 3 9" xfId="5094"/>
    <cellStyle name="Normal 11 3 9 2" xfId="12141"/>
    <cellStyle name="Normal 11 3 9 3" xfId="24383"/>
    <cellStyle name="Normal 11 3_LNG &amp; LPG rework" xfId="9049"/>
    <cellStyle name="Normal 11 30" xfId="7653"/>
    <cellStyle name="Normal 11 31" xfId="15984"/>
    <cellStyle name="Normal 11 32" xfId="20322"/>
    <cellStyle name="Normal 11 33" xfId="22500"/>
    <cellStyle name="Normal 11 34" xfId="22499"/>
    <cellStyle name="Normal 11 35" xfId="21408"/>
    <cellStyle name="Normal 11 36" xfId="28504"/>
    <cellStyle name="Normal 11 37" xfId="28507"/>
    <cellStyle name="Normal 11 38" xfId="28506"/>
    <cellStyle name="Normal 11 39" xfId="28511"/>
    <cellStyle name="Normal 11 4" xfId="1295"/>
    <cellStyle name="Normal 11 4 10" xfId="24384"/>
    <cellStyle name="Normal 11 4 2" xfId="1702"/>
    <cellStyle name="Normal 11 4 2 2" xfId="2625"/>
    <cellStyle name="Normal 11 4 2 2 2" xfId="12142"/>
    <cellStyle name="Normal 11 4 2 2 3" xfId="24386"/>
    <cellStyle name="Normal 11 4 2 3" xfId="3488"/>
    <cellStyle name="Normal 11 4 2 3 2" xfId="12143"/>
    <cellStyle name="Normal 11 4 2 3 3" xfId="24387"/>
    <cellStyle name="Normal 11 4 2 4" xfId="4359"/>
    <cellStyle name="Normal 11 4 2 4 2" xfId="12144"/>
    <cellStyle name="Normal 11 4 2 4 3" xfId="24388"/>
    <cellStyle name="Normal 11 4 2 5" xfId="5099"/>
    <cellStyle name="Normal 11 4 2 5 2" xfId="12145"/>
    <cellStyle name="Normal 11 4 2 5 3" xfId="24389"/>
    <cellStyle name="Normal 11 4 2 6" xfId="5623"/>
    <cellStyle name="Normal 11 4 2 6 2" xfId="12146"/>
    <cellStyle name="Normal 11 4 2 6 3" xfId="24390"/>
    <cellStyle name="Normal 11 4 2 7" xfId="10322"/>
    <cellStyle name="Normal 11 4 2 8" xfId="24385"/>
    <cellStyle name="Normal 11 4 2_LNG &amp; LPG rework" xfId="9056"/>
    <cellStyle name="Normal 11 4 3" xfId="2010"/>
    <cellStyle name="Normal 11 4 3 2" xfId="2880"/>
    <cellStyle name="Normal 11 4 3 2 2" xfId="12148"/>
    <cellStyle name="Normal 11 4 3 2 3" xfId="24392"/>
    <cellStyle name="Normal 11 4 3 3" xfId="3746"/>
    <cellStyle name="Normal 11 4 3 3 2" xfId="12149"/>
    <cellStyle name="Normal 11 4 3 3 3" xfId="24393"/>
    <cellStyle name="Normal 11 4 3 4" xfId="4623"/>
    <cellStyle name="Normal 11 4 3 4 2" xfId="12150"/>
    <cellStyle name="Normal 11 4 3 4 3" xfId="24394"/>
    <cellStyle name="Normal 11 4 3 5" xfId="5888"/>
    <cellStyle name="Normal 11 4 3 5 2" xfId="12151"/>
    <cellStyle name="Normal 11 4 3 5 3" xfId="24395"/>
    <cellStyle name="Normal 11 4 3 6" xfId="12147"/>
    <cellStyle name="Normal 11 4 3 7" xfId="24391"/>
    <cellStyle name="Normal 11 4 3_LNG &amp; LPG rework" xfId="9057"/>
    <cellStyle name="Normal 11 4 4" xfId="2374"/>
    <cellStyle name="Normal 11 4 4 2" xfId="12152"/>
    <cellStyle name="Normal 11 4 4 3" xfId="24396"/>
    <cellStyle name="Normal 11 4 5" xfId="3233"/>
    <cellStyle name="Normal 11 4 5 2" xfId="12153"/>
    <cellStyle name="Normal 11 4 5 3" xfId="24397"/>
    <cellStyle name="Normal 11 4 6" xfId="4099"/>
    <cellStyle name="Normal 11 4 6 2" xfId="12154"/>
    <cellStyle name="Normal 11 4 6 3" xfId="24398"/>
    <cellStyle name="Normal 11 4 7" xfId="5098"/>
    <cellStyle name="Normal 11 4 7 2" xfId="12155"/>
    <cellStyle name="Normal 11 4 7 3" xfId="24399"/>
    <cellStyle name="Normal 11 4 8" xfId="5360"/>
    <cellStyle name="Normal 11 4 8 2" xfId="12156"/>
    <cellStyle name="Normal 11 4 8 3" xfId="24400"/>
    <cellStyle name="Normal 11 4 9" xfId="10321"/>
    <cellStyle name="Normal 11 4_LNG &amp; LPG rework" xfId="9055"/>
    <cellStyle name="Normal 11 40" xfId="41352"/>
    <cellStyle name="Normal 11 5" xfId="1304"/>
    <cellStyle name="Normal 11 5 10" xfId="24401"/>
    <cellStyle name="Normal 11 5 2" xfId="1710"/>
    <cellStyle name="Normal 11 5 2 2" xfId="2629"/>
    <cellStyle name="Normal 11 5 2 2 2" xfId="12158"/>
    <cellStyle name="Normal 11 5 2 2 3" xfId="24403"/>
    <cellStyle name="Normal 11 5 2 3" xfId="3492"/>
    <cellStyle name="Normal 11 5 2 3 2" xfId="12159"/>
    <cellStyle name="Normal 11 5 2 3 3" xfId="24404"/>
    <cellStyle name="Normal 11 5 2 4" xfId="4363"/>
    <cellStyle name="Normal 11 5 2 4 2" xfId="12160"/>
    <cellStyle name="Normal 11 5 2 4 3" xfId="24405"/>
    <cellStyle name="Normal 11 5 2 5" xfId="5627"/>
    <cellStyle name="Normal 11 5 2 5 2" xfId="12161"/>
    <cellStyle name="Normal 11 5 2 5 3" xfId="24406"/>
    <cellStyle name="Normal 11 5 2 6" xfId="12157"/>
    <cellStyle name="Normal 11 5 2 7" xfId="24402"/>
    <cellStyle name="Normal 11 5 2_LNG &amp; LPG rework" xfId="9059"/>
    <cellStyle name="Normal 11 5 3" xfId="2014"/>
    <cellStyle name="Normal 11 5 3 2" xfId="2884"/>
    <cellStyle name="Normal 11 5 3 2 2" xfId="12163"/>
    <cellStyle name="Normal 11 5 3 2 3" xfId="24408"/>
    <cellStyle name="Normal 11 5 3 3" xfId="3750"/>
    <cellStyle name="Normal 11 5 3 3 2" xfId="12164"/>
    <cellStyle name="Normal 11 5 3 3 3" xfId="24409"/>
    <cellStyle name="Normal 11 5 3 4" xfId="4627"/>
    <cellStyle name="Normal 11 5 3 4 2" xfId="12165"/>
    <cellStyle name="Normal 11 5 3 4 3" xfId="24410"/>
    <cellStyle name="Normal 11 5 3 5" xfId="5892"/>
    <cellStyle name="Normal 11 5 3 5 2" xfId="12166"/>
    <cellStyle name="Normal 11 5 3 5 3" xfId="24411"/>
    <cellStyle name="Normal 11 5 3 6" xfId="12162"/>
    <cellStyle name="Normal 11 5 3 7" xfId="24407"/>
    <cellStyle name="Normal 11 5 3_LNG &amp; LPG rework" xfId="8859"/>
    <cellStyle name="Normal 11 5 4" xfId="2378"/>
    <cellStyle name="Normal 11 5 4 2" xfId="12167"/>
    <cellStyle name="Normal 11 5 4 3" xfId="24412"/>
    <cellStyle name="Normal 11 5 5" xfId="3237"/>
    <cellStyle name="Normal 11 5 5 2" xfId="12168"/>
    <cellStyle name="Normal 11 5 5 3" xfId="24413"/>
    <cellStyle name="Normal 11 5 6" xfId="4103"/>
    <cellStyle name="Normal 11 5 6 2" xfId="12169"/>
    <cellStyle name="Normal 11 5 6 3" xfId="24414"/>
    <cellStyle name="Normal 11 5 7" xfId="5100"/>
    <cellStyle name="Normal 11 5 7 2" xfId="12170"/>
    <cellStyle name="Normal 11 5 7 3" xfId="24415"/>
    <cellStyle name="Normal 11 5 8" xfId="5364"/>
    <cellStyle name="Normal 11 5 8 2" xfId="12171"/>
    <cellStyle name="Normal 11 5 8 3" xfId="24416"/>
    <cellStyle name="Normal 11 5 9" xfId="10323"/>
    <cellStyle name="Normal 11 5_LNG &amp; LPG rework" xfId="9058"/>
    <cellStyle name="Normal 11 6" xfId="1318"/>
    <cellStyle name="Normal 11 7" xfId="1348"/>
    <cellStyle name="Normal 11 7 2" xfId="1719"/>
    <cellStyle name="Normal 11 7 2 2" xfId="2633"/>
    <cellStyle name="Normal 11 7 2 2 2" xfId="12174"/>
    <cellStyle name="Normal 11 7 2 2 3" xfId="24419"/>
    <cellStyle name="Normal 11 7 2 3" xfId="3496"/>
    <cellStyle name="Normal 11 7 2 3 2" xfId="12175"/>
    <cellStyle name="Normal 11 7 2 3 3" xfId="24420"/>
    <cellStyle name="Normal 11 7 2 4" xfId="4368"/>
    <cellStyle name="Normal 11 7 2 4 2" xfId="12176"/>
    <cellStyle name="Normal 11 7 2 4 3" xfId="24421"/>
    <cellStyle name="Normal 11 7 2 5" xfId="5633"/>
    <cellStyle name="Normal 11 7 2 5 2" xfId="12177"/>
    <cellStyle name="Normal 11 7 2 5 3" xfId="24422"/>
    <cellStyle name="Normal 11 7 2 6" xfId="12173"/>
    <cellStyle name="Normal 11 7 2 7" xfId="24418"/>
    <cellStyle name="Normal 11 7 2_LNG &amp; LPG rework" xfId="9061"/>
    <cellStyle name="Normal 11 7 3" xfId="2018"/>
    <cellStyle name="Normal 11 7 3 2" xfId="2888"/>
    <cellStyle name="Normal 11 7 3 2 2" xfId="12179"/>
    <cellStyle name="Normal 11 7 3 2 3" xfId="24424"/>
    <cellStyle name="Normal 11 7 3 3" xfId="3754"/>
    <cellStyle name="Normal 11 7 3 3 2" xfId="12180"/>
    <cellStyle name="Normal 11 7 3 3 3" xfId="24425"/>
    <cellStyle name="Normal 11 7 3 4" xfId="4632"/>
    <cellStyle name="Normal 11 7 3 4 2" xfId="12181"/>
    <cellStyle name="Normal 11 7 3 4 3" xfId="24426"/>
    <cellStyle name="Normal 11 7 3 5" xfId="5897"/>
    <cellStyle name="Normal 11 7 3 5 2" xfId="12182"/>
    <cellStyle name="Normal 11 7 3 5 3" xfId="24427"/>
    <cellStyle name="Normal 11 7 3 6" xfId="12178"/>
    <cellStyle name="Normal 11 7 3 7" xfId="24423"/>
    <cellStyle name="Normal 11 7 3_LNG &amp; LPG rework" xfId="9062"/>
    <cellStyle name="Normal 11 7 4" xfId="2382"/>
    <cellStyle name="Normal 11 7 4 2" xfId="12183"/>
    <cellStyle name="Normal 11 7 4 3" xfId="24428"/>
    <cellStyle name="Normal 11 7 5" xfId="3241"/>
    <cellStyle name="Normal 11 7 5 2" xfId="12184"/>
    <cellStyle name="Normal 11 7 5 3" xfId="24429"/>
    <cellStyle name="Normal 11 7 6" xfId="4107"/>
    <cellStyle name="Normal 11 7 6 2" xfId="12185"/>
    <cellStyle name="Normal 11 7 6 3" xfId="24430"/>
    <cellStyle name="Normal 11 7 7" xfId="5369"/>
    <cellStyle name="Normal 11 7 7 2" xfId="12186"/>
    <cellStyle name="Normal 11 7 7 3" xfId="24431"/>
    <cellStyle name="Normal 11 7 8" xfId="12172"/>
    <cellStyle name="Normal 11 7 9" xfId="24417"/>
    <cellStyle name="Normal 11 7_LNG &amp; LPG rework" xfId="9060"/>
    <cellStyle name="Normal 11 8" xfId="1354"/>
    <cellStyle name="Normal 11 8 2" xfId="1725"/>
    <cellStyle name="Normal 11 8 2 2" xfId="2637"/>
    <cellStyle name="Normal 11 8 2 2 2" xfId="12189"/>
    <cellStyle name="Normal 11 8 2 2 3" xfId="24434"/>
    <cellStyle name="Normal 11 8 2 3" xfId="3501"/>
    <cellStyle name="Normal 11 8 2 3 2" xfId="12190"/>
    <cellStyle name="Normal 11 8 2 3 3" xfId="24435"/>
    <cellStyle name="Normal 11 8 2 4" xfId="4373"/>
    <cellStyle name="Normal 11 8 2 4 2" xfId="12191"/>
    <cellStyle name="Normal 11 8 2 4 3" xfId="24436"/>
    <cellStyle name="Normal 11 8 2 5" xfId="5638"/>
    <cellStyle name="Normal 11 8 2 5 2" xfId="12192"/>
    <cellStyle name="Normal 11 8 2 5 3" xfId="24437"/>
    <cellStyle name="Normal 11 8 2 6" xfId="12188"/>
    <cellStyle name="Normal 11 8 2 7" xfId="24433"/>
    <cellStyle name="Normal 11 8 2_LNG &amp; LPG rework" xfId="9064"/>
    <cellStyle name="Normal 11 8 3" xfId="2022"/>
    <cellStyle name="Normal 11 8 3 2" xfId="2892"/>
    <cellStyle name="Normal 11 8 3 2 2" xfId="12194"/>
    <cellStyle name="Normal 11 8 3 2 3" xfId="24439"/>
    <cellStyle name="Normal 11 8 3 3" xfId="3759"/>
    <cellStyle name="Normal 11 8 3 3 2" xfId="12195"/>
    <cellStyle name="Normal 11 8 3 3 3" xfId="24440"/>
    <cellStyle name="Normal 11 8 3 4" xfId="4637"/>
    <cellStyle name="Normal 11 8 3 4 2" xfId="12196"/>
    <cellStyle name="Normal 11 8 3 4 3" xfId="24441"/>
    <cellStyle name="Normal 11 8 3 5" xfId="5902"/>
    <cellStyle name="Normal 11 8 3 5 2" xfId="12197"/>
    <cellStyle name="Normal 11 8 3 5 3" xfId="24442"/>
    <cellStyle name="Normal 11 8 3 6" xfId="12193"/>
    <cellStyle name="Normal 11 8 3 7" xfId="24438"/>
    <cellStyle name="Normal 11 8 3_LNG &amp; LPG rework" xfId="9065"/>
    <cellStyle name="Normal 11 8 4" xfId="2386"/>
    <cellStyle name="Normal 11 8 4 2" xfId="12198"/>
    <cellStyle name="Normal 11 8 4 3" xfId="24443"/>
    <cellStyle name="Normal 11 8 5" xfId="3245"/>
    <cellStyle name="Normal 11 8 5 2" xfId="12199"/>
    <cellStyle name="Normal 11 8 5 3" xfId="24444"/>
    <cellStyle name="Normal 11 8 6" xfId="4113"/>
    <cellStyle name="Normal 11 8 6 2" xfId="12200"/>
    <cellStyle name="Normal 11 8 6 3" xfId="24445"/>
    <cellStyle name="Normal 11 8 7" xfId="5375"/>
    <cellStyle name="Normal 11 8 7 2" xfId="12201"/>
    <cellStyle name="Normal 11 8 7 3" xfId="24446"/>
    <cellStyle name="Normal 11 8 8" xfId="12187"/>
    <cellStyle name="Normal 11 8 9" xfId="24432"/>
    <cellStyle name="Normal 11 8_LNG &amp; LPG rework" xfId="9063"/>
    <cellStyle name="Normal 11 9" xfId="1369"/>
    <cellStyle name="Normal 11 9 2" xfId="1740"/>
    <cellStyle name="Normal 11 9 2 2" xfId="2644"/>
    <cellStyle name="Normal 11 9 2 2 2" xfId="12204"/>
    <cellStyle name="Normal 11 9 2 2 3" xfId="24449"/>
    <cellStyle name="Normal 11 9 2 3" xfId="3508"/>
    <cellStyle name="Normal 11 9 2 3 2" xfId="12205"/>
    <cellStyle name="Normal 11 9 2 3 3" xfId="24450"/>
    <cellStyle name="Normal 11 9 2 4" xfId="4380"/>
    <cellStyle name="Normal 11 9 2 4 2" xfId="12206"/>
    <cellStyle name="Normal 11 9 2 4 3" xfId="24451"/>
    <cellStyle name="Normal 11 9 2 5" xfId="5645"/>
    <cellStyle name="Normal 11 9 2 5 2" xfId="12207"/>
    <cellStyle name="Normal 11 9 2 5 3" xfId="24452"/>
    <cellStyle name="Normal 11 9 2 6" xfId="12203"/>
    <cellStyle name="Normal 11 9 2 7" xfId="24448"/>
    <cellStyle name="Normal 11 9 2_LNG &amp; LPG rework" xfId="9067"/>
    <cellStyle name="Normal 11 9 3" xfId="2029"/>
    <cellStyle name="Normal 11 9 3 2" xfId="2899"/>
    <cellStyle name="Normal 11 9 3 2 2" xfId="12209"/>
    <cellStyle name="Normal 11 9 3 2 3" xfId="24454"/>
    <cellStyle name="Normal 11 9 3 3" xfId="3766"/>
    <cellStyle name="Normal 11 9 3 3 2" xfId="12210"/>
    <cellStyle name="Normal 11 9 3 3 3" xfId="24455"/>
    <cellStyle name="Normal 11 9 3 4" xfId="4644"/>
    <cellStyle name="Normal 11 9 3 4 2" xfId="12211"/>
    <cellStyle name="Normal 11 9 3 4 3" xfId="24456"/>
    <cellStyle name="Normal 11 9 3 5" xfId="5909"/>
    <cellStyle name="Normal 11 9 3 5 2" xfId="12212"/>
    <cellStyle name="Normal 11 9 3 5 3" xfId="24457"/>
    <cellStyle name="Normal 11 9 3 6" xfId="12208"/>
    <cellStyle name="Normal 11 9 3 7" xfId="24453"/>
    <cellStyle name="Normal 11 9 3_LNG &amp; LPG rework" xfId="9068"/>
    <cellStyle name="Normal 11 9 4" xfId="2393"/>
    <cellStyle name="Normal 11 9 4 2" xfId="12213"/>
    <cellStyle name="Normal 11 9 4 3" xfId="24458"/>
    <cellStyle name="Normal 11 9 5" xfId="3252"/>
    <cellStyle name="Normal 11 9 5 2" xfId="12214"/>
    <cellStyle name="Normal 11 9 5 3" xfId="24459"/>
    <cellStyle name="Normal 11 9 6" xfId="4120"/>
    <cellStyle name="Normal 11 9 6 2" xfId="12215"/>
    <cellStyle name="Normal 11 9 6 3" xfId="24460"/>
    <cellStyle name="Normal 11 9 7" xfId="5382"/>
    <cellStyle name="Normal 11 9 7 2" xfId="12216"/>
    <cellStyle name="Normal 11 9 7 3" xfId="24461"/>
    <cellStyle name="Normal 11 9 8" xfId="12202"/>
    <cellStyle name="Normal 11 9 9" xfId="24447"/>
    <cellStyle name="Normal 11 9_LNG &amp; LPG rework" xfId="9066"/>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19"/>
    <cellStyle name="Normal 12 10 2 2 3" xfId="24464"/>
    <cellStyle name="Normal 12 10 2 3" xfId="3515"/>
    <cellStyle name="Normal 12 10 2 3 2" xfId="12220"/>
    <cellStyle name="Normal 12 10 2 3 3" xfId="24465"/>
    <cellStyle name="Normal 12 10 2 4" xfId="4387"/>
    <cellStyle name="Normal 12 10 2 4 2" xfId="12221"/>
    <cellStyle name="Normal 12 10 2 4 3" xfId="24466"/>
    <cellStyle name="Normal 12 10 2 5" xfId="5652"/>
    <cellStyle name="Normal 12 10 2 5 2" xfId="12222"/>
    <cellStyle name="Normal 12 10 2 5 3" xfId="24467"/>
    <cellStyle name="Normal 12 10 2 6" xfId="12218"/>
    <cellStyle name="Normal 12 10 2 7" xfId="24463"/>
    <cellStyle name="Normal 12 10 2_LNG &amp; LPG rework" xfId="9070"/>
    <cellStyle name="Normal 12 10 3" xfId="2036"/>
    <cellStyle name="Normal 12 10 3 2" xfId="2906"/>
    <cellStyle name="Normal 12 10 3 2 2" xfId="12224"/>
    <cellStyle name="Normal 12 10 3 2 3" xfId="24469"/>
    <cellStyle name="Normal 12 10 3 3" xfId="3773"/>
    <cellStyle name="Normal 12 10 3 3 2" xfId="12225"/>
    <cellStyle name="Normal 12 10 3 3 3" xfId="24470"/>
    <cellStyle name="Normal 12 10 3 4" xfId="4651"/>
    <cellStyle name="Normal 12 10 3 4 2" xfId="12226"/>
    <cellStyle name="Normal 12 10 3 4 3" xfId="24471"/>
    <cellStyle name="Normal 12 10 3 5" xfId="5916"/>
    <cellStyle name="Normal 12 10 3 5 2" xfId="12227"/>
    <cellStyle name="Normal 12 10 3 5 3" xfId="24472"/>
    <cellStyle name="Normal 12 10 3 6" xfId="12223"/>
    <cellStyle name="Normal 12 10 3 7" xfId="24468"/>
    <cellStyle name="Normal 12 10 3_LNG &amp; LPG rework" xfId="9071"/>
    <cellStyle name="Normal 12 10 4" xfId="2400"/>
    <cellStyle name="Normal 12 10 4 2" xfId="12228"/>
    <cellStyle name="Normal 12 10 4 3" xfId="24473"/>
    <cellStyle name="Normal 12 10 5" xfId="3259"/>
    <cellStyle name="Normal 12 10 5 2" xfId="12229"/>
    <cellStyle name="Normal 12 10 5 3" xfId="24474"/>
    <cellStyle name="Normal 12 10 6" xfId="4127"/>
    <cellStyle name="Normal 12 10 6 2" xfId="12230"/>
    <cellStyle name="Normal 12 10 6 3" xfId="24475"/>
    <cellStyle name="Normal 12 10 7" xfId="5389"/>
    <cellStyle name="Normal 12 10 7 2" xfId="12231"/>
    <cellStyle name="Normal 12 10 7 3" xfId="24476"/>
    <cellStyle name="Normal 12 10 8" xfId="12217"/>
    <cellStyle name="Normal 12 10 9" xfId="24462"/>
    <cellStyle name="Normal 12 10_LNG &amp; LPG rework" xfId="9069"/>
    <cellStyle name="Normal 12 11" xfId="1383"/>
    <cellStyle name="Normal 12 11 2" xfId="1754"/>
    <cellStyle name="Normal 12 11 2 2" xfId="2655"/>
    <cellStyle name="Normal 12 11 2 2 2" xfId="12234"/>
    <cellStyle name="Normal 12 11 2 2 3" xfId="24479"/>
    <cellStyle name="Normal 12 11 2 3" xfId="3519"/>
    <cellStyle name="Normal 12 11 2 3 2" xfId="12235"/>
    <cellStyle name="Normal 12 11 2 3 3" xfId="24480"/>
    <cellStyle name="Normal 12 11 2 4" xfId="4391"/>
    <cellStyle name="Normal 12 11 2 4 2" xfId="12236"/>
    <cellStyle name="Normal 12 11 2 4 3" xfId="24481"/>
    <cellStyle name="Normal 12 11 2 5" xfId="5656"/>
    <cellStyle name="Normal 12 11 2 5 2" xfId="12237"/>
    <cellStyle name="Normal 12 11 2 5 3" xfId="24482"/>
    <cellStyle name="Normal 12 11 2 6" xfId="12233"/>
    <cellStyle name="Normal 12 11 2 7" xfId="24478"/>
    <cellStyle name="Normal 12 11 2_LNG &amp; LPG rework" xfId="9073"/>
    <cellStyle name="Normal 12 11 3" xfId="2040"/>
    <cellStyle name="Normal 12 11 3 2" xfId="2910"/>
    <cellStyle name="Normal 12 11 3 2 2" xfId="12239"/>
    <cellStyle name="Normal 12 11 3 2 3" xfId="24484"/>
    <cellStyle name="Normal 12 11 3 3" xfId="3777"/>
    <cellStyle name="Normal 12 11 3 3 2" xfId="12240"/>
    <cellStyle name="Normal 12 11 3 3 3" xfId="24485"/>
    <cellStyle name="Normal 12 11 3 4" xfId="4655"/>
    <cellStyle name="Normal 12 11 3 4 2" xfId="12241"/>
    <cellStyle name="Normal 12 11 3 4 3" xfId="24486"/>
    <cellStyle name="Normal 12 11 3 5" xfId="5920"/>
    <cellStyle name="Normal 12 11 3 5 2" xfId="12242"/>
    <cellStyle name="Normal 12 11 3 5 3" xfId="24487"/>
    <cellStyle name="Normal 12 11 3 6" xfId="12238"/>
    <cellStyle name="Normal 12 11 3 7" xfId="24483"/>
    <cellStyle name="Normal 12 11 3_LNG &amp; LPG rework" xfId="9074"/>
    <cellStyle name="Normal 12 11 4" xfId="2404"/>
    <cellStyle name="Normal 12 11 4 2" xfId="12243"/>
    <cellStyle name="Normal 12 11 4 3" xfId="24488"/>
    <cellStyle name="Normal 12 11 5" xfId="3263"/>
    <cellStyle name="Normal 12 11 5 2" xfId="12244"/>
    <cellStyle name="Normal 12 11 5 3" xfId="24489"/>
    <cellStyle name="Normal 12 11 6" xfId="4131"/>
    <cellStyle name="Normal 12 11 6 2" xfId="12245"/>
    <cellStyle name="Normal 12 11 6 3" xfId="24490"/>
    <cellStyle name="Normal 12 11 7" xfId="5393"/>
    <cellStyle name="Normal 12 11 7 2" xfId="12246"/>
    <cellStyle name="Normal 12 11 7 3" xfId="24491"/>
    <cellStyle name="Normal 12 11 8" xfId="12232"/>
    <cellStyle name="Normal 12 11 9" xfId="24477"/>
    <cellStyle name="Normal 12 11_LNG &amp; LPG rework" xfId="9072"/>
    <cellStyle name="Normal 12 12" xfId="1390"/>
    <cellStyle name="Normal 12 12 2" xfId="1760"/>
    <cellStyle name="Normal 12 12 2 2" xfId="2660"/>
    <cellStyle name="Normal 12 12 2 2 2" xfId="12249"/>
    <cellStyle name="Normal 12 12 2 2 3" xfId="24494"/>
    <cellStyle name="Normal 12 12 2 3" xfId="3524"/>
    <cellStyle name="Normal 12 12 2 3 2" xfId="12250"/>
    <cellStyle name="Normal 12 12 2 3 3" xfId="24495"/>
    <cellStyle name="Normal 12 12 2 4" xfId="4396"/>
    <cellStyle name="Normal 12 12 2 4 2" xfId="12251"/>
    <cellStyle name="Normal 12 12 2 4 3" xfId="24496"/>
    <cellStyle name="Normal 12 12 2 5" xfId="5661"/>
    <cellStyle name="Normal 12 12 2 5 2" xfId="12252"/>
    <cellStyle name="Normal 12 12 2 5 3" xfId="24497"/>
    <cellStyle name="Normal 12 12 2 6" xfId="12248"/>
    <cellStyle name="Normal 12 12 2 7" xfId="24493"/>
    <cellStyle name="Normal 12 12 2_LNG &amp; LPG rework" xfId="9076"/>
    <cellStyle name="Normal 12 12 3" xfId="2045"/>
    <cellStyle name="Normal 12 12 3 2" xfId="2915"/>
    <cellStyle name="Normal 12 12 3 2 2" xfId="12254"/>
    <cellStyle name="Normal 12 12 3 2 3" xfId="24499"/>
    <cellStyle name="Normal 12 12 3 3" xfId="3782"/>
    <cellStyle name="Normal 12 12 3 3 2" xfId="12255"/>
    <cellStyle name="Normal 12 12 3 3 3" xfId="24500"/>
    <cellStyle name="Normal 12 12 3 4" xfId="4660"/>
    <cellStyle name="Normal 12 12 3 4 2" xfId="12256"/>
    <cellStyle name="Normal 12 12 3 4 3" xfId="24501"/>
    <cellStyle name="Normal 12 12 3 5" xfId="5925"/>
    <cellStyle name="Normal 12 12 3 5 2" xfId="12257"/>
    <cellStyle name="Normal 12 12 3 5 3" xfId="24502"/>
    <cellStyle name="Normal 12 12 3 6" xfId="12253"/>
    <cellStyle name="Normal 12 12 3 7" xfId="24498"/>
    <cellStyle name="Normal 12 12 3_LNG &amp; LPG rework" xfId="9077"/>
    <cellStyle name="Normal 12 12 4" xfId="2409"/>
    <cellStyle name="Normal 12 12 4 2" xfId="12258"/>
    <cellStyle name="Normal 12 12 4 3" xfId="24503"/>
    <cellStyle name="Normal 12 12 5" xfId="3268"/>
    <cellStyle name="Normal 12 12 5 2" xfId="12259"/>
    <cellStyle name="Normal 12 12 5 3" xfId="24504"/>
    <cellStyle name="Normal 12 12 6" xfId="4136"/>
    <cellStyle name="Normal 12 12 6 2" xfId="12260"/>
    <cellStyle name="Normal 12 12 6 3" xfId="24505"/>
    <cellStyle name="Normal 12 12 7" xfId="5398"/>
    <cellStyle name="Normal 12 12 7 2" xfId="12261"/>
    <cellStyle name="Normal 12 12 7 3" xfId="24506"/>
    <cellStyle name="Normal 12 12 8" xfId="12247"/>
    <cellStyle name="Normal 12 12 9" xfId="24492"/>
    <cellStyle name="Normal 12 12_LNG &amp; LPG rework" xfId="9075"/>
    <cellStyle name="Normal 12 13" xfId="1403"/>
    <cellStyle name="Normal 12 13 2" xfId="1771"/>
    <cellStyle name="Normal 12 13 2 2" xfId="2664"/>
    <cellStyle name="Normal 12 13 2 2 2" xfId="12264"/>
    <cellStyle name="Normal 12 13 2 2 3" xfId="24509"/>
    <cellStyle name="Normal 12 13 2 3" xfId="3528"/>
    <cellStyle name="Normal 12 13 2 3 2" xfId="12265"/>
    <cellStyle name="Normal 12 13 2 3 3" xfId="24510"/>
    <cellStyle name="Normal 12 13 2 4" xfId="4400"/>
    <cellStyle name="Normal 12 13 2 4 2" xfId="12266"/>
    <cellStyle name="Normal 12 13 2 4 3" xfId="24511"/>
    <cellStyle name="Normal 12 13 2 5" xfId="5665"/>
    <cellStyle name="Normal 12 13 2 5 2" xfId="12267"/>
    <cellStyle name="Normal 12 13 2 5 3" xfId="24512"/>
    <cellStyle name="Normal 12 13 2 6" xfId="12263"/>
    <cellStyle name="Normal 12 13 2 7" xfId="24508"/>
    <cellStyle name="Normal 12 13 2_LNG &amp; LPG rework" xfId="8928"/>
    <cellStyle name="Normal 12 13 3" xfId="2049"/>
    <cellStyle name="Normal 12 13 3 2" xfId="2919"/>
    <cellStyle name="Normal 12 13 3 2 2" xfId="12269"/>
    <cellStyle name="Normal 12 13 3 2 3" xfId="24514"/>
    <cellStyle name="Normal 12 13 3 3" xfId="3786"/>
    <cellStyle name="Normal 12 13 3 3 2" xfId="12270"/>
    <cellStyle name="Normal 12 13 3 3 3" xfId="24515"/>
    <cellStyle name="Normal 12 13 3 4" xfId="4664"/>
    <cellStyle name="Normal 12 13 3 4 2" xfId="12271"/>
    <cellStyle name="Normal 12 13 3 4 3" xfId="24516"/>
    <cellStyle name="Normal 12 13 3 5" xfId="5929"/>
    <cellStyle name="Normal 12 13 3 5 2" xfId="12272"/>
    <cellStyle name="Normal 12 13 3 5 3" xfId="24517"/>
    <cellStyle name="Normal 12 13 3 6" xfId="12268"/>
    <cellStyle name="Normal 12 13 3 7" xfId="24513"/>
    <cellStyle name="Normal 12 13 3_LNG &amp; LPG rework" xfId="8832"/>
    <cellStyle name="Normal 12 13 4" xfId="2413"/>
    <cellStyle name="Normal 12 13 4 2" xfId="12273"/>
    <cellStyle name="Normal 12 13 4 3" xfId="24518"/>
    <cellStyle name="Normal 12 13 5" xfId="3272"/>
    <cellStyle name="Normal 12 13 5 2" xfId="12274"/>
    <cellStyle name="Normal 12 13 5 3" xfId="24519"/>
    <cellStyle name="Normal 12 13 6" xfId="4140"/>
    <cellStyle name="Normal 12 13 6 2" xfId="12275"/>
    <cellStyle name="Normal 12 13 6 3" xfId="24520"/>
    <cellStyle name="Normal 12 13 7" xfId="5402"/>
    <cellStyle name="Normal 12 13 7 2" xfId="12276"/>
    <cellStyle name="Normal 12 13 7 3" xfId="24521"/>
    <cellStyle name="Normal 12 13 8" xfId="12262"/>
    <cellStyle name="Normal 12 13 9" xfId="24507"/>
    <cellStyle name="Normal 12 13_LNG &amp; LPG rework" xfId="8929"/>
    <cellStyle name="Normal 12 14" xfId="1410"/>
    <cellStyle name="Normal 12 14 2" xfId="1776"/>
    <cellStyle name="Normal 12 14 2 2" xfId="2668"/>
    <cellStyle name="Normal 12 14 2 2 2" xfId="12279"/>
    <cellStyle name="Normal 12 14 2 2 3" xfId="24524"/>
    <cellStyle name="Normal 12 14 2 3" xfId="3532"/>
    <cellStyle name="Normal 12 14 2 3 2" xfId="12280"/>
    <cellStyle name="Normal 12 14 2 3 3" xfId="24525"/>
    <cellStyle name="Normal 12 14 2 4" xfId="4404"/>
    <cellStyle name="Normal 12 14 2 4 2" xfId="12281"/>
    <cellStyle name="Normal 12 14 2 4 3" xfId="24526"/>
    <cellStyle name="Normal 12 14 2 5" xfId="5669"/>
    <cellStyle name="Normal 12 14 2 5 2" xfId="12282"/>
    <cellStyle name="Normal 12 14 2 5 3" xfId="24527"/>
    <cellStyle name="Normal 12 14 2 6" xfId="12278"/>
    <cellStyle name="Normal 12 14 2 7" xfId="24523"/>
    <cellStyle name="Normal 12 14 2_LNG &amp; LPG rework" xfId="9228"/>
    <cellStyle name="Normal 12 14 3" xfId="2053"/>
    <cellStyle name="Normal 12 14 3 2" xfId="2923"/>
    <cellStyle name="Normal 12 14 3 2 2" xfId="12284"/>
    <cellStyle name="Normal 12 14 3 2 3" xfId="24529"/>
    <cellStyle name="Normal 12 14 3 3" xfId="3790"/>
    <cellStyle name="Normal 12 14 3 3 2" xfId="12285"/>
    <cellStyle name="Normal 12 14 3 3 3" xfId="24530"/>
    <cellStyle name="Normal 12 14 3 4" xfId="4668"/>
    <cellStyle name="Normal 12 14 3 4 2" xfId="12286"/>
    <cellStyle name="Normal 12 14 3 4 3" xfId="24531"/>
    <cellStyle name="Normal 12 14 3 5" xfId="5933"/>
    <cellStyle name="Normal 12 14 3 5 2" xfId="12287"/>
    <cellStyle name="Normal 12 14 3 5 3" xfId="24532"/>
    <cellStyle name="Normal 12 14 3 6" xfId="12283"/>
    <cellStyle name="Normal 12 14 3 7" xfId="24528"/>
    <cellStyle name="Normal 12 14 3_LNG &amp; LPG rework" xfId="8981"/>
    <cellStyle name="Normal 12 14 4" xfId="2417"/>
    <cellStyle name="Normal 12 14 4 2" xfId="12288"/>
    <cellStyle name="Normal 12 14 4 3" xfId="24533"/>
    <cellStyle name="Normal 12 14 5" xfId="3276"/>
    <cellStyle name="Normal 12 14 5 2" xfId="12289"/>
    <cellStyle name="Normal 12 14 5 3" xfId="24534"/>
    <cellStyle name="Normal 12 14 6" xfId="4144"/>
    <cellStyle name="Normal 12 14 6 2" xfId="12290"/>
    <cellStyle name="Normal 12 14 6 3" xfId="24535"/>
    <cellStyle name="Normal 12 14 7" xfId="5406"/>
    <cellStyle name="Normal 12 14 7 2" xfId="12291"/>
    <cellStyle name="Normal 12 14 7 3" xfId="24536"/>
    <cellStyle name="Normal 12 14 8" xfId="12277"/>
    <cellStyle name="Normal 12 14 9" xfId="24522"/>
    <cellStyle name="Normal 12 14_LNG &amp; LPG rework" xfId="9078"/>
    <cellStyle name="Normal 12 15" xfId="1415"/>
    <cellStyle name="Normal 12 15 2" xfId="1781"/>
    <cellStyle name="Normal 12 15 2 2" xfId="2672"/>
    <cellStyle name="Normal 12 15 2 2 2" xfId="12294"/>
    <cellStyle name="Normal 12 15 2 2 3" xfId="24539"/>
    <cellStyle name="Normal 12 15 2 3" xfId="3536"/>
    <cellStyle name="Normal 12 15 2 3 2" xfId="12295"/>
    <cellStyle name="Normal 12 15 2 3 3" xfId="24540"/>
    <cellStyle name="Normal 12 15 2 4" xfId="4408"/>
    <cellStyle name="Normal 12 15 2 4 2" xfId="12296"/>
    <cellStyle name="Normal 12 15 2 4 3" xfId="24541"/>
    <cellStyle name="Normal 12 15 2 5" xfId="5673"/>
    <cellStyle name="Normal 12 15 2 5 2" xfId="12297"/>
    <cellStyle name="Normal 12 15 2 5 3" xfId="24542"/>
    <cellStyle name="Normal 12 15 2 6" xfId="12293"/>
    <cellStyle name="Normal 12 15 2 7" xfId="24538"/>
    <cellStyle name="Normal 12 15 2_LNG &amp; LPG rework" xfId="9080"/>
    <cellStyle name="Normal 12 15 3" xfId="2057"/>
    <cellStyle name="Normal 12 15 3 2" xfId="2927"/>
    <cellStyle name="Normal 12 15 3 2 2" xfId="12299"/>
    <cellStyle name="Normal 12 15 3 2 3" xfId="24544"/>
    <cellStyle name="Normal 12 15 3 3" xfId="3794"/>
    <cellStyle name="Normal 12 15 3 3 2" xfId="12300"/>
    <cellStyle name="Normal 12 15 3 3 3" xfId="24545"/>
    <cellStyle name="Normal 12 15 3 4" xfId="4672"/>
    <cellStyle name="Normal 12 15 3 4 2" xfId="12301"/>
    <cellStyle name="Normal 12 15 3 4 3" xfId="24546"/>
    <cellStyle name="Normal 12 15 3 5" xfId="5937"/>
    <cellStyle name="Normal 12 15 3 5 2" xfId="12302"/>
    <cellStyle name="Normal 12 15 3 5 3" xfId="24547"/>
    <cellStyle name="Normal 12 15 3 6" xfId="12298"/>
    <cellStyle name="Normal 12 15 3 7" xfId="24543"/>
    <cellStyle name="Normal 12 15 3_LNG &amp; LPG rework" xfId="8927"/>
    <cellStyle name="Normal 12 15 4" xfId="2421"/>
    <cellStyle name="Normal 12 15 4 2" xfId="12303"/>
    <cellStyle name="Normal 12 15 4 3" xfId="24548"/>
    <cellStyle name="Normal 12 15 5" xfId="3280"/>
    <cellStyle name="Normal 12 15 5 2" xfId="12304"/>
    <cellStyle name="Normal 12 15 5 3" xfId="24549"/>
    <cellStyle name="Normal 12 15 6" xfId="4148"/>
    <cellStyle name="Normal 12 15 6 2" xfId="12305"/>
    <cellStyle name="Normal 12 15 6 3" xfId="24550"/>
    <cellStyle name="Normal 12 15 7" xfId="5410"/>
    <cellStyle name="Normal 12 15 7 2" xfId="12306"/>
    <cellStyle name="Normal 12 15 7 3" xfId="24551"/>
    <cellStyle name="Normal 12 15 8" xfId="12292"/>
    <cellStyle name="Normal 12 15 9" xfId="24537"/>
    <cellStyle name="Normal 12 15_LNG &amp; LPG rework" xfId="9079"/>
    <cellStyle name="Normal 12 16" xfId="1419"/>
    <cellStyle name="Normal 12 16 2" xfId="1785"/>
    <cellStyle name="Normal 12 16 2 2" xfId="2676"/>
    <cellStyle name="Normal 12 16 2 2 2" xfId="12309"/>
    <cellStyle name="Normal 12 16 2 2 3" xfId="24554"/>
    <cellStyle name="Normal 12 16 2 3" xfId="3540"/>
    <cellStyle name="Normal 12 16 2 3 2" xfId="12310"/>
    <cellStyle name="Normal 12 16 2 3 3" xfId="24555"/>
    <cellStyle name="Normal 12 16 2 4" xfId="4412"/>
    <cellStyle name="Normal 12 16 2 4 2" xfId="12311"/>
    <cellStyle name="Normal 12 16 2 4 3" xfId="24556"/>
    <cellStyle name="Normal 12 16 2 5" xfId="5677"/>
    <cellStyle name="Normal 12 16 2 5 2" xfId="12312"/>
    <cellStyle name="Normal 12 16 2 5 3" xfId="24557"/>
    <cellStyle name="Normal 12 16 2 6" xfId="12308"/>
    <cellStyle name="Normal 12 16 2 7" xfId="24553"/>
    <cellStyle name="Normal 12 16 2_LNG &amp; LPG rework" xfId="8925"/>
    <cellStyle name="Normal 12 16 3" xfId="2061"/>
    <cellStyle name="Normal 12 16 3 2" xfId="2931"/>
    <cellStyle name="Normal 12 16 3 2 2" xfId="12314"/>
    <cellStyle name="Normal 12 16 3 2 3" xfId="24559"/>
    <cellStyle name="Normal 12 16 3 3" xfId="3798"/>
    <cellStyle name="Normal 12 16 3 3 2" xfId="12315"/>
    <cellStyle name="Normal 12 16 3 3 3" xfId="24560"/>
    <cellStyle name="Normal 12 16 3 4" xfId="4676"/>
    <cellStyle name="Normal 12 16 3 4 2" xfId="12316"/>
    <cellStyle name="Normal 12 16 3 4 3" xfId="24561"/>
    <cellStyle name="Normal 12 16 3 5" xfId="5941"/>
    <cellStyle name="Normal 12 16 3 5 2" xfId="12317"/>
    <cellStyle name="Normal 12 16 3 5 3" xfId="24562"/>
    <cellStyle name="Normal 12 16 3 6" xfId="12313"/>
    <cellStyle name="Normal 12 16 3 7" xfId="24558"/>
    <cellStyle name="Normal 12 16 3_LNG &amp; LPG rework" xfId="9081"/>
    <cellStyle name="Normal 12 16 4" xfId="2425"/>
    <cellStyle name="Normal 12 16 4 2" xfId="12318"/>
    <cellStyle name="Normal 12 16 4 3" xfId="24563"/>
    <cellStyle name="Normal 12 16 5" xfId="3284"/>
    <cellStyle name="Normal 12 16 5 2" xfId="12319"/>
    <cellStyle name="Normal 12 16 5 3" xfId="24564"/>
    <cellStyle name="Normal 12 16 6" xfId="4152"/>
    <cellStyle name="Normal 12 16 6 2" xfId="12320"/>
    <cellStyle name="Normal 12 16 6 3" xfId="24565"/>
    <cellStyle name="Normal 12 16 7" xfId="5414"/>
    <cellStyle name="Normal 12 16 7 2" xfId="12321"/>
    <cellStyle name="Normal 12 16 7 3" xfId="24566"/>
    <cellStyle name="Normal 12 16 8" xfId="12307"/>
    <cellStyle name="Normal 12 16 9" xfId="24552"/>
    <cellStyle name="Normal 12 16_LNG &amp; LPG rework" xfId="8926"/>
    <cellStyle name="Normal 12 17" xfId="1429"/>
    <cellStyle name="Normal 12 17 2" xfId="1793"/>
    <cellStyle name="Normal 12 17 2 2" xfId="2684"/>
    <cellStyle name="Normal 12 17 2 2 2" xfId="12324"/>
    <cellStyle name="Normal 12 17 2 2 3" xfId="24569"/>
    <cellStyle name="Normal 12 17 2 3" xfId="3548"/>
    <cellStyle name="Normal 12 17 2 3 2" xfId="12325"/>
    <cellStyle name="Normal 12 17 2 3 3" xfId="24570"/>
    <cellStyle name="Normal 12 17 2 4" xfId="4420"/>
    <cellStyle name="Normal 12 17 2 4 2" xfId="12326"/>
    <cellStyle name="Normal 12 17 2 4 3" xfId="24571"/>
    <cellStyle name="Normal 12 17 2 5" xfId="5685"/>
    <cellStyle name="Normal 12 17 2 5 2" xfId="12327"/>
    <cellStyle name="Normal 12 17 2 5 3" xfId="24572"/>
    <cellStyle name="Normal 12 17 2 6" xfId="12323"/>
    <cellStyle name="Normal 12 17 2 7" xfId="24568"/>
    <cellStyle name="Normal 12 17 2_LNG &amp; LPG rework" xfId="9083"/>
    <cellStyle name="Normal 12 17 3" xfId="2069"/>
    <cellStyle name="Normal 12 17 3 2" xfId="2939"/>
    <cellStyle name="Normal 12 17 3 2 2" xfId="12329"/>
    <cellStyle name="Normal 12 17 3 2 3" xfId="24574"/>
    <cellStyle name="Normal 12 17 3 3" xfId="3806"/>
    <cellStyle name="Normal 12 17 3 3 2" xfId="12330"/>
    <cellStyle name="Normal 12 17 3 3 3" xfId="24575"/>
    <cellStyle name="Normal 12 17 3 4" xfId="4684"/>
    <cellStyle name="Normal 12 17 3 4 2" xfId="12331"/>
    <cellStyle name="Normal 12 17 3 4 3" xfId="24576"/>
    <cellStyle name="Normal 12 17 3 5" xfId="5949"/>
    <cellStyle name="Normal 12 17 3 5 2" xfId="12332"/>
    <cellStyle name="Normal 12 17 3 5 3" xfId="24577"/>
    <cellStyle name="Normal 12 17 3 6" xfId="12328"/>
    <cellStyle name="Normal 12 17 3 7" xfId="24573"/>
    <cellStyle name="Normal 12 17 3_LNG &amp; LPG rework" xfId="9084"/>
    <cellStyle name="Normal 12 17 4" xfId="2433"/>
    <cellStyle name="Normal 12 17 4 2" xfId="12333"/>
    <cellStyle name="Normal 12 17 4 3" xfId="24578"/>
    <cellStyle name="Normal 12 17 5" xfId="3292"/>
    <cellStyle name="Normal 12 17 5 2" xfId="12334"/>
    <cellStyle name="Normal 12 17 5 3" xfId="24579"/>
    <cellStyle name="Normal 12 17 6" xfId="4160"/>
    <cellStyle name="Normal 12 17 6 2" xfId="12335"/>
    <cellStyle name="Normal 12 17 6 3" xfId="24580"/>
    <cellStyle name="Normal 12 17 7" xfId="5422"/>
    <cellStyle name="Normal 12 17 7 2" xfId="12336"/>
    <cellStyle name="Normal 12 17 7 3" xfId="24581"/>
    <cellStyle name="Normal 12 17 8" xfId="12322"/>
    <cellStyle name="Normal 12 17 9" xfId="24567"/>
    <cellStyle name="Normal 12 17_LNG &amp; LPG rework" xfId="9082"/>
    <cellStyle name="Normal 12 18" xfId="1435"/>
    <cellStyle name="Normal 12 18 2" xfId="1799"/>
    <cellStyle name="Normal 12 18 2 2" xfId="2689"/>
    <cellStyle name="Normal 12 18 2 2 2" xfId="12339"/>
    <cellStyle name="Normal 12 18 2 2 3" xfId="24584"/>
    <cellStyle name="Normal 12 18 2 3" xfId="3553"/>
    <cellStyle name="Normal 12 18 2 3 2" xfId="12340"/>
    <cellStyle name="Normal 12 18 2 3 3" xfId="24585"/>
    <cellStyle name="Normal 12 18 2 4" xfId="4425"/>
    <cellStyle name="Normal 12 18 2 4 2" xfId="12341"/>
    <cellStyle name="Normal 12 18 2 4 3" xfId="24586"/>
    <cellStyle name="Normal 12 18 2 5" xfId="5690"/>
    <cellStyle name="Normal 12 18 2 5 2" xfId="12342"/>
    <cellStyle name="Normal 12 18 2 5 3" xfId="24587"/>
    <cellStyle name="Normal 12 18 2 6" xfId="12338"/>
    <cellStyle name="Normal 12 18 2 7" xfId="24583"/>
    <cellStyle name="Normal 12 18 2_LNG &amp; LPG rework" xfId="9085"/>
    <cellStyle name="Normal 12 18 3" xfId="2074"/>
    <cellStyle name="Normal 12 18 3 2" xfId="2944"/>
    <cellStyle name="Normal 12 18 3 2 2" xfId="12344"/>
    <cellStyle name="Normal 12 18 3 2 3" xfId="24589"/>
    <cellStyle name="Normal 12 18 3 3" xfId="3811"/>
    <cellStyle name="Normal 12 18 3 3 2" xfId="12345"/>
    <cellStyle name="Normal 12 18 3 3 3" xfId="24590"/>
    <cellStyle name="Normal 12 18 3 4" xfId="4689"/>
    <cellStyle name="Normal 12 18 3 4 2" xfId="12346"/>
    <cellStyle name="Normal 12 18 3 4 3" xfId="24591"/>
    <cellStyle name="Normal 12 18 3 5" xfId="5954"/>
    <cellStyle name="Normal 12 18 3 5 2" xfId="12347"/>
    <cellStyle name="Normal 12 18 3 5 3" xfId="24592"/>
    <cellStyle name="Normal 12 18 3 6" xfId="12343"/>
    <cellStyle name="Normal 12 18 3 7" xfId="24588"/>
    <cellStyle name="Normal 12 18 3_LNG &amp; LPG rework" xfId="9087"/>
    <cellStyle name="Normal 12 18 4" xfId="2438"/>
    <cellStyle name="Normal 12 18 4 2" xfId="12348"/>
    <cellStyle name="Normal 12 18 4 3" xfId="24593"/>
    <cellStyle name="Normal 12 18 5" xfId="3297"/>
    <cellStyle name="Normal 12 18 5 2" xfId="12349"/>
    <cellStyle name="Normal 12 18 5 3" xfId="24594"/>
    <cellStyle name="Normal 12 18 6" xfId="4165"/>
    <cellStyle name="Normal 12 18 6 2" xfId="12350"/>
    <cellStyle name="Normal 12 18 6 3" xfId="24595"/>
    <cellStyle name="Normal 12 18 7" xfId="5427"/>
    <cellStyle name="Normal 12 18 7 2" xfId="12351"/>
    <cellStyle name="Normal 12 18 7 3" xfId="24596"/>
    <cellStyle name="Normal 12 18 8" xfId="12337"/>
    <cellStyle name="Normal 12 18 9" xfId="24582"/>
    <cellStyle name="Normal 12 18_LNG &amp; LPG rework" xfId="9086"/>
    <cellStyle name="Normal 12 19" xfId="1663"/>
    <cellStyle name="Normal 12 19 2" xfId="1968"/>
    <cellStyle name="Normal 12 19 2 2" xfId="2857"/>
    <cellStyle name="Normal 12 19 2 2 2" xfId="12354"/>
    <cellStyle name="Normal 12 19 2 2 3" xfId="24599"/>
    <cellStyle name="Normal 12 19 2 3" xfId="3721"/>
    <cellStyle name="Normal 12 19 2 3 2" xfId="12355"/>
    <cellStyle name="Normal 12 19 2 3 3" xfId="24600"/>
    <cellStyle name="Normal 12 19 2 4" xfId="4596"/>
    <cellStyle name="Normal 12 19 2 4 2" xfId="12356"/>
    <cellStyle name="Normal 12 19 2 4 3" xfId="24601"/>
    <cellStyle name="Normal 12 19 2 5" xfId="5861"/>
    <cellStyle name="Normal 12 19 2 5 2" xfId="12357"/>
    <cellStyle name="Normal 12 19 2 5 3" xfId="24602"/>
    <cellStyle name="Normal 12 19 2 6" xfId="12353"/>
    <cellStyle name="Normal 12 19 2 7" xfId="24598"/>
    <cellStyle name="Normal 12 19 2_LNG &amp; LPG rework" xfId="9089"/>
    <cellStyle name="Normal 12 19 3" xfId="2242"/>
    <cellStyle name="Normal 12 19 3 2" xfId="3112"/>
    <cellStyle name="Normal 12 19 3 2 2" xfId="12359"/>
    <cellStyle name="Normal 12 19 3 2 3" xfId="24604"/>
    <cellStyle name="Normal 12 19 3 3" xfId="3982"/>
    <cellStyle name="Normal 12 19 3 3 2" xfId="12360"/>
    <cellStyle name="Normal 12 19 3 3 3" xfId="24605"/>
    <cellStyle name="Normal 12 19 3 4" xfId="4860"/>
    <cellStyle name="Normal 12 19 3 4 2" xfId="12361"/>
    <cellStyle name="Normal 12 19 3 4 3" xfId="24606"/>
    <cellStyle name="Normal 12 19 3 5" xfId="6125"/>
    <cellStyle name="Normal 12 19 3 5 2" xfId="12362"/>
    <cellStyle name="Normal 12 19 3 5 3" xfId="24607"/>
    <cellStyle name="Normal 12 19 3 6" xfId="12358"/>
    <cellStyle name="Normal 12 19 3 7" xfId="24603"/>
    <cellStyle name="Normal 12 19 3_LNG &amp; LPG rework" xfId="9090"/>
    <cellStyle name="Normal 12 19 4" xfId="2607"/>
    <cellStyle name="Normal 12 19 4 2" xfId="12363"/>
    <cellStyle name="Normal 12 19 4 3" xfId="24608"/>
    <cellStyle name="Normal 12 19 5" xfId="3470"/>
    <cellStyle name="Normal 12 19 5 2" xfId="12364"/>
    <cellStyle name="Normal 12 19 5 3" xfId="24609"/>
    <cellStyle name="Normal 12 19 6" xfId="4338"/>
    <cellStyle name="Normal 12 19 6 2" xfId="12365"/>
    <cellStyle name="Normal 12 19 6 3" xfId="24610"/>
    <cellStyle name="Normal 12 19 7" xfId="5600"/>
    <cellStyle name="Normal 12 19 7 2" xfId="12366"/>
    <cellStyle name="Normal 12 19 7 3" xfId="24611"/>
    <cellStyle name="Normal 12 19 8" xfId="12352"/>
    <cellStyle name="Normal 12 19 9" xfId="24597"/>
    <cellStyle name="Normal 12 19_LNG &amp; LPG rework" xfId="9088"/>
    <cellStyle name="Normal 12 2" xfId="1278"/>
    <cellStyle name="Normal 12 2 10" xfId="5103"/>
    <cellStyle name="Normal 12 2 10 2" xfId="12367"/>
    <cellStyle name="Normal 12 2 10 3" xfId="24613"/>
    <cellStyle name="Normal 12 2 11" xfId="5353"/>
    <cellStyle name="Normal 12 2 11 2" xfId="12368"/>
    <cellStyle name="Normal 12 2 11 3" xfId="24614"/>
    <cellStyle name="Normal 12 2 12" xfId="10325"/>
    <cellStyle name="Normal 12 2 13" xfId="24612"/>
    <cellStyle name="Normal 12 2 2" xfId="1514"/>
    <cellStyle name="Normal 12 2 2 10" xfId="5496"/>
    <cellStyle name="Normal 12 2 2 10 2" xfId="12369"/>
    <cellStyle name="Normal 12 2 2 10 3" xfId="24616"/>
    <cellStyle name="Normal 12 2 2 11" xfId="10326"/>
    <cellStyle name="Normal 12 2 2 12" xfId="24615"/>
    <cellStyle name="Normal 12 2 2 2" xfId="1515"/>
    <cellStyle name="Normal 12 2 2 2 10" xfId="24617"/>
    <cellStyle name="Normal 12 2 2 2 2" xfId="1864"/>
    <cellStyle name="Normal 12 2 2 2 2 2" xfId="2754"/>
    <cellStyle name="Normal 12 2 2 2 2 2 2" xfId="12370"/>
    <cellStyle name="Normal 12 2 2 2 2 2 3" xfId="24619"/>
    <cellStyle name="Normal 12 2 2 2 2 3" xfId="3618"/>
    <cellStyle name="Normal 12 2 2 2 2 3 2" xfId="12371"/>
    <cellStyle name="Normal 12 2 2 2 2 3 3" xfId="24620"/>
    <cellStyle name="Normal 12 2 2 2 2 4" xfId="4493"/>
    <cellStyle name="Normal 12 2 2 2 2 4 2" xfId="12372"/>
    <cellStyle name="Normal 12 2 2 2 2 4 3" xfId="24621"/>
    <cellStyle name="Normal 12 2 2 2 2 5" xfId="5106"/>
    <cellStyle name="Normal 12 2 2 2 2 5 2" xfId="12373"/>
    <cellStyle name="Normal 12 2 2 2 2 5 3" xfId="24622"/>
    <cellStyle name="Normal 12 2 2 2 2 6" xfId="5758"/>
    <cellStyle name="Normal 12 2 2 2 2 6 2" xfId="12374"/>
    <cellStyle name="Normal 12 2 2 2 2 6 3" xfId="24623"/>
    <cellStyle name="Normal 12 2 2 2 2 7" xfId="10328"/>
    <cellStyle name="Normal 12 2 2 2 2 8" xfId="24618"/>
    <cellStyle name="Normal 12 2 2 2 2_LNG &amp; LPG rework" xfId="9092"/>
    <cellStyle name="Normal 12 2 2 2 3" xfId="2139"/>
    <cellStyle name="Normal 12 2 2 2 3 2" xfId="3009"/>
    <cellStyle name="Normal 12 2 2 2 3 2 2" xfId="12376"/>
    <cellStyle name="Normal 12 2 2 2 3 2 3" xfId="24625"/>
    <cellStyle name="Normal 12 2 2 2 3 3" xfId="3879"/>
    <cellStyle name="Normal 12 2 2 2 3 3 2" xfId="12377"/>
    <cellStyle name="Normal 12 2 2 2 3 3 3" xfId="24626"/>
    <cellStyle name="Normal 12 2 2 2 3 4" xfId="4757"/>
    <cellStyle name="Normal 12 2 2 2 3 4 2" xfId="12378"/>
    <cellStyle name="Normal 12 2 2 2 3 4 3" xfId="24627"/>
    <cellStyle name="Normal 12 2 2 2 3 5" xfId="6022"/>
    <cellStyle name="Normal 12 2 2 2 3 5 2" xfId="12379"/>
    <cellStyle name="Normal 12 2 2 2 3 5 3" xfId="24628"/>
    <cellStyle name="Normal 12 2 2 2 3 6" xfId="12375"/>
    <cellStyle name="Normal 12 2 2 2 3 7" xfId="24624"/>
    <cellStyle name="Normal 12 2 2 2 3_LNG &amp; LPG rework" xfId="9094"/>
    <cellStyle name="Normal 12 2 2 2 4" xfId="2504"/>
    <cellStyle name="Normal 12 2 2 2 4 2" xfId="12380"/>
    <cellStyle name="Normal 12 2 2 2 4 3" xfId="24629"/>
    <cellStyle name="Normal 12 2 2 2 5" xfId="3367"/>
    <cellStyle name="Normal 12 2 2 2 5 2" xfId="12381"/>
    <cellStyle name="Normal 12 2 2 2 5 3" xfId="24630"/>
    <cellStyle name="Normal 12 2 2 2 6" xfId="4235"/>
    <cellStyle name="Normal 12 2 2 2 6 2" xfId="12382"/>
    <cellStyle name="Normal 12 2 2 2 6 3" xfId="24631"/>
    <cellStyle name="Normal 12 2 2 2 7" xfId="5105"/>
    <cellStyle name="Normal 12 2 2 2 7 2" xfId="12383"/>
    <cellStyle name="Normal 12 2 2 2 7 3" xfId="24632"/>
    <cellStyle name="Normal 12 2 2 2 8" xfId="5497"/>
    <cellStyle name="Normal 12 2 2 2 8 2" xfId="12384"/>
    <cellStyle name="Normal 12 2 2 2 8 3" xfId="24633"/>
    <cellStyle name="Normal 12 2 2 2 9" xfId="10327"/>
    <cellStyle name="Normal 12 2 2 2_LNG &amp; LPG rework" xfId="9093"/>
    <cellStyle name="Normal 12 2 2 3" xfId="1863"/>
    <cellStyle name="Normal 12 2 2 3 2" xfId="2753"/>
    <cellStyle name="Normal 12 2 2 3 2 2" xfId="12385"/>
    <cellStyle name="Normal 12 2 2 3 2 3" xfId="24635"/>
    <cellStyle name="Normal 12 2 2 3 3" xfId="3617"/>
    <cellStyle name="Normal 12 2 2 3 3 2" xfId="12386"/>
    <cellStyle name="Normal 12 2 2 3 3 3" xfId="24636"/>
    <cellStyle name="Normal 12 2 2 3 4" xfId="4492"/>
    <cellStyle name="Normal 12 2 2 3 4 2" xfId="12387"/>
    <cellStyle name="Normal 12 2 2 3 4 3" xfId="24637"/>
    <cellStyle name="Normal 12 2 2 3 5" xfId="5107"/>
    <cellStyle name="Normal 12 2 2 3 5 2" xfId="12388"/>
    <cellStyle name="Normal 12 2 2 3 5 3" xfId="24638"/>
    <cellStyle name="Normal 12 2 2 3 6" xfId="5757"/>
    <cellStyle name="Normal 12 2 2 3 6 2" xfId="12389"/>
    <cellStyle name="Normal 12 2 2 3 6 3" xfId="24639"/>
    <cellStyle name="Normal 12 2 2 3 7" xfId="10329"/>
    <cellStyle name="Normal 12 2 2 3 8" xfId="24634"/>
    <cellStyle name="Normal 12 2 2 3_LNG &amp; LPG rework" xfId="9096"/>
    <cellStyle name="Normal 12 2 2 4" xfId="2138"/>
    <cellStyle name="Normal 12 2 2 4 2" xfId="3008"/>
    <cellStyle name="Normal 12 2 2 4 2 2" xfId="12391"/>
    <cellStyle name="Normal 12 2 2 4 2 3" xfId="24641"/>
    <cellStyle name="Normal 12 2 2 4 3" xfId="3878"/>
    <cellStyle name="Normal 12 2 2 4 3 2" xfId="12392"/>
    <cellStyle name="Normal 12 2 2 4 3 3" xfId="24642"/>
    <cellStyle name="Normal 12 2 2 4 4" xfId="4756"/>
    <cellStyle name="Normal 12 2 2 4 4 2" xfId="12393"/>
    <cellStyle name="Normal 12 2 2 4 4 3" xfId="24643"/>
    <cellStyle name="Normal 12 2 2 4 5" xfId="6021"/>
    <cellStyle name="Normal 12 2 2 4 5 2" xfId="12394"/>
    <cellStyle name="Normal 12 2 2 4 5 3" xfId="24644"/>
    <cellStyle name="Normal 12 2 2 4 6" xfId="12390"/>
    <cellStyle name="Normal 12 2 2 4 7" xfId="24640"/>
    <cellStyle name="Normal 12 2 2 4_LNG &amp; LPG rework" xfId="9097"/>
    <cellStyle name="Normal 12 2 2 5" xfId="2350"/>
    <cellStyle name="Normal 12 2 2 5 2" xfId="3209"/>
    <cellStyle name="Normal 12 2 2 5 2 2" xfId="12396"/>
    <cellStyle name="Normal 12 2 2 5 2 3" xfId="24646"/>
    <cellStyle name="Normal 12 2 2 5 3" xfId="4075"/>
    <cellStyle name="Normal 12 2 2 5 3 2" xfId="12397"/>
    <cellStyle name="Normal 12 2 2 5 3 3" xfId="24647"/>
    <cellStyle name="Normal 12 2 2 5 4" xfId="4954"/>
    <cellStyle name="Normal 12 2 2 5 4 2" xfId="12398"/>
    <cellStyle name="Normal 12 2 2 5 4 3" xfId="24648"/>
    <cellStyle name="Normal 12 2 2 5 5" xfId="6219"/>
    <cellStyle name="Normal 12 2 2 5 5 2" xfId="12399"/>
    <cellStyle name="Normal 12 2 2 5 5 3" xfId="24649"/>
    <cellStyle name="Normal 12 2 2 5 6" xfId="12395"/>
    <cellStyle name="Normal 12 2 2 5 7" xfId="24645"/>
    <cellStyle name="Normal 12 2 2 5_LNG &amp; LPG rework" xfId="9098"/>
    <cellStyle name="Normal 12 2 2 6" xfId="2503"/>
    <cellStyle name="Normal 12 2 2 6 2" xfId="12400"/>
    <cellStyle name="Normal 12 2 2 6 3" xfId="24650"/>
    <cellStyle name="Normal 12 2 2 7" xfId="3366"/>
    <cellStyle name="Normal 12 2 2 7 2" xfId="12401"/>
    <cellStyle name="Normal 12 2 2 7 3" xfId="24651"/>
    <cellStyle name="Normal 12 2 2 8" xfId="4234"/>
    <cellStyle name="Normal 12 2 2 8 2" xfId="12402"/>
    <cellStyle name="Normal 12 2 2 8 3" xfId="24652"/>
    <cellStyle name="Normal 12 2 2 9" xfId="5104"/>
    <cellStyle name="Normal 12 2 2 9 2" xfId="12403"/>
    <cellStyle name="Normal 12 2 2 9 3" xfId="24653"/>
    <cellStyle name="Normal 12 2 2_LNG &amp; LPG rework" xfId="9095"/>
    <cellStyle name="Normal 12 2 3" xfId="1516"/>
    <cellStyle name="Normal 12 2 3 10" xfId="24654"/>
    <cellStyle name="Normal 12 2 3 2" xfId="1865"/>
    <cellStyle name="Normal 12 2 3 2 2" xfId="2755"/>
    <cellStyle name="Normal 12 2 3 2 2 2" xfId="12404"/>
    <cellStyle name="Normal 12 2 3 2 2 3" xfId="24656"/>
    <cellStyle name="Normal 12 2 3 2 3" xfId="3619"/>
    <cellStyle name="Normal 12 2 3 2 3 2" xfId="12405"/>
    <cellStyle name="Normal 12 2 3 2 3 3" xfId="24657"/>
    <cellStyle name="Normal 12 2 3 2 4" xfId="4494"/>
    <cellStyle name="Normal 12 2 3 2 4 2" xfId="12406"/>
    <cellStyle name="Normal 12 2 3 2 4 3" xfId="24658"/>
    <cellStyle name="Normal 12 2 3 2 5" xfId="5109"/>
    <cellStyle name="Normal 12 2 3 2 5 2" xfId="12407"/>
    <cellStyle name="Normal 12 2 3 2 5 3" xfId="24659"/>
    <cellStyle name="Normal 12 2 3 2 6" xfId="5759"/>
    <cellStyle name="Normal 12 2 3 2 6 2" xfId="12408"/>
    <cellStyle name="Normal 12 2 3 2 6 3" xfId="24660"/>
    <cellStyle name="Normal 12 2 3 2 7" xfId="10331"/>
    <cellStyle name="Normal 12 2 3 2 8" xfId="24655"/>
    <cellStyle name="Normal 12 2 3 2_LNG &amp; LPG rework" xfId="9099"/>
    <cellStyle name="Normal 12 2 3 3" xfId="2140"/>
    <cellStyle name="Normal 12 2 3 3 2" xfId="3010"/>
    <cellStyle name="Normal 12 2 3 3 2 2" xfId="12410"/>
    <cellStyle name="Normal 12 2 3 3 2 3" xfId="24662"/>
    <cellStyle name="Normal 12 2 3 3 3" xfId="3880"/>
    <cellStyle name="Normal 12 2 3 3 3 2" xfId="12411"/>
    <cellStyle name="Normal 12 2 3 3 3 3" xfId="24663"/>
    <cellStyle name="Normal 12 2 3 3 4" xfId="4758"/>
    <cellStyle name="Normal 12 2 3 3 4 2" xfId="12412"/>
    <cellStyle name="Normal 12 2 3 3 4 3" xfId="24664"/>
    <cellStyle name="Normal 12 2 3 3 5" xfId="6023"/>
    <cellStyle name="Normal 12 2 3 3 5 2" xfId="12413"/>
    <cellStyle name="Normal 12 2 3 3 5 3" xfId="24665"/>
    <cellStyle name="Normal 12 2 3 3 6" xfId="12409"/>
    <cellStyle name="Normal 12 2 3 3 7" xfId="24661"/>
    <cellStyle name="Normal 12 2 3 3_LNG &amp; LPG rework" xfId="9101"/>
    <cellStyle name="Normal 12 2 3 4" xfId="2505"/>
    <cellStyle name="Normal 12 2 3 4 2" xfId="12414"/>
    <cellStyle name="Normal 12 2 3 4 3" xfId="24666"/>
    <cellStyle name="Normal 12 2 3 5" xfId="3368"/>
    <cellStyle name="Normal 12 2 3 5 2" xfId="12415"/>
    <cellStyle name="Normal 12 2 3 5 3" xfId="24667"/>
    <cellStyle name="Normal 12 2 3 6" xfId="4236"/>
    <cellStyle name="Normal 12 2 3 6 2" xfId="12416"/>
    <cellStyle name="Normal 12 2 3 6 3" xfId="24668"/>
    <cellStyle name="Normal 12 2 3 7" xfId="5108"/>
    <cellStyle name="Normal 12 2 3 7 2" xfId="12417"/>
    <cellStyle name="Normal 12 2 3 7 3" xfId="24669"/>
    <cellStyle name="Normal 12 2 3 8" xfId="5498"/>
    <cellStyle name="Normal 12 2 3 8 2" xfId="12418"/>
    <cellStyle name="Normal 12 2 3 8 3" xfId="24670"/>
    <cellStyle name="Normal 12 2 3 9" xfId="10330"/>
    <cellStyle name="Normal 12 2 3_LNG &amp; LPG rework" xfId="9100"/>
    <cellStyle name="Normal 12 2 4" xfId="1686"/>
    <cellStyle name="Normal 12 2 4 2" xfId="2618"/>
    <cellStyle name="Normal 12 2 4 2 2" xfId="12419"/>
    <cellStyle name="Normal 12 2 4 2 3" xfId="24672"/>
    <cellStyle name="Normal 12 2 4 3" xfId="3481"/>
    <cellStyle name="Normal 12 2 4 3 2" xfId="12420"/>
    <cellStyle name="Normal 12 2 4 3 3" xfId="24673"/>
    <cellStyle name="Normal 12 2 4 4" xfId="4352"/>
    <cellStyle name="Normal 12 2 4 4 2" xfId="12421"/>
    <cellStyle name="Normal 12 2 4 4 3" xfId="24674"/>
    <cellStyle name="Normal 12 2 4 5" xfId="5110"/>
    <cellStyle name="Normal 12 2 4 5 2" xfId="12422"/>
    <cellStyle name="Normal 12 2 4 5 3" xfId="24675"/>
    <cellStyle name="Normal 12 2 4 6" xfId="5616"/>
    <cellStyle name="Normal 12 2 4 6 2" xfId="12423"/>
    <cellStyle name="Normal 12 2 4 6 3" xfId="24676"/>
    <cellStyle name="Normal 12 2 4 7" xfId="10332"/>
    <cellStyle name="Normal 12 2 4 8" xfId="24671"/>
    <cellStyle name="Normal 12 2 4_LNG &amp; LPG rework" xfId="9102"/>
    <cellStyle name="Normal 12 2 5" xfId="2003"/>
    <cellStyle name="Normal 12 2 5 2" xfId="2873"/>
    <cellStyle name="Normal 12 2 5 2 2" xfId="12425"/>
    <cellStyle name="Normal 12 2 5 2 3" xfId="24678"/>
    <cellStyle name="Normal 12 2 5 3" xfId="3739"/>
    <cellStyle name="Normal 12 2 5 3 2" xfId="12426"/>
    <cellStyle name="Normal 12 2 5 3 3" xfId="24679"/>
    <cellStyle name="Normal 12 2 5 4" xfId="4616"/>
    <cellStyle name="Normal 12 2 5 4 2" xfId="12427"/>
    <cellStyle name="Normal 12 2 5 4 3" xfId="24680"/>
    <cellStyle name="Normal 12 2 5 5" xfId="5881"/>
    <cellStyle name="Normal 12 2 5 5 2" xfId="12428"/>
    <cellStyle name="Normal 12 2 5 5 3" xfId="24681"/>
    <cellStyle name="Normal 12 2 5 6" xfId="12424"/>
    <cellStyle name="Normal 12 2 5 7" xfId="24677"/>
    <cellStyle name="Normal 12 2 5_LNG &amp; LPG rework" xfId="9103"/>
    <cellStyle name="Normal 12 2 6" xfId="2306"/>
    <cellStyle name="Normal 12 2 6 2" xfId="3165"/>
    <cellStyle name="Normal 12 2 6 2 2" xfId="12430"/>
    <cellStyle name="Normal 12 2 6 2 3" xfId="24683"/>
    <cellStyle name="Normal 12 2 6 3" xfId="4031"/>
    <cellStyle name="Normal 12 2 6 3 2" xfId="12431"/>
    <cellStyle name="Normal 12 2 6 3 3" xfId="24684"/>
    <cellStyle name="Normal 12 2 6 4" xfId="4910"/>
    <cellStyle name="Normal 12 2 6 4 2" xfId="12432"/>
    <cellStyle name="Normal 12 2 6 4 3" xfId="24685"/>
    <cellStyle name="Normal 12 2 6 5" xfId="6175"/>
    <cellStyle name="Normal 12 2 6 5 2" xfId="12433"/>
    <cellStyle name="Normal 12 2 6 5 3" xfId="24686"/>
    <cellStyle name="Normal 12 2 6 6" xfId="12429"/>
    <cellStyle name="Normal 12 2 6 7" xfId="24682"/>
    <cellStyle name="Normal 12 2 6_LNG &amp; LPG rework" xfId="9104"/>
    <cellStyle name="Normal 12 2 7" xfId="2367"/>
    <cellStyle name="Normal 12 2 7 2" xfId="12434"/>
    <cellStyle name="Normal 12 2 7 3" xfId="24687"/>
    <cellStyle name="Normal 12 2 8" xfId="3226"/>
    <cellStyle name="Normal 12 2 8 2" xfId="12435"/>
    <cellStyle name="Normal 12 2 8 3" xfId="24688"/>
    <cellStyle name="Normal 12 2 9" xfId="4092"/>
    <cellStyle name="Normal 12 2 9 2" xfId="12436"/>
    <cellStyle name="Normal 12 2 9 3" xfId="24689"/>
    <cellStyle name="Normal 12 2_LNG &amp; LPG rework" xfId="9091"/>
    <cellStyle name="Normal 12 20" xfId="1682"/>
    <cellStyle name="Normal 12 20 2" xfId="2000"/>
    <cellStyle name="Normal 12 20 2 2" xfId="2870"/>
    <cellStyle name="Normal 12 20 2 2 2" xfId="12439"/>
    <cellStyle name="Normal 12 20 2 2 3" xfId="24692"/>
    <cellStyle name="Normal 12 20 2 3" xfId="3736"/>
    <cellStyle name="Normal 12 20 2 3 2" xfId="12440"/>
    <cellStyle name="Normal 12 20 2 3 3" xfId="24693"/>
    <cellStyle name="Normal 12 20 2 4" xfId="4613"/>
    <cellStyle name="Normal 12 20 2 4 2" xfId="12441"/>
    <cellStyle name="Normal 12 20 2 4 3" xfId="24694"/>
    <cellStyle name="Normal 12 20 2 5" xfId="5878"/>
    <cellStyle name="Normal 12 20 2 5 2" xfId="12442"/>
    <cellStyle name="Normal 12 20 2 5 3" xfId="24695"/>
    <cellStyle name="Normal 12 20 2 6" xfId="12438"/>
    <cellStyle name="Normal 12 20 2 7" xfId="24691"/>
    <cellStyle name="Normal 12 20 2_LNG &amp; LPG rework" xfId="9105"/>
    <cellStyle name="Normal 12 20 3" xfId="2615"/>
    <cellStyle name="Normal 12 20 3 2" xfId="12443"/>
    <cellStyle name="Normal 12 20 3 3" xfId="24696"/>
    <cellStyle name="Normal 12 20 4" xfId="3478"/>
    <cellStyle name="Normal 12 20 4 2" xfId="12444"/>
    <cellStyle name="Normal 12 20 4 3" xfId="24697"/>
    <cellStyle name="Normal 12 20 5" xfId="4349"/>
    <cellStyle name="Normal 12 20 5 2" xfId="12445"/>
    <cellStyle name="Normal 12 20 5 3" xfId="24698"/>
    <cellStyle name="Normal 12 20 6" xfId="5613"/>
    <cellStyle name="Normal 12 20 6 2" xfId="12446"/>
    <cellStyle name="Normal 12 20 6 3" xfId="24699"/>
    <cellStyle name="Normal 12 20 7" xfId="12437"/>
    <cellStyle name="Normal 12 20 8" xfId="24690"/>
    <cellStyle name="Normal 12 20_LNG &amp; LPG rework" xfId="9107"/>
    <cellStyle name="Normal 12 21" xfId="2254"/>
    <cellStyle name="Normal 12 21 2" xfId="3123"/>
    <cellStyle name="Normal 12 21 2 2" xfId="12448"/>
    <cellStyle name="Normal 12 21 2 3" xfId="24701"/>
    <cellStyle name="Normal 12 21 3" xfId="3992"/>
    <cellStyle name="Normal 12 21 3 2" xfId="12449"/>
    <cellStyle name="Normal 12 21 3 3" xfId="24702"/>
    <cellStyle name="Normal 12 21 4" xfId="4871"/>
    <cellStyle name="Normal 12 21 4 2" xfId="12450"/>
    <cellStyle name="Normal 12 21 4 3" xfId="24703"/>
    <cellStyle name="Normal 12 21 5" xfId="6136"/>
    <cellStyle name="Normal 12 21 5 2" xfId="12451"/>
    <cellStyle name="Normal 12 21 5 3" xfId="24704"/>
    <cellStyle name="Normal 12 21 6" xfId="12447"/>
    <cellStyle name="Normal 12 21 7" xfId="24700"/>
    <cellStyle name="Normal 12 21_LNG &amp; LPG rework" xfId="9106"/>
    <cellStyle name="Normal 12 22" xfId="2268"/>
    <cellStyle name="Normal 12 22 2" xfId="3132"/>
    <cellStyle name="Normal 12 22 2 2" xfId="12453"/>
    <cellStyle name="Normal 12 22 2 3" xfId="24706"/>
    <cellStyle name="Normal 12 22 3" xfId="4000"/>
    <cellStyle name="Normal 12 22 3 2" xfId="12454"/>
    <cellStyle name="Normal 12 22 3 3" xfId="24707"/>
    <cellStyle name="Normal 12 22 4" xfId="4879"/>
    <cellStyle name="Normal 12 22 4 2" xfId="12455"/>
    <cellStyle name="Normal 12 22 4 3" xfId="24708"/>
    <cellStyle name="Normal 12 22 5" xfId="6144"/>
    <cellStyle name="Normal 12 22 5 2" xfId="12456"/>
    <cellStyle name="Normal 12 22 5 3" xfId="24709"/>
    <cellStyle name="Normal 12 22 6" xfId="12452"/>
    <cellStyle name="Normal 12 22 7" xfId="24705"/>
    <cellStyle name="Normal 12 22_LNG &amp; LPG rework" xfId="9108"/>
    <cellStyle name="Normal 12 23" xfId="2364"/>
    <cellStyle name="Normal 12 23 2" xfId="12457"/>
    <cellStyle name="Normal 12 23 3" xfId="24710"/>
    <cellStyle name="Normal 12 24" xfId="3223"/>
    <cellStyle name="Normal 12 24 2" xfId="12458"/>
    <cellStyle name="Normal 12 24 3" xfId="24711"/>
    <cellStyle name="Normal 12 25" xfId="4089"/>
    <cellStyle name="Normal 12 25 2" xfId="12459"/>
    <cellStyle name="Normal 12 25 3" xfId="24712"/>
    <cellStyle name="Normal 12 26" xfId="5102"/>
    <cellStyle name="Normal 12 26 2" xfId="12460"/>
    <cellStyle name="Normal 12 26 3" xfId="24713"/>
    <cellStyle name="Normal 12 27" xfId="5350"/>
    <cellStyle name="Normal 12 27 2" xfId="12461"/>
    <cellStyle name="Normal 12 27 3" xfId="24714"/>
    <cellStyle name="Normal 12 28" xfId="1274"/>
    <cellStyle name="Normal 12 28 2" xfId="12462"/>
    <cellStyle name="Normal 12 28 3" xfId="24715"/>
    <cellStyle name="Normal 12 29" xfId="10324"/>
    <cellStyle name="Normal 12 3" xfId="1289"/>
    <cellStyle name="Normal 12 3 10" xfId="5357"/>
    <cellStyle name="Normal 12 3 10 2" xfId="12463"/>
    <cellStyle name="Normal 12 3 10 3" xfId="24717"/>
    <cellStyle name="Normal 12 3 11" xfId="10333"/>
    <cellStyle name="Normal 12 3 12" xfId="24716"/>
    <cellStyle name="Normal 12 3 2" xfId="1517"/>
    <cellStyle name="Normal 12 3 2 10" xfId="24718"/>
    <cellStyle name="Normal 12 3 2 2" xfId="1866"/>
    <cellStyle name="Normal 12 3 2 2 2" xfId="2756"/>
    <cellStyle name="Normal 12 3 2 2 2 2" xfId="12464"/>
    <cellStyle name="Normal 12 3 2 2 2 3" xfId="24720"/>
    <cellStyle name="Normal 12 3 2 2 3" xfId="3620"/>
    <cellStyle name="Normal 12 3 2 2 3 2" xfId="12465"/>
    <cellStyle name="Normal 12 3 2 2 3 3" xfId="24721"/>
    <cellStyle name="Normal 12 3 2 2 4" xfId="4495"/>
    <cellStyle name="Normal 12 3 2 2 4 2" xfId="12466"/>
    <cellStyle name="Normal 12 3 2 2 4 3" xfId="24722"/>
    <cellStyle name="Normal 12 3 2 2 5" xfId="5113"/>
    <cellStyle name="Normal 12 3 2 2 5 2" xfId="12467"/>
    <cellStyle name="Normal 12 3 2 2 5 3" xfId="24723"/>
    <cellStyle name="Normal 12 3 2 2 6" xfId="5760"/>
    <cellStyle name="Normal 12 3 2 2 6 2" xfId="12468"/>
    <cellStyle name="Normal 12 3 2 2 6 3" xfId="24724"/>
    <cellStyle name="Normal 12 3 2 2 7" xfId="10335"/>
    <cellStyle name="Normal 12 3 2 2 8" xfId="24719"/>
    <cellStyle name="Normal 12 3 2 2_LNG &amp; LPG rework" xfId="8980"/>
    <cellStyle name="Normal 12 3 2 3" xfId="2141"/>
    <cellStyle name="Normal 12 3 2 3 2" xfId="3011"/>
    <cellStyle name="Normal 12 3 2 3 2 2" xfId="12470"/>
    <cellStyle name="Normal 12 3 2 3 2 3" xfId="24726"/>
    <cellStyle name="Normal 12 3 2 3 3" xfId="3881"/>
    <cellStyle name="Normal 12 3 2 3 3 2" xfId="12471"/>
    <cellStyle name="Normal 12 3 2 3 3 3" xfId="24727"/>
    <cellStyle name="Normal 12 3 2 3 4" xfId="4759"/>
    <cellStyle name="Normal 12 3 2 3 4 2" xfId="12472"/>
    <cellStyle name="Normal 12 3 2 3 4 3" xfId="24728"/>
    <cellStyle name="Normal 12 3 2 3 5" xfId="6024"/>
    <cellStyle name="Normal 12 3 2 3 5 2" xfId="12473"/>
    <cellStyle name="Normal 12 3 2 3 5 3" xfId="24729"/>
    <cellStyle name="Normal 12 3 2 3 6" xfId="12469"/>
    <cellStyle name="Normal 12 3 2 3 7" xfId="24725"/>
    <cellStyle name="Normal 12 3 2 3_LNG &amp; LPG rework" xfId="9111"/>
    <cellStyle name="Normal 12 3 2 4" xfId="2506"/>
    <cellStyle name="Normal 12 3 2 4 2" xfId="12474"/>
    <cellStyle name="Normal 12 3 2 4 3" xfId="24730"/>
    <cellStyle name="Normal 12 3 2 5" xfId="3369"/>
    <cellStyle name="Normal 12 3 2 5 2" xfId="12475"/>
    <cellStyle name="Normal 12 3 2 5 3" xfId="24731"/>
    <cellStyle name="Normal 12 3 2 6" xfId="4237"/>
    <cellStyle name="Normal 12 3 2 6 2" xfId="12476"/>
    <cellStyle name="Normal 12 3 2 6 3" xfId="24732"/>
    <cellStyle name="Normal 12 3 2 7" xfId="5112"/>
    <cellStyle name="Normal 12 3 2 7 2" xfId="12477"/>
    <cellStyle name="Normal 12 3 2 7 3" xfId="24733"/>
    <cellStyle name="Normal 12 3 2 8" xfId="5499"/>
    <cellStyle name="Normal 12 3 2 8 2" xfId="12478"/>
    <cellStyle name="Normal 12 3 2 8 3" xfId="24734"/>
    <cellStyle name="Normal 12 3 2 9" xfId="10334"/>
    <cellStyle name="Normal 12 3 2_LNG &amp; LPG rework" xfId="9110"/>
    <cellStyle name="Normal 12 3 3" xfId="1696"/>
    <cellStyle name="Normal 12 3 3 2" xfId="2622"/>
    <cellStyle name="Normal 12 3 3 2 2" xfId="12479"/>
    <cellStyle name="Normal 12 3 3 2 3" xfId="24736"/>
    <cellStyle name="Normal 12 3 3 3" xfId="3485"/>
    <cellStyle name="Normal 12 3 3 3 2" xfId="12480"/>
    <cellStyle name="Normal 12 3 3 3 3" xfId="24737"/>
    <cellStyle name="Normal 12 3 3 4" xfId="4356"/>
    <cellStyle name="Normal 12 3 3 4 2" xfId="12481"/>
    <cellStyle name="Normal 12 3 3 4 3" xfId="24738"/>
    <cellStyle name="Normal 12 3 3 5" xfId="5114"/>
    <cellStyle name="Normal 12 3 3 5 2" xfId="12482"/>
    <cellStyle name="Normal 12 3 3 5 3" xfId="24739"/>
    <cellStyle name="Normal 12 3 3 6" xfId="5620"/>
    <cellStyle name="Normal 12 3 3 6 2" xfId="12483"/>
    <cellStyle name="Normal 12 3 3 6 3" xfId="24740"/>
    <cellStyle name="Normal 12 3 3 7" xfId="10336"/>
    <cellStyle name="Normal 12 3 3 8" xfId="24735"/>
    <cellStyle name="Normal 12 3 3_LNG &amp; LPG rework" xfId="9112"/>
    <cellStyle name="Normal 12 3 4" xfId="2007"/>
    <cellStyle name="Normal 12 3 4 2" xfId="2877"/>
    <cellStyle name="Normal 12 3 4 2 2" xfId="12485"/>
    <cellStyle name="Normal 12 3 4 2 3" xfId="24742"/>
    <cellStyle name="Normal 12 3 4 3" xfId="3743"/>
    <cellStyle name="Normal 12 3 4 3 2" xfId="12486"/>
    <cellStyle name="Normal 12 3 4 3 3" xfId="24743"/>
    <cellStyle name="Normal 12 3 4 4" xfId="4620"/>
    <cellStyle name="Normal 12 3 4 4 2" xfId="12487"/>
    <cellStyle name="Normal 12 3 4 4 3" xfId="24744"/>
    <cellStyle name="Normal 12 3 4 5" xfId="5885"/>
    <cellStyle name="Normal 12 3 4 5 2" xfId="12488"/>
    <cellStyle name="Normal 12 3 4 5 3" xfId="24745"/>
    <cellStyle name="Normal 12 3 4 6" xfId="12484"/>
    <cellStyle name="Normal 12 3 4 7" xfId="24741"/>
    <cellStyle name="Normal 12 3 4_LNG &amp; LPG rework" xfId="9113"/>
    <cellStyle name="Normal 12 3 5" xfId="2328"/>
    <cellStyle name="Normal 12 3 5 2" xfId="3187"/>
    <cellStyle name="Normal 12 3 5 2 2" xfId="12490"/>
    <cellStyle name="Normal 12 3 5 2 3" xfId="24747"/>
    <cellStyle name="Normal 12 3 5 3" xfId="4053"/>
    <cellStyle name="Normal 12 3 5 3 2" xfId="12491"/>
    <cellStyle name="Normal 12 3 5 3 3" xfId="24748"/>
    <cellStyle name="Normal 12 3 5 4" xfId="4932"/>
    <cellStyle name="Normal 12 3 5 4 2" xfId="12492"/>
    <cellStyle name="Normal 12 3 5 4 3" xfId="24749"/>
    <cellStyle name="Normal 12 3 5 5" xfId="6197"/>
    <cellStyle name="Normal 12 3 5 5 2" xfId="12493"/>
    <cellStyle name="Normal 12 3 5 5 3" xfId="24750"/>
    <cellStyle name="Normal 12 3 5 6" xfId="12489"/>
    <cellStyle name="Normal 12 3 5 7" xfId="24746"/>
    <cellStyle name="Normal 12 3 5_LNG &amp; LPG rework" xfId="9114"/>
    <cellStyle name="Normal 12 3 6" xfId="2371"/>
    <cellStyle name="Normal 12 3 6 2" xfId="12494"/>
    <cellStyle name="Normal 12 3 6 3" xfId="24751"/>
    <cellStyle name="Normal 12 3 7" xfId="3230"/>
    <cellStyle name="Normal 12 3 7 2" xfId="12495"/>
    <cellStyle name="Normal 12 3 7 3" xfId="24752"/>
    <cellStyle name="Normal 12 3 8" xfId="4096"/>
    <cellStyle name="Normal 12 3 8 2" xfId="12496"/>
    <cellStyle name="Normal 12 3 8 3" xfId="24753"/>
    <cellStyle name="Normal 12 3 9" xfId="5111"/>
    <cellStyle name="Normal 12 3 9 2" xfId="12497"/>
    <cellStyle name="Normal 12 3 9 3" xfId="24754"/>
    <cellStyle name="Normal 12 3_LNG &amp; LPG rework" xfId="9109"/>
    <cellStyle name="Normal 12 30" xfId="22603"/>
    <cellStyle name="Normal 12 4" xfId="1296"/>
    <cellStyle name="Normal 12 4 10" xfId="24755"/>
    <cellStyle name="Normal 12 4 2" xfId="1703"/>
    <cellStyle name="Normal 12 4 2 2" xfId="2626"/>
    <cellStyle name="Normal 12 4 2 2 2" xfId="12498"/>
    <cellStyle name="Normal 12 4 2 2 3" xfId="24757"/>
    <cellStyle name="Normal 12 4 2 3" xfId="3489"/>
    <cellStyle name="Normal 12 4 2 3 2" xfId="12499"/>
    <cellStyle name="Normal 12 4 2 3 3" xfId="24758"/>
    <cellStyle name="Normal 12 4 2 4" xfId="4360"/>
    <cellStyle name="Normal 12 4 2 4 2" xfId="12500"/>
    <cellStyle name="Normal 12 4 2 4 3" xfId="24759"/>
    <cellStyle name="Normal 12 4 2 5" xfId="5116"/>
    <cellStyle name="Normal 12 4 2 5 2" xfId="12501"/>
    <cellStyle name="Normal 12 4 2 5 3" xfId="24760"/>
    <cellStyle name="Normal 12 4 2 6" xfId="5624"/>
    <cellStyle name="Normal 12 4 2 6 2" xfId="12502"/>
    <cellStyle name="Normal 12 4 2 6 3" xfId="24761"/>
    <cellStyle name="Normal 12 4 2 7" xfId="10338"/>
    <cellStyle name="Normal 12 4 2 8" xfId="24756"/>
    <cellStyle name="Normal 12 4 2_LNG &amp; LPG rework" xfId="8923"/>
    <cellStyle name="Normal 12 4 3" xfId="2011"/>
    <cellStyle name="Normal 12 4 3 2" xfId="2881"/>
    <cellStyle name="Normal 12 4 3 2 2" xfId="12504"/>
    <cellStyle name="Normal 12 4 3 2 3" xfId="24763"/>
    <cellStyle name="Normal 12 4 3 3" xfId="3747"/>
    <cellStyle name="Normal 12 4 3 3 2" xfId="12505"/>
    <cellStyle name="Normal 12 4 3 3 3" xfId="24764"/>
    <cellStyle name="Normal 12 4 3 4" xfId="4624"/>
    <cellStyle name="Normal 12 4 3 4 2" xfId="12506"/>
    <cellStyle name="Normal 12 4 3 4 3" xfId="24765"/>
    <cellStyle name="Normal 12 4 3 5" xfId="5889"/>
    <cellStyle name="Normal 12 4 3 5 2" xfId="12507"/>
    <cellStyle name="Normal 12 4 3 5 3" xfId="24766"/>
    <cellStyle name="Normal 12 4 3 6" xfId="12503"/>
    <cellStyle name="Normal 12 4 3 7" xfId="24762"/>
    <cellStyle name="Normal 12 4 3_LNG &amp; LPG rework" xfId="9115"/>
    <cellStyle name="Normal 12 4 4" xfId="2375"/>
    <cellStyle name="Normal 12 4 4 2" xfId="12508"/>
    <cellStyle name="Normal 12 4 4 3" xfId="24767"/>
    <cellStyle name="Normal 12 4 5" xfId="3234"/>
    <cellStyle name="Normal 12 4 5 2" xfId="12509"/>
    <cellStyle name="Normal 12 4 5 3" xfId="24768"/>
    <cellStyle name="Normal 12 4 6" xfId="4100"/>
    <cellStyle name="Normal 12 4 6 2" xfId="12510"/>
    <cellStyle name="Normal 12 4 6 3" xfId="24769"/>
    <cellStyle name="Normal 12 4 7" xfId="5115"/>
    <cellStyle name="Normal 12 4 7 2" xfId="12511"/>
    <cellStyle name="Normal 12 4 7 3" xfId="24770"/>
    <cellStyle name="Normal 12 4 8" xfId="5361"/>
    <cellStyle name="Normal 12 4 8 2" xfId="12512"/>
    <cellStyle name="Normal 12 4 8 3" xfId="24771"/>
    <cellStyle name="Normal 12 4 9" xfId="10337"/>
    <cellStyle name="Normal 12 4_LNG &amp; LPG rework" xfId="8924"/>
    <cellStyle name="Normal 12 5" xfId="1305"/>
    <cellStyle name="Normal 12 5 10" xfId="24772"/>
    <cellStyle name="Normal 12 5 2" xfId="1711"/>
    <cellStyle name="Normal 12 5 2 2" xfId="2630"/>
    <cellStyle name="Normal 12 5 2 2 2" xfId="12514"/>
    <cellStyle name="Normal 12 5 2 2 3" xfId="24774"/>
    <cellStyle name="Normal 12 5 2 3" xfId="3493"/>
    <cellStyle name="Normal 12 5 2 3 2" xfId="12515"/>
    <cellStyle name="Normal 12 5 2 3 3" xfId="24775"/>
    <cellStyle name="Normal 12 5 2 4" xfId="4364"/>
    <cellStyle name="Normal 12 5 2 4 2" xfId="12516"/>
    <cellStyle name="Normal 12 5 2 4 3" xfId="24776"/>
    <cellStyle name="Normal 12 5 2 5" xfId="5628"/>
    <cellStyle name="Normal 12 5 2 5 2" xfId="12517"/>
    <cellStyle name="Normal 12 5 2 5 3" xfId="24777"/>
    <cellStyle name="Normal 12 5 2 6" xfId="12513"/>
    <cellStyle name="Normal 12 5 2 7" xfId="24773"/>
    <cellStyle name="Normal 12 5 2_LNG &amp; LPG rework" xfId="9116"/>
    <cellStyle name="Normal 12 5 3" xfId="2015"/>
    <cellStyle name="Normal 12 5 3 2" xfId="2885"/>
    <cellStyle name="Normal 12 5 3 2 2" xfId="12519"/>
    <cellStyle name="Normal 12 5 3 2 3" xfId="24779"/>
    <cellStyle name="Normal 12 5 3 3" xfId="3751"/>
    <cellStyle name="Normal 12 5 3 3 2" xfId="12520"/>
    <cellStyle name="Normal 12 5 3 3 3" xfId="24780"/>
    <cellStyle name="Normal 12 5 3 4" xfId="4628"/>
    <cellStyle name="Normal 12 5 3 4 2" xfId="12521"/>
    <cellStyle name="Normal 12 5 3 4 3" xfId="24781"/>
    <cellStyle name="Normal 12 5 3 5" xfId="5893"/>
    <cellStyle name="Normal 12 5 3 5 2" xfId="12522"/>
    <cellStyle name="Normal 12 5 3 5 3" xfId="24782"/>
    <cellStyle name="Normal 12 5 3 6" xfId="12518"/>
    <cellStyle name="Normal 12 5 3 7" xfId="24778"/>
    <cellStyle name="Normal 12 5 3_LNG &amp; LPG rework" xfId="9118"/>
    <cellStyle name="Normal 12 5 4" xfId="2379"/>
    <cellStyle name="Normal 12 5 4 2" xfId="12523"/>
    <cellStyle name="Normal 12 5 4 3" xfId="24783"/>
    <cellStyle name="Normal 12 5 5" xfId="3238"/>
    <cellStyle name="Normal 12 5 5 2" xfId="12524"/>
    <cellStyle name="Normal 12 5 5 3" xfId="24784"/>
    <cellStyle name="Normal 12 5 6" xfId="4104"/>
    <cellStyle name="Normal 12 5 6 2" xfId="12525"/>
    <cellStyle name="Normal 12 5 6 3" xfId="24785"/>
    <cellStyle name="Normal 12 5 7" xfId="5117"/>
    <cellStyle name="Normal 12 5 7 2" xfId="12526"/>
    <cellStyle name="Normal 12 5 7 3" xfId="24786"/>
    <cellStyle name="Normal 12 5 8" xfId="5365"/>
    <cellStyle name="Normal 12 5 8 2" xfId="12527"/>
    <cellStyle name="Normal 12 5 8 3" xfId="24787"/>
    <cellStyle name="Normal 12 5 9" xfId="10339"/>
    <cellStyle name="Normal 12 5_LNG &amp; LPG rework" xfId="9117"/>
    <cellStyle name="Normal 12 6" xfId="1319"/>
    <cellStyle name="Normal 12 7" xfId="1349"/>
    <cellStyle name="Normal 12 7 2" xfId="1720"/>
    <cellStyle name="Normal 12 7 2 2" xfId="2634"/>
    <cellStyle name="Normal 12 7 2 2 2" xfId="12530"/>
    <cellStyle name="Normal 12 7 2 2 3" xfId="24790"/>
    <cellStyle name="Normal 12 7 2 3" xfId="3497"/>
    <cellStyle name="Normal 12 7 2 3 2" xfId="12531"/>
    <cellStyle name="Normal 12 7 2 3 3" xfId="24791"/>
    <cellStyle name="Normal 12 7 2 4" xfId="4369"/>
    <cellStyle name="Normal 12 7 2 4 2" xfId="12532"/>
    <cellStyle name="Normal 12 7 2 4 3" xfId="24792"/>
    <cellStyle name="Normal 12 7 2 5" xfId="5634"/>
    <cellStyle name="Normal 12 7 2 5 2" xfId="12533"/>
    <cellStyle name="Normal 12 7 2 5 3" xfId="24793"/>
    <cellStyle name="Normal 12 7 2 6" xfId="12529"/>
    <cellStyle name="Normal 12 7 2 7" xfId="24789"/>
    <cellStyle name="Normal 12 7 2_LNG &amp; LPG rework" xfId="9119"/>
    <cellStyle name="Normal 12 7 3" xfId="2019"/>
    <cellStyle name="Normal 12 7 3 2" xfId="2889"/>
    <cellStyle name="Normal 12 7 3 2 2" xfId="12535"/>
    <cellStyle name="Normal 12 7 3 2 3" xfId="24795"/>
    <cellStyle name="Normal 12 7 3 3" xfId="3755"/>
    <cellStyle name="Normal 12 7 3 3 2" xfId="12536"/>
    <cellStyle name="Normal 12 7 3 3 3" xfId="24796"/>
    <cellStyle name="Normal 12 7 3 4" xfId="4633"/>
    <cellStyle name="Normal 12 7 3 4 2" xfId="12537"/>
    <cellStyle name="Normal 12 7 3 4 3" xfId="24797"/>
    <cellStyle name="Normal 12 7 3 5" xfId="5898"/>
    <cellStyle name="Normal 12 7 3 5 2" xfId="12538"/>
    <cellStyle name="Normal 12 7 3 5 3" xfId="24798"/>
    <cellStyle name="Normal 12 7 3 6" xfId="12534"/>
    <cellStyle name="Normal 12 7 3 7" xfId="24794"/>
    <cellStyle name="Normal 12 7 3_LNG &amp; LPG rework" xfId="9123"/>
    <cellStyle name="Normal 12 7 4" xfId="2383"/>
    <cellStyle name="Normal 12 7 4 2" xfId="12539"/>
    <cellStyle name="Normal 12 7 4 3" xfId="24799"/>
    <cellStyle name="Normal 12 7 5" xfId="3242"/>
    <cellStyle name="Normal 12 7 5 2" xfId="12540"/>
    <cellStyle name="Normal 12 7 5 3" xfId="24800"/>
    <cellStyle name="Normal 12 7 6" xfId="4108"/>
    <cellStyle name="Normal 12 7 6 2" xfId="12541"/>
    <cellStyle name="Normal 12 7 6 3" xfId="24801"/>
    <cellStyle name="Normal 12 7 7" xfId="5370"/>
    <cellStyle name="Normal 12 7 7 2" xfId="12542"/>
    <cellStyle name="Normal 12 7 7 3" xfId="24802"/>
    <cellStyle name="Normal 12 7 8" xfId="12528"/>
    <cellStyle name="Normal 12 7 9" xfId="24788"/>
    <cellStyle name="Normal 12 7_LNG &amp; LPG rework" xfId="9120"/>
    <cellStyle name="Normal 12 8" xfId="1355"/>
    <cellStyle name="Normal 12 8 2" xfId="1726"/>
    <cellStyle name="Normal 12 8 2 2" xfId="2638"/>
    <cellStyle name="Normal 12 8 2 2 2" xfId="12545"/>
    <cellStyle name="Normal 12 8 2 2 3" xfId="24805"/>
    <cellStyle name="Normal 12 8 2 3" xfId="3502"/>
    <cellStyle name="Normal 12 8 2 3 2" xfId="12546"/>
    <cellStyle name="Normal 12 8 2 3 3" xfId="24806"/>
    <cellStyle name="Normal 12 8 2 4" xfId="4374"/>
    <cellStyle name="Normal 12 8 2 4 2" xfId="12547"/>
    <cellStyle name="Normal 12 8 2 4 3" xfId="24807"/>
    <cellStyle name="Normal 12 8 2 5" xfId="5639"/>
    <cellStyle name="Normal 12 8 2 5 2" xfId="12548"/>
    <cellStyle name="Normal 12 8 2 5 3" xfId="24808"/>
    <cellStyle name="Normal 12 8 2 6" xfId="12544"/>
    <cellStyle name="Normal 12 8 2 7" xfId="24804"/>
    <cellStyle name="Normal 12 8 2_LNG &amp; LPG rework" xfId="9122"/>
    <cellStyle name="Normal 12 8 3" xfId="2023"/>
    <cellStyle name="Normal 12 8 3 2" xfId="2893"/>
    <cellStyle name="Normal 12 8 3 2 2" xfId="12550"/>
    <cellStyle name="Normal 12 8 3 2 3" xfId="24810"/>
    <cellStyle name="Normal 12 8 3 3" xfId="3760"/>
    <cellStyle name="Normal 12 8 3 3 2" xfId="12551"/>
    <cellStyle name="Normal 12 8 3 3 3" xfId="24811"/>
    <cellStyle name="Normal 12 8 3 4" xfId="4638"/>
    <cellStyle name="Normal 12 8 3 4 2" xfId="12552"/>
    <cellStyle name="Normal 12 8 3 4 3" xfId="24812"/>
    <cellStyle name="Normal 12 8 3 5" xfId="5903"/>
    <cellStyle name="Normal 12 8 3 5 2" xfId="12553"/>
    <cellStyle name="Normal 12 8 3 5 3" xfId="24813"/>
    <cellStyle name="Normal 12 8 3 6" xfId="12549"/>
    <cellStyle name="Normal 12 8 3 7" xfId="24809"/>
    <cellStyle name="Normal 12 8 3_LNG &amp; LPG rework" xfId="8922"/>
    <cellStyle name="Normal 12 8 4" xfId="2387"/>
    <cellStyle name="Normal 12 8 4 2" xfId="12554"/>
    <cellStyle name="Normal 12 8 4 3" xfId="24814"/>
    <cellStyle name="Normal 12 8 5" xfId="3246"/>
    <cellStyle name="Normal 12 8 5 2" xfId="12555"/>
    <cellStyle name="Normal 12 8 5 3" xfId="24815"/>
    <cellStyle name="Normal 12 8 6" xfId="4114"/>
    <cellStyle name="Normal 12 8 6 2" xfId="12556"/>
    <cellStyle name="Normal 12 8 6 3" xfId="24816"/>
    <cellStyle name="Normal 12 8 7" xfId="5376"/>
    <cellStyle name="Normal 12 8 7 2" xfId="12557"/>
    <cellStyle name="Normal 12 8 7 3" xfId="24817"/>
    <cellStyle name="Normal 12 8 8" xfId="12543"/>
    <cellStyle name="Normal 12 8 9" xfId="24803"/>
    <cellStyle name="Normal 12 8_LNG &amp; LPG rework" xfId="9121"/>
    <cellStyle name="Normal 12 9" xfId="1370"/>
    <cellStyle name="Normal 12 9 2" xfId="1741"/>
    <cellStyle name="Normal 12 9 2 2" xfId="2645"/>
    <cellStyle name="Normal 12 9 2 2 2" xfId="12560"/>
    <cellStyle name="Normal 12 9 2 2 3" xfId="24820"/>
    <cellStyle name="Normal 12 9 2 3" xfId="3509"/>
    <cellStyle name="Normal 12 9 2 3 2" xfId="12561"/>
    <cellStyle name="Normal 12 9 2 3 3" xfId="24821"/>
    <cellStyle name="Normal 12 9 2 4" xfId="4381"/>
    <cellStyle name="Normal 12 9 2 4 2" xfId="12562"/>
    <cellStyle name="Normal 12 9 2 4 3" xfId="24822"/>
    <cellStyle name="Normal 12 9 2 5" xfId="5646"/>
    <cellStyle name="Normal 12 9 2 5 2" xfId="12563"/>
    <cellStyle name="Normal 12 9 2 5 3" xfId="24823"/>
    <cellStyle name="Normal 12 9 2 6" xfId="12559"/>
    <cellStyle name="Normal 12 9 2 7" xfId="24819"/>
    <cellStyle name="Normal 12 9 2_LNG &amp; LPG rework" xfId="8920"/>
    <cellStyle name="Normal 12 9 3" xfId="2030"/>
    <cellStyle name="Normal 12 9 3 2" xfId="2900"/>
    <cellStyle name="Normal 12 9 3 2 2" xfId="12565"/>
    <cellStyle name="Normal 12 9 3 2 3" xfId="24825"/>
    <cellStyle name="Normal 12 9 3 3" xfId="3767"/>
    <cellStyle name="Normal 12 9 3 3 2" xfId="12566"/>
    <cellStyle name="Normal 12 9 3 3 3" xfId="24826"/>
    <cellStyle name="Normal 12 9 3 4" xfId="4645"/>
    <cellStyle name="Normal 12 9 3 4 2" xfId="12567"/>
    <cellStyle name="Normal 12 9 3 4 3" xfId="24827"/>
    <cellStyle name="Normal 12 9 3 5" xfId="5910"/>
    <cellStyle name="Normal 12 9 3 5 2" xfId="12568"/>
    <cellStyle name="Normal 12 9 3 5 3" xfId="24828"/>
    <cellStyle name="Normal 12 9 3 6" xfId="12564"/>
    <cellStyle name="Normal 12 9 3 7" xfId="24824"/>
    <cellStyle name="Normal 12 9 3_LNG &amp; LPG rework" xfId="8919"/>
    <cellStyle name="Normal 12 9 4" xfId="2394"/>
    <cellStyle name="Normal 12 9 4 2" xfId="12569"/>
    <cellStyle name="Normal 12 9 4 3" xfId="24829"/>
    <cellStyle name="Normal 12 9 5" xfId="3253"/>
    <cellStyle name="Normal 12 9 5 2" xfId="12570"/>
    <cellStyle name="Normal 12 9 5 3" xfId="24830"/>
    <cellStyle name="Normal 12 9 6" xfId="4121"/>
    <cellStyle name="Normal 12 9 6 2" xfId="12571"/>
    <cellStyle name="Normal 12 9 6 3" xfId="24831"/>
    <cellStyle name="Normal 12 9 7" xfId="5383"/>
    <cellStyle name="Normal 12 9 7 2" xfId="12572"/>
    <cellStyle name="Normal 12 9 7 3" xfId="24832"/>
    <cellStyle name="Normal 12 9 8" xfId="12558"/>
    <cellStyle name="Normal 12 9 9" xfId="24818"/>
    <cellStyle name="Normal 12 9_LNG &amp; LPG rework" xfId="8921"/>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6"/>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1"/>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10" xfId="28620"/>
    <cellStyle name="Normal 14 2" xfId="723"/>
    <cellStyle name="Normal 14 2 2" xfId="735"/>
    <cellStyle name="Normal 14 2 2 2" xfId="1174"/>
    <cellStyle name="Normal 14 2 2 2 2" xfId="580"/>
    <cellStyle name="Normal 14 2 2 2 2 2" xfId="12576"/>
    <cellStyle name="Normal 14 2 2 2 2 3" xfId="24836"/>
    <cellStyle name="Normal 14 2 2 2 3" xfId="12575"/>
    <cellStyle name="Normal 14 2 2 2 4" xfId="24835"/>
    <cellStyle name="Normal 14 2 2 2_LNG &amp; LPG rework" xfId="8916"/>
    <cellStyle name="Normal 14 2 2 3" xfId="256"/>
    <cellStyle name="Normal 14 2 2 3 2" xfId="12577"/>
    <cellStyle name="Normal 14 2 2 3 3" xfId="24837"/>
    <cellStyle name="Normal 14 2 2 4" xfId="12574"/>
    <cellStyle name="Normal 14 2 2 5" xfId="24834"/>
    <cellStyle name="Normal 14 2 2_LNG &amp; LPG rework" xfId="8917"/>
    <cellStyle name="Normal 14 2 3" xfId="1157"/>
    <cellStyle name="Normal 14 2 3 2" xfId="331"/>
    <cellStyle name="Normal 14 2 3 2 2" xfId="12579"/>
    <cellStyle name="Normal 14 2 3 2 3" xfId="24839"/>
    <cellStyle name="Normal 14 2 3 3" xfId="12578"/>
    <cellStyle name="Normal 14 2 3 4" xfId="24838"/>
    <cellStyle name="Normal 14 2 3_LNG &amp; LPG rework" xfId="9229"/>
    <cellStyle name="Normal 14 2 4" xfId="1187"/>
    <cellStyle name="Normal 14 2 4 2" xfId="12580"/>
    <cellStyle name="Normal 14 2 4 3" xfId="24840"/>
    <cellStyle name="Normal 14 2 5" xfId="1321"/>
    <cellStyle name="Normal 14 2 6" xfId="12573"/>
    <cellStyle name="Normal 14 2 7" xfId="24833"/>
    <cellStyle name="Normal 14 2_LNG &amp; LPG rework" xfId="8918"/>
    <cellStyle name="Normal 14 3" xfId="873"/>
    <cellStyle name="Normal 14 3 2" xfId="743"/>
    <cellStyle name="Normal 14 3 2 2" xfId="1182"/>
    <cellStyle name="Normal 14 3 2 2 2" xfId="61"/>
    <cellStyle name="Normal 14 3 2 2 2 2" xfId="12584"/>
    <cellStyle name="Normal 14 3 2 2 2 3" xfId="24844"/>
    <cellStyle name="Normal 14 3 2 2 3" xfId="12583"/>
    <cellStyle name="Normal 14 3 2 2 4" xfId="24843"/>
    <cellStyle name="Normal 14 3 2 2_LNG &amp; LPG rework" xfId="9124"/>
    <cellStyle name="Normal 14 3 2 3" xfId="434"/>
    <cellStyle name="Normal 14 3 2 3 2" xfId="12585"/>
    <cellStyle name="Normal 14 3 2 3 3" xfId="24845"/>
    <cellStyle name="Normal 14 3 2 4" xfId="12582"/>
    <cellStyle name="Normal 14 3 2 5" xfId="24842"/>
    <cellStyle name="Normal 14 3 2_LNG &amp; LPG rework" xfId="8915"/>
    <cellStyle name="Normal 14 3 3" xfId="1161"/>
    <cellStyle name="Normal 14 3 3 2" xfId="94"/>
    <cellStyle name="Normal 14 3 3 2 2" xfId="12587"/>
    <cellStyle name="Normal 14 3 3 2 3" xfId="24847"/>
    <cellStyle name="Normal 14 3 3 3" xfId="12586"/>
    <cellStyle name="Normal 14 3 3 4" xfId="24846"/>
    <cellStyle name="Normal 14 3 3_LNG &amp; LPG rework" xfId="9126"/>
    <cellStyle name="Normal 14 3 4" xfId="561"/>
    <cellStyle name="Normal 14 3 4 2" xfId="12588"/>
    <cellStyle name="Normal 14 3 4 3" xfId="24848"/>
    <cellStyle name="Normal 14 3 5" xfId="1688"/>
    <cellStyle name="Normal 14 3 6" xfId="12581"/>
    <cellStyle name="Normal 14 3 7" xfId="24841"/>
    <cellStyle name="Normal 14 3_LNG &amp; LPG rework" xfId="9125"/>
    <cellStyle name="Normal 14 4" xfId="961"/>
    <cellStyle name="Normal 14 4 2" xfId="1166"/>
    <cellStyle name="Normal 14 4 2 2" xfId="113"/>
    <cellStyle name="Normal 14 4 2 2 2" xfId="12591"/>
    <cellStyle name="Normal 14 4 2 2 3" xfId="24851"/>
    <cellStyle name="Normal 14 4 2 3" xfId="12590"/>
    <cellStyle name="Normal 14 4 2 4" xfId="24850"/>
    <cellStyle name="Normal 14 4 2_LNG &amp; LPG rework" xfId="8914"/>
    <cellStyle name="Normal 14 4 3" xfId="1193"/>
    <cellStyle name="Normal 14 4 3 2" xfId="12592"/>
    <cellStyle name="Normal 14 4 3 3" xfId="24852"/>
    <cellStyle name="Normal 14 4 4" xfId="5120"/>
    <cellStyle name="Normal 14 4 5" xfId="12589"/>
    <cellStyle name="Normal 14 4 6" xfId="24849"/>
    <cellStyle name="Normal 14 4_LNG &amp; LPG rework" xfId="9127"/>
    <cellStyle name="Normal 14 5" xfId="1153"/>
    <cellStyle name="Normal 14 5 2" xfId="1200"/>
    <cellStyle name="Normal 14 5 2 2" xfId="12594"/>
    <cellStyle name="Normal 14 5 2 3" xfId="24854"/>
    <cellStyle name="Normal 14 5 3" xfId="12593"/>
    <cellStyle name="Normal 14 5 4" xfId="24853"/>
    <cellStyle name="Normal 14 5_LNG &amp; LPG rework" xfId="8979"/>
    <cellStyle name="Normal 14 6" xfId="1186"/>
    <cellStyle name="Normal 14 6 2" xfId="12595"/>
    <cellStyle name="Normal 14 6 3" xfId="24855"/>
    <cellStyle name="Normal 14 7" xfId="1281"/>
    <cellStyle name="Normal 14 8" xfId="7649"/>
    <cellStyle name="Normal 14 9" xfId="15986"/>
    <cellStyle name="Normal 14_Data - Monthly Commodity Prices" xfId="7677"/>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 6" xfId="20327"/>
    <cellStyle name="Normal 15_Comparison 2015 and 2016" xfId="6432"/>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3 2" xfId="21393"/>
    <cellStyle name="Normal 16 4" xfId="5122"/>
    <cellStyle name="Normal 16 5" xfId="1283"/>
    <cellStyle name="Normal 16 5 2" xfId="21394"/>
    <cellStyle name="Normal 16 6" xfId="20328"/>
    <cellStyle name="Normal 16_Comparison 2015 and 2016" xfId="6433"/>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0"/>
    <cellStyle name="Normal 165 2 2 2 2 3" xfId="24860"/>
    <cellStyle name="Normal 165 2 2 2 3" xfId="12599"/>
    <cellStyle name="Normal 165 2 2 2 4" xfId="24859"/>
    <cellStyle name="Normal 165 2 2 2_LNG &amp; LPG rework" xfId="9230"/>
    <cellStyle name="Normal 165 2 2 3" xfId="41"/>
    <cellStyle name="Normal 165 2 2 3 2" xfId="12601"/>
    <cellStyle name="Normal 165 2 2 3 3" xfId="24861"/>
    <cellStyle name="Normal 165 2 2 4" xfId="12598"/>
    <cellStyle name="Normal 165 2 2 5" xfId="24858"/>
    <cellStyle name="Normal 165 2 2_LNG &amp; LPG rework" xfId="8911"/>
    <cellStyle name="Normal 165 2 3" xfId="936"/>
    <cellStyle name="Normal 165 2 3 2" xfId="439"/>
    <cellStyle name="Normal 165 2 3 2 2" xfId="12603"/>
    <cellStyle name="Normal 165 2 3 2 3" xfId="24863"/>
    <cellStyle name="Normal 165 2 3 3" xfId="12602"/>
    <cellStyle name="Normal 165 2 3 4" xfId="24862"/>
    <cellStyle name="Normal 165 2 3_LNG &amp; LPG rework" xfId="8910"/>
    <cellStyle name="Normal 165 2 4" xfId="277"/>
    <cellStyle name="Normal 165 2 4 2" xfId="12604"/>
    <cellStyle name="Normal 165 2 4 3" xfId="24864"/>
    <cellStyle name="Normal 165 2 5" xfId="12597"/>
    <cellStyle name="Normal 165 2 6" xfId="24857"/>
    <cellStyle name="Normal 165 2_LNG &amp; LPG rework" xfId="8912"/>
    <cellStyle name="Normal 165 3" xfId="871"/>
    <cellStyle name="Normal 165 3 2" xfId="1006"/>
    <cellStyle name="Normal 165 3 2 2" xfId="225"/>
    <cellStyle name="Normal 165 3 2 2 2" xfId="547"/>
    <cellStyle name="Normal 165 3 2 2 2 2" xfId="12608"/>
    <cellStyle name="Normal 165 3 2 2 2 3" xfId="24868"/>
    <cellStyle name="Normal 165 3 2 2 3" xfId="12607"/>
    <cellStyle name="Normal 165 3 2 2 4" xfId="24867"/>
    <cellStyle name="Normal 165 3 2 2_LNG &amp; LPG rework" xfId="8907"/>
    <cellStyle name="Normal 165 3 2 3" xfId="305"/>
    <cellStyle name="Normal 165 3 2 3 2" xfId="12609"/>
    <cellStyle name="Normal 165 3 2 3 3" xfId="24869"/>
    <cellStyle name="Normal 165 3 2 4" xfId="12606"/>
    <cellStyle name="Normal 165 3 2 5" xfId="24866"/>
    <cellStyle name="Normal 165 3 2_LNG &amp; LPG rework" xfId="8908"/>
    <cellStyle name="Normal 165 3 3" xfId="769"/>
    <cellStyle name="Normal 165 3 3 2" xfId="571"/>
    <cellStyle name="Normal 165 3 3 2 2" xfId="12611"/>
    <cellStyle name="Normal 165 3 3 2 3" xfId="24871"/>
    <cellStyle name="Normal 165 3 3 3" xfId="12610"/>
    <cellStyle name="Normal 165 3 3 4" xfId="24870"/>
    <cellStyle name="Normal 165 3 3_LNG &amp; LPG rework" xfId="8906"/>
    <cellStyle name="Normal 165 3 4" xfId="500"/>
    <cellStyle name="Normal 165 3 4 2" xfId="12612"/>
    <cellStyle name="Normal 165 3 4 3" xfId="24872"/>
    <cellStyle name="Normal 165 3 5" xfId="12605"/>
    <cellStyle name="Normal 165 3 6" xfId="24865"/>
    <cellStyle name="Normal 165 3_LNG &amp; LPG rework" xfId="8909"/>
    <cellStyle name="Normal 165 4" xfId="1116"/>
    <cellStyle name="Normal 165 4 2" xfId="990"/>
    <cellStyle name="Normal 165 4 2 2" xfId="347"/>
    <cellStyle name="Normal 165 4 2 2 2" xfId="12615"/>
    <cellStyle name="Normal 165 4 2 2 3" xfId="24875"/>
    <cellStyle name="Normal 165 4 2 3" xfId="12614"/>
    <cellStyle name="Normal 165 4 2 4" xfId="24874"/>
    <cellStyle name="Normal 165 4 2_LNG &amp; LPG rework" xfId="8904"/>
    <cellStyle name="Normal 165 4 3" xfId="122"/>
    <cellStyle name="Normal 165 4 3 2" xfId="12616"/>
    <cellStyle name="Normal 165 4 3 3" xfId="24876"/>
    <cellStyle name="Normal 165 4 4" xfId="12613"/>
    <cellStyle name="Normal 165 4 5" xfId="24873"/>
    <cellStyle name="Normal 165 4_LNG &amp; LPG rework" xfId="8905"/>
    <cellStyle name="Normal 165 5" xfId="1029"/>
    <cellStyle name="Normal 165 5 2" xfId="611"/>
    <cellStyle name="Normal 165 5 2 2" xfId="12618"/>
    <cellStyle name="Normal 165 5 2 3" xfId="24878"/>
    <cellStyle name="Normal 165 5 3" xfId="12617"/>
    <cellStyle name="Normal 165 5 4" xfId="24877"/>
    <cellStyle name="Normal 165 5_LNG &amp; LPG rework" xfId="8903"/>
    <cellStyle name="Normal 165 6" xfId="221"/>
    <cellStyle name="Normal 165 6 2" xfId="12619"/>
    <cellStyle name="Normal 165 6 3" xfId="24879"/>
    <cellStyle name="Normal 165 7" xfId="12596"/>
    <cellStyle name="Normal 165 8" xfId="24856"/>
    <cellStyle name="Normal 165_LNG &amp; LPG rework" xfId="8913"/>
    <cellStyle name="Normal 166" xfId="16"/>
    <cellStyle name="Normal 166 2" xfId="908"/>
    <cellStyle name="Normal 166 2 2" xfId="912"/>
    <cellStyle name="Normal 166 2 2 2" xfId="213"/>
    <cellStyle name="Normal 166 2 2 2 2" xfId="321"/>
    <cellStyle name="Normal 166 2 2 2 2 2" xfId="12624"/>
    <cellStyle name="Normal 166 2 2 2 2 3" xfId="24884"/>
    <cellStyle name="Normal 166 2 2 2 3" xfId="12623"/>
    <cellStyle name="Normal 166 2 2 2 4" xfId="24883"/>
    <cellStyle name="Normal 166 2 2 2_LNG &amp; LPG rework" xfId="8899"/>
    <cellStyle name="Normal 166 2 2 3" xfId="67"/>
    <cellStyle name="Normal 166 2 2 3 2" xfId="12625"/>
    <cellStyle name="Normal 166 2 2 3 3" xfId="24885"/>
    <cellStyle name="Normal 166 2 2 4" xfId="12622"/>
    <cellStyle name="Normal 166 2 2 5" xfId="24882"/>
    <cellStyle name="Normal 166 2 2_LNG &amp; LPG rework" xfId="8900"/>
    <cellStyle name="Normal 166 2 3" xfId="994"/>
    <cellStyle name="Normal 166 2 3 2" xfId="105"/>
    <cellStyle name="Normal 166 2 3 2 2" xfId="12627"/>
    <cellStyle name="Normal 166 2 3 2 3" xfId="24887"/>
    <cellStyle name="Normal 166 2 3 3" xfId="12626"/>
    <cellStyle name="Normal 166 2 3 4" xfId="24886"/>
    <cellStyle name="Normal 166 2 3_LNG &amp; LPG rework" xfId="9128"/>
    <cellStyle name="Normal 166 2 4" xfId="528"/>
    <cellStyle name="Normal 166 2 4 2" xfId="12628"/>
    <cellStyle name="Normal 166 2 4 3" xfId="24888"/>
    <cellStyle name="Normal 166 2 5" xfId="12621"/>
    <cellStyle name="Normal 166 2 6" xfId="24881"/>
    <cellStyle name="Normal 166 2_LNG &amp; LPG rework" xfId="8901"/>
    <cellStyle name="Normal 166 3" xfId="872"/>
    <cellStyle name="Normal 166 3 2" xfId="919"/>
    <cellStyle name="Normal 166 3 2 2" xfId="211"/>
    <cellStyle name="Normal 166 3 2 2 2" xfId="413"/>
    <cellStyle name="Normal 166 3 2 2 2 2" xfId="12632"/>
    <cellStyle name="Normal 166 3 2 2 2 3" xfId="24892"/>
    <cellStyle name="Normal 166 3 2 2 3" xfId="12631"/>
    <cellStyle name="Normal 166 3 2 2 4" xfId="24891"/>
    <cellStyle name="Normal 166 3 2 2_LNG &amp; LPG rework" xfId="9130"/>
    <cellStyle name="Normal 166 3 2 3" xfId="564"/>
    <cellStyle name="Normal 166 3 2 3 2" xfId="12633"/>
    <cellStyle name="Normal 166 3 2 3 3" xfId="24893"/>
    <cellStyle name="Normal 166 3 2 4" xfId="12630"/>
    <cellStyle name="Normal 166 3 2 5" xfId="24890"/>
    <cellStyle name="Normal 166 3 2_LNG &amp; LPG rework" xfId="9129"/>
    <cellStyle name="Normal 166 3 3" xfId="770"/>
    <cellStyle name="Normal 166 3 3 2" xfId="443"/>
    <cellStyle name="Normal 166 3 3 2 2" xfId="12635"/>
    <cellStyle name="Normal 166 3 3 2 3" xfId="24895"/>
    <cellStyle name="Normal 166 3 3 3" xfId="12634"/>
    <cellStyle name="Normal 166 3 3 4" xfId="24894"/>
    <cellStyle name="Normal 166 3 3_LNG &amp; LPG rework" xfId="9132"/>
    <cellStyle name="Normal 166 3 4" xfId="302"/>
    <cellStyle name="Normal 166 3 4 2" xfId="12636"/>
    <cellStyle name="Normal 166 3 4 3" xfId="24896"/>
    <cellStyle name="Normal 166 3 5" xfId="12629"/>
    <cellStyle name="Normal 166 3 6" xfId="24889"/>
    <cellStyle name="Normal 166 3_LNG &amp; LPG rework" xfId="9131"/>
    <cellStyle name="Normal 166 4" xfId="1117"/>
    <cellStyle name="Normal 166 4 2" xfId="963"/>
    <cellStyle name="Normal 166 4 2 2" xfId="615"/>
    <cellStyle name="Normal 166 4 2 2 2" xfId="12639"/>
    <cellStyle name="Normal 166 4 2 2 3" xfId="24899"/>
    <cellStyle name="Normal 166 4 2 3" xfId="12638"/>
    <cellStyle name="Normal 166 4 2 4" xfId="24898"/>
    <cellStyle name="Normal 166 4 2_LNG &amp; LPG rework" xfId="9134"/>
    <cellStyle name="Normal 166 4 3" xfId="340"/>
    <cellStyle name="Normal 166 4 3 2" xfId="12640"/>
    <cellStyle name="Normal 166 4 3 3" xfId="24900"/>
    <cellStyle name="Normal 166 4 4" xfId="12637"/>
    <cellStyle name="Normal 166 4 5" xfId="24897"/>
    <cellStyle name="Normal 166 4_LNG &amp; LPG rework" xfId="9133"/>
    <cellStyle name="Normal 166 5" xfId="927"/>
    <cellStyle name="Normal 166 5 2" xfId="476"/>
    <cellStyle name="Normal 166 5 2 2" xfId="12642"/>
    <cellStyle name="Normal 166 5 2 3" xfId="24902"/>
    <cellStyle name="Normal 166 5 3" xfId="12641"/>
    <cellStyle name="Normal 166 5 4" xfId="24901"/>
    <cellStyle name="Normal 166 5_LNG &amp; LPG rework" xfId="9135"/>
    <cellStyle name="Normal 166 6" xfId="399"/>
    <cellStyle name="Normal 166 6 2" xfId="12643"/>
    <cellStyle name="Normal 166 6 3" xfId="24903"/>
    <cellStyle name="Normal 166 7" xfId="12620"/>
    <cellStyle name="Normal 166 8" xfId="24880"/>
    <cellStyle name="Normal 166_LNG &amp; LPG rework" xfId="8902"/>
    <cellStyle name="Normal 167" xfId="671"/>
    <cellStyle name="Normal 167 2" xfId="842"/>
    <cellStyle name="Normal 167 2 2" xfId="914"/>
    <cellStyle name="Normal 167 2 2 2" xfId="79"/>
    <cellStyle name="Normal 167 2 2 2 2" xfId="101"/>
    <cellStyle name="Normal 167 2 2 2 2 2" xfId="12648"/>
    <cellStyle name="Normal 167 2 2 2 2 3" xfId="24908"/>
    <cellStyle name="Normal 167 2 2 2 3" xfId="12647"/>
    <cellStyle name="Normal 167 2 2 2 4" xfId="24907"/>
    <cellStyle name="Normal 167 2 2 2_LNG &amp; LPG rework" xfId="9138"/>
    <cellStyle name="Normal 167 2 2 3" xfId="590"/>
    <cellStyle name="Normal 167 2 2 3 2" xfId="12649"/>
    <cellStyle name="Normal 167 2 2 3 3" xfId="24909"/>
    <cellStyle name="Normal 167 2 2 4" xfId="12646"/>
    <cellStyle name="Normal 167 2 2 5" xfId="24906"/>
    <cellStyle name="Normal 167 2 2_LNG &amp; LPG rework" xfId="9137"/>
    <cellStyle name="Normal 167 2 3" xfId="974"/>
    <cellStyle name="Normal 167 2 3 2" xfId="613"/>
    <cellStyle name="Normal 167 2 3 2 2" xfId="12651"/>
    <cellStyle name="Normal 167 2 3 2 3" xfId="24911"/>
    <cellStyle name="Normal 167 2 3 3" xfId="12650"/>
    <cellStyle name="Normal 167 2 3 4" xfId="24910"/>
    <cellStyle name="Normal 167 2 3_LNG &amp; LPG rework" xfId="9140"/>
    <cellStyle name="Normal 167 2 4" xfId="111"/>
    <cellStyle name="Normal 167 2 4 2" xfId="12652"/>
    <cellStyle name="Normal 167 2 4 3" xfId="24912"/>
    <cellStyle name="Normal 167 2 5" xfId="12645"/>
    <cellStyle name="Normal 167 2 6" xfId="24905"/>
    <cellStyle name="Normal 167 2_LNG &amp; LPG rework" xfId="9139"/>
    <cellStyle name="Normal 167 3" xfId="902"/>
    <cellStyle name="Normal 167 3 2" xfId="921"/>
    <cellStyle name="Normal 167 3 2 2" xfId="233"/>
    <cellStyle name="Normal 167 3 2 2 2" xfId="260"/>
    <cellStyle name="Normal 167 3 2 2 2 2" xfId="12656"/>
    <cellStyle name="Normal 167 3 2 2 2 3" xfId="24916"/>
    <cellStyle name="Normal 167 3 2 2 3" xfId="12655"/>
    <cellStyle name="Normal 167 3 2 2 4" xfId="24915"/>
    <cellStyle name="Normal 167 3 2 2_LNG &amp; LPG rework" xfId="9226"/>
    <cellStyle name="Normal 167 3 2 3" xfId="38"/>
    <cellStyle name="Normal 167 3 2 3 2" xfId="12657"/>
    <cellStyle name="Normal 167 3 2 3 3" xfId="24917"/>
    <cellStyle name="Normal 167 3 2 4" xfId="12654"/>
    <cellStyle name="Normal 167 3 2 5" xfId="24914"/>
    <cellStyle name="Normal 167 3 2_LNG &amp; LPG rework" xfId="9142"/>
    <cellStyle name="Normal 167 3 3" xfId="772"/>
    <cellStyle name="Normal 167 3 3 2" xfId="77"/>
    <cellStyle name="Normal 167 3 3 2 2" xfId="12659"/>
    <cellStyle name="Normal 167 3 3 2 3" xfId="24919"/>
    <cellStyle name="Normal 167 3 3 3" xfId="12658"/>
    <cellStyle name="Normal 167 3 3 4" xfId="24918"/>
    <cellStyle name="Normal 167 3 3_LNG &amp; LPG rework" xfId="9143"/>
    <cellStyle name="Normal 167 3 4" xfId="394"/>
    <cellStyle name="Normal 167 3 4 2" xfId="12660"/>
    <cellStyle name="Normal 167 3 4 3" xfId="24920"/>
    <cellStyle name="Normal 167 3 5" xfId="12653"/>
    <cellStyle name="Normal 167 3 6" xfId="24913"/>
    <cellStyle name="Normal 167 3_LNG &amp; LPG rework" xfId="9141"/>
    <cellStyle name="Normal 167 4" xfId="1118"/>
    <cellStyle name="Normal 167 4 2" xfId="951"/>
    <cellStyle name="Normal 167 4 2 2" xfId="481"/>
    <cellStyle name="Normal 167 4 2 2 2" xfId="12663"/>
    <cellStyle name="Normal 167 4 2 2 3" xfId="24923"/>
    <cellStyle name="Normal 167 4 2 3" xfId="12662"/>
    <cellStyle name="Normal 167 4 2 4" xfId="24922"/>
    <cellStyle name="Normal 167 4 2_LNG &amp; LPG rework" xfId="9144"/>
    <cellStyle name="Normal 167 4 3" xfId="607"/>
    <cellStyle name="Normal 167 4 3 2" xfId="12664"/>
    <cellStyle name="Normal 167 4 3 3" xfId="24924"/>
    <cellStyle name="Normal 167 4 4" xfId="12661"/>
    <cellStyle name="Normal 167 4 5" xfId="24921"/>
    <cellStyle name="Normal 167 4_LNG &amp; LPG rework" xfId="9145"/>
    <cellStyle name="Normal 167 5" xfId="750"/>
    <cellStyle name="Normal 167 5 2" xfId="281"/>
    <cellStyle name="Normal 167 5 2 2" xfId="12666"/>
    <cellStyle name="Normal 167 5 2 3" xfId="24926"/>
    <cellStyle name="Normal 167 5 3" xfId="12665"/>
    <cellStyle name="Normal 167 5 4" xfId="24925"/>
    <cellStyle name="Normal 167 5_LNG &amp; LPG rework" xfId="9146"/>
    <cellStyle name="Normal 167 6" xfId="385"/>
    <cellStyle name="Normal 167 6 2" xfId="12667"/>
    <cellStyle name="Normal 167 6 3" xfId="24927"/>
    <cellStyle name="Normal 167 7" xfId="12644"/>
    <cellStyle name="Normal 167 8" xfId="24904"/>
    <cellStyle name="Normal 167_LNG &amp; LPG rework" xfId="9136"/>
    <cellStyle name="Normal 168" xfId="17"/>
    <cellStyle name="Normal 168 2" xfId="843"/>
    <cellStyle name="Normal 168 2 2" xfId="737"/>
    <cellStyle name="Normal 168 2 2 2" xfId="240"/>
    <cellStyle name="Normal 168 2 2 2 2" xfId="264"/>
    <cellStyle name="Normal 168 2 2 2 2 2" xfId="12672"/>
    <cellStyle name="Normal 168 2 2 2 2 3" xfId="24932"/>
    <cellStyle name="Normal 168 2 2 2 3" xfId="12671"/>
    <cellStyle name="Normal 168 2 2 2 4" xfId="24931"/>
    <cellStyle name="Normal 168 2 2 2_LNG &amp; LPG rework" xfId="9149"/>
    <cellStyle name="Normal 168 2 2 3" xfId="473"/>
    <cellStyle name="Normal 168 2 2 3 2" xfId="12673"/>
    <cellStyle name="Normal 168 2 2 3 3" xfId="24933"/>
    <cellStyle name="Normal 168 2 2 4" xfId="12670"/>
    <cellStyle name="Normal 168 2 2 5" xfId="24930"/>
    <cellStyle name="Normal 168 2 2_LNG &amp; LPG rework" xfId="9150"/>
    <cellStyle name="Normal 168 2 3" xfId="1043"/>
    <cellStyle name="Normal 168 2 3 2" xfId="479"/>
    <cellStyle name="Normal 168 2 3 2 2" xfId="12675"/>
    <cellStyle name="Normal 168 2 3 2 3" xfId="24935"/>
    <cellStyle name="Normal 168 2 3 3" xfId="12674"/>
    <cellStyle name="Normal 168 2 3 4" xfId="24934"/>
    <cellStyle name="Normal 168 2 3_LNG &amp; LPG rework" xfId="9151"/>
    <cellStyle name="Normal 168 2 4" xfId="337"/>
    <cellStyle name="Normal 168 2 4 2" xfId="12676"/>
    <cellStyle name="Normal 168 2 4 3" xfId="24936"/>
    <cellStyle name="Normal 168 2 5" xfId="12669"/>
    <cellStyle name="Normal 168 2 6" xfId="24929"/>
    <cellStyle name="Normal 168 2_LNG &amp; LPG rework" xfId="9148"/>
    <cellStyle name="Normal 168 3" xfId="969"/>
    <cellStyle name="Normal 168 3 2" xfId="745"/>
    <cellStyle name="Normal 168 3 2 2" xfId="334"/>
    <cellStyle name="Normal 168 3 2 2 2" xfId="370"/>
    <cellStyle name="Normal 168 3 2 2 2 2" xfId="12680"/>
    <cellStyle name="Normal 168 3 2 2 2 3" xfId="24940"/>
    <cellStyle name="Normal 168 3 2 2 3" xfId="12679"/>
    <cellStyle name="Normal 168 3 2 2 4" xfId="24939"/>
    <cellStyle name="Normal 168 3 2 2_LNG &amp; LPG rework" xfId="9154"/>
    <cellStyle name="Normal 168 3 2 3" xfId="64"/>
    <cellStyle name="Normal 168 3 2 3 2" xfId="12681"/>
    <cellStyle name="Normal 168 3 2 3 3" xfId="24941"/>
    <cellStyle name="Normal 168 3 2 4" xfId="12678"/>
    <cellStyle name="Normal 168 3 2 5" xfId="24938"/>
    <cellStyle name="Normal 168 3 2_LNG &amp; LPG rework" xfId="9153"/>
    <cellStyle name="Normal 168 3 3" xfId="983"/>
    <cellStyle name="Normal 168 3 3 2" xfId="326"/>
    <cellStyle name="Normal 168 3 3 2 2" xfId="12683"/>
    <cellStyle name="Normal 168 3 3 2 3" xfId="24943"/>
    <cellStyle name="Normal 168 3 3 3" xfId="12682"/>
    <cellStyle name="Normal 168 3 3 4" xfId="24942"/>
    <cellStyle name="Normal 168 3 3_LNG &amp; LPG rework" xfId="9155"/>
    <cellStyle name="Normal 168 3 4" xfId="47"/>
    <cellStyle name="Normal 168 3 4 2" xfId="12684"/>
    <cellStyle name="Normal 168 3 4 3" xfId="24944"/>
    <cellStyle name="Normal 168 3 5" xfId="12677"/>
    <cellStyle name="Normal 168 3 6" xfId="24937"/>
    <cellStyle name="Normal 168 3_LNG &amp; LPG rework" xfId="9152"/>
    <cellStyle name="Normal 168 4" xfId="1119"/>
    <cellStyle name="Normal 168 4 2" xfId="1090"/>
    <cellStyle name="Normal 168 4 2 2" xfId="285"/>
    <cellStyle name="Normal 168 4 2 2 2" xfId="12687"/>
    <cellStyle name="Normal 168 4 2 2 3" xfId="24947"/>
    <cellStyle name="Normal 168 4 2 3" xfId="12686"/>
    <cellStyle name="Normal 168 4 2 4" xfId="24946"/>
    <cellStyle name="Normal 168 4 2_LNG &amp; LPG rework" xfId="9156"/>
    <cellStyle name="Normal 168 4 3" xfId="469"/>
    <cellStyle name="Normal 168 4 3 2" xfId="12688"/>
    <cellStyle name="Normal 168 4 3 3" xfId="24948"/>
    <cellStyle name="Normal 168 4 4" xfId="12685"/>
    <cellStyle name="Normal 168 4 5" xfId="24945"/>
    <cellStyle name="Normal 168 4_LNG &amp; LPG rework" xfId="9157"/>
    <cellStyle name="Normal 168 5" xfId="1030"/>
    <cellStyle name="Normal 168 5 2" xfId="536"/>
    <cellStyle name="Normal 168 5 2 2" xfId="12690"/>
    <cellStyle name="Normal 168 5 2 3" xfId="24950"/>
    <cellStyle name="Normal 168 5 3" xfId="12689"/>
    <cellStyle name="Normal 168 5 4" xfId="24949"/>
    <cellStyle name="Normal 168 5_LNG &amp; LPG rework" xfId="9158"/>
    <cellStyle name="Normal 168 6" xfId="883"/>
    <cellStyle name="Normal 168 6 2" xfId="12691"/>
    <cellStyle name="Normal 168 6 3" xfId="24951"/>
    <cellStyle name="Normal 168 7" xfId="12668"/>
    <cellStyle name="Normal 168 8" xfId="24928"/>
    <cellStyle name="Normal 168_LNG &amp; LPG rework" xfId="9147"/>
    <cellStyle name="Normal 169" xfId="672"/>
    <cellStyle name="Normal 17" xfId="1105"/>
    <cellStyle name="Normal 17 2" xfId="1323"/>
    <cellStyle name="Normal 17 3" xfId="1691"/>
    <cellStyle name="Normal 17 3 2" xfId="21395"/>
    <cellStyle name="Normal 17 4" xfId="5123"/>
    <cellStyle name="Normal 17 5" xfId="1284"/>
    <cellStyle name="Normal 17 5 2" xfId="21396"/>
    <cellStyle name="Normal 17 6" xfId="20329"/>
    <cellStyle name="Normal 17_LNG &amp; LPG rework" xfId="9159"/>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6"/>
    <cellStyle name="Normal 173 2 2 2 2 3" xfId="24956"/>
    <cellStyle name="Normal 173 2 2 2 3" xfId="12695"/>
    <cellStyle name="Normal 173 2 2 2 4" xfId="24955"/>
    <cellStyle name="Normal 173 2 2 2_LNG &amp; LPG rework" xfId="8896"/>
    <cellStyle name="Normal 173 2 2 3" xfId="117"/>
    <cellStyle name="Normal 173 2 2 3 2" xfId="12697"/>
    <cellStyle name="Normal 173 2 2 3 3" xfId="24957"/>
    <cellStyle name="Normal 173 2 2 4" xfId="12694"/>
    <cellStyle name="Normal 173 2 2 5" xfId="24954"/>
    <cellStyle name="Normal 173 2 2_LNG &amp; LPG rework" xfId="8897"/>
    <cellStyle name="Normal 173 2 3" xfId="1016"/>
    <cellStyle name="Normal 173 2 3 2" xfId="283"/>
    <cellStyle name="Normal 173 2 3 2 2" xfId="12699"/>
    <cellStyle name="Normal 173 2 3 2 3" xfId="24959"/>
    <cellStyle name="Normal 173 2 3 3" xfId="12698"/>
    <cellStyle name="Normal 173 2 3 4" xfId="24958"/>
    <cellStyle name="Normal 173 2 3_LNG &amp; LPG rework" xfId="8895"/>
    <cellStyle name="Normal 173 2 4" xfId="604"/>
    <cellStyle name="Normal 173 2 4 2" xfId="12700"/>
    <cellStyle name="Normal 173 2 4 3" xfId="24960"/>
    <cellStyle name="Normal 173 2 5" xfId="12693"/>
    <cellStyle name="Normal 173 2 6" xfId="24953"/>
    <cellStyle name="Normal 173 2_LNG &amp; LPG rework" xfId="8898"/>
    <cellStyle name="Normal 173 3" xfId="1072"/>
    <cellStyle name="Normal 173 3 2" xfId="999"/>
    <cellStyle name="Normal 173 3 2 2" xfId="601"/>
    <cellStyle name="Normal 173 3 2 2 2" xfId="640"/>
    <cellStyle name="Normal 173 3 2 2 2 2" xfId="12704"/>
    <cellStyle name="Normal 173 3 2 2 2 3" xfId="24964"/>
    <cellStyle name="Normal 173 3 2 2 3" xfId="12703"/>
    <cellStyle name="Normal 173 3 2 2 4" xfId="24963"/>
    <cellStyle name="Normal 173 3 2 2_LNG &amp; LPG rework" xfId="8892"/>
    <cellStyle name="Normal 173 3 2 3" xfId="226"/>
    <cellStyle name="Normal 173 3 2 3 2" xfId="12705"/>
    <cellStyle name="Normal 173 3 2 3 3" xfId="24965"/>
    <cellStyle name="Normal 173 3 2 4" xfId="12702"/>
    <cellStyle name="Normal 173 3 2 5" xfId="24962"/>
    <cellStyle name="Normal 173 3 2_LNG &amp; LPG rework" xfId="8893"/>
    <cellStyle name="Normal 173 3 3" xfId="1048"/>
    <cellStyle name="Normal 173 3 3 2" xfId="586"/>
    <cellStyle name="Normal 173 3 3 2 2" xfId="12707"/>
    <cellStyle name="Normal 173 3 3 2 3" xfId="24967"/>
    <cellStyle name="Normal 173 3 3 3" xfId="12706"/>
    <cellStyle name="Normal 173 3 3 4" xfId="24966"/>
    <cellStyle name="Normal 173 3 3_LNG &amp; LPG rework" xfId="9160"/>
    <cellStyle name="Normal 173 3 4" xfId="73"/>
    <cellStyle name="Normal 173 3 4 2" xfId="12708"/>
    <cellStyle name="Normal 173 3 4 3" xfId="24968"/>
    <cellStyle name="Normal 173 3 5" xfId="12701"/>
    <cellStyle name="Normal 173 3 6" xfId="24961"/>
    <cellStyle name="Normal 173 3_LNG &amp; LPG rework" xfId="8894"/>
    <cellStyle name="Normal 173 4" xfId="1120"/>
    <cellStyle name="Normal 173 4 2" xfId="37"/>
    <cellStyle name="Normal 173 4 2 2" xfId="541"/>
    <cellStyle name="Normal 173 4 2 2 2" xfId="12711"/>
    <cellStyle name="Normal 173 4 2 2 3" xfId="24971"/>
    <cellStyle name="Normal 173 4 2 3" xfId="12710"/>
    <cellStyle name="Normal 173 4 2 4" xfId="24970"/>
    <cellStyle name="Normal 173 4 2_LNG &amp; LPG rework" xfId="9162"/>
    <cellStyle name="Normal 173 4 3" xfId="278"/>
    <cellStyle name="Normal 173 4 3 2" xfId="12712"/>
    <cellStyle name="Normal 173 4 3 3" xfId="24972"/>
    <cellStyle name="Normal 173 4 4" xfId="12709"/>
    <cellStyle name="Normal 173 4 5" xfId="24969"/>
    <cellStyle name="Normal 173 4_LNG &amp; LPG rework" xfId="9161"/>
    <cellStyle name="Normal 173 5" xfId="1066"/>
    <cellStyle name="Normal 173 5 2" xfId="406"/>
    <cellStyle name="Normal 173 5 2 2" xfId="12714"/>
    <cellStyle name="Normal 173 5 2 3" xfId="24974"/>
    <cellStyle name="Normal 173 5 3" xfId="12713"/>
    <cellStyle name="Normal 173 5 4" xfId="24973"/>
    <cellStyle name="Normal 173 5_LNG &amp; LPG rework" xfId="8891"/>
    <cellStyle name="Normal 173 6" xfId="204"/>
    <cellStyle name="Normal 173 6 2" xfId="12715"/>
    <cellStyle name="Normal 173 6 3" xfId="24975"/>
    <cellStyle name="Normal 173 7" xfId="12692"/>
    <cellStyle name="Normal 173 8" xfId="24952"/>
    <cellStyle name="Normal 173_LNG &amp; LPG rework" xfId="9227"/>
    <cellStyle name="Normal 174" xfId="809"/>
    <cellStyle name="Normal 174 2" xfId="854"/>
    <cellStyle name="Normal 174 2 2" xfId="740"/>
    <cellStyle name="Normal 174 2 2 2" xfId="128"/>
    <cellStyle name="Normal 174 2 2 2 2" xfId="288"/>
    <cellStyle name="Normal 174 2 2 2 2 2" xfId="12720"/>
    <cellStyle name="Normal 174 2 2 2 2 3" xfId="24980"/>
    <cellStyle name="Normal 174 2 2 2 3" xfId="12719"/>
    <cellStyle name="Normal 174 2 2 2 4" xfId="24979"/>
    <cellStyle name="Normal 174 2 2 2_LNG &amp; LPG rework" xfId="9165"/>
    <cellStyle name="Normal 174 2 2 3" xfId="594"/>
    <cellStyle name="Normal 174 2 2 3 2" xfId="12721"/>
    <cellStyle name="Normal 174 2 2 3 3" xfId="24981"/>
    <cellStyle name="Normal 174 2 2 4" xfId="12718"/>
    <cellStyle name="Normal 174 2 2 5" xfId="24978"/>
    <cellStyle name="Normal 174 2 2_LNG &amp; LPG rework" xfId="9164"/>
    <cellStyle name="Normal 174 2 3" xfId="1014"/>
    <cellStyle name="Normal 174 2 3 2" xfId="426"/>
    <cellStyle name="Normal 174 2 3 2 2" xfId="12723"/>
    <cellStyle name="Normal 174 2 3 2 3" xfId="24983"/>
    <cellStyle name="Normal 174 2 3 3" xfId="12722"/>
    <cellStyle name="Normal 174 2 3 4" xfId="24982"/>
    <cellStyle name="Normal 174 2 3_LNG &amp; LPG rework" xfId="9167"/>
    <cellStyle name="Normal 174 2 4" xfId="379"/>
    <cellStyle name="Normal 174 2 4 2" xfId="12724"/>
    <cellStyle name="Normal 174 2 4 3" xfId="24984"/>
    <cellStyle name="Normal 174 2 5" xfId="12717"/>
    <cellStyle name="Normal 174 2 6" xfId="24977"/>
    <cellStyle name="Normal 174 2_LNG &amp; LPG rework" xfId="9166"/>
    <cellStyle name="Normal 174 3" xfId="1046"/>
    <cellStyle name="Normal 174 3 2" xfId="748"/>
    <cellStyle name="Normal 174 3 2 2" xfId="217"/>
    <cellStyle name="Normal 174 3 2 2 2" xfId="540"/>
    <cellStyle name="Normal 174 3 2 2 2 2" xfId="12728"/>
    <cellStyle name="Normal 174 3 2 2 2 3" xfId="24988"/>
    <cellStyle name="Normal 174 3 2 2 3" xfId="12727"/>
    <cellStyle name="Normal 174 3 2 2 4" xfId="24987"/>
    <cellStyle name="Normal 174 3 2 2_LNG &amp; LPG rework" xfId="9170"/>
    <cellStyle name="Normal 174 3 2 3" xfId="622"/>
    <cellStyle name="Normal 174 3 2 3 2" xfId="12729"/>
    <cellStyle name="Normal 174 3 2 3 3" xfId="24989"/>
    <cellStyle name="Normal 174 3 2 4" xfId="12726"/>
    <cellStyle name="Normal 174 3 2 5" xfId="24986"/>
    <cellStyle name="Normal 174 3 2_LNG &amp; LPG rework" xfId="9169"/>
    <cellStyle name="Normal 174 3 3" xfId="1080"/>
    <cellStyle name="Normal 174 3 3 2" xfId="616"/>
    <cellStyle name="Normal 174 3 3 2 2" xfId="12731"/>
    <cellStyle name="Normal 174 3 3 2 3" xfId="24991"/>
    <cellStyle name="Normal 174 3 3 3" xfId="12730"/>
    <cellStyle name="Normal 174 3 3 4" xfId="24990"/>
    <cellStyle name="Normal 174 3 3_LNG &amp; LPG rework" xfId="9171"/>
    <cellStyle name="Normal 174 3 4" xfId="359"/>
    <cellStyle name="Normal 174 3 4 2" xfId="12732"/>
    <cellStyle name="Normal 174 3 4 3" xfId="24992"/>
    <cellStyle name="Normal 174 3 5" xfId="12725"/>
    <cellStyle name="Normal 174 3 6" xfId="24985"/>
    <cellStyle name="Normal 174 3_LNG &amp; LPG rework" xfId="9168"/>
    <cellStyle name="Normal 174 4" xfId="1121"/>
    <cellStyle name="Normal 174 4 2" xfId="45"/>
    <cellStyle name="Normal 174 4 2 2" xfId="404"/>
    <cellStyle name="Normal 174 4 2 2 2" xfId="12735"/>
    <cellStyle name="Normal 174 4 2 2 3" xfId="24995"/>
    <cellStyle name="Normal 174 4 2 3" xfId="12734"/>
    <cellStyle name="Normal 174 4 2 4" xfId="24994"/>
    <cellStyle name="Normal 174 4 2_LNG &amp; LPG rework" xfId="9172"/>
    <cellStyle name="Normal 174 4 3" xfId="529"/>
    <cellStyle name="Normal 174 4 3 2" xfId="12736"/>
    <cellStyle name="Normal 174 4 3 3" xfId="24996"/>
    <cellStyle name="Normal 174 4 4" xfId="12733"/>
    <cellStyle name="Normal 174 4 5" xfId="24993"/>
    <cellStyle name="Normal 174 4_LNG &amp; LPG rework" xfId="9173"/>
    <cellStyle name="Normal 174 5" xfId="1038"/>
    <cellStyle name="Normal 174 5 2" xfId="392"/>
    <cellStyle name="Normal 174 5 2 2" xfId="12738"/>
    <cellStyle name="Normal 174 5 2 3" xfId="24998"/>
    <cellStyle name="Normal 174 5 3" xfId="12737"/>
    <cellStyle name="Normal 174 5 4" xfId="24997"/>
    <cellStyle name="Normal 174 5_LNG &amp; LPG rework" xfId="9174"/>
    <cellStyle name="Normal 174 6" xfId="30"/>
    <cellStyle name="Normal 174 6 2" xfId="12739"/>
    <cellStyle name="Normal 174 6 3" xfId="24999"/>
    <cellStyle name="Normal 174 7" xfId="12716"/>
    <cellStyle name="Normal 174 8" xfId="24976"/>
    <cellStyle name="Normal 174_LNG &amp; LPG rework" xfId="9163"/>
    <cellStyle name="Normal 175" xfId="810"/>
    <cellStyle name="Normal 175 2" xfId="845"/>
    <cellStyle name="Normal 175 2 2" xfId="1064"/>
    <cellStyle name="Normal 175 2 2 2" xfId="620"/>
    <cellStyle name="Normal 175 2 2 2 2" xfId="644"/>
    <cellStyle name="Normal 175 2 2 2 2 2" xfId="12744"/>
    <cellStyle name="Normal 175 2 2 2 2 3" xfId="25004"/>
    <cellStyle name="Normal 175 2 2 2 3" xfId="12743"/>
    <cellStyle name="Normal 175 2 2 2 4" xfId="25003"/>
    <cellStyle name="Normal 175 2 2 2_LNG &amp; LPG rework" xfId="9177"/>
    <cellStyle name="Normal 175 2 2 3" xfId="533"/>
    <cellStyle name="Normal 175 2 2 3 2" xfId="12745"/>
    <cellStyle name="Normal 175 2 2 3 3" xfId="25005"/>
    <cellStyle name="Normal 175 2 2 4" xfId="12742"/>
    <cellStyle name="Normal 175 2 2 5" xfId="25002"/>
    <cellStyle name="Normal 175 2 2_LNG &amp; LPG rework" xfId="9178"/>
    <cellStyle name="Normal 175 2 3" xfId="937"/>
    <cellStyle name="Normal 175 2 3 2" xfId="539"/>
    <cellStyle name="Normal 175 2 3 2 2" xfId="12747"/>
    <cellStyle name="Normal 175 2 3 2 3" xfId="25007"/>
    <cellStyle name="Normal 175 2 3 3" xfId="12746"/>
    <cellStyle name="Normal 175 2 3 4" xfId="25006"/>
    <cellStyle name="Normal 175 2 3_LNG &amp; LPG rework" xfId="9179"/>
    <cellStyle name="Normal 175 2 4" xfId="464"/>
    <cellStyle name="Normal 175 2 4 2" xfId="12748"/>
    <cellStyle name="Normal 175 2 4 3" xfId="25008"/>
    <cellStyle name="Normal 175 2 5" xfId="12741"/>
    <cellStyle name="Normal 175 2 6" xfId="25001"/>
    <cellStyle name="Normal 175 2_LNG &amp; LPG rework" xfId="9176"/>
    <cellStyle name="Normal 175 3" xfId="979"/>
    <cellStyle name="Normal 175 3 2" xfId="986"/>
    <cellStyle name="Normal 175 3 2 2" xfId="459"/>
    <cellStyle name="Normal 175 3 2 2 2" xfId="507"/>
    <cellStyle name="Normal 175 3 2 2 2 2" xfId="12752"/>
    <cellStyle name="Normal 175 3 2 2 2 3" xfId="25012"/>
    <cellStyle name="Normal 175 3 2 2 3" xfId="12751"/>
    <cellStyle name="Normal 175 3 2 2 4" xfId="25011"/>
    <cellStyle name="Normal 175 3 2 2_LNG &amp; LPG rework" xfId="9182"/>
    <cellStyle name="Normal 175 3 2 3" xfId="267"/>
    <cellStyle name="Normal 175 3 2 3 2" xfId="12753"/>
    <cellStyle name="Normal 175 3 2 3 3" xfId="25013"/>
    <cellStyle name="Normal 175 3 2 4" xfId="12750"/>
    <cellStyle name="Normal 175 3 2 5" xfId="25010"/>
    <cellStyle name="Normal 175 3 2_LNG &amp; LPG rework" xfId="9181"/>
    <cellStyle name="Normal 175 3 3" xfId="948"/>
    <cellStyle name="Normal 175 3 3 2" xfId="483"/>
    <cellStyle name="Normal 175 3 3 2 2" xfId="12755"/>
    <cellStyle name="Normal 175 3 3 2 3" xfId="25015"/>
    <cellStyle name="Normal 175 3 3 3" xfId="12754"/>
    <cellStyle name="Normal 175 3 3 4" xfId="25014"/>
    <cellStyle name="Normal 175 3 3_LNG &amp; LPG rework" xfId="9183"/>
    <cellStyle name="Normal 175 3 4" xfId="231"/>
    <cellStyle name="Normal 175 3 4 2" xfId="12756"/>
    <cellStyle name="Normal 175 3 4 3" xfId="25016"/>
    <cellStyle name="Normal 175 3 5" xfId="12749"/>
    <cellStyle name="Normal 175 3 6" xfId="25009"/>
    <cellStyle name="Normal 175 3_LNG &amp; LPG rework" xfId="9180"/>
    <cellStyle name="Normal 175 4" xfId="1122"/>
    <cellStyle name="Normal 175 4 2" xfId="71"/>
    <cellStyle name="Normal 175 4 2 2" xfId="390"/>
    <cellStyle name="Normal 175 4 2 2 2" xfId="12759"/>
    <cellStyle name="Normal 175 4 2 2 3" xfId="25019"/>
    <cellStyle name="Normal 175 4 2 3" xfId="12758"/>
    <cellStyle name="Normal 175 4 2 4" xfId="25018"/>
    <cellStyle name="Normal 175 4 2_LNG &amp; LPG rework" xfId="9184"/>
    <cellStyle name="Normal 175 4 3" xfId="411"/>
    <cellStyle name="Normal 175 4 3 2" xfId="12760"/>
    <cellStyle name="Normal 175 4 3 3" xfId="25020"/>
    <cellStyle name="Normal 175 4 4" xfId="12757"/>
    <cellStyle name="Normal 175 4 5" xfId="25017"/>
    <cellStyle name="Normal 175 4_LNG &amp; LPG rework" xfId="9185"/>
    <cellStyle name="Normal 175 5" xfId="928"/>
    <cellStyle name="Normal 175 5 2" xfId="46"/>
    <cellStyle name="Normal 175 5 2 2" xfId="12762"/>
    <cellStyle name="Normal 175 5 2 3" xfId="25022"/>
    <cellStyle name="Normal 175 5 3" xfId="12761"/>
    <cellStyle name="Normal 175 5 4" xfId="25021"/>
    <cellStyle name="Normal 175 5_LNG &amp; LPG rework" xfId="9186"/>
    <cellStyle name="Normal 175 6" xfId="274"/>
    <cellStyle name="Normal 175 6 2" xfId="12763"/>
    <cellStyle name="Normal 175 6 3" xfId="25023"/>
    <cellStyle name="Normal 175 7" xfId="12740"/>
    <cellStyle name="Normal 175 8" xfId="25000"/>
    <cellStyle name="Normal 175_LNG &amp; LPG rework" xfId="9175"/>
    <cellStyle name="Normal 176" xfId="811"/>
    <cellStyle name="Normal 176 2" xfId="846"/>
    <cellStyle name="Normal 176 2 2" xfId="1044"/>
    <cellStyle name="Normal 176 2 2 2" xfId="489"/>
    <cellStyle name="Normal 176 2 2 2 2" xfId="511"/>
    <cellStyle name="Normal 176 2 2 2 2 2" xfId="12768"/>
    <cellStyle name="Normal 176 2 2 2 2 3" xfId="25028"/>
    <cellStyle name="Normal 176 2 2 2 3" xfId="12767"/>
    <cellStyle name="Normal 176 2 2 2 4" xfId="25027"/>
    <cellStyle name="Normal 176 2 2 2_LNG &amp; LPG rework" xfId="9189"/>
    <cellStyle name="Normal 176 2 2 3" xfId="415"/>
    <cellStyle name="Normal 176 2 2 3 2" xfId="12769"/>
    <cellStyle name="Normal 176 2 2 3 3" xfId="25029"/>
    <cellStyle name="Normal 176 2 2 4" xfId="12766"/>
    <cellStyle name="Normal 176 2 2 5" xfId="25026"/>
    <cellStyle name="Normal 176 2 2_LNG &amp; LPG rework" xfId="9190"/>
    <cellStyle name="Normal 176 2 3" xfId="764"/>
    <cellStyle name="Normal 176 2 3 2" xfId="440"/>
    <cellStyle name="Normal 176 2 3 2 2" xfId="12771"/>
    <cellStyle name="Normal 176 2 3 2 3" xfId="25031"/>
    <cellStyle name="Normal 176 2 3 3" xfId="12770"/>
    <cellStyle name="Normal 176 2 3 4" xfId="25030"/>
    <cellStyle name="Normal 176 2 3_LNG &amp; LPG rework" xfId="9191"/>
    <cellStyle name="Normal 176 2 4" xfId="276"/>
    <cellStyle name="Normal 176 2 4 2" xfId="12772"/>
    <cellStyle name="Normal 176 2 4 3" xfId="25032"/>
    <cellStyle name="Normal 176 2 5" xfId="12765"/>
    <cellStyle name="Normal 176 2 6" xfId="25025"/>
    <cellStyle name="Normal 176 2_LNG &amp; LPG rework" xfId="9188"/>
    <cellStyle name="Normal 176 3" xfId="1034"/>
    <cellStyle name="Normal 176 3 2" xfId="976"/>
    <cellStyle name="Normal 176 3 2 2" xfId="273"/>
    <cellStyle name="Normal 176 3 2 2 2" xfId="310"/>
    <cellStyle name="Normal 176 3 2 2 2 2" xfId="12776"/>
    <cellStyle name="Normal 176 3 2 2 2 3" xfId="25036"/>
    <cellStyle name="Normal 176 3 2 2 3" xfId="12775"/>
    <cellStyle name="Normal 176 3 2 2 4" xfId="25035"/>
    <cellStyle name="Normal 176 3 2 2_LNG &amp; LPG rework" xfId="8820"/>
    <cellStyle name="Normal 176 3 2 3" xfId="377"/>
    <cellStyle name="Normal 176 3 2 3 2" xfId="12777"/>
    <cellStyle name="Normal 176 3 2 3 3" xfId="25037"/>
    <cellStyle name="Normal 176 3 2 4" xfId="12774"/>
    <cellStyle name="Normal 176 3 2 5" xfId="25034"/>
    <cellStyle name="Normal 176 3 2_LNG &amp; LPG rework" xfId="8822"/>
    <cellStyle name="Normal 176 3 3" xfId="944"/>
    <cellStyle name="Normal 176 3 3 2" xfId="102"/>
    <cellStyle name="Normal 176 3 3 2 2" xfId="12779"/>
    <cellStyle name="Normal 176 3 3 2 3" xfId="25039"/>
    <cellStyle name="Normal 176 3 3 3" xfId="12778"/>
    <cellStyle name="Normal 176 3 3 4" xfId="25038"/>
    <cellStyle name="Normal 176 3 3_LNG &amp; LPG rework" xfId="8819"/>
    <cellStyle name="Normal 176 3 4" xfId="272"/>
    <cellStyle name="Normal 176 3 4 2" xfId="12780"/>
    <cellStyle name="Normal 176 3 4 3" xfId="25040"/>
    <cellStyle name="Normal 176 3 5" xfId="12773"/>
    <cellStyle name="Normal 176 3 6" xfId="25033"/>
    <cellStyle name="Normal 176 3_LNG &amp; LPG rework" xfId="8890"/>
    <cellStyle name="Normal 176 4" xfId="1123"/>
    <cellStyle name="Normal 176 4 2" xfId="323"/>
    <cellStyle name="Normal 176 4 2 2" xfId="42"/>
    <cellStyle name="Normal 176 4 2 2 2" xfId="12783"/>
    <cellStyle name="Normal 176 4 2 2 3" xfId="25043"/>
    <cellStyle name="Normal 176 4 2 3" xfId="12782"/>
    <cellStyle name="Normal 176 4 2 4" xfId="25042"/>
    <cellStyle name="Normal 176 4 2_LNG &amp; LPG rework" xfId="8821"/>
    <cellStyle name="Normal 176 4 3" xfId="56"/>
    <cellStyle name="Normal 176 4 3 2" xfId="12784"/>
    <cellStyle name="Normal 176 4 3 3" xfId="25044"/>
    <cellStyle name="Normal 176 4 4" xfId="12781"/>
    <cellStyle name="Normal 176 4 5" xfId="25041"/>
    <cellStyle name="Normal 176 4_LNG &amp; LPG rework" xfId="8823"/>
    <cellStyle name="Normal 176 5" xfId="751"/>
    <cellStyle name="Normal 176 5 2" xfId="72"/>
    <cellStyle name="Normal 176 5 2 2" xfId="12786"/>
    <cellStyle name="Normal 176 5 2 3" xfId="25046"/>
    <cellStyle name="Normal 176 5 3" xfId="12785"/>
    <cellStyle name="Normal 176 5 4" xfId="25045"/>
    <cellStyle name="Normal 176 5_LNG &amp; LPG rework" xfId="9192"/>
    <cellStyle name="Normal 176 6" xfId="523"/>
    <cellStyle name="Normal 176 6 2" xfId="12787"/>
    <cellStyle name="Normal 176 6 3" xfId="25047"/>
    <cellStyle name="Normal 176 7" xfId="12764"/>
    <cellStyle name="Normal 176 8" xfId="25024"/>
    <cellStyle name="Normal 176_LNG &amp; LPG rework" xfId="9187"/>
    <cellStyle name="Normal 177" xfId="144"/>
    <cellStyle name="Normal 177 2" xfId="847"/>
    <cellStyle name="Normal 177 2 2" xfId="915"/>
    <cellStyle name="Normal 177 2 2 2" xfId="290"/>
    <cellStyle name="Normal 177 2 2 2 2" xfId="314"/>
    <cellStyle name="Normal 177 2 2 2 2 2" xfId="12792"/>
    <cellStyle name="Normal 177 2 2 2 2 3" xfId="25052"/>
    <cellStyle name="Normal 177 2 2 2 3" xfId="12791"/>
    <cellStyle name="Normal 177 2 2 2 4" xfId="25051"/>
    <cellStyle name="Normal 177 2 2 2_LNG &amp; LPG rework" xfId="9195"/>
    <cellStyle name="Normal 177 2 2 3" xfId="395"/>
    <cellStyle name="Normal 177 2 2 3 2" xfId="12793"/>
    <cellStyle name="Normal 177 2 2 3 3" xfId="25053"/>
    <cellStyle name="Normal 177 2 2 4" xfId="12790"/>
    <cellStyle name="Normal 177 2 2 5" xfId="25050"/>
    <cellStyle name="Normal 177 2 2_LNG &amp; LPG rework" xfId="9196"/>
    <cellStyle name="Normal 177 2 3" xfId="1009"/>
    <cellStyle name="Normal 177 2 3 2" xfId="83"/>
    <cellStyle name="Normal 177 2 3 2 2" xfId="12795"/>
    <cellStyle name="Normal 177 2 3 2 3" xfId="25055"/>
    <cellStyle name="Normal 177 2 3 3" xfId="12794"/>
    <cellStyle name="Normal 177 2 3 4" xfId="25054"/>
    <cellStyle name="Normal 177 2 3_LNG &amp; LPG rework" xfId="9197"/>
    <cellStyle name="Normal 177 2 4" xfId="525"/>
    <cellStyle name="Normal 177 2 4 2" xfId="12796"/>
    <cellStyle name="Normal 177 2 4 3" xfId="25056"/>
    <cellStyle name="Normal 177 2 5" xfId="12789"/>
    <cellStyle name="Normal 177 2 6" xfId="25049"/>
    <cellStyle name="Normal 177 2_LNG &amp; LPG rework" xfId="9194"/>
    <cellStyle name="Normal 177 3" xfId="947"/>
    <cellStyle name="Normal 177 3 2" xfId="922"/>
    <cellStyle name="Normal 177 3 2 2" xfId="520"/>
    <cellStyle name="Normal 177 3 2 2 2" xfId="569"/>
    <cellStyle name="Normal 177 3 2 2 2 2" xfId="12800"/>
    <cellStyle name="Normal 177 3 2 2 2 3" xfId="25060"/>
    <cellStyle name="Normal 177 3 2 2 3" xfId="12799"/>
    <cellStyle name="Normal 177 3 2 2 4" xfId="25059"/>
    <cellStyle name="Normal 177 3 2 2_LNG &amp; LPG rework" xfId="9199"/>
    <cellStyle name="Normal 177 3 2 3" xfId="647"/>
    <cellStyle name="Normal 177 3 2 3 2" xfId="12801"/>
    <cellStyle name="Normal 177 3 2 3 3" xfId="25061"/>
    <cellStyle name="Normal 177 3 2 4" xfId="12798"/>
    <cellStyle name="Normal 177 3 2 5" xfId="25058"/>
    <cellStyle name="Normal 177 3 2_LNG &amp; LPG rework" xfId="9198"/>
    <cellStyle name="Normal 177 3 3" xfId="953"/>
    <cellStyle name="Normal 177 3 3 2" xfId="595"/>
    <cellStyle name="Normal 177 3 3 2 2" xfId="12803"/>
    <cellStyle name="Normal 177 3 3 2 3" xfId="25063"/>
    <cellStyle name="Normal 177 3 3 3" xfId="12802"/>
    <cellStyle name="Normal 177 3 3 4" xfId="25062"/>
    <cellStyle name="Normal 177 3 3_LNG &amp; LPG rework" xfId="9201"/>
    <cellStyle name="Normal 177 3 4" xfId="382"/>
    <cellStyle name="Normal 177 3 4 2" xfId="12804"/>
    <cellStyle name="Normal 177 3 4 3" xfId="25064"/>
    <cellStyle name="Normal 177 3 5" xfId="12797"/>
    <cellStyle name="Normal 177 3 6" xfId="25057"/>
    <cellStyle name="Normal 177 3_LNG &amp; LPG rework" xfId="9200"/>
    <cellStyle name="Normal 177 4" xfId="1124"/>
    <cellStyle name="Normal 177 4 2" xfId="583"/>
    <cellStyle name="Normal 177 4 2 2" xfId="68"/>
    <cellStyle name="Normal 177 4 2 2 2" xfId="12807"/>
    <cellStyle name="Normal 177 4 2 2 3" xfId="25067"/>
    <cellStyle name="Normal 177 4 2 3" xfId="12806"/>
    <cellStyle name="Normal 177 4 2 4" xfId="25066"/>
    <cellStyle name="Normal 177 4 2_LNG &amp; LPG rework" xfId="9203"/>
    <cellStyle name="Normal 177 4 3" xfId="82"/>
    <cellStyle name="Normal 177 4 3 2" xfId="12808"/>
    <cellStyle name="Normal 177 4 3 3" xfId="25068"/>
    <cellStyle name="Normal 177 4 4" xfId="12805"/>
    <cellStyle name="Normal 177 4 5" xfId="25065"/>
    <cellStyle name="Normal 177 4_LNG &amp; LPG rework" xfId="9202"/>
    <cellStyle name="Normal 177 5" xfId="1076"/>
    <cellStyle name="Normal 177 5 2" xfId="229"/>
    <cellStyle name="Normal 177 5 2 2" xfId="12810"/>
    <cellStyle name="Normal 177 5 2 3" xfId="25070"/>
    <cellStyle name="Normal 177 5 3" xfId="12809"/>
    <cellStyle name="Normal 177 5 4" xfId="25069"/>
    <cellStyle name="Normal 177 5_LNG &amp; LPG rework" xfId="9204"/>
    <cellStyle name="Normal 177 6" xfId="400"/>
    <cellStyle name="Normal 177 6 2" xfId="12811"/>
    <cellStyle name="Normal 177 6 3" xfId="25071"/>
    <cellStyle name="Normal 177 7" xfId="12788"/>
    <cellStyle name="Normal 177 8" xfId="25048"/>
    <cellStyle name="Normal 177_LNG &amp; LPG rework" xfId="9193"/>
    <cellStyle name="Normal 178" xfId="812"/>
    <cellStyle name="Normal 178 2" xfId="848"/>
    <cellStyle name="Normal 178 2 2" xfId="738"/>
    <cellStyle name="Normal 178 2 2 2" xfId="549"/>
    <cellStyle name="Normal 178 2 2 2 2" xfId="573"/>
    <cellStyle name="Normal 178 2 2 2 2 2" xfId="12816"/>
    <cellStyle name="Normal 178 2 2 2 2 3" xfId="25076"/>
    <cellStyle name="Normal 178 2 2 2 3" xfId="12815"/>
    <cellStyle name="Normal 178 2 2 2 4" xfId="25075"/>
    <cellStyle name="Normal 178 2 2 2_LNG &amp; LPG rework" xfId="9207"/>
    <cellStyle name="Normal 178 2 2 3" xfId="49"/>
    <cellStyle name="Normal 178 2 2 3 2" xfId="12817"/>
    <cellStyle name="Normal 178 2 2 3 3" xfId="25077"/>
    <cellStyle name="Normal 178 2 2 4" xfId="12814"/>
    <cellStyle name="Normal 178 2 2 5" xfId="25074"/>
    <cellStyle name="Normal 178 2 2_LNG &amp; LPG rework" xfId="9208"/>
    <cellStyle name="Normal 178 2 3" xfId="970"/>
    <cellStyle name="Normal 178 2 3 2" xfId="248"/>
    <cellStyle name="Normal 178 2 3 2 2" xfId="12819"/>
    <cellStyle name="Normal 178 2 3 2 3" xfId="25079"/>
    <cellStyle name="Normal 178 2 3 3" xfId="12818"/>
    <cellStyle name="Normal 178 2 3 4" xfId="25078"/>
    <cellStyle name="Normal 178 2 3_LNG &amp; LPG rework" xfId="9209"/>
    <cellStyle name="Normal 178 2 4" xfId="405"/>
    <cellStyle name="Normal 178 2 4 2" xfId="12820"/>
    <cellStyle name="Normal 178 2 4 3" xfId="25080"/>
    <cellStyle name="Normal 178 2 5" xfId="12813"/>
    <cellStyle name="Normal 178 2 6" xfId="25073"/>
    <cellStyle name="Normal 178 2_LNG &amp; LPG rework" xfId="9206"/>
    <cellStyle name="Normal 178 3" xfId="973"/>
    <cellStyle name="Normal 178 3 2" xfId="746"/>
    <cellStyle name="Normal 178 3 2 2" xfId="424"/>
    <cellStyle name="Normal 178 3 2 2 2" xfId="441"/>
    <cellStyle name="Normal 178 3 2 2 2 2" xfId="12824"/>
    <cellStyle name="Normal 178 3 2 2 2 3" xfId="25084"/>
    <cellStyle name="Normal 178 3 2 2 3" xfId="12823"/>
    <cellStyle name="Normal 178 3 2 2 4" xfId="25083"/>
    <cellStyle name="Normal 178 3 2 2_LNG &amp; LPG rework" xfId="9212"/>
    <cellStyle name="Normal 178 3 2 3" xfId="514"/>
    <cellStyle name="Normal 178 3 2 3 2" xfId="12825"/>
    <cellStyle name="Normal 178 3 2 3 3" xfId="25085"/>
    <cellStyle name="Normal 178 3 2 4" xfId="12822"/>
    <cellStyle name="Normal 178 3 2 5" xfId="25082"/>
    <cellStyle name="Normal 178 3 2_LNG &amp; LPG rework" xfId="9211"/>
    <cellStyle name="Normal 178 3 3" xfId="1042"/>
    <cellStyle name="Normal 178 3 3 2" xfId="126"/>
    <cellStyle name="Normal 178 3 3 2 2" xfId="12827"/>
    <cellStyle name="Normal 178 3 3 2 3" xfId="25087"/>
    <cellStyle name="Normal 178 3 3 3" xfId="12826"/>
    <cellStyle name="Normal 178 3 3 4" xfId="25086"/>
    <cellStyle name="Normal 178 3 3_LNG &amp; LPG rework" xfId="9213"/>
    <cellStyle name="Normal 178 3 4" xfId="652"/>
    <cellStyle name="Normal 178 3 4 2" xfId="12828"/>
    <cellStyle name="Normal 178 3 4 3" xfId="25088"/>
    <cellStyle name="Normal 178 3 5" xfId="12821"/>
    <cellStyle name="Normal 178 3 6" xfId="25081"/>
    <cellStyle name="Normal 178 3_LNG &amp; LPG rework" xfId="9210"/>
    <cellStyle name="Normal 178 4" xfId="1125"/>
    <cellStyle name="Normal 178 4 2" xfId="460"/>
    <cellStyle name="Normal 178 4 2 2" xfId="227"/>
    <cellStyle name="Normal 178 4 2 2 2" xfId="12831"/>
    <cellStyle name="Normal 178 4 2 2 3" xfId="25091"/>
    <cellStyle name="Normal 178 4 2 3" xfId="12830"/>
    <cellStyle name="Normal 178 4 2 4" xfId="25090"/>
    <cellStyle name="Normal 178 4 2_LNG &amp; LPG rework" xfId="9214"/>
    <cellStyle name="Normal 178 4 3" xfId="254"/>
    <cellStyle name="Normal 178 4 3 2" xfId="12832"/>
    <cellStyle name="Normal 178 4 3 3" xfId="25092"/>
    <cellStyle name="Normal 178 4 4" xfId="12829"/>
    <cellStyle name="Normal 178 4 5" xfId="25089"/>
    <cellStyle name="Normal 178 4_LNG &amp; LPG rework" xfId="9215"/>
    <cellStyle name="Normal 178 5" xfId="977"/>
    <cellStyle name="Normal 178 5 2" xfId="270"/>
    <cellStyle name="Normal 178 5 2 2" xfId="12834"/>
    <cellStyle name="Normal 178 5 2 3" xfId="25094"/>
    <cellStyle name="Normal 178 5 3" xfId="12833"/>
    <cellStyle name="Normal 178 5 4" xfId="25093"/>
    <cellStyle name="Normal 178 5_LNG &amp; LPG rework" xfId="9216"/>
    <cellStyle name="Normal 178 6" xfId="386"/>
    <cellStyle name="Normal 178 6 2" xfId="12835"/>
    <cellStyle name="Normal 178 6 3" xfId="25095"/>
    <cellStyle name="Normal 178 7" xfId="12812"/>
    <cellStyle name="Normal 178 8" xfId="25072"/>
    <cellStyle name="Normal 178_LNG &amp; LPG rework" xfId="9205"/>
    <cellStyle name="Normal 179" xfId="813"/>
    <cellStyle name="Normal 179 2" xfId="849"/>
    <cellStyle name="Normal 179 2 2" xfId="1078"/>
    <cellStyle name="Normal 179 2 2 2" xfId="451"/>
    <cellStyle name="Normal 179 2 2 2 2" xfId="447"/>
    <cellStyle name="Normal 179 2 2 2 2 2" xfId="12840"/>
    <cellStyle name="Normal 179 2 2 2 2 3" xfId="25100"/>
    <cellStyle name="Normal 179 2 2 2 3" xfId="12839"/>
    <cellStyle name="Normal 179 2 2 2 4" xfId="25099"/>
    <cellStyle name="Normal 179 2 2 2_LNG &amp; LPG rework" xfId="9219"/>
    <cellStyle name="Normal 179 2 2 3" xfId="75"/>
    <cellStyle name="Normal 179 2 2 3 2" xfId="12841"/>
    <cellStyle name="Normal 179 2 2 3 3" xfId="25101"/>
    <cellStyle name="Normal 179 2 2 4" xfId="12838"/>
    <cellStyle name="Normal 179 2 2 5" xfId="25098"/>
    <cellStyle name="Normal 179 2 2_LNG &amp; LPG rework" xfId="9220"/>
    <cellStyle name="Normal 179 2 3" xfId="1017"/>
    <cellStyle name="Normal 179 2 3 2" xfId="360"/>
    <cellStyle name="Normal 179 2 3 2 2" xfId="12843"/>
    <cellStyle name="Normal 179 2 3 2 3" xfId="25103"/>
    <cellStyle name="Normal 179 2 3 3" xfId="12842"/>
    <cellStyle name="Normal 179 2 3 4" xfId="25102"/>
    <cellStyle name="Normal 179 2 3_LNG &amp; LPG rework" xfId="9221"/>
    <cellStyle name="Normal 179 2 4" xfId="391"/>
    <cellStyle name="Normal 179 2 4 2" xfId="12844"/>
    <cellStyle name="Normal 179 2 4 3" xfId="25104"/>
    <cellStyle name="Normal 179 2 5" xfId="12837"/>
    <cellStyle name="Normal 179 2 6" xfId="25097"/>
    <cellStyle name="Normal 179 2_LNG &amp; LPG rework" xfId="9218"/>
    <cellStyle name="Normal 179 3" xfId="1052"/>
    <cellStyle name="Normal 179 3 2" xfId="747"/>
    <cellStyle name="Normal 179 3 2 2" xfId="897"/>
    <cellStyle name="Normal 179 3 2 2 2" xfId="112"/>
    <cellStyle name="Normal 179 3 2 2 2 2" xfId="12848"/>
    <cellStyle name="Normal 179 3 2 2 2 3" xfId="25108"/>
    <cellStyle name="Normal 179 3 2 2 3" xfId="12847"/>
    <cellStyle name="Normal 179 3 2 2 4" xfId="25107"/>
    <cellStyle name="Normal 179 3 2 2_LNG &amp; LPG rework" xfId="9224"/>
    <cellStyle name="Normal 179 3 2 3" xfId="317"/>
    <cellStyle name="Normal 179 3 2 3 2" xfId="12849"/>
    <cellStyle name="Normal 179 3 2 3 3" xfId="25109"/>
    <cellStyle name="Normal 179 3 2 4" xfId="12846"/>
    <cellStyle name="Normal 179 3 2 5" xfId="25106"/>
    <cellStyle name="Normal 179 3 2_LNG &amp; LPG rework" xfId="9223"/>
    <cellStyle name="Normal 179 3 3" xfId="967"/>
    <cellStyle name="Normal 179 3 3 2" xfId="543"/>
    <cellStyle name="Normal 179 3 3 2 2" xfId="12851"/>
    <cellStyle name="Normal 179 3 3 2 3" xfId="25111"/>
    <cellStyle name="Normal 179 3 3 3" xfId="12850"/>
    <cellStyle name="Normal 179 3 3 4" xfId="25110"/>
    <cellStyle name="Normal 179 3 3_LNG &amp; LPG rework" xfId="9225"/>
    <cellStyle name="Normal 179 3 4" xfId="519"/>
    <cellStyle name="Normal 179 3 4 2" xfId="12852"/>
    <cellStyle name="Normal 179 3 4 3" xfId="25112"/>
    <cellStyle name="Normal 179 3 5" xfId="12845"/>
    <cellStyle name="Normal 179 3 6" xfId="25105"/>
    <cellStyle name="Normal 179 3_LNG &amp; LPG rework" xfId="9222"/>
    <cellStyle name="Normal 179 4" xfId="1126"/>
    <cellStyle name="Normal 179 4 2" xfId="96"/>
    <cellStyle name="Normal 179 4 2 2" xfId="268"/>
    <cellStyle name="Normal 179 4 2 2 2" xfId="12855"/>
    <cellStyle name="Normal 179 4 2 2 3" xfId="25115"/>
    <cellStyle name="Normal 179 4 2 3" xfId="12854"/>
    <cellStyle name="Normal 179 4 2 4" xfId="25114"/>
    <cellStyle name="Normal 179 4 2_LNG &amp; LPG rework" xfId="8846"/>
    <cellStyle name="Normal 179 4 3" xfId="365"/>
    <cellStyle name="Normal 179 4 3 2" xfId="12856"/>
    <cellStyle name="Normal 179 4 3 3" xfId="25116"/>
    <cellStyle name="Normal 179 4 4" xfId="12853"/>
    <cellStyle name="Normal 179 4 5" xfId="25113"/>
    <cellStyle name="Normal 179 4_LNG &amp; LPG rework" xfId="8887"/>
    <cellStyle name="Normal 179 5" xfId="1012"/>
    <cellStyle name="Normal 179 5 2" xfId="380"/>
    <cellStyle name="Normal 179 5 2 2" xfId="12858"/>
    <cellStyle name="Normal 179 5 2 3" xfId="25118"/>
    <cellStyle name="Normal 179 5 3" xfId="12857"/>
    <cellStyle name="Normal 179 5 4" xfId="25117"/>
    <cellStyle name="Normal 179 5_LNG &amp; LPG rework" xfId="8845"/>
    <cellStyle name="Normal 179 6" xfId="31"/>
    <cellStyle name="Normal 179 6 2" xfId="12859"/>
    <cellStyle name="Normal 179 6 3" xfId="25119"/>
    <cellStyle name="Normal 179 7" xfId="12836"/>
    <cellStyle name="Normal 179 8" xfId="25096"/>
    <cellStyle name="Normal 179_LNG &amp; LPG rework" xfId="9217"/>
    <cellStyle name="Normal 18" xfId="1106"/>
    <cellStyle name="Normal 18 2" xfId="1324"/>
    <cellStyle name="Normal 18 3" xfId="1692"/>
    <cellStyle name="Normal 18 3 2" xfId="21397"/>
    <cellStyle name="Normal 18 4" xfId="5124"/>
    <cellStyle name="Normal 18 5" xfId="1285"/>
    <cellStyle name="Normal 18 5 2" xfId="21398"/>
    <cellStyle name="Normal 18 6" xfId="20330"/>
    <cellStyle name="Normal 18_LNG &amp; LPG rework" xfId="8888"/>
    <cellStyle name="Normal 180" xfId="145"/>
    <cellStyle name="Normal 180 2" xfId="850"/>
    <cellStyle name="Normal 180 2 2" xfId="996"/>
    <cellStyle name="Normal 180 2 2 2" xfId="104"/>
    <cellStyle name="Normal 180 2 2 2 2" xfId="125"/>
    <cellStyle name="Normal 180 2 2 2 2 2" xfId="12864"/>
    <cellStyle name="Normal 180 2 2 2 2 3" xfId="25124"/>
    <cellStyle name="Normal 180 2 2 2 3" xfId="12863"/>
    <cellStyle name="Normal 180 2 2 2 4" xfId="25123"/>
    <cellStyle name="Normal 180 2 2 2_LNG &amp; LPG rework" xfId="8850"/>
    <cellStyle name="Normal 180 2 2 3" xfId="325"/>
    <cellStyle name="Normal 180 2 2 3 2" xfId="12865"/>
    <cellStyle name="Normal 180 2 2 3 3" xfId="25125"/>
    <cellStyle name="Normal 180 2 2 4" xfId="12862"/>
    <cellStyle name="Normal 180 2 2 5" xfId="25122"/>
    <cellStyle name="Normal 180 2 2_LNG &amp; LPG rework" xfId="8849"/>
    <cellStyle name="Normal 180 2 3" xfId="938"/>
    <cellStyle name="Normal 180 2 3 2" xfId="628"/>
    <cellStyle name="Normal 180 2 3 2 2" xfId="12867"/>
    <cellStyle name="Normal 180 2 3 2 3" xfId="25127"/>
    <cellStyle name="Normal 180 2 3 3" xfId="12866"/>
    <cellStyle name="Normal 180 2 3 4" xfId="25126"/>
    <cellStyle name="Normal 180 2 3_LNG &amp; LPG rework" xfId="8843"/>
    <cellStyle name="Normal 180 2 4" xfId="39"/>
    <cellStyle name="Normal 180 2 4 2" xfId="12868"/>
    <cellStyle name="Normal 180 2 4 3" xfId="25128"/>
    <cellStyle name="Normal 180 2 5" xfId="12861"/>
    <cellStyle name="Normal 180 2 6" xfId="25121"/>
    <cellStyle name="Normal 180 2_LNG &amp; LPG rework" xfId="8848"/>
    <cellStyle name="Normal 180 3" xfId="1070"/>
    <cellStyle name="Normal 180 3 2" xfId="1068"/>
    <cellStyle name="Normal 180 3 2 2" xfId="212"/>
    <cellStyle name="Normal 180 3 2 2 2" xfId="346"/>
    <cellStyle name="Normal 180 3 2 2 2 2" xfId="12872"/>
    <cellStyle name="Normal 180 3 2 2 2 3" xfId="25132"/>
    <cellStyle name="Normal 180 3 2 2 3" xfId="12871"/>
    <cellStyle name="Normal 180 3 2 2 4" xfId="25131"/>
    <cellStyle name="Normal 180 3 2 2_LNG &amp; LPG rework" xfId="9231"/>
    <cellStyle name="Normal 180 3 2 3" xfId="576"/>
    <cellStyle name="Normal 180 3 2 3 2" xfId="12873"/>
    <cellStyle name="Normal 180 3 2 3 3" xfId="25133"/>
    <cellStyle name="Normal 180 3 2 4" xfId="12870"/>
    <cellStyle name="Normal 180 3 2 5" xfId="25130"/>
    <cellStyle name="Normal 180 3 2_LNG &amp; LPG rework" xfId="8889"/>
    <cellStyle name="Normal 180 3 3" xfId="943"/>
    <cellStyle name="Normal 180 3 3 2" xfId="444"/>
    <cellStyle name="Normal 180 3 3 2 2" xfId="12875"/>
    <cellStyle name="Normal 180 3 3 2 3" xfId="25135"/>
    <cellStyle name="Normal 180 3 3 3" xfId="12874"/>
    <cellStyle name="Normal 180 3 3 4" xfId="25134"/>
    <cellStyle name="Normal 180 3 3_LNG &amp; LPG rework" xfId="8854"/>
    <cellStyle name="Normal 180 3 4" xfId="322"/>
    <cellStyle name="Normal 180 3 4 2" xfId="12876"/>
    <cellStyle name="Normal 180 3 4 3" xfId="25136"/>
    <cellStyle name="Normal 180 3 5" xfId="12869"/>
    <cellStyle name="Normal 180 3 6" xfId="25129"/>
    <cellStyle name="Normal 180 3_LNG &amp; LPG rework" xfId="8830"/>
    <cellStyle name="Normal 180 4" xfId="1127"/>
    <cellStyle name="Normal 180 4 2" xfId="592"/>
    <cellStyle name="Normal 180 4 2 2" xfId="378"/>
    <cellStyle name="Normal 180 4 2 2 2" xfId="12879"/>
    <cellStyle name="Normal 180 4 2 2 3" xfId="25139"/>
    <cellStyle name="Normal 180 4 2 3" xfId="12878"/>
    <cellStyle name="Normal 180 4 2 4" xfId="25138"/>
    <cellStyle name="Normal 180 4 2_LNG &amp; LPG rework" xfId="8825"/>
    <cellStyle name="Normal 180 4 3" xfId="634"/>
    <cellStyle name="Normal 180 4 3 2" xfId="12880"/>
    <cellStyle name="Normal 180 4 3 3" xfId="25140"/>
    <cellStyle name="Normal 180 4 4" xfId="12877"/>
    <cellStyle name="Normal 180 4 5" xfId="25137"/>
    <cellStyle name="Normal 180 4_LNG &amp; LPG rework" xfId="8824"/>
    <cellStyle name="Normal 180 5" xfId="929"/>
    <cellStyle name="Normal 180 5 2" xfId="650"/>
    <cellStyle name="Normal 180 5 2 2" xfId="12882"/>
    <cellStyle name="Normal 180 5 2 3" xfId="25142"/>
    <cellStyle name="Normal 180 5 3" xfId="12881"/>
    <cellStyle name="Normal 180 5 4" xfId="25141"/>
    <cellStyle name="Normal 180 5_LNG &amp; LPG rework" xfId="8826"/>
    <cellStyle name="Normal 180 6" xfId="402"/>
    <cellStyle name="Normal 180 6 2" xfId="12883"/>
    <cellStyle name="Normal 180 6 3" xfId="25143"/>
    <cellStyle name="Normal 180 7" xfId="12860"/>
    <cellStyle name="Normal 180 8" xfId="25120"/>
    <cellStyle name="Normal 180_LNG &amp; LPG rework" xfId="8851"/>
    <cellStyle name="Normal 181" xfId="814"/>
    <cellStyle name="Normal 181 2" xfId="851"/>
    <cellStyle name="Normal 181 2 2" xfId="1089"/>
    <cellStyle name="Normal 181 2 2 2" xfId="232"/>
    <cellStyle name="Normal 181 2 2 2 2" xfId="350"/>
    <cellStyle name="Normal 181 2 2 2 2 2" xfId="12888"/>
    <cellStyle name="Normal 181 2 2 2 2 3" xfId="25148"/>
    <cellStyle name="Normal 181 2 2 2 3" xfId="12887"/>
    <cellStyle name="Normal 181 2 2 2 4" xfId="25147"/>
    <cellStyle name="Normal 181 2 2 2_LNG &amp; LPG rework" xfId="8883"/>
    <cellStyle name="Normal 181 2 2 3" xfId="585"/>
    <cellStyle name="Normal 181 2 2 3 2" xfId="12889"/>
    <cellStyle name="Normal 181 2 2 3 3" xfId="25149"/>
    <cellStyle name="Normal 181 2 2 4" xfId="12886"/>
    <cellStyle name="Normal 181 2 2 5" xfId="25146"/>
    <cellStyle name="Normal 181 2 2_LNG &amp; LPG rework" xfId="8884"/>
    <cellStyle name="Normal 181 2 3" xfId="765"/>
    <cellStyle name="Normal 181 2 3 2" xfId="497"/>
    <cellStyle name="Normal 181 2 3 2 2" xfId="12891"/>
    <cellStyle name="Normal 181 2 3 2 3" xfId="25151"/>
    <cellStyle name="Normal 181 2 3 3" xfId="12890"/>
    <cellStyle name="Normal 181 2 3 4" xfId="25150"/>
    <cellStyle name="Normal 181 2 3_LNG &amp; LPG rework" xfId="8882"/>
    <cellStyle name="Normal 181 2 4" xfId="65"/>
    <cellStyle name="Normal 181 2 4 2" xfId="12892"/>
    <cellStyle name="Normal 181 2 4 3" xfId="25152"/>
    <cellStyle name="Normal 181 2 5" xfId="12885"/>
    <cellStyle name="Normal 181 2 6" xfId="25145"/>
    <cellStyle name="Normal 181 2_LNG &amp; LPG rework" xfId="8885"/>
    <cellStyle name="Normal 181 3" xfId="1037"/>
    <cellStyle name="Normal 181 3 2" xfId="1059"/>
    <cellStyle name="Normal 181 3 2 2" xfId="219"/>
    <cellStyle name="Normal 181 3 2 2 2" xfId="614"/>
    <cellStyle name="Normal 181 3 2 2 2 2" xfId="12896"/>
    <cellStyle name="Normal 181 3 2 2 2 3" xfId="25156"/>
    <cellStyle name="Normal 181 3 2 2 3" xfId="12895"/>
    <cellStyle name="Normal 181 3 2 2 4" xfId="25155"/>
    <cellStyle name="Normal 181 3 2 2_LNG &amp; LPG rework" xfId="8881"/>
    <cellStyle name="Normal 181 3 2 3" xfId="453"/>
    <cellStyle name="Normal 181 3 2 3 2" xfId="12897"/>
    <cellStyle name="Normal 181 3 2 3 3" xfId="25157"/>
    <cellStyle name="Normal 181 3 2 4" xfId="12894"/>
    <cellStyle name="Normal 181 3 2 5" xfId="25154"/>
    <cellStyle name="Normal 181 3 2_LNG &amp; LPG rework" xfId="8827"/>
    <cellStyle name="Normal 181 3 3" xfId="773"/>
    <cellStyle name="Normal 181 3 3 2" xfId="62"/>
    <cellStyle name="Normal 181 3 3 2 2" xfId="12899"/>
    <cellStyle name="Normal 181 3 3 2 3" xfId="25159"/>
    <cellStyle name="Normal 181 3 3 3" xfId="12898"/>
    <cellStyle name="Normal 181 3 3 4" xfId="25158"/>
    <cellStyle name="Normal 181 3 3_LNG &amp; LPG rework" xfId="8880"/>
    <cellStyle name="Normal 181 3 4" xfId="581"/>
    <cellStyle name="Normal 181 3 4 2" xfId="12900"/>
    <cellStyle name="Normal 181 3 4 3" xfId="25160"/>
    <cellStyle name="Normal 181 3 5" xfId="12893"/>
    <cellStyle name="Normal 181 3 6" xfId="25153"/>
    <cellStyle name="Normal 181 3_LNG &amp; LPG rework" xfId="8853"/>
    <cellStyle name="Normal 181 4" xfId="1128"/>
    <cellStyle name="Normal 181 4 2" xfId="120"/>
    <cellStyle name="Normal 181 4 2 2" xfId="648"/>
    <cellStyle name="Normal 181 4 2 2 2" xfId="12903"/>
    <cellStyle name="Normal 181 4 2 2 3" xfId="25163"/>
    <cellStyle name="Normal 181 4 2 3" xfId="12902"/>
    <cellStyle name="Normal 181 4 2 4" xfId="25162"/>
    <cellStyle name="Normal 181 4 2_LNG &amp; LPG rework" xfId="8852"/>
    <cellStyle name="Normal 181 4 3" xfId="502"/>
    <cellStyle name="Normal 181 4 3 2" xfId="12904"/>
    <cellStyle name="Normal 181 4 3 3" xfId="25164"/>
    <cellStyle name="Normal 181 4 4" xfId="12901"/>
    <cellStyle name="Normal 181 4 5" xfId="25161"/>
    <cellStyle name="Normal 181 4_LNG &amp; LPG rework" xfId="8879"/>
    <cellStyle name="Normal 181 5" xfId="752"/>
    <cellStyle name="Normal 181 5 2" xfId="517"/>
    <cellStyle name="Normal 181 5 2 2" xfId="12906"/>
    <cellStyle name="Normal 181 5 2 3" xfId="25166"/>
    <cellStyle name="Normal 181 5 3" xfId="12905"/>
    <cellStyle name="Normal 181 5 4" xfId="25165"/>
    <cellStyle name="Normal 181 5_LNG &amp; LPG rework" xfId="8878"/>
    <cellStyle name="Normal 181 6" xfId="388"/>
    <cellStyle name="Normal 181 6 2" xfId="12907"/>
    <cellStyle name="Normal 181 6 3" xfId="25167"/>
    <cellStyle name="Normal 181 7" xfId="12884"/>
    <cellStyle name="Normal 181 8" xfId="25144"/>
    <cellStyle name="Normal 181_LNG &amp; LPG rework" xfId="8886"/>
    <cellStyle name="Normal 182" xfId="815"/>
    <cellStyle name="Normal 182 2" xfId="852"/>
    <cellStyle name="Normal 182 2 2" xfId="916"/>
    <cellStyle name="Normal 182 2 2 2" xfId="597"/>
    <cellStyle name="Normal 182 2 2 2 2" xfId="618"/>
    <cellStyle name="Normal 182 2 2 2 2 2" xfId="12912"/>
    <cellStyle name="Normal 182 2 2 2 2 3" xfId="25172"/>
    <cellStyle name="Normal 182 2 2 2 3" xfId="12911"/>
    <cellStyle name="Normal 182 2 2 2 4" xfId="25171"/>
    <cellStyle name="Normal 182 2 2 2_LNG &amp; LPG rework" xfId="8847"/>
    <cellStyle name="Normal 182 2 2 3" xfId="474"/>
    <cellStyle name="Normal 182 2 2 3 2" xfId="12913"/>
    <cellStyle name="Normal 182 2 2 3 3" xfId="25173"/>
    <cellStyle name="Normal 182 2 2 4" xfId="12910"/>
    <cellStyle name="Normal 182 2 2 5" xfId="25170"/>
    <cellStyle name="Normal 182 2 2_LNG &amp; LPG rework" xfId="8876"/>
    <cellStyle name="Normal 182 2 3" xfId="1084"/>
    <cellStyle name="Normal 182 2 3 2" xfId="298"/>
    <cellStyle name="Normal 182 2 3 2 2" xfId="12915"/>
    <cellStyle name="Normal 182 2 3 2 3" xfId="25175"/>
    <cellStyle name="Normal 182 2 3 3" xfId="12914"/>
    <cellStyle name="Normal 182 2 3 4" xfId="25174"/>
    <cellStyle name="Normal 182 2 3_LNG &amp; LPG rework" xfId="8834"/>
    <cellStyle name="Normal 182 2 4" xfId="228"/>
    <cellStyle name="Normal 182 2 4 2" xfId="12916"/>
    <cellStyle name="Normal 182 2 4 3" xfId="25176"/>
    <cellStyle name="Normal 182 2 5" xfId="12909"/>
    <cellStyle name="Normal 182 2 6" xfId="25169"/>
    <cellStyle name="Normal 182 2_LNG &amp; LPG rework" xfId="8844"/>
    <cellStyle name="Normal 182 3" xfId="728"/>
    <cellStyle name="Normal 182 3 2" xfId="988"/>
    <cellStyle name="Normal 182 3 2 2" xfId="776"/>
    <cellStyle name="Normal 182 3 2 2 2" xfId="480"/>
    <cellStyle name="Normal 182 3 2 2 2 2" xfId="12920"/>
    <cellStyle name="Normal 182 3 2 2 2 3" xfId="25180"/>
    <cellStyle name="Normal 182 3 2 2 3" xfId="12919"/>
    <cellStyle name="Normal 182 3 2 2 4" xfId="25179"/>
    <cellStyle name="Normal 182 3 2 2_LNG &amp; LPG rework" xfId="8875"/>
    <cellStyle name="Normal 182 3 2 3" xfId="242"/>
    <cellStyle name="Normal 182 3 2 3 2" xfId="12921"/>
    <cellStyle name="Normal 182 3 2 3 3" xfId="25181"/>
    <cellStyle name="Normal 182 3 2 4" xfId="12918"/>
    <cellStyle name="Normal 182 3 2 5" xfId="25178"/>
    <cellStyle name="Normal 182 3 2_LNG &amp; LPG rework" xfId="8837"/>
    <cellStyle name="Normal 182 3 3" xfId="774"/>
    <cellStyle name="Normal 182 3 3 2" xfId="238"/>
    <cellStyle name="Normal 182 3 3 2 2" xfId="12923"/>
    <cellStyle name="Normal 182 3 3 2 3" xfId="25183"/>
    <cellStyle name="Normal 182 3 3 3" xfId="12922"/>
    <cellStyle name="Normal 182 3 3 4" xfId="25182"/>
    <cellStyle name="Normal 182 3 3_LNG &amp; LPG rework" xfId="8841"/>
    <cellStyle name="Normal 182 3 4" xfId="458"/>
    <cellStyle name="Normal 182 3 4 2" xfId="12924"/>
    <cellStyle name="Normal 182 3 4 3" xfId="25184"/>
    <cellStyle name="Normal 182 3 5" xfId="12917"/>
    <cellStyle name="Normal 182 3 6" xfId="25177"/>
    <cellStyle name="Normal 182 3_LNG &amp; LPG rework" xfId="8874"/>
    <cellStyle name="Normal 182 4" xfId="1129"/>
    <cellStyle name="Normal 182 4 2" xfId="521"/>
    <cellStyle name="Normal 182 4 2 2" xfId="515"/>
    <cellStyle name="Normal 182 4 2 2 2" xfId="12927"/>
    <cellStyle name="Normal 182 4 2 2 3" xfId="25187"/>
    <cellStyle name="Normal 182 4 2 3" xfId="12926"/>
    <cellStyle name="Normal 182 4 2 4" xfId="25186"/>
    <cellStyle name="Normal 182 4 2_LNG &amp; LPG rework" xfId="8835"/>
    <cellStyle name="Normal 182 4 3" xfId="304"/>
    <cellStyle name="Normal 182 4 3 2" xfId="12928"/>
    <cellStyle name="Normal 182 4 3 3" xfId="25188"/>
    <cellStyle name="Normal 182 4 4" xfId="12925"/>
    <cellStyle name="Normal 182 4 5" xfId="25185"/>
    <cellStyle name="Normal 182 4_LNG &amp; LPG rework" xfId="8833"/>
    <cellStyle name="Normal 182 5" xfId="952"/>
    <cellStyle name="Normal 182 5 2" xfId="320"/>
    <cellStyle name="Normal 182 5 2 2" xfId="12930"/>
    <cellStyle name="Normal 182 5 2 3" xfId="25190"/>
    <cellStyle name="Normal 182 5 3" xfId="12929"/>
    <cellStyle name="Normal 182 5 4" xfId="25189"/>
    <cellStyle name="Normal 182 5_LNG &amp; LPG rework" xfId="8839"/>
    <cellStyle name="Normal 182 6" xfId="32"/>
    <cellStyle name="Normal 182 6 2" xfId="12931"/>
    <cellStyle name="Normal 182 6 3" xfId="25191"/>
    <cellStyle name="Normal 182 7" xfId="12908"/>
    <cellStyle name="Normal 182 8" xfId="25168"/>
    <cellStyle name="Normal 182_LNG &amp; LPG rework" xfId="8877"/>
    <cellStyle name="Normal 183" xfId="816"/>
    <cellStyle name="Normal 183 2" xfId="853"/>
    <cellStyle name="Normal 183 2 2" xfId="739"/>
    <cellStyle name="Normal 183 2 2 2" xfId="214"/>
    <cellStyle name="Normal 183 2 2 2 2" xfId="486"/>
    <cellStyle name="Normal 183 2 2 2 2 2" xfId="12936"/>
    <cellStyle name="Normal 183 2 2 2 2 3" xfId="25196"/>
    <cellStyle name="Normal 183 2 2 2 3" xfId="12935"/>
    <cellStyle name="Normal 183 2 2 2 4" xfId="25195"/>
    <cellStyle name="Normal 183 2 2 2_LNG &amp; LPG rework" xfId="8870"/>
    <cellStyle name="Normal 183 2 2 3" xfId="100"/>
    <cellStyle name="Normal 183 2 2 3 2" xfId="12937"/>
    <cellStyle name="Normal 183 2 2 3 3" xfId="25197"/>
    <cellStyle name="Normal 183 2 2 4" xfId="12934"/>
    <cellStyle name="Normal 183 2 2 5" xfId="25194"/>
    <cellStyle name="Normal 183 2 2_LNG &amp; LPG rework" xfId="8873"/>
    <cellStyle name="Normal 183 2 3" xfId="1002"/>
    <cellStyle name="Normal 183 2 3 2" xfId="557"/>
    <cellStyle name="Normal 183 2 3 2 2" xfId="12939"/>
    <cellStyle name="Normal 183 2 3 2 3" xfId="25199"/>
    <cellStyle name="Normal 183 2 3 3" xfId="12938"/>
    <cellStyle name="Normal 183 2 3 4" xfId="25198"/>
    <cellStyle name="Normal 183 2 3_LNG &amp; LPG rework" xfId="8863"/>
    <cellStyle name="Normal 183 2 4" xfId="269"/>
    <cellStyle name="Normal 183 2 4 2" xfId="12940"/>
    <cellStyle name="Normal 183 2 4 3" xfId="25200"/>
    <cellStyle name="Normal 183 2 5" xfId="12933"/>
    <cellStyle name="Normal 183 2 6" xfId="25193"/>
    <cellStyle name="Normal 183 2_LNG &amp; LPG rework" xfId="8871"/>
    <cellStyle name="Normal 183 3" xfId="903"/>
    <cellStyle name="Normal 183 3 2" xfId="923"/>
    <cellStyle name="Normal 183 3 2 2" xfId="27"/>
    <cellStyle name="Normal 183 3 2 2 2" xfId="284"/>
    <cellStyle name="Normal 183 3 2 2 2 2" xfId="12944"/>
    <cellStyle name="Normal 183 3 2 2 2 3" xfId="25204"/>
    <cellStyle name="Normal 183 3 2 2 3" xfId="12943"/>
    <cellStyle name="Normal 183 3 2 2 4" xfId="25203"/>
    <cellStyle name="Normal 183 3 2 2_LNG &amp; LPG rework" xfId="9237"/>
    <cellStyle name="Normal 183 3 2 3" xfId="354"/>
    <cellStyle name="Normal 183 3 2 3 2" xfId="12945"/>
    <cellStyle name="Normal 183 3 2 3 3" xfId="25205"/>
    <cellStyle name="Normal 183 3 2 4" xfId="12942"/>
    <cellStyle name="Normal 183 3 2 5" xfId="25202"/>
    <cellStyle name="Normal 183 3 2_LNG &amp; LPG rework" xfId="8836"/>
    <cellStyle name="Normal 183 3 3" xfId="775"/>
    <cellStyle name="Normal 183 3 3 2" xfId="348"/>
    <cellStyle name="Normal 183 3 3 2 2" xfId="12947"/>
    <cellStyle name="Normal 183 3 3 2 3" xfId="25207"/>
    <cellStyle name="Normal 183 3 3 3" xfId="12946"/>
    <cellStyle name="Normal 183 3 3 4" xfId="25206"/>
    <cellStyle name="Normal 183 3 3_LNG &amp; LPG rework" xfId="9236"/>
    <cellStyle name="Normal 183 3 4" xfId="247"/>
    <cellStyle name="Normal 183 3 4 2" xfId="12948"/>
    <cellStyle name="Normal 183 3 4 3" xfId="25208"/>
    <cellStyle name="Normal 183 3 5" xfId="12941"/>
    <cellStyle name="Normal 183 3 6" xfId="25201"/>
    <cellStyle name="Normal 183 3_LNG &amp; LPG rework" xfId="8831"/>
    <cellStyle name="Normal 183 4" xfId="1130"/>
    <cellStyle name="Normal 183 4 2" xfId="425"/>
    <cellStyle name="Normal 183 4 2 2" xfId="318"/>
    <cellStyle name="Normal 183 4 2 2 2" xfId="12951"/>
    <cellStyle name="Normal 183 4 2 2 3" xfId="25211"/>
    <cellStyle name="Normal 183 4 2 3" xfId="12950"/>
    <cellStyle name="Normal 183 4 2 4" xfId="25210"/>
    <cellStyle name="Normal 183 4 2_LNG &amp; LPG rework" xfId="9235"/>
    <cellStyle name="Normal 183 4 3" xfId="563"/>
    <cellStyle name="Normal 183 4 3 2" xfId="12952"/>
    <cellStyle name="Normal 183 4 3 3" xfId="25212"/>
    <cellStyle name="Normal 183 4 4" xfId="12949"/>
    <cellStyle name="Normal 183 4 5" xfId="25209"/>
    <cellStyle name="Normal 183 4_LNG &amp; LPG rework" xfId="8857"/>
    <cellStyle name="Normal 183 5" xfId="1077"/>
    <cellStyle name="Normal 183 5 2" xfId="579"/>
    <cellStyle name="Normal 183 5 2 2" xfId="12954"/>
    <cellStyle name="Normal 183 5 2 3" xfId="25214"/>
    <cellStyle name="Normal 183 5 3" xfId="12953"/>
    <cellStyle name="Normal 183 5 4" xfId="25213"/>
    <cellStyle name="Normal 183 5_LNG &amp; LPG rework" xfId="9234"/>
    <cellStyle name="Normal 183 6" xfId="40"/>
    <cellStyle name="Normal 183 6 2" xfId="12955"/>
    <cellStyle name="Normal 183 6 3" xfId="25215"/>
    <cellStyle name="Normal 183 7" xfId="12932"/>
    <cellStyle name="Normal 183 8" xfId="25192"/>
    <cellStyle name="Normal 183_LNG &amp; LPG rework" xfId="8872"/>
    <cellStyle name="Normal 184" xfId="653"/>
    <cellStyle name="Normal 185" xfId="146"/>
    <cellStyle name="Normal 185 2" xfId="855"/>
    <cellStyle name="Normal 185 2 2" xfId="1027"/>
    <cellStyle name="Normal 185 2 2 2" xfId="201"/>
    <cellStyle name="Normal 185 2 2 2 2" xfId="546"/>
    <cellStyle name="Normal 185 2 2 2 2 2" xfId="12960"/>
    <cellStyle name="Normal 185 2 2 2 2 3" xfId="25220"/>
    <cellStyle name="Normal 185 2 2 2 3" xfId="12959"/>
    <cellStyle name="Normal 185 2 2 2 4" xfId="25219"/>
    <cellStyle name="Normal 185 2 2 2_LNG &amp; LPG rework" xfId="8866"/>
    <cellStyle name="Normal 185 2 2 3" xfId="124"/>
    <cellStyle name="Normal 185 2 2 3 2" xfId="12961"/>
    <cellStyle name="Normal 185 2 2 3 3" xfId="25221"/>
    <cellStyle name="Normal 185 2 2 4" xfId="12958"/>
    <cellStyle name="Normal 185 2 2 5" xfId="25218"/>
    <cellStyle name="Normal 185 2 2_LNG &amp; LPG rework" xfId="8867"/>
    <cellStyle name="Normal 185 2 3" xfId="939"/>
    <cellStyle name="Normal 185 2 3 2" xfId="109"/>
    <cellStyle name="Normal 185 2 3 2 2" xfId="12963"/>
    <cellStyle name="Normal 185 2 3 2 3" xfId="25223"/>
    <cellStyle name="Normal 185 2 3 3" xfId="12962"/>
    <cellStyle name="Normal 185 2 3 4" xfId="25222"/>
    <cellStyle name="Normal 185 2 3_LNG &amp; LPG rework" xfId="9239"/>
    <cellStyle name="Normal 185 2 4" xfId="649"/>
    <cellStyle name="Normal 185 2 4 2" xfId="12964"/>
    <cellStyle name="Normal 185 2 4 3" xfId="25224"/>
    <cellStyle name="Normal 185 2 5" xfId="12957"/>
    <cellStyle name="Normal 185 2 6" xfId="25217"/>
    <cellStyle name="Normal 185 2_LNG &amp; LPG rework" xfId="8869"/>
    <cellStyle name="Normal 185 3" xfId="1073"/>
    <cellStyle name="Normal 185 3 2" xfId="749"/>
    <cellStyle name="Normal 185 3 2 2" xfId="241"/>
    <cellStyle name="Normal 185 3 2 2 2" xfId="36"/>
    <cellStyle name="Normal 185 3 2 2 2 2" xfId="12968"/>
    <cellStyle name="Normal 185 3 2 2 2 3" xfId="25228"/>
    <cellStyle name="Normal 185 3 2 2 3" xfId="12967"/>
    <cellStyle name="Normal 185 3 2 2 4" xfId="25227"/>
    <cellStyle name="Normal 185 3 2 2_LNG &amp; LPG rework" xfId="8862"/>
    <cellStyle name="Normal 185 3 2 3" xfId="491"/>
    <cellStyle name="Normal 185 3 2 3 2" xfId="12969"/>
    <cellStyle name="Normal 185 3 2 3 3" xfId="25229"/>
    <cellStyle name="Normal 185 3 2 4" xfId="12966"/>
    <cellStyle name="Normal 185 3 2 5" xfId="25226"/>
    <cellStyle name="Normal 185 3 2_LNG &amp; LPG rework" xfId="9238"/>
    <cellStyle name="Normal 185 3 3" xfId="1041"/>
    <cellStyle name="Normal 185 3 3 2" xfId="484"/>
    <cellStyle name="Normal 185 3 3 2 2" xfId="12971"/>
    <cellStyle name="Normal 185 3 3 2 3" xfId="25231"/>
    <cellStyle name="Normal 185 3 3 3" xfId="12970"/>
    <cellStyle name="Normal 185 3 3 4" xfId="25230"/>
    <cellStyle name="Normal 185 3 3_LNG &amp; LPG rework" xfId="8861"/>
    <cellStyle name="Normal 185 3 4" xfId="627"/>
    <cellStyle name="Normal 185 3 4 2" xfId="12972"/>
    <cellStyle name="Normal 185 3 4 3" xfId="25232"/>
    <cellStyle name="Normal 185 3 5" xfId="12965"/>
    <cellStyle name="Normal 185 3 6" xfId="25225"/>
    <cellStyle name="Normal 185 3_LNG &amp; LPG rework" xfId="8856"/>
    <cellStyle name="Normal 185 4" xfId="1131"/>
    <cellStyle name="Normal 185 4 2" xfId="52"/>
    <cellStyle name="Normal 185 4 2 2" xfId="577"/>
    <cellStyle name="Normal 185 4 2 2 2" xfId="12975"/>
    <cellStyle name="Normal 185 4 2 2 3" xfId="25235"/>
    <cellStyle name="Normal 185 4 2 3" xfId="12974"/>
    <cellStyle name="Normal 185 4 2 4" xfId="25234"/>
    <cellStyle name="Normal 185 4 2_LNG &amp; LPG rework" xfId="8838"/>
    <cellStyle name="Normal 185 4 3" xfId="432"/>
    <cellStyle name="Normal 185 4 3 2" xfId="12976"/>
    <cellStyle name="Normal 185 4 3 3" xfId="25236"/>
    <cellStyle name="Normal 185 4 4" xfId="12973"/>
    <cellStyle name="Normal 185 4 5" xfId="25233"/>
    <cellStyle name="Normal 185 4_LNG &amp; LPG rework" xfId="8860"/>
    <cellStyle name="Normal 185 5" xfId="959"/>
    <cellStyle name="Normal 185 5 2" xfId="456"/>
    <cellStyle name="Normal 185 5 2 2" xfId="12978"/>
    <cellStyle name="Normal 185 5 2 3" xfId="25238"/>
    <cellStyle name="Normal 185 5 3" xfId="12977"/>
    <cellStyle name="Normal 185 5 4" xfId="25237"/>
    <cellStyle name="Normal 185 5_LNG &amp; LPG rework" xfId="8840"/>
    <cellStyle name="Normal 185 6" xfId="66"/>
    <cellStyle name="Normal 185 6 2" xfId="12979"/>
    <cellStyle name="Normal 185 6 3" xfId="25239"/>
    <cellStyle name="Normal 185 7" xfId="12956"/>
    <cellStyle name="Normal 185 8" xfId="25216"/>
    <cellStyle name="Normal 185_LNG &amp; LPG rework" xfId="8868"/>
    <cellStyle name="Normal 186" xfId="817"/>
    <cellStyle name="Normal 186 2" xfId="859"/>
    <cellStyle name="Normal 186 2 2" xfId="1000"/>
    <cellStyle name="Normal 186 2 2 2" xfId="899"/>
    <cellStyle name="Normal 186 2 2 2 2" xfId="265"/>
    <cellStyle name="Normal 186 2 2 2 2 2" xfId="12984"/>
    <cellStyle name="Normal 186 2 2 2 2 3" xfId="25244"/>
    <cellStyle name="Normal 186 2 2 2 3" xfId="12983"/>
    <cellStyle name="Normal 186 2 2 2 4" xfId="25243"/>
    <cellStyle name="Normal 186 2 2 2_LNG &amp; LPG rework" xfId="8829"/>
    <cellStyle name="Normal 186 2 2 3" xfId="236"/>
    <cellStyle name="Normal 186 2 2 3 2" xfId="12985"/>
    <cellStyle name="Normal 186 2 2 3 3" xfId="25245"/>
    <cellStyle name="Normal 186 2 2 4" xfId="12982"/>
    <cellStyle name="Normal 186 2 2 5" xfId="25242"/>
    <cellStyle name="Normal 186 2 2_LNG &amp; LPG rework" xfId="8865"/>
    <cellStyle name="Normal 186 2 3" xfId="1088"/>
    <cellStyle name="Normal 186 2 3 2" xfId="34"/>
    <cellStyle name="Normal 186 2 3 2 2" xfId="12987"/>
    <cellStyle name="Normal 186 2 3 2 3" xfId="25247"/>
    <cellStyle name="Normal 186 2 3 3" xfId="12986"/>
    <cellStyle name="Normal 186 2 3 4" xfId="25246"/>
    <cellStyle name="Normal 186 2 3_LNG &amp; LPG rework" xfId="8864"/>
    <cellStyle name="Normal 186 2 4" xfId="455"/>
    <cellStyle name="Normal 186 2 4 2" xfId="12988"/>
    <cellStyle name="Normal 186 2 4 3" xfId="25248"/>
    <cellStyle name="Normal 186 2 5" xfId="12981"/>
    <cellStyle name="Normal 186 2 6" xfId="25241"/>
    <cellStyle name="Normal 186 2_LNG &amp; LPG rework" xfId="8828"/>
    <cellStyle name="Normal 186 3" xfId="950"/>
    <cellStyle name="Normal 186 3 2" xfId="925"/>
    <cellStyle name="Normal 186 3 2 2" xfId="291"/>
    <cellStyle name="Normal 186 3 2 2 2" xfId="266"/>
    <cellStyle name="Normal 186 3 2 2 2 2" xfId="12992"/>
    <cellStyle name="Normal 186 3 2 2 2 3" xfId="25252"/>
    <cellStyle name="Normal 186 3 2 2 3" xfId="12991"/>
    <cellStyle name="Normal 186 3 2 2 4" xfId="25251"/>
    <cellStyle name="Normal 186 3 2 2_LNG &amp; LPG rework" xfId="9242"/>
    <cellStyle name="Normal 186 3 2 3" xfId="89"/>
    <cellStyle name="Normal 186 3 2 3 2" xfId="12993"/>
    <cellStyle name="Normal 186 3 2 3 3" xfId="25253"/>
    <cellStyle name="Normal 186 3 2 4" xfId="12990"/>
    <cellStyle name="Normal 186 3 2 5" xfId="25250"/>
    <cellStyle name="Normal 186 3 2_LNG &amp; LPG rework" xfId="9241"/>
    <cellStyle name="Normal 186 3 3" xfId="1069"/>
    <cellStyle name="Normal 186 3 3 2" xfId="87"/>
    <cellStyle name="Normal 186 3 3 2 2" xfId="12995"/>
    <cellStyle name="Normal 186 3 3 2 3" xfId="25255"/>
    <cellStyle name="Normal 186 3 3 3" xfId="12994"/>
    <cellStyle name="Normal 186 3 3 4" xfId="25254"/>
    <cellStyle name="Normal 186 3 3_LNG &amp; LPG rework" xfId="9243"/>
    <cellStyle name="Normal 186 3 4" xfId="423"/>
    <cellStyle name="Normal 186 3 4 2" xfId="12996"/>
    <cellStyle name="Normal 186 3 4 3" xfId="25256"/>
    <cellStyle name="Normal 186 3 5" xfId="12989"/>
    <cellStyle name="Normal 186 3 6" xfId="25249"/>
    <cellStyle name="Normal 186 3_LNG &amp; LPG rework" xfId="9240"/>
    <cellStyle name="Normal 186 4" xfId="1132"/>
    <cellStyle name="Normal 186 4 2" xfId="78"/>
    <cellStyle name="Normal 186 4 2 2" xfId="454"/>
    <cellStyle name="Normal 186 4 2 2 2" xfId="12999"/>
    <cellStyle name="Normal 186 4 2 2 3" xfId="25259"/>
    <cellStyle name="Normal 186 4 2 3" xfId="12998"/>
    <cellStyle name="Normal 186 4 2 4" xfId="25258"/>
    <cellStyle name="Normal 186 4 2_LNG &amp; LPG rework" xfId="9245"/>
    <cellStyle name="Normal 186 4 3" xfId="107"/>
    <cellStyle name="Normal 186 4 3 2" xfId="13000"/>
    <cellStyle name="Normal 186 4 3 3" xfId="25260"/>
    <cellStyle name="Normal 186 4 4" xfId="12997"/>
    <cellStyle name="Normal 186 4 5" xfId="25257"/>
    <cellStyle name="Normal 186 4_LNG &amp; LPG rework" xfId="9244"/>
    <cellStyle name="Normal 186 5" xfId="930"/>
    <cellStyle name="Normal 186 5 2" xfId="245"/>
    <cellStyle name="Normal 186 5 2 2" xfId="13002"/>
    <cellStyle name="Normal 186 5 2 3" xfId="25262"/>
    <cellStyle name="Normal 186 5 3" xfId="13001"/>
    <cellStyle name="Normal 186 5 4" xfId="25261"/>
    <cellStyle name="Normal 186 5_LNG &amp; LPG rework" xfId="9246"/>
    <cellStyle name="Normal 186 6" xfId="251"/>
    <cellStyle name="Normal 186 6 2" xfId="13003"/>
    <cellStyle name="Normal 186 6 3" xfId="25263"/>
    <cellStyle name="Normal 186 7" xfId="12980"/>
    <cellStyle name="Normal 186 8" xfId="25240"/>
    <cellStyle name="Normal 186_LNG &amp; LPG rework" xfId="8842"/>
    <cellStyle name="Normal 187" xfId="818"/>
    <cellStyle name="Normal 187 2" xfId="856"/>
    <cellStyle name="Normal 187 2 2" xfId="1079"/>
    <cellStyle name="Normal 187 2 2 2" xfId="156"/>
    <cellStyle name="Normal 187 2 2 2 2" xfId="410"/>
    <cellStyle name="Normal 187 2 2 2 2 2" xfId="13008"/>
    <cellStyle name="Normal 187 2 2 2 2 3" xfId="25268"/>
    <cellStyle name="Normal 187 2 2 2 3" xfId="13007"/>
    <cellStyle name="Normal 187 2 2 2 4" xfId="25267"/>
    <cellStyle name="Normal 187 2 2 2_LNG &amp; LPG rework" xfId="9250"/>
    <cellStyle name="Normal 187 2 2 3" xfId="534"/>
    <cellStyle name="Normal 187 2 2 3 2" xfId="13009"/>
    <cellStyle name="Normal 187 2 2 3 3" xfId="25269"/>
    <cellStyle name="Normal 187 2 2 4" xfId="13006"/>
    <cellStyle name="Normal 187 2 2 5" xfId="25266"/>
    <cellStyle name="Normal 187 2 2_LNG &amp; LPG rework" xfId="9249"/>
    <cellStyle name="Normal 187 2 3" xfId="766"/>
    <cellStyle name="Normal 187 2 3 2" xfId="335"/>
    <cellStyle name="Normal 187 2 3 2 2" xfId="13011"/>
    <cellStyle name="Normal 187 2 3 2 3" xfId="25271"/>
    <cellStyle name="Normal 187 2 3 3" xfId="13010"/>
    <cellStyle name="Normal 187 2 3 4" xfId="25270"/>
    <cellStyle name="Normal 187 2 3_LNG &amp; LPG rework" xfId="9251"/>
    <cellStyle name="Normal 187 2 4" xfId="516"/>
    <cellStyle name="Normal 187 2 4 2" xfId="13012"/>
    <cellStyle name="Normal 187 2 4 3" xfId="25272"/>
    <cellStyle name="Normal 187 2 5" xfId="13005"/>
    <cellStyle name="Normal 187 2 6" xfId="25265"/>
    <cellStyle name="Normal 187 2_LNG &amp; LPG rework" xfId="9248"/>
    <cellStyle name="Normal 187 3" xfId="907"/>
    <cellStyle name="Normal 187 3 2" xfId="1057"/>
    <cellStyle name="Normal 187 3 2 2" xfId="353"/>
    <cellStyle name="Normal 187 3 2 2 2" xfId="889"/>
    <cellStyle name="Normal 187 3 2 2 2 2" xfId="13016"/>
    <cellStyle name="Normal 187 3 2 2 2 3" xfId="25276"/>
    <cellStyle name="Normal 187 3 2 2 3" xfId="13015"/>
    <cellStyle name="Normal 187 3 2 2 4" xfId="25275"/>
    <cellStyle name="Normal 187 3 2 2_LNG &amp; LPG rework" xfId="9254"/>
    <cellStyle name="Normal 187 3 2 3" xfId="292"/>
    <cellStyle name="Normal 187 3 2 3 2" xfId="13017"/>
    <cellStyle name="Normal 187 3 2 3 3" xfId="25277"/>
    <cellStyle name="Normal 187 3 2 4" xfId="13014"/>
    <cellStyle name="Normal 187 3 2 5" xfId="25274"/>
    <cellStyle name="Normal 187 3 2_LNG &amp; LPG rework" xfId="9253"/>
    <cellStyle name="Normal 187 3 3" xfId="954"/>
    <cellStyle name="Normal 187 3 3 2" xfId="286"/>
    <cellStyle name="Normal 187 3 3 2 2" xfId="13019"/>
    <cellStyle name="Normal 187 3 3 2 3" xfId="25279"/>
    <cellStyle name="Normal 187 3 3 3" xfId="13018"/>
    <cellStyle name="Normal 187 3 3 4" xfId="25278"/>
    <cellStyle name="Normal 187 3 3_LNG &amp; LPG rework" xfId="9255"/>
    <cellStyle name="Normal 187 3 4" xfId="496"/>
    <cellStyle name="Normal 187 3 4 2" xfId="13020"/>
    <cellStyle name="Normal 187 3 4 3" xfId="25280"/>
    <cellStyle name="Normal 187 3 5" xfId="13013"/>
    <cellStyle name="Normal 187 3 6" xfId="25273"/>
    <cellStyle name="Normal 187 3_LNG &amp; LPG rework" xfId="9252"/>
    <cellStyle name="Normal 187 4" xfId="1133"/>
    <cellStyle name="Normal 187 4 2" xfId="327"/>
    <cellStyle name="Normal 187 4 2 2" xfId="243"/>
    <cellStyle name="Normal 187 4 2 2 2" xfId="13023"/>
    <cellStyle name="Normal 187 4 2 2 3" xfId="25283"/>
    <cellStyle name="Normal 187 4 2 3" xfId="13022"/>
    <cellStyle name="Normal 187 4 2 4" xfId="25282"/>
    <cellStyle name="Normal 187 4 2_LNG &amp; LPG rework" xfId="9257"/>
    <cellStyle name="Normal 187 4 3" xfId="333"/>
    <cellStyle name="Normal 187 4 3 2" xfId="13024"/>
    <cellStyle name="Normal 187 4 3 3" xfId="25284"/>
    <cellStyle name="Normal 187 4 4" xfId="13021"/>
    <cellStyle name="Normal 187 4 5" xfId="25281"/>
    <cellStyle name="Normal 187 4_LNG &amp; LPG rework" xfId="9256"/>
    <cellStyle name="Normal 187 5" xfId="753"/>
    <cellStyle name="Normal 187 5 2" xfId="357"/>
    <cellStyle name="Normal 187 5 2 2" xfId="13026"/>
    <cellStyle name="Normal 187 5 2 3" xfId="25286"/>
    <cellStyle name="Normal 187 5 3" xfId="13025"/>
    <cellStyle name="Normal 187 5 4" xfId="25285"/>
    <cellStyle name="Normal 187 5_LNG &amp; LPG rework" xfId="9258"/>
    <cellStyle name="Normal 187 6" xfId="362"/>
    <cellStyle name="Normal 187 6 2" xfId="13027"/>
    <cellStyle name="Normal 187 6 3" xfId="25287"/>
    <cellStyle name="Normal 187 7" xfId="13004"/>
    <cellStyle name="Normal 187 8" xfId="25264"/>
    <cellStyle name="Normal 187_LNG &amp; LPG rework" xfId="9247"/>
    <cellStyle name="Normal 188" xfId="819"/>
    <cellStyle name="Normal 188 2" xfId="857"/>
    <cellStyle name="Normal 188 2 2" xfId="1140"/>
    <cellStyle name="Normal 188 2 2 2" xfId="215"/>
    <cellStyle name="Normal 188 2 2 2 2" xfId="55"/>
    <cellStyle name="Normal 188 2 2 2 2 2" xfId="13032"/>
    <cellStyle name="Normal 188 2 2 2 2 3" xfId="25292"/>
    <cellStyle name="Normal 188 2 2 2 3" xfId="13031"/>
    <cellStyle name="Normal 188 2 2 2 4" xfId="25291"/>
    <cellStyle name="Normal 188 2 2 2_LNG &amp; LPG rework" xfId="9262"/>
    <cellStyle name="Normal 188 2 2 3" xfId="435"/>
    <cellStyle name="Normal 188 2 2 3 2" xfId="13033"/>
    <cellStyle name="Normal 188 2 2 3 3" xfId="25293"/>
    <cellStyle name="Normal 188 2 2 4" xfId="13030"/>
    <cellStyle name="Normal 188 2 2 5" xfId="25290"/>
    <cellStyle name="Normal 188 2 2_LNG &amp; LPG rework" xfId="9261"/>
    <cellStyle name="Normal 188 2 3" xfId="1083"/>
    <cellStyle name="Normal 188 2 3 2" xfId="602"/>
    <cellStyle name="Normal 188 2 3 2 2" xfId="13035"/>
    <cellStyle name="Normal 188 2 3 2 3" xfId="25295"/>
    <cellStyle name="Normal 188 2 3 3" xfId="13034"/>
    <cellStyle name="Normal 188 2 3 4" xfId="25294"/>
    <cellStyle name="Normal 188 2 3_LNG &amp; LPG rework" xfId="9263"/>
    <cellStyle name="Normal 188 2 4" xfId="319"/>
    <cellStyle name="Normal 188 2 4 2" xfId="13036"/>
    <cellStyle name="Normal 188 2 4 3" xfId="25296"/>
    <cellStyle name="Normal 188 2 5" xfId="13029"/>
    <cellStyle name="Normal 188 2 6" xfId="25289"/>
    <cellStyle name="Normal 188 2_LNG &amp; LPG rework" xfId="9260"/>
    <cellStyle name="Normal 188 3" xfId="1005"/>
    <cellStyle name="Normal 188 3 2" xfId="1007"/>
    <cellStyle name="Normal 188 3 2 2" xfId="621"/>
    <cellStyle name="Normal 188 3 2 2 2" xfId="44"/>
    <cellStyle name="Normal 188 3 2 2 2 2" xfId="13040"/>
    <cellStyle name="Normal 188 3 2 2 2 3" xfId="25300"/>
    <cellStyle name="Normal 188 3 2 2 3" xfId="13039"/>
    <cellStyle name="Normal 188 3 2 2 4" xfId="25299"/>
    <cellStyle name="Normal 188 3 2 2_LNG &amp; LPG rework" xfId="9266"/>
    <cellStyle name="Normal 188 3 2 3" xfId="551"/>
    <cellStyle name="Normal 188 3 2 3 2" xfId="13041"/>
    <cellStyle name="Normal 188 3 2 3 3" xfId="25301"/>
    <cellStyle name="Normal 188 3 2 4" xfId="13038"/>
    <cellStyle name="Normal 188 3 2 5" xfId="25298"/>
    <cellStyle name="Normal 188 3 2_LNG &amp; LPG rework" xfId="9265"/>
    <cellStyle name="Normal 188 3 3" xfId="946"/>
    <cellStyle name="Normal 188 3 3 2" xfId="544"/>
    <cellStyle name="Normal 188 3 3 2 2" xfId="13043"/>
    <cellStyle name="Normal 188 3 3 2 3" xfId="25303"/>
    <cellStyle name="Normal 188 3 3 3" xfId="13042"/>
    <cellStyle name="Normal 188 3 3 4" xfId="25302"/>
    <cellStyle name="Normal 188 3 3_LNG &amp; LPG rework" xfId="9267"/>
    <cellStyle name="Normal 188 3 4" xfId="297"/>
    <cellStyle name="Normal 188 3 4 2" xfId="13044"/>
    <cellStyle name="Normal 188 3 4 3" xfId="25304"/>
    <cellStyle name="Normal 188 3 5" xfId="13037"/>
    <cellStyle name="Normal 188 3 6" xfId="25297"/>
    <cellStyle name="Normal 188 3_LNG &amp; LPG rework" xfId="9264"/>
    <cellStyle name="Normal 188 4" xfId="1134"/>
    <cellStyle name="Normal 188 4 2" xfId="587"/>
    <cellStyle name="Normal 188 4 2 2" xfId="355"/>
    <cellStyle name="Normal 188 4 2 2 2" xfId="13047"/>
    <cellStyle name="Normal 188 4 2 2 3" xfId="25307"/>
    <cellStyle name="Normal 188 4 2 3" xfId="13046"/>
    <cellStyle name="Normal 188 4 2 4" xfId="25306"/>
    <cellStyle name="Normal 188 4 2_LNG &amp; LPG rework" xfId="9269"/>
    <cellStyle name="Normal 188 4 3" xfId="600"/>
    <cellStyle name="Normal 188 4 3 2" xfId="13048"/>
    <cellStyle name="Normal 188 4 3 3" xfId="25308"/>
    <cellStyle name="Normal 188 4 4" xfId="13045"/>
    <cellStyle name="Normal 188 4 5" xfId="25305"/>
    <cellStyle name="Normal 188 4_LNG &amp; LPG rework" xfId="9268"/>
    <cellStyle name="Normal 188 5" xfId="754"/>
    <cellStyle name="Normal 188 5 2" xfId="625"/>
    <cellStyle name="Normal 188 5 2 2" xfId="13050"/>
    <cellStyle name="Normal 188 5 2 3" xfId="25310"/>
    <cellStyle name="Normal 188 5 3" xfId="13049"/>
    <cellStyle name="Normal 188 5 4" xfId="25309"/>
    <cellStyle name="Normal 188 5_LNG &amp; LPG rework" xfId="9270"/>
    <cellStyle name="Normal 188 6" xfId="631"/>
    <cellStyle name="Normal 188 6 2" xfId="13051"/>
    <cellStyle name="Normal 188 6 3" xfId="25311"/>
    <cellStyle name="Normal 188 7" xfId="13028"/>
    <cellStyle name="Normal 188 8" xfId="25288"/>
    <cellStyle name="Normal 188_LNG &amp; LPG rework" xfId="9259"/>
    <cellStyle name="Normal 189" xfId="147"/>
    <cellStyle name="Normal 189 2" xfId="858"/>
    <cellStyle name="Normal 189 2 2" xfId="1141"/>
    <cellStyle name="Normal 189 2 2 2" xfId="383"/>
    <cellStyle name="Normal 189 2 2 2 2" xfId="81"/>
    <cellStyle name="Normal 189 2 2 2 2 2" xfId="13056"/>
    <cellStyle name="Normal 189 2 2 2 2 3" xfId="25316"/>
    <cellStyle name="Normal 189 2 2 2 3" xfId="13055"/>
    <cellStyle name="Normal 189 2 2 2 4" xfId="25315"/>
    <cellStyle name="Normal 189 2 2 2_LNG &amp; LPG rework" xfId="9274"/>
    <cellStyle name="Normal 189 2 2 3" xfId="60"/>
    <cellStyle name="Normal 189 2 2 3 2" xfId="13057"/>
    <cellStyle name="Normal 189 2 2 3 3" xfId="25317"/>
    <cellStyle name="Normal 189 2 2 4" xfId="13054"/>
    <cellStyle name="Normal 189 2 2 5" xfId="25314"/>
    <cellStyle name="Normal 189 2 2_LNG &amp; LPG rework" xfId="9273"/>
    <cellStyle name="Normal 189 2 3" xfId="1026"/>
    <cellStyle name="Normal 189 2 3 2" xfId="462"/>
    <cellStyle name="Normal 189 2 3 2 2" xfId="13059"/>
    <cellStyle name="Normal 189 2 3 2 3" xfId="25319"/>
    <cellStyle name="Normal 189 2 3 3" xfId="13058"/>
    <cellStyle name="Normal 189 2 3 4" xfId="25318"/>
    <cellStyle name="Normal 189 2 3_LNG &amp; LPG rework" xfId="9275"/>
    <cellStyle name="Normal 189 2 4" xfId="578"/>
    <cellStyle name="Normal 189 2 4 2" xfId="13060"/>
    <cellStyle name="Normal 189 2 4 3" xfId="25320"/>
    <cellStyle name="Normal 189 2 5" xfId="13053"/>
    <cellStyle name="Normal 189 2 6" xfId="25313"/>
    <cellStyle name="Normal 189 2_LNG &amp; LPG rework" xfId="9272"/>
    <cellStyle name="Normal 189 3" xfId="1062"/>
    <cellStyle name="Normal 189 3 2" xfId="978"/>
    <cellStyle name="Normal 189 3 2 2" xfId="490"/>
    <cellStyle name="Normal 189 3 2 2 2" xfId="70"/>
    <cellStyle name="Normal 189 3 2 2 2 2" xfId="13064"/>
    <cellStyle name="Normal 189 3 2 2 2 3" xfId="25324"/>
    <cellStyle name="Normal 189 3 2 2 3" xfId="13063"/>
    <cellStyle name="Normal 189 3 2 2 4" xfId="25323"/>
    <cellStyle name="Normal 189 3 2 2_LNG &amp; LPG rework" xfId="9278"/>
    <cellStyle name="Normal 189 3 2 3" xfId="418"/>
    <cellStyle name="Normal 189 3 2 3 2" xfId="13065"/>
    <cellStyle name="Normal 189 3 2 3 3" xfId="25325"/>
    <cellStyle name="Normal 189 3 2 4" xfId="13062"/>
    <cellStyle name="Normal 189 3 2 5" xfId="25322"/>
    <cellStyle name="Normal 189 3 2_LNG &amp; LPG rework" xfId="9277"/>
    <cellStyle name="Normal 189 3 3" xfId="982"/>
    <cellStyle name="Normal 189 3 3 2" xfId="445"/>
    <cellStyle name="Normal 189 3 3 2 2" xfId="13067"/>
    <cellStyle name="Normal 189 3 3 2 3" xfId="25327"/>
    <cellStyle name="Normal 189 3 3 3" xfId="13066"/>
    <cellStyle name="Normal 189 3 3 4" xfId="25326"/>
    <cellStyle name="Normal 189 3 3_LNG &amp; LPG rework" xfId="9279"/>
    <cellStyle name="Normal 189 3 4" xfId="556"/>
    <cellStyle name="Normal 189 3 4 2" xfId="13068"/>
    <cellStyle name="Normal 189 3 4 3" xfId="25328"/>
    <cellStyle name="Normal 189 3 5" xfId="13061"/>
    <cellStyle name="Normal 189 3 6" xfId="25321"/>
    <cellStyle name="Normal 189 3_LNG &amp; LPG rework" xfId="9276"/>
    <cellStyle name="Normal 189 4" xfId="1135"/>
    <cellStyle name="Normal 189 4 2" xfId="461"/>
    <cellStyle name="Normal 189 4 2 2" xfId="623"/>
    <cellStyle name="Normal 189 4 2 2 2" xfId="13071"/>
    <cellStyle name="Normal 189 4 2 2 3" xfId="25331"/>
    <cellStyle name="Normal 189 4 2 3" xfId="13070"/>
    <cellStyle name="Normal 189 4 2 4" xfId="25330"/>
    <cellStyle name="Normal 189 4 2_LNG &amp; LPG rework" xfId="9281"/>
    <cellStyle name="Normal 189 4 3" xfId="470"/>
    <cellStyle name="Normal 189 4 3 2" xfId="13072"/>
    <cellStyle name="Normal 189 4 3 3" xfId="25332"/>
    <cellStyle name="Normal 189 4 4" xfId="13069"/>
    <cellStyle name="Normal 189 4 5" xfId="25329"/>
    <cellStyle name="Normal 189 4_LNG &amp; LPG rework" xfId="9280"/>
    <cellStyle name="Normal 189 5" xfId="755"/>
    <cellStyle name="Normal 189 5 2" xfId="494"/>
    <cellStyle name="Normal 189 5 2 2" xfId="13074"/>
    <cellStyle name="Normal 189 5 2 3" xfId="25334"/>
    <cellStyle name="Normal 189 5 3" xfId="13073"/>
    <cellStyle name="Normal 189 5 4" xfId="25333"/>
    <cellStyle name="Normal 189 5_LNG &amp; LPG rework" xfId="9282"/>
    <cellStyle name="Normal 189 6" xfId="499"/>
    <cellStyle name="Normal 189 6 2" xfId="13075"/>
    <cellStyle name="Normal 189 6 3" xfId="25335"/>
    <cellStyle name="Normal 189 7" xfId="13052"/>
    <cellStyle name="Normal 189 8" xfId="25312"/>
    <cellStyle name="Normal 189_LNG &amp; LPG rework" xfId="9271"/>
    <cellStyle name="Normal 19" xfId="1107"/>
    <cellStyle name="Normal 19 2" xfId="1325"/>
    <cellStyle name="Normal 19 3" xfId="1693"/>
    <cellStyle name="Normal 19 4" xfId="5125"/>
    <cellStyle name="Normal 19 5" xfId="1286"/>
    <cellStyle name="Normal 19_LNG &amp; LPG rework" xfId="9283"/>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0"/>
    <cellStyle name="Normal 196 2 2 2 2 3" xfId="25340"/>
    <cellStyle name="Normal 196 2 2 2 3" xfId="13079"/>
    <cellStyle name="Normal 196 2 2 2 4" xfId="25339"/>
    <cellStyle name="Normal 196 2 2 2_LNG &amp; LPG rework" xfId="9287"/>
    <cellStyle name="Normal 196 2 2 3" xfId="343"/>
    <cellStyle name="Normal 196 2 2 3 2" xfId="13081"/>
    <cellStyle name="Normal 196 2 2 3 3" xfId="25341"/>
    <cellStyle name="Normal 196 2 2 4" xfId="13078"/>
    <cellStyle name="Normal 196 2 2 5" xfId="25338"/>
    <cellStyle name="Normal 196 2 2_LNG &amp; LPG rework" xfId="9286"/>
    <cellStyle name="Normal 196 2 3" xfId="940"/>
    <cellStyle name="Normal 196 2 3 2" xfId="401"/>
    <cellStyle name="Normal 196 2 3 2 2" xfId="13083"/>
    <cellStyle name="Normal 196 2 3 2 3" xfId="25343"/>
    <cellStyle name="Normal 196 2 3 3" xfId="13082"/>
    <cellStyle name="Normal 196 2 3 4" xfId="25342"/>
    <cellStyle name="Normal 196 2 3_LNG &amp; LPG rework" xfId="9288"/>
    <cellStyle name="Normal 196 2 4" xfId="244"/>
    <cellStyle name="Normal 196 2 4 2" xfId="13084"/>
    <cellStyle name="Normal 196 2 4 3" xfId="25344"/>
    <cellStyle name="Normal 196 2 5" xfId="13077"/>
    <cellStyle name="Normal 196 2 6" xfId="25337"/>
    <cellStyle name="Normal 196 2_LNG &amp; LPG rework" xfId="9285"/>
    <cellStyle name="Normal 196 3" xfId="1035"/>
    <cellStyle name="Normal 196 3 2" xfId="1053"/>
    <cellStyle name="Normal 196 3 2 2" xfId="550"/>
    <cellStyle name="Normal 196 3 2 2 2" xfId="376"/>
    <cellStyle name="Normal 196 3 2 2 2 2" xfId="13088"/>
    <cellStyle name="Normal 196 3 2 2 2 3" xfId="25348"/>
    <cellStyle name="Normal 196 3 2 2 3" xfId="13087"/>
    <cellStyle name="Normal 196 3 2 2 4" xfId="25347"/>
    <cellStyle name="Normal 196 3 2 2_LNG &amp; LPG rework" xfId="9291"/>
    <cellStyle name="Normal 196 3 2 3" xfId="257"/>
    <cellStyle name="Normal 196 3 2 3 2" xfId="13089"/>
    <cellStyle name="Normal 196 3 2 3 3" xfId="25349"/>
    <cellStyle name="Normal 196 3 2 4" xfId="13086"/>
    <cellStyle name="Normal 196 3 2 5" xfId="25346"/>
    <cellStyle name="Normal 196 3 2_LNG &amp; LPG rework" xfId="9290"/>
    <cellStyle name="Normal 196 3 3" xfId="960"/>
    <cellStyle name="Normal 196 3 3 2" xfId="261"/>
    <cellStyle name="Normal 196 3 3 2 2" xfId="13091"/>
    <cellStyle name="Normal 196 3 3 2 3" xfId="25351"/>
    <cellStyle name="Normal 196 3 3 3" xfId="13090"/>
    <cellStyle name="Normal 196 3 3 4" xfId="25350"/>
    <cellStyle name="Normal 196 3 3_LNG &amp; LPG rework" xfId="9292"/>
    <cellStyle name="Normal 196 3 4" xfId="98"/>
    <cellStyle name="Normal 196 3 4 2" xfId="13092"/>
    <cellStyle name="Normal 196 3 4 3" xfId="25352"/>
    <cellStyle name="Normal 196 3 5" xfId="13085"/>
    <cellStyle name="Normal 196 3 6" xfId="25345"/>
    <cellStyle name="Normal 196 3_LNG &amp; LPG rework" xfId="9289"/>
    <cellStyle name="Normal 196 4" xfId="1136"/>
    <cellStyle name="Normal 196 4 2" xfId="103"/>
    <cellStyle name="Normal 196 4 2 2" xfId="492"/>
    <cellStyle name="Normal 196 4 2 2 2" xfId="13095"/>
    <cellStyle name="Normal 196 4 2 2 3" xfId="25355"/>
    <cellStyle name="Normal 196 4 2 3" xfId="13094"/>
    <cellStyle name="Normal 196 4 2 4" xfId="25354"/>
    <cellStyle name="Normal 196 4 2_LNG &amp; LPG rework" xfId="9294"/>
    <cellStyle name="Normal 196 4 3" xfId="130"/>
    <cellStyle name="Normal 196 4 3 2" xfId="13096"/>
    <cellStyle name="Normal 196 4 3 3" xfId="25356"/>
    <cellStyle name="Normal 196 4 4" xfId="13093"/>
    <cellStyle name="Normal 196 4 5" xfId="25353"/>
    <cellStyle name="Normal 196 4_LNG &amp; LPG rework" xfId="9293"/>
    <cellStyle name="Normal 196 5" xfId="1028"/>
    <cellStyle name="Normal 196 5 2" xfId="295"/>
    <cellStyle name="Normal 196 5 2 2" xfId="13098"/>
    <cellStyle name="Normal 196 5 2 3" xfId="25358"/>
    <cellStyle name="Normal 196 5 3" xfId="13097"/>
    <cellStyle name="Normal 196 5 4" xfId="25357"/>
    <cellStyle name="Normal 196 5_LNG &amp; LPG rework" xfId="9295"/>
    <cellStyle name="Normal 196 6" xfId="301"/>
    <cellStyle name="Normal 196 6 2" xfId="13099"/>
    <cellStyle name="Normal 196 6 3" xfId="25359"/>
    <cellStyle name="Normal 196 7" xfId="13076"/>
    <cellStyle name="Normal 196 8" xfId="25336"/>
    <cellStyle name="Normal 196_LNG &amp; LPG rework" xfId="9284"/>
    <cellStyle name="Normal 197" xfId="676"/>
    <cellStyle name="Normal 197 2" xfId="861"/>
    <cellStyle name="Normal 197 2 2" xfId="1039"/>
    <cellStyle name="Normal 197 2 2 2" xfId="208"/>
    <cellStyle name="Normal 197 2 2 2 2" xfId="645"/>
    <cellStyle name="Normal 197 2 2 2 2 2" xfId="13104"/>
    <cellStyle name="Normal 197 2 2 2 2 3" xfId="25364"/>
    <cellStyle name="Normal 197 2 2 2 3" xfId="13103"/>
    <cellStyle name="Normal 197 2 2 2 4" xfId="25363"/>
    <cellStyle name="Normal 197 2 2 2_LNG &amp; LPG rework" xfId="9299"/>
    <cellStyle name="Normal 197 2 2 3" xfId="610"/>
    <cellStyle name="Normal 197 2 2 3 2" xfId="13105"/>
    <cellStyle name="Normal 197 2 2 3 3" xfId="25365"/>
    <cellStyle name="Normal 197 2 2 4" xfId="13102"/>
    <cellStyle name="Normal 197 2 2 5" xfId="25362"/>
    <cellStyle name="Normal 197 2 2_LNG &amp; LPG rework" xfId="9298"/>
    <cellStyle name="Normal 197 2 3" xfId="767"/>
    <cellStyle name="Normal 197 2 3 2" xfId="387"/>
    <cellStyle name="Normal 197 2 3 2 2" xfId="13107"/>
    <cellStyle name="Normal 197 2 3 2 3" xfId="25367"/>
    <cellStyle name="Normal 197 2 3 3" xfId="13106"/>
    <cellStyle name="Normal 197 2 3 4" xfId="25366"/>
    <cellStyle name="Normal 197 2 3_LNG &amp; LPG rework" xfId="9300"/>
    <cellStyle name="Normal 197 2 4" xfId="356"/>
    <cellStyle name="Normal 197 2 4 2" xfId="13108"/>
    <cellStyle name="Normal 197 2 4 3" xfId="25368"/>
    <cellStyle name="Normal 197 2 5" xfId="13101"/>
    <cellStyle name="Normal 197 2 6" xfId="25361"/>
    <cellStyle name="Normal 197 2_LNG &amp; LPG rework" xfId="9297"/>
    <cellStyle name="Normal 197 3" xfId="1013"/>
    <cellStyle name="Normal 197 3 2" xfId="984"/>
    <cellStyle name="Normal 197 3 2 2" xfId="452"/>
    <cellStyle name="Normal 197 3 2 2 2" xfId="646"/>
    <cellStyle name="Normal 197 3 2 2 2 2" xfId="13112"/>
    <cellStyle name="Normal 197 3 2 2 2 3" xfId="25372"/>
    <cellStyle name="Normal 197 3 2 2 3" xfId="13111"/>
    <cellStyle name="Normal 197 3 2 2 4" xfId="25371"/>
    <cellStyle name="Normal 197 3 2 2_LNG &amp; LPG rework" xfId="9303"/>
    <cellStyle name="Normal 197 3 2 3" xfId="367"/>
    <cellStyle name="Normal 197 3 2 3 2" xfId="13113"/>
    <cellStyle name="Normal 197 3 2 3 3" xfId="25373"/>
    <cellStyle name="Normal 197 3 2 4" xfId="13110"/>
    <cellStyle name="Normal 197 3 2 5" xfId="25370"/>
    <cellStyle name="Normal 197 3 2_LNG &amp; LPG rework" xfId="9302"/>
    <cellStyle name="Normal 197 3 3" xfId="945"/>
    <cellStyle name="Normal 197 3 3 2" xfId="371"/>
    <cellStyle name="Normal 197 3 3 2 2" xfId="13115"/>
    <cellStyle name="Normal 197 3 3 2 3" xfId="25375"/>
    <cellStyle name="Normal 197 3 3 3" xfId="13114"/>
    <cellStyle name="Normal 197 3 3 4" xfId="25374"/>
    <cellStyle name="Normal 197 3 3_LNG &amp; LPG rework" xfId="9304"/>
    <cellStyle name="Normal 197 3 4" xfId="253"/>
    <cellStyle name="Normal 197 3 4 2" xfId="13116"/>
    <cellStyle name="Normal 197 3 4 3" xfId="25376"/>
    <cellStyle name="Normal 197 3 5" xfId="13109"/>
    <cellStyle name="Normal 197 3 6" xfId="25369"/>
    <cellStyle name="Normal 197 3_LNG &amp; LPG rework" xfId="9301"/>
    <cellStyle name="Normal 197 4" xfId="1137"/>
    <cellStyle name="Normal 197 4 2" xfId="596"/>
    <cellStyle name="Normal 197 4 2 2" xfId="293"/>
    <cellStyle name="Normal 197 4 2 2 2" xfId="13119"/>
    <cellStyle name="Normal 197 4 2 2 3" xfId="25379"/>
    <cellStyle name="Normal 197 4 2 3" xfId="13118"/>
    <cellStyle name="Normal 197 4 2 4" xfId="25378"/>
    <cellStyle name="Normal 197 4 2_LNG &amp; LPG rework" xfId="9306"/>
    <cellStyle name="Normal 197 4 3" xfId="530"/>
    <cellStyle name="Normal 197 4 3 2" xfId="13120"/>
    <cellStyle name="Normal 197 4 3 3" xfId="25380"/>
    <cellStyle name="Normal 197 4 4" xfId="13117"/>
    <cellStyle name="Normal 197 4 5" xfId="25377"/>
    <cellStyle name="Normal 197 4_LNG &amp; LPG rework" xfId="9305"/>
    <cellStyle name="Normal 197 5" xfId="1032"/>
    <cellStyle name="Normal 197 5 2" xfId="554"/>
    <cellStyle name="Normal 197 5 2 2" xfId="13122"/>
    <cellStyle name="Normal 197 5 2 3" xfId="25382"/>
    <cellStyle name="Normal 197 5 3" xfId="13121"/>
    <cellStyle name="Normal 197 5 4" xfId="25381"/>
    <cellStyle name="Normal 197 5_LNG &amp; LPG rework" xfId="9307"/>
    <cellStyle name="Normal 197 6" xfId="560"/>
    <cellStyle name="Normal 197 6 2" xfId="13123"/>
    <cellStyle name="Normal 197 6 3" xfId="25383"/>
    <cellStyle name="Normal 197 7" xfId="13100"/>
    <cellStyle name="Normal 197 8" xfId="25360"/>
    <cellStyle name="Normal 197_LNG &amp; LPG rework" xfId="9296"/>
    <cellStyle name="Normal 198" xfId="721"/>
    <cellStyle name="Normal 198 2" xfId="911"/>
    <cellStyle name="Normal 199" xfId="964"/>
    <cellStyle name="Normal 199 2" xfId="926"/>
    <cellStyle name="Normal 2" xfId="677"/>
    <cellStyle name="Normal 2 10" xfId="4966"/>
    <cellStyle name="Normal 2 10 2" xfId="13124"/>
    <cellStyle name="Normal 2 10 3" xfId="25384"/>
    <cellStyle name="Normal 2 11" xfId="5346"/>
    <cellStyle name="Normal 2 11 2" xfId="13125"/>
    <cellStyle name="Normal 2 11 3" xfId="25385"/>
    <cellStyle name="Normal 2 12" xfId="1208"/>
    <cellStyle name="Normal 2 2" xfId="1033"/>
    <cellStyle name="Normal 2 2 10" xfId="5126"/>
    <cellStyle name="Normal 2 2 10 2" xfId="13126"/>
    <cellStyle name="Normal 2 2 10 3" xfId="25386"/>
    <cellStyle name="Normal 2 2 11" xfId="6238"/>
    <cellStyle name="Normal 2 2 11 2" xfId="13127"/>
    <cellStyle name="Normal 2 2 11 3" xfId="25387"/>
    <cellStyle name="Normal 2 2 12" xfId="1265"/>
    <cellStyle name="Normal 2 2 13" xfId="34926"/>
    <cellStyle name="Normal 2 2 13 2" xfId="44567"/>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8"/>
    <cellStyle name="Normal 2 2 3 10 3" xfId="25389"/>
    <cellStyle name="Normal 2 2 3 11" xfId="5127"/>
    <cellStyle name="Normal 2 2 3 11 2" xfId="13129"/>
    <cellStyle name="Normal 2 2 3 11 3" xfId="25390"/>
    <cellStyle name="Normal 2 2 3 12" xfId="5500"/>
    <cellStyle name="Normal 2 2 3 12 2" xfId="13130"/>
    <cellStyle name="Normal 2 2 3 12 3" xfId="25391"/>
    <cellStyle name="Normal 2 2 3 13" xfId="10341"/>
    <cellStyle name="Normal 2 2 3 14" xfId="25388"/>
    <cellStyle name="Normal 2 2 3 2" xfId="1521"/>
    <cellStyle name="Normal 2 2 3 2 10" xfId="5128"/>
    <cellStyle name="Normal 2 2 3 2 10 2" xfId="13131"/>
    <cellStyle name="Normal 2 2 3 2 10 3" xfId="25393"/>
    <cellStyle name="Normal 2 2 3 2 11" xfId="5501"/>
    <cellStyle name="Normal 2 2 3 2 11 2" xfId="13132"/>
    <cellStyle name="Normal 2 2 3 2 11 3" xfId="25394"/>
    <cellStyle name="Normal 2 2 3 2 12" xfId="10342"/>
    <cellStyle name="Normal 2 2 3 2 13" xfId="25392"/>
    <cellStyle name="Normal 2 2 3 2 2" xfId="1522"/>
    <cellStyle name="Normal 2 2 3 2 2 10" xfId="5502"/>
    <cellStyle name="Normal 2 2 3 2 2 10 2" xfId="13133"/>
    <cellStyle name="Normal 2 2 3 2 2 10 3" xfId="25396"/>
    <cellStyle name="Normal 2 2 3 2 2 11" xfId="10343"/>
    <cellStyle name="Normal 2 2 3 2 2 12" xfId="25395"/>
    <cellStyle name="Normal 2 2 3 2 2 2" xfId="1523"/>
    <cellStyle name="Normal 2 2 3 2 2 2 10" xfId="25397"/>
    <cellStyle name="Normal 2 2 3 2 2 2 2" xfId="1870"/>
    <cellStyle name="Normal 2 2 3 2 2 2 2 2" xfId="2760"/>
    <cellStyle name="Normal 2 2 3 2 2 2 2 2 2" xfId="13134"/>
    <cellStyle name="Normal 2 2 3 2 2 2 2 2 3" xfId="25399"/>
    <cellStyle name="Normal 2 2 3 2 2 2 2 3" xfId="3624"/>
    <cellStyle name="Normal 2 2 3 2 2 2 2 3 2" xfId="13135"/>
    <cellStyle name="Normal 2 2 3 2 2 2 2 3 3" xfId="25400"/>
    <cellStyle name="Normal 2 2 3 2 2 2 2 4" xfId="4499"/>
    <cellStyle name="Normal 2 2 3 2 2 2 2 4 2" xfId="13136"/>
    <cellStyle name="Normal 2 2 3 2 2 2 2 4 3" xfId="25401"/>
    <cellStyle name="Normal 2 2 3 2 2 2 2 5" xfId="5131"/>
    <cellStyle name="Normal 2 2 3 2 2 2 2 5 2" xfId="13137"/>
    <cellStyle name="Normal 2 2 3 2 2 2 2 5 3" xfId="25402"/>
    <cellStyle name="Normal 2 2 3 2 2 2 2 6" xfId="5764"/>
    <cellStyle name="Normal 2 2 3 2 2 2 2 6 2" xfId="13138"/>
    <cellStyle name="Normal 2 2 3 2 2 2 2 6 3" xfId="25403"/>
    <cellStyle name="Normal 2 2 3 2 2 2 2 7" xfId="10345"/>
    <cellStyle name="Normal 2 2 3 2 2 2 2 8" xfId="25398"/>
    <cellStyle name="Normal 2 2 3 2 2 2 2_LNG &amp; LPG rework" xfId="9313"/>
    <cellStyle name="Normal 2 2 3 2 2 2 3" xfId="2145"/>
    <cellStyle name="Normal 2 2 3 2 2 2 3 2" xfId="3015"/>
    <cellStyle name="Normal 2 2 3 2 2 2 3 2 2" xfId="13140"/>
    <cellStyle name="Normal 2 2 3 2 2 2 3 2 3" xfId="25405"/>
    <cellStyle name="Normal 2 2 3 2 2 2 3 3" xfId="3885"/>
    <cellStyle name="Normal 2 2 3 2 2 2 3 3 2" xfId="13141"/>
    <cellStyle name="Normal 2 2 3 2 2 2 3 3 3" xfId="25406"/>
    <cellStyle name="Normal 2 2 3 2 2 2 3 4" xfId="4763"/>
    <cellStyle name="Normal 2 2 3 2 2 2 3 4 2" xfId="13142"/>
    <cellStyle name="Normal 2 2 3 2 2 2 3 4 3" xfId="25407"/>
    <cellStyle name="Normal 2 2 3 2 2 2 3 5" xfId="6028"/>
    <cellStyle name="Normal 2 2 3 2 2 2 3 5 2" xfId="13143"/>
    <cellStyle name="Normal 2 2 3 2 2 2 3 5 3" xfId="25408"/>
    <cellStyle name="Normal 2 2 3 2 2 2 3 6" xfId="13139"/>
    <cellStyle name="Normal 2 2 3 2 2 2 3 7" xfId="25404"/>
    <cellStyle name="Normal 2 2 3 2 2 2 3_LNG &amp; LPG rework" xfId="9314"/>
    <cellStyle name="Normal 2 2 3 2 2 2 4" xfId="2510"/>
    <cellStyle name="Normal 2 2 3 2 2 2 4 2" xfId="13144"/>
    <cellStyle name="Normal 2 2 3 2 2 2 4 3" xfId="25409"/>
    <cellStyle name="Normal 2 2 3 2 2 2 5" xfId="3373"/>
    <cellStyle name="Normal 2 2 3 2 2 2 5 2" xfId="13145"/>
    <cellStyle name="Normal 2 2 3 2 2 2 5 3" xfId="25410"/>
    <cellStyle name="Normal 2 2 3 2 2 2 6" xfId="4241"/>
    <cellStyle name="Normal 2 2 3 2 2 2 6 2" xfId="13146"/>
    <cellStyle name="Normal 2 2 3 2 2 2 6 3" xfId="25411"/>
    <cellStyle name="Normal 2 2 3 2 2 2 7" xfId="5130"/>
    <cellStyle name="Normal 2 2 3 2 2 2 7 2" xfId="13147"/>
    <cellStyle name="Normal 2 2 3 2 2 2 7 3" xfId="25412"/>
    <cellStyle name="Normal 2 2 3 2 2 2 8" xfId="5503"/>
    <cellStyle name="Normal 2 2 3 2 2 2 8 2" xfId="13148"/>
    <cellStyle name="Normal 2 2 3 2 2 2 8 3" xfId="25413"/>
    <cellStyle name="Normal 2 2 3 2 2 2 9" xfId="10344"/>
    <cellStyle name="Normal 2 2 3 2 2 2_LNG &amp; LPG rework" xfId="9312"/>
    <cellStyle name="Normal 2 2 3 2 2 3" xfId="1869"/>
    <cellStyle name="Normal 2 2 3 2 2 3 2" xfId="2759"/>
    <cellStyle name="Normal 2 2 3 2 2 3 2 2" xfId="13149"/>
    <cellStyle name="Normal 2 2 3 2 2 3 2 3" xfId="25415"/>
    <cellStyle name="Normal 2 2 3 2 2 3 3" xfId="3623"/>
    <cellStyle name="Normal 2 2 3 2 2 3 3 2" xfId="13150"/>
    <cellStyle name="Normal 2 2 3 2 2 3 3 3" xfId="25416"/>
    <cellStyle name="Normal 2 2 3 2 2 3 4" xfId="4498"/>
    <cellStyle name="Normal 2 2 3 2 2 3 4 2" xfId="13151"/>
    <cellStyle name="Normal 2 2 3 2 2 3 4 3" xfId="25417"/>
    <cellStyle name="Normal 2 2 3 2 2 3 5" xfId="5132"/>
    <cellStyle name="Normal 2 2 3 2 2 3 5 2" xfId="13152"/>
    <cellStyle name="Normal 2 2 3 2 2 3 5 3" xfId="25418"/>
    <cellStyle name="Normal 2 2 3 2 2 3 6" xfId="5763"/>
    <cellStyle name="Normal 2 2 3 2 2 3 6 2" xfId="13153"/>
    <cellStyle name="Normal 2 2 3 2 2 3 6 3" xfId="25419"/>
    <cellStyle name="Normal 2 2 3 2 2 3 7" xfId="10346"/>
    <cellStyle name="Normal 2 2 3 2 2 3 8" xfId="25414"/>
    <cellStyle name="Normal 2 2 3 2 2 3_LNG &amp; LPG rework" xfId="9315"/>
    <cellStyle name="Normal 2 2 3 2 2 4" xfId="2144"/>
    <cellStyle name="Normal 2 2 3 2 2 4 2" xfId="3014"/>
    <cellStyle name="Normal 2 2 3 2 2 4 2 2" xfId="13155"/>
    <cellStyle name="Normal 2 2 3 2 2 4 2 3" xfId="25421"/>
    <cellStyle name="Normal 2 2 3 2 2 4 3" xfId="3884"/>
    <cellStyle name="Normal 2 2 3 2 2 4 3 2" xfId="13156"/>
    <cellStyle name="Normal 2 2 3 2 2 4 3 3" xfId="25422"/>
    <cellStyle name="Normal 2 2 3 2 2 4 4" xfId="4762"/>
    <cellStyle name="Normal 2 2 3 2 2 4 4 2" xfId="13157"/>
    <cellStyle name="Normal 2 2 3 2 2 4 4 3" xfId="25423"/>
    <cellStyle name="Normal 2 2 3 2 2 4 5" xfId="6027"/>
    <cellStyle name="Normal 2 2 3 2 2 4 5 2" xfId="13158"/>
    <cellStyle name="Normal 2 2 3 2 2 4 5 3" xfId="25424"/>
    <cellStyle name="Normal 2 2 3 2 2 4 6" xfId="13154"/>
    <cellStyle name="Normal 2 2 3 2 2 4 7" xfId="25420"/>
    <cellStyle name="Normal 2 2 3 2 2 4_LNG &amp; LPG rework" xfId="9316"/>
    <cellStyle name="Normal 2 2 3 2 2 5" xfId="2353"/>
    <cellStyle name="Normal 2 2 3 2 2 5 2" xfId="3212"/>
    <cellStyle name="Normal 2 2 3 2 2 5 2 2" xfId="13160"/>
    <cellStyle name="Normal 2 2 3 2 2 5 2 3" xfId="25426"/>
    <cellStyle name="Normal 2 2 3 2 2 5 3" xfId="4078"/>
    <cellStyle name="Normal 2 2 3 2 2 5 3 2" xfId="13161"/>
    <cellStyle name="Normal 2 2 3 2 2 5 3 3" xfId="25427"/>
    <cellStyle name="Normal 2 2 3 2 2 5 4" xfId="4957"/>
    <cellStyle name="Normal 2 2 3 2 2 5 4 2" xfId="13162"/>
    <cellStyle name="Normal 2 2 3 2 2 5 4 3" xfId="25428"/>
    <cellStyle name="Normal 2 2 3 2 2 5 5" xfId="6222"/>
    <cellStyle name="Normal 2 2 3 2 2 5 5 2" xfId="13163"/>
    <cellStyle name="Normal 2 2 3 2 2 5 5 3" xfId="25429"/>
    <cellStyle name="Normal 2 2 3 2 2 5 6" xfId="13159"/>
    <cellStyle name="Normal 2 2 3 2 2 5 7" xfId="25425"/>
    <cellStyle name="Normal 2 2 3 2 2 5_LNG &amp; LPG rework" xfId="9317"/>
    <cellStyle name="Normal 2 2 3 2 2 6" xfId="2509"/>
    <cellStyle name="Normal 2 2 3 2 2 6 2" xfId="13164"/>
    <cellStyle name="Normal 2 2 3 2 2 6 3" xfId="25430"/>
    <cellStyle name="Normal 2 2 3 2 2 7" xfId="3372"/>
    <cellStyle name="Normal 2 2 3 2 2 7 2" xfId="13165"/>
    <cellStyle name="Normal 2 2 3 2 2 7 3" xfId="25431"/>
    <cellStyle name="Normal 2 2 3 2 2 8" xfId="4240"/>
    <cellStyle name="Normal 2 2 3 2 2 8 2" xfId="13166"/>
    <cellStyle name="Normal 2 2 3 2 2 8 3" xfId="25432"/>
    <cellStyle name="Normal 2 2 3 2 2 9" xfId="5129"/>
    <cellStyle name="Normal 2 2 3 2 2 9 2" xfId="13167"/>
    <cellStyle name="Normal 2 2 3 2 2 9 3" xfId="25433"/>
    <cellStyle name="Normal 2 2 3 2 2_LNG &amp; LPG rework" xfId="9311"/>
    <cellStyle name="Normal 2 2 3 2 3" xfId="1524"/>
    <cellStyle name="Normal 2 2 3 2 3 10" xfId="25434"/>
    <cellStyle name="Normal 2 2 3 2 3 2" xfId="1871"/>
    <cellStyle name="Normal 2 2 3 2 3 2 2" xfId="2761"/>
    <cellStyle name="Normal 2 2 3 2 3 2 2 2" xfId="13168"/>
    <cellStyle name="Normal 2 2 3 2 3 2 2 3" xfId="25436"/>
    <cellStyle name="Normal 2 2 3 2 3 2 3" xfId="3625"/>
    <cellStyle name="Normal 2 2 3 2 3 2 3 2" xfId="13169"/>
    <cellStyle name="Normal 2 2 3 2 3 2 3 3" xfId="25437"/>
    <cellStyle name="Normal 2 2 3 2 3 2 4" xfId="4500"/>
    <cellStyle name="Normal 2 2 3 2 3 2 4 2" xfId="13170"/>
    <cellStyle name="Normal 2 2 3 2 3 2 4 3" xfId="25438"/>
    <cellStyle name="Normal 2 2 3 2 3 2 5" xfId="5134"/>
    <cellStyle name="Normal 2 2 3 2 3 2 5 2" xfId="13171"/>
    <cellStyle name="Normal 2 2 3 2 3 2 5 3" xfId="25439"/>
    <cellStyle name="Normal 2 2 3 2 3 2 6" xfId="5765"/>
    <cellStyle name="Normal 2 2 3 2 3 2 6 2" xfId="13172"/>
    <cellStyle name="Normal 2 2 3 2 3 2 6 3" xfId="25440"/>
    <cellStyle name="Normal 2 2 3 2 3 2 7" xfId="10348"/>
    <cellStyle name="Normal 2 2 3 2 3 2 8" xfId="25435"/>
    <cellStyle name="Normal 2 2 3 2 3 2_LNG &amp; LPG rework" xfId="9319"/>
    <cellStyle name="Normal 2 2 3 2 3 3" xfId="2146"/>
    <cellStyle name="Normal 2 2 3 2 3 3 2" xfId="3016"/>
    <cellStyle name="Normal 2 2 3 2 3 3 2 2" xfId="13174"/>
    <cellStyle name="Normal 2 2 3 2 3 3 2 3" xfId="25442"/>
    <cellStyle name="Normal 2 2 3 2 3 3 3" xfId="3886"/>
    <cellStyle name="Normal 2 2 3 2 3 3 3 2" xfId="13175"/>
    <cellStyle name="Normal 2 2 3 2 3 3 3 3" xfId="25443"/>
    <cellStyle name="Normal 2 2 3 2 3 3 4" xfId="4764"/>
    <cellStyle name="Normal 2 2 3 2 3 3 4 2" xfId="13176"/>
    <cellStyle name="Normal 2 2 3 2 3 3 4 3" xfId="25444"/>
    <cellStyle name="Normal 2 2 3 2 3 3 5" xfId="6029"/>
    <cellStyle name="Normal 2 2 3 2 3 3 5 2" xfId="13177"/>
    <cellStyle name="Normal 2 2 3 2 3 3 5 3" xfId="25445"/>
    <cellStyle name="Normal 2 2 3 2 3 3 6" xfId="13173"/>
    <cellStyle name="Normal 2 2 3 2 3 3 7" xfId="25441"/>
    <cellStyle name="Normal 2 2 3 2 3 3_LNG &amp; LPG rework" xfId="9320"/>
    <cellStyle name="Normal 2 2 3 2 3 4" xfId="2511"/>
    <cellStyle name="Normal 2 2 3 2 3 4 2" xfId="13178"/>
    <cellStyle name="Normal 2 2 3 2 3 4 3" xfId="25446"/>
    <cellStyle name="Normal 2 2 3 2 3 5" xfId="3374"/>
    <cellStyle name="Normal 2 2 3 2 3 5 2" xfId="13179"/>
    <cellStyle name="Normal 2 2 3 2 3 5 3" xfId="25447"/>
    <cellStyle name="Normal 2 2 3 2 3 6" xfId="4242"/>
    <cellStyle name="Normal 2 2 3 2 3 6 2" xfId="13180"/>
    <cellStyle name="Normal 2 2 3 2 3 6 3" xfId="25448"/>
    <cellStyle name="Normal 2 2 3 2 3 7" xfId="5133"/>
    <cellStyle name="Normal 2 2 3 2 3 7 2" xfId="13181"/>
    <cellStyle name="Normal 2 2 3 2 3 7 3" xfId="25449"/>
    <cellStyle name="Normal 2 2 3 2 3 8" xfId="5504"/>
    <cellStyle name="Normal 2 2 3 2 3 8 2" xfId="13182"/>
    <cellStyle name="Normal 2 2 3 2 3 8 3" xfId="25450"/>
    <cellStyle name="Normal 2 2 3 2 3 9" xfId="10347"/>
    <cellStyle name="Normal 2 2 3 2 3_LNG &amp; LPG rework" xfId="9318"/>
    <cellStyle name="Normal 2 2 3 2 4" xfId="1868"/>
    <cellStyle name="Normal 2 2 3 2 4 2" xfId="2758"/>
    <cellStyle name="Normal 2 2 3 2 4 2 2" xfId="13183"/>
    <cellStyle name="Normal 2 2 3 2 4 2 3" xfId="25452"/>
    <cellStyle name="Normal 2 2 3 2 4 3" xfId="3622"/>
    <cellStyle name="Normal 2 2 3 2 4 3 2" xfId="13184"/>
    <cellStyle name="Normal 2 2 3 2 4 3 3" xfId="25453"/>
    <cellStyle name="Normal 2 2 3 2 4 4" xfId="4497"/>
    <cellStyle name="Normal 2 2 3 2 4 4 2" xfId="13185"/>
    <cellStyle name="Normal 2 2 3 2 4 4 3" xfId="25454"/>
    <cellStyle name="Normal 2 2 3 2 4 5" xfId="5135"/>
    <cellStyle name="Normal 2 2 3 2 4 5 2" xfId="13186"/>
    <cellStyle name="Normal 2 2 3 2 4 5 3" xfId="25455"/>
    <cellStyle name="Normal 2 2 3 2 4 6" xfId="5762"/>
    <cellStyle name="Normal 2 2 3 2 4 6 2" xfId="13187"/>
    <cellStyle name="Normal 2 2 3 2 4 6 3" xfId="25456"/>
    <cellStyle name="Normal 2 2 3 2 4 7" xfId="10349"/>
    <cellStyle name="Normal 2 2 3 2 4 8" xfId="25451"/>
    <cellStyle name="Normal 2 2 3 2 4_LNG &amp; LPG rework" xfId="9321"/>
    <cellStyle name="Normal 2 2 3 2 5" xfId="2143"/>
    <cellStyle name="Normal 2 2 3 2 5 2" xfId="3013"/>
    <cellStyle name="Normal 2 2 3 2 5 2 2" xfId="13189"/>
    <cellStyle name="Normal 2 2 3 2 5 2 3" xfId="25458"/>
    <cellStyle name="Normal 2 2 3 2 5 3" xfId="3883"/>
    <cellStyle name="Normal 2 2 3 2 5 3 2" xfId="13190"/>
    <cellStyle name="Normal 2 2 3 2 5 3 3" xfId="25459"/>
    <cellStyle name="Normal 2 2 3 2 5 4" xfId="4761"/>
    <cellStyle name="Normal 2 2 3 2 5 4 2" xfId="13191"/>
    <cellStyle name="Normal 2 2 3 2 5 4 3" xfId="25460"/>
    <cellStyle name="Normal 2 2 3 2 5 5" xfId="6026"/>
    <cellStyle name="Normal 2 2 3 2 5 5 2" xfId="13192"/>
    <cellStyle name="Normal 2 2 3 2 5 5 3" xfId="25461"/>
    <cellStyle name="Normal 2 2 3 2 5 6" xfId="13188"/>
    <cellStyle name="Normal 2 2 3 2 5 7" xfId="25457"/>
    <cellStyle name="Normal 2 2 3 2 5_LNG &amp; LPG rework" xfId="9322"/>
    <cellStyle name="Normal 2 2 3 2 6" xfId="2309"/>
    <cellStyle name="Normal 2 2 3 2 6 2" xfId="3168"/>
    <cellStyle name="Normal 2 2 3 2 6 2 2" xfId="13194"/>
    <cellStyle name="Normal 2 2 3 2 6 2 3" xfId="25463"/>
    <cellStyle name="Normal 2 2 3 2 6 3" xfId="4034"/>
    <cellStyle name="Normal 2 2 3 2 6 3 2" xfId="13195"/>
    <cellStyle name="Normal 2 2 3 2 6 3 3" xfId="25464"/>
    <cellStyle name="Normal 2 2 3 2 6 4" xfId="4913"/>
    <cellStyle name="Normal 2 2 3 2 6 4 2" xfId="13196"/>
    <cellStyle name="Normal 2 2 3 2 6 4 3" xfId="25465"/>
    <cellStyle name="Normal 2 2 3 2 6 5" xfId="6178"/>
    <cellStyle name="Normal 2 2 3 2 6 5 2" xfId="13197"/>
    <cellStyle name="Normal 2 2 3 2 6 5 3" xfId="25466"/>
    <cellStyle name="Normal 2 2 3 2 6 6" xfId="13193"/>
    <cellStyle name="Normal 2 2 3 2 6 7" xfId="25462"/>
    <cellStyle name="Normal 2 2 3 2 6_LNG &amp; LPG rework" xfId="9323"/>
    <cellStyle name="Normal 2 2 3 2 7" xfId="2508"/>
    <cellStyle name="Normal 2 2 3 2 7 2" xfId="13198"/>
    <cellStyle name="Normal 2 2 3 2 7 3" xfId="25467"/>
    <cellStyle name="Normal 2 2 3 2 8" xfId="3371"/>
    <cellStyle name="Normal 2 2 3 2 8 2" xfId="13199"/>
    <cellStyle name="Normal 2 2 3 2 8 3" xfId="25468"/>
    <cellStyle name="Normal 2 2 3 2 9" xfId="4239"/>
    <cellStyle name="Normal 2 2 3 2 9 2" xfId="13200"/>
    <cellStyle name="Normal 2 2 3 2 9 3" xfId="25469"/>
    <cellStyle name="Normal 2 2 3 2_LNG &amp; LPG rework" xfId="9310"/>
    <cellStyle name="Normal 2 2 3 3" xfId="1525"/>
    <cellStyle name="Normal 2 2 3 3 10" xfId="5505"/>
    <cellStyle name="Normal 2 2 3 3 10 2" xfId="13201"/>
    <cellStyle name="Normal 2 2 3 3 10 3" xfId="25471"/>
    <cellStyle name="Normal 2 2 3 3 11" xfId="10350"/>
    <cellStyle name="Normal 2 2 3 3 12" xfId="25470"/>
    <cellStyle name="Normal 2 2 3 3 2" xfId="1526"/>
    <cellStyle name="Normal 2 2 3 3 2 10" xfId="25472"/>
    <cellStyle name="Normal 2 2 3 3 2 2" xfId="1873"/>
    <cellStyle name="Normal 2 2 3 3 2 2 2" xfId="2763"/>
    <cellStyle name="Normal 2 2 3 3 2 2 2 2" xfId="13202"/>
    <cellStyle name="Normal 2 2 3 3 2 2 2 3" xfId="25474"/>
    <cellStyle name="Normal 2 2 3 3 2 2 3" xfId="3627"/>
    <cellStyle name="Normal 2 2 3 3 2 2 3 2" xfId="13203"/>
    <cellStyle name="Normal 2 2 3 3 2 2 3 3" xfId="25475"/>
    <cellStyle name="Normal 2 2 3 3 2 2 4" xfId="4502"/>
    <cellStyle name="Normal 2 2 3 3 2 2 4 2" xfId="13204"/>
    <cellStyle name="Normal 2 2 3 3 2 2 4 3" xfId="25476"/>
    <cellStyle name="Normal 2 2 3 3 2 2 5" xfId="5138"/>
    <cellStyle name="Normal 2 2 3 3 2 2 5 2" xfId="13205"/>
    <cellStyle name="Normal 2 2 3 3 2 2 5 3" xfId="25477"/>
    <cellStyle name="Normal 2 2 3 3 2 2 6" xfId="5767"/>
    <cellStyle name="Normal 2 2 3 3 2 2 6 2" xfId="13206"/>
    <cellStyle name="Normal 2 2 3 3 2 2 6 3" xfId="25478"/>
    <cellStyle name="Normal 2 2 3 3 2 2 7" xfId="10352"/>
    <cellStyle name="Normal 2 2 3 3 2 2 8" xfId="25473"/>
    <cellStyle name="Normal 2 2 3 3 2 2_LNG &amp; LPG rework" xfId="9326"/>
    <cellStyle name="Normal 2 2 3 3 2 3" xfId="2148"/>
    <cellStyle name="Normal 2 2 3 3 2 3 2" xfId="3018"/>
    <cellStyle name="Normal 2 2 3 3 2 3 2 2" xfId="13208"/>
    <cellStyle name="Normal 2 2 3 3 2 3 2 3" xfId="25480"/>
    <cellStyle name="Normal 2 2 3 3 2 3 3" xfId="3888"/>
    <cellStyle name="Normal 2 2 3 3 2 3 3 2" xfId="13209"/>
    <cellStyle name="Normal 2 2 3 3 2 3 3 3" xfId="25481"/>
    <cellStyle name="Normal 2 2 3 3 2 3 4" xfId="4766"/>
    <cellStyle name="Normal 2 2 3 3 2 3 4 2" xfId="13210"/>
    <cellStyle name="Normal 2 2 3 3 2 3 4 3" xfId="25482"/>
    <cellStyle name="Normal 2 2 3 3 2 3 5" xfId="6031"/>
    <cellStyle name="Normal 2 2 3 3 2 3 5 2" xfId="13211"/>
    <cellStyle name="Normal 2 2 3 3 2 3 5 3" xfId="25483"/>
    <cellStyle name="Normal 2 2 3 3 2 3 6" xfId="13207"/>
    <cellStyle name="Normal 2 2 3 3 2 3 7" xfId="25479"/>
    <cellStyle name="Normal 2 2 3 3 2 3_LNG &amp; LPG rework" xfId="9327"/>
    <cellStyle name="Normal 2 2 3 3 2 4" xfId="2513"/>
    <cellStyle name="Normal 2 2 3 3 2 4 2" xfId="13212"/>
    <cellStyle name="Normal 2 2 3 3 2 4 3" xfId="25484"/>
    <cellStyle name="Normal 2 2 3 3 2 5" xfId="3376"/>
    <cellStyle name="Normal 2 2 3 3 2 5 2" xfId="13213"/>
    <cellStyle name="Normal 2 2 3 3 2 5 3" xfId="25485"/>
    <cellStyle name="Normal 2 2 3 3 2 6" xfId="4244"/>
    <cellStyle name="Normal 2 2 3 3 2 6 2" xfId="13214"/>
    <cellStyle name="Normal 2 2 3 3 2 6 3" xfId="25486"/>
    <cellStyle name="Normal 2 2 3 3 2 7" xfId="5137"/>
    <cellStyle name="Normal 2 2 3 3 2 7 2" xfId="13215"/>
    <cellStyle name="Normal 2 2 3 3 2 7 3" xfId="25487"/>
    <cellStyle name="Normal 2 2 3 3 2 8" xfId="5506"/>
    <cellStyle name="Normal 2 2 3 3 2 8 2" xfId="13216"/>
    <cellStyle name="Normal 2 2 3 3 2 8 3" xfId="25488"/>
    <cellStyle name="Normal 2 2 3 3 2 9" xfId="10351"/>
    <cellStyle name="Normal 2 2 3 3 2_LNG &amp; LPG rework" xfId="9325"/>
    <cellStyle name="Normal 2 2 3 3 3" xfId="1872"/>
    <cellStyle name="Normal 2 2 3 3 3 2" xfId="2762"/>
    <cellStyle name="Normal 2 2 3 3 3 2 2" xfId="13217"/>
    <cellStyle name="Normal 2 2 3 3 3 2 3" xfId="25490"/>
    <cellStyle name="Normal 2 2 3 3 3 3" xfId="3626"/>
    <cellStyle name="Normal 2 2 3 3 3 3 2" xfId="13218"/>
    <cellStyle name="Normal 2 2 3 3 3 3 3" xfId="25491"/>
    <cellStyle name="Normal 2 2 3 3 3 4" xfId="4501"/>
    <cellStyle name="Normal 2 2 3 3 3 4 2" xfId="13219"/>
    <cellStyle name="Normal 2 2 3 3 3 4 3" xfId="25492"/>
    <cellStyle name="Normal 2 2 3 3 3 5" xfId="5139"/>
    <cellStyle name="Normal 2 2 3 3 3 5 2" xfId="13220"/>
    <cellStyle name="Normal 2 2 3 3 3 5 3" xfId="25493"/>
    <cellStyle name="Normal 2 2 3 3 3 6" xfId="5766"/>
    <cellStyle name="Normal 2 2 3 3 3 6 2" xfId="13221"/>
    <cellStyle name="Normal 2 2 3 3 3 6 3" xfId="25494"/>
    <cellStyle name="Normal 2 2 3 3 3 7" xfId="10353"/>
    <cellStyle name="Normal 2 2 3 3 3 8" xfId="25489"/>
    <cellStyle name="Normal 2 2 3 3 3_LNG &amp; LPG rework" xfId="9328"/>
    <cellStyle name="Normal 2 2 3 3 4" xfId="2147"/>
    <cellStyle name="Normal 2 2 3 3 4 2" xfId="3017"/>
    <cellStyle name="Normal 2 2 3 3 4 2 2" xfId="13223"/>
    <cellStyle name="Normal 2 2 3 3 4 2 3" xfId="25496"/>
    <cellStyle name="Normal 2 2 3 3 4 3" xfId="3887"/>
    <cellStyle name="Normal 2 2 3 3 4 3 2" xfId="13224"/>
    <cellStyle name="Normal 2 2 3 3 4 3 3" xfId="25497"/>
    <cellStyle name="Normal 2 2 3 3 4 4" xfId="4765"/>
    <cellStyle name="Normal 2 2 3 3 4 4 2" xfId="13225"/>
    <cellStyle name="Normal 2 2 3 3 4 4 3" xfId="25498"/>
    <cellStyle name="Normal 2 2 3 3 4 5" xfId="6030"/>
    <cellStyle name="Normal 2 2 3 3 4 5 2" xfId="13226"/>
    <cellStyle name="Normal 2 2 3 3 4 5 3" xfId="25499"/>
    <cellStyle name="Normal 2 2 3 3 4 6" xfId="13222"/>
    <cellStyle name="Normal 2 2 3 3 4 7" xfId="25495"/>
    <cellStyle name="Normal 2 2 3 3 4_LNG &amp; LPG rework" xfId="9329"/>
    <cellStyle name="Normal 2 2 3 3 5" xfId="2331"/>
    <cellStyle name="Normal 2 2 3 3 5 2" xfId="3190"/>
    <cellStyle name="Normal 2 2 3 3 5 2 2" xfId="13228"/>
    <cellStyle name="Normal 2 2 3 3 5 2 3" xfId="25501"/>
    <cellStyle name="Normal 2 2 3 3 5 3" xfId="4056"/>
    <cellStyle name="Normal 2 2 3 3 5 3 2" xfId="13229"/>
    <cellStyle name="Normal 2 2 3 3 5 3 3" xfId="25502"/>
    <cellStyle name="Normal 2 2 3 3 5 4" xfId="4935"/>
    <cellStyle name="Normal 2 2 3 3 5 4 2" xfId="13230"/>
    <cellStyle name="Normal 2 2 3 3 5 4 3" xfId="25503"/>
    <cellStyle name="Normal 2 2 3 3 5 5" xfId="6200"/>
    <cellStyle name="Normal 2 2 3 3 5 5 2" xfId="13231"/>
    <cellStyle name="Normal 2 2 3 3 5 5 3" xfId="25504"/>
    <cellStyle name="Normal 2 2 3 3 5 6" xfId="13227"/>
    <cellStyle name="Normal 2 2 3 3 5 7" xfId="25500"/>
    <cellStyle name="Normal 2 2 3 3 5_LNG &amp; LPG rework" xfId="9330"/>
    <cellStyle name="Normal 2 2 3 3 6" xfId="2512"/>
    <cellStyle name="Normal 2 2 3 3 6 2" xfId="13232"/>
    <cellStyle name="Normal 2 2 3 3 6 3" xfId="25505"/>
    <cellStyle name="Normal 2 2 3 3 7" xfId="3375"/>
    <cellStyle name="Normal 2 2 3 3 7 2" xfId="13233"/>
    <cellStyle name="Normal 2 2 3 3 7 3" xfId="25506"/>
    <cellStyle name="Normal 2 2 3 3 8" xfId="4243"/>
    <cellStyle name="Normal 2 2 3 3 8 2" xfId="13234"/>
    <cellStyle name="Normal 2 2 3 3 8 3" xfId="25507"/>
    <cellStyle name="Normal 2 2 3 3 9" xfId="5136"/>
    <cellStyle name="Normal 2 2 3 3 9 2" xfId="13235"/>
    <cellStyle name="Normal 2 2 3 3 9 3" xfId="25508"/>
    <cellStyle name="Normal 2 2 3 3_LNG &amp; LPG rework" xfId="9324"/>
    <cellStyle name="Normal 2 2 3 4" xfId="1527"/>
    <cellStyle name="Normal 2 2 3 4 10" xfId="25509"/>
    <cellStyle name="Normal 2 2 3 4 2" xfId="1874"/>
    <cellStyle name="Normal 2 2 3 4 2 2" xfId="2764"/>
    <cellStyle name="Normal 2 2 3 4 2 2 2" xfId="13236"/>
    <cellStyle name="Normal 2 2 3 4 2 2 3" xfId="25511"/>
    <cellStyle name="Normal 2 2 3 4 2 3" xfId="3628"/>
    <cellStyle name="Normal 2 2 3 4 2 3 2" xfId="13237"/>
    <cellStyle name="Normal 2 2 3 4 2 3 3" xfId="25512"/>
    <cellStyle name="Normal 2 2 3 4 2 4" xfId="4503"/>
    <cellStyle name="Normal 2 2 3 4 2 4 2" xfId="13238"/>
    <cellStyle name="Normal 2 2 3 4 2 4 3" xfId="25513"/>
    <cellStyle name="Normal 2 2 3 4 2 5" xfId="5141"/>
    <cellStyle name="Normal 2 2 3 4 2 5 2" xfId="13239"/>
    <cellStyle name="Normal 2 2 3 4 2 5 3" xfId="25514"/>
    <cellStyle name="Normal 2 2 3 4 2 6" xfId="5768"/>
    <cellStyle name="Normal 2 2 3 4 2 6 2" xfId="13240"/>
    <cellStyle name="Normal 2 2 3 4 2 6 3" xfId="25515"/>
    <cellStyle name="Normal 2 2 3 4 2 7" xfId="10355"/>
    <cellStyle name="Normal 2 2 3 4 2 8" xfId="25510"/>
    <cellStyle name="Normal 2 2 3 4 2_LNG &amp; LPG rework" xfId="9332"/>
    <cellStyle name="Normal 2 2 3 4 3" xfId="2149"/>
    <cellStyle name="Normal 2 2 3 4 3 2" xfId="3019"/>
    <cellStyle name="Normal 2 2 3 4 3 2 2" xfId="13242"/>
    <cellStyle name="Normal 2 2 3 4 3 2 3" xfId="25517"/>
    <cellStyle name="Normal 2 2 3 4 3 3" xfId="3889"/>
    <cellStyle name="Normal 2 2 3 4 3 3 2" xfId="13243"/>
    <cellStyle name="Normal 2 2 3 4 3 3 3" xfId="25518"/>
    <cellStyle name="Normal 2 2 3 4 3 4" xfId="4767"/>
    <cellStyle name="Normal 2 2 3 4 3 4 2" xfId="13244"/>
    <cellStyle name="Normal 2 2 3 4 3 4 3" xfId="25519"/>
    <cellStyle name="Normal 2 2 3 4 3 5" xfId="6032"/>
    <cellStyle name="Normal 2 2 3 4 3 5 2" xfId="13245"/>
    <cellStyle name="Normal 2 2 3 4 3 5 3" xfId="25520"/>
    <cellStyle name="Normal 2 2 3 4 3 6" xfId="13241"/>
    <cellStyle name="Normal 2 2 3 4 3 7" xfId="25516"/>
    <cellStyle name="Normal 2 2 3 4 3_LNG &amp; LPG rework" xfId="9333"/>
    <cellStyle name="Normal 2 2 3 4 4" xfId="2514"/>
    <cellStyle name="Normal 2 2 3 4 4 2" xfId="13246"/>
    <cellStyle name="Normal 2 2 3 4 4 3" xfId="25521"/>
    <cellStyle name="Normal 2 2 3 4 5" xfId="3377"/>
    <cellStyle name="Normal 2 2 3 4 5 2" xfId="13247"/>
    <cellStyle name="Normal 2 2 3 4 5 3" xfId="25522"/>
    <cellStyle name="Normal 2 2 3 4 6" xfId="4245"/>
    <cellStyle name="Normal 2 2 3 4 6 2" xfId="13248"/>
    <cellStyle name="Normal 2 2 3 4 6 3" xfId="25523"/>
    <cellStyle name="Normal 2 2 3 4 7" xfId="5140"/>
    <cellStyle name="Normal 2 2 3 4 7 2" xfId="13249"/>
    <cellStyle name="Normal 2 2 3 4 7 3" xfId="25524"/>
    <cellStyle name="Normal 2 2 3 4 8" xfId="5507"/>
    <cellStyle name="Normal 2 2 3 4 8 2" xfId="13250"/>
    <cellStyle name="Normal 2 2 3 4 8 3" xfId="25525"/>
    <cellStyle name="Normal 2 2 3 4 9" xfId="10354"/>
    <cellStyle name="Normal 2 2 3 4_LNG &amp; LPG rework" xfId="9331"/>
    <cellStyle name="Normal 2 2 3 5" xfId="1867"/>
    <cellStyle name="Normal 2 2 3 5 2" xfId="2757"/>
    <cellStyle name="Normal 2 2 3 5 2 2" xfId="13251"/>
    <cellStyle name="Normal 2 2 3 5 2 3" xfId="25527"/>
    <cellStyle name="Normal 2 2 3 5 3" xfId="3621"/>
    <cellStyle name="Normal 2 2 3 5 3 2" xfId="13252"/>
    <cellStyle name="Normal 2 2 3 5 3 3" xfId="25528"/>
    <cellStyle name="Normal 2 2 3 5 4" xfId="4496"/>
    <cellStyle name="Normal 2 2 3 5 4 2" xfId="13253"/>
    <cellStyle name="Normal 2 2 3 5 4 3" xfId="25529"/>
    <cellStyle name="Normal 2 2 3 5 5" xfId="5142"/>
    <cellStyle name="Normal 2 2 3 5 5 2" xfId="13254"/>
    <cellStyle name="Normal 2 2 3 5 5 3" xfId="25530"/>
    <cellStyle name="Normal 2 2 3 5 6" xfId="5761"/>
    <cellStyle name="Normal 2 2 3 5 6 2" xfId="13255"/>
    <cellStyle name="Normal 2 2 3 5 6 3" xfId="25531"/>
    <cellStyle name="Normal 2 2 3 5 7" xfId="10356"/>
    <cellStyle name="Normal 2 2 3 5 8" xfId="25526"/>
    <cellStyle name="Normal 2 2 3 5_LNG &amp; LPG rework" xfId="9334"/>
    <cellStyle name="Normal 2 2 3 6" xfId="2142"/>
    <cellStyle name="Normal 2 2 3 6 2" xfId="3012"/>
    <cellStyle name="Normal 2 2 3 6 2 2" xfId="13257"/>
    <cellStyle name="Normal 2 2 3 6 2 3" xfId="25533"/>
    <cellStyle name="Normal 2 2 3 6 3" xfId="3882"/>
    <cellStyle name="Normal 2 2 3 6 3 2" xfId="13258"/>
    <cellStyle name="Normal 2 2 3 6 3 3" xfId="25534"/>
    <cellStyle name="Normal 2 2 3 6 4" xfId="4760"/>
    <cellStyle name="Normal 2 2 3 6 4 2" xfId="13259"/>
    <cellStyle name="Normal 2 2 3 6 4 3" xfId="25535"/>
    <cellStyle name="Normal 2 2 3 6 5" xfId="6025"/>
    <cellStyle name="Normal 2 2 3 6 5 2" xfId="13260"/>
    <cellStyle name="Normal 2 2 3 6 5 3" xfId="25536"/>
    <cellStyle name="Normal 2 2 3 6 6" xfId="13256"/>
    <cellStyle name="Normal 2 2 3 6 7" xfId="25532"/>
    <cellStyle name="Normal 2 2 3 6_LNG &amp; LPG rework" xfId="9335"/>
    <cellStyle name="Normal 2 2 3 7" xfId="2287"/>
    <cellStyle name="Normal 2 2 3 7 2" xfId="3146"/>
    <cellStyle name="Normal 2 2 3 7 2 2" xfId="13262"/>
    <cellStyle name="Normal 2 2 3 7 2 3" xfId="25538"/>
    <cellStyle name="Normal 2 2 3 7 3" xfId="4012"/>
    <cellStyle name="Normal 2 2 3 7 3 2" xfId="13263"/>
    <cellStyle name="Normal 2 2 3 7 3 3" xfId="25539"/>
    <cellStyle name="Normal 2 2 3 7 4" xfId="4891"/>
    <cellStyle name="Normal 2 2 3 7 4 2" xfId="13264"/>
    <cellStyle name="Normal 2 2 3 7 4 3" xfId="25540"/>
    <cellStyle name="Normal 2 2 3 7 5" xfId="6156"/>
    <cellStyle name="Normal 2 2 3 7 5 2" xfId="13265"/>
    <cellStyle name="Normal 2 2 3 7 5 3" xfId="25541"/>
    <cellStyle name="Normal 2 2 3 7 6" xfId="13261"/>
    <cellStyle name="Normal 2 2 3 7 7" xfId="25537"/>
    <cellStyle name="Normal 2 2 3 7_LNG &amp; LPG rework" xfId="9336"/>
    <cellStyle name="Normal 2 2 3 8" xfId="2507"/>
    <cellStyle name="Normal 2 2 3 8 2" xfId="13266"/>
    <cellStyle name="Normal 2 2 3 8 3" xfId="25542"/>
    <cellStyle name="Normal 2 2 3 9" xfId="3370"/>
    <cellStyle name="Normal 2 2 3 9 2" xfId="13267"/>
    <cellStyle name="Normal 2 2 3 9 3" xfId="25543"/>
    <cellStyle name="Normal 2 2 3_LNG &amp; LPG rework" xfId="9309"/>
    <cellStyle name="Normal 2 2 4" xfId="1528"/>
    <cellStyle name="Normal 2 2 4 10" xfId="5143"/>
    <cellStyle name="Normal 2 2 4 10 2" xfId="13268"/>
    <cellStyle name="Normal 2 2 4 10 3" xfId="25545"/>
    <cellStyle name="Normal 2 2 4 11" xfId="5508"/>
    <cellStyle name="Normal 2 2 4 11 2" xfId="13269"/>
    <cellStyle name="Normal 2 2 4 11 3" xfId="25546"/>
    <cellStyle name="Normal 2 2 4 12" xfId="10357"/>
    <cellStyle name="Normal 2 2 4 13" xfId="25544"/>
    <cellStyle name="Normal 2 2 4 2" xfId="1529"/>
    <cellStyle name="Normal 2 2 4 2 10" xfId="5509"/>
    <cellStyle name="Normal 2 2 4 2 10 2" xfId="13270"/>
    <cellStyle name="Normal 2 2 4 2 10 3" xfId="25548"/>
    <cellStyle name="Normal 2 2 4 2 11" xfId="10358"/>
    <cellStyle name="Normal 2 2 4 2 12" xfId="25547"/>
    <cellStyle name="Normal 2 2 4 2 2" xfId="1530"/>
    <cellStyle name="Normal 2 2 4 2 2 10" xfId="25549"/>
    <cellStyle name="Normal 2 2 4 2 2 2" xfId="1877"/>
    <cellStyle name="Normal 2 2 4 2 2 2 2" xfId="2767"/>
    <cellStyle name="Normal 2 2 4 2 2 2 2 2" xfId="13271"/>
    <cellStyle name="Normal 2 2 4 2 2 2 2 3" xfId="25551"/>
    <cellStyle name="Normal 2 2 4 2 2 2 3" xfId="3631"/>
    <cellStyle name="Normal 2 2 4 2 2 2 3 2" xfId="13272"/>
    <cellStyle name="Normal 2 2 4 2 2 2 3 3" xfId="25552"/>
    <cellStyle name="Normal 2 2 4 2 2 2 4" xfId="4506"/>
    <cellStyle name="Normal 2 2 4 2 2 2 4 2" xfId="13273"/>
    <cellStyle name="Normal 2 2 4 2 2 2 4 3" xfId="25553"/>
    <cellStyle name="Normal 2 2 4 2 2 2 5" xfId="5146"/>
    <cellStyle name="Normal 2 2 4 2 2 2 5 2" xfId="13274"/>
    <cellStyle name="Normal 2 2 4 2 2 2 5 3" xfId="25554"/>
    <cellStyle name="Normal 2 2 4 2 2 2 6" xfId="5771"/>
    <cellStyle name="Normal 2 2 4 2 2 2 6 2" xfId="13275"/>
    <cellStyle name="Normal 2 2 4 2 2 2 6 3" xfId="25555"/>
    <cellStyle name="Normal 2 2 4 2 2 2 7" xfId="10360"/>
    <cellStyle name="Normal 2 2 4 2 2 2 8" xfId="25550"/>
    <cellStyle name="Normal 2 2 4 2 2 2_LNG &amp; LPG rework" xfId="9340"/>
    <cellStyle name="Normal 2 2 4 2 2 3" xfId="2152"/>
    <cellStyle name="Normal 2 2 4 2 2 3 2" xfId="3022"/>
    <cellStyle name="Normal 2 2 4 2 2 3 2 2" xfId="13277"/>
    <cellStyle name="Normal 2 2 4 2 2 3 2 3" xfId="25557"/>
    <cellStyle name="Normal 2 2 4 2 2 3 3" xfId="3892"/>
    <cellStyle name="Normal 2 2 4 2 2 3 3 2" xfId="13278"/>
    <cellStyle name="Normal 2 2 4 2 2 3 3 3" xfId="25558"/>
    <cellStyle name="Normal 2 2 4 2 2 3 4" xfId="4770"/>
    <cellStyle name="Normal 2 2 4 2 2 3 4 2" xfId="13279"/>
    <cellStyle name="Normal 2 2 4 2 2 3 4 3" xfId="25559"/>
    <cellStyle name="Normal 2 2 4 2 2 3 5" xfId="6035"/>
    <cellStyle name="Normal 2 2 4 2 2 3 5 2" xfId="13280"/>
    <cellStyle name="Normal 2 2 4 2 2 3 5 3" xfId="25560"/>
    <cellStyle name="Normal 2 2 4 2 2 3 6" xfId="13276"/>
    <cellStyle name="Normal 2 2 4 2 2 3 7" xfId="25556"/>
    <cellStyle name="Normal 2 2 4 2 2 3_LNG &amp; LPG rework" xfId="9341"/>
    <cellStyle name="Normal 2 2 4 2 2 4" xfId="2517"/>
    <cellStyle name="Normal 2 2 4 2 2 4 2" xfId="13281"/>
    <cellStyle name="Normal 2 2 4 2 2 4 3" xfId="25561"/>
    <cellStyle name="Normal 2 2 4 2 2 5" xfId="3380"/>
    <cellStyle name="Normal 2 2 4 2 2 5 2" xfId="13282"/>
    <cellStyle name="Normal 2 2 4 2 2 5 3" xfId="25562"/>
    <cellStyle name="Normal 2 2 4 2 2 6" xfId="4248"/>
    <cellStyle name="Normal 2 2 4 2 2 6 2" xfId="13283"/>
    <cellStyle name="Normal 2 2 4 2 2 6 3" xfId="25563"/>
    <cellStyle name="Normal 2 2 4 2 2 7" xfId="5145"/>
    <cellStyle name="Normal 2 2 4 2 2 7 2" xfId="13284"/>
    <cellStyle name="Normal 2 2 4 2 2 7 3" xfId="25564"/>
    <cellStyle name="Normal 2 2 4 2 2 8" xfId="5510"/>
    <cellStyle name="Normal 2 2 4 2 2 8 2" xfId="13285"/>
    <cellStyle name="Normal 2 2 4 2 2 8 3" xfId="25565"/>
    <cellStyle name="Normal 2 2 4 2 2 9" xfId="10359"/>
    <cellStyle name="Normal 2 2 4 2 2_LNG &amp; LPG rework" xfId="9339"/>
    <cellStyle name="Normal 2 2 4 2 3" xfId="1876"/>
    <cellStyle name="Normal 2 2 4 2 3 2" xfId="2766"/>
    <cellStyle name="Normal 2 2 4 2 3 2 2" xfId="13286"/>
    <cellStyle name="Normal 2 2 4 2 3 2 3" xfId="25567"/>
    <cellStyle name="Normal 2 2 4 2 3 3" xfId="3630"/>
    <cellStyle name="Normal 2 2 4 2 3 3 2" xfId="13287"/>
    <cellStyle name="Normal 2 2 4 2 3 3 3" xfId="25568"/>
    <cellStyle name="Normal 2 2 4 2 3 4" xfId="4505"/>
    <cellStyle name="Normal 2 2 4 2 3 4 2" xfId="13288"/>
    <cellStyle name="Normal 2 2 4 2 3 4 3" xfId="25569"/>
    <cellStyle name="Normal 2 2 4 2 3 5" xfId="5147"/>
    <cellStyle name="Normal 2 2 4 2 3 5 2" xfId="13289"/>
    <cellStyle name="Normal 2 2 4 2 3 5 3" xfId="25570"/>
    <cellStyle name="Normal 2 2 4 2 3 6" xfId="5770"/>
    <cellStyle name="Normal 2 2 4 2 3 6 2" xfId="13290"/>
    <cellStyle name="Normal 2 2 4 2 3 6 3" xfId="25571"/>
    <cellStyle name="Normal 2 2 4 2 3 7" xfId="10361"/>
    <cellStyle name="Normal 2 2 4 2 3 8" xfId="25566"/>
    <cellStyle name="Normal 2 2 4 2 3_LNG &amp; LPG rework" xfId="9342"/>
    <cellStyle name="Normal 2 2 4 2 4" xfId="2151"/>
    <cellStyle name="Normal 2 2 4 2 4 2" xfId="3021"/>
    <cellStyle name="Normal 2 2 4 2 4 2 2" xfId="13292"/>
    <cellStyle name="Normal 2 2 4 2 4 2 3" xfId="25573"/>
    <cellStyle name="Normal 2 2 4 2 4 3" xfId="3891"/>
    <cellStyle name="Normal 2 2 4 2 4 3 2" xfId="13293"/>
    <cellStyle name="Normal 2 2 4 2 4 3 3" xfId="25574"/>
    <cellStyle name="Normal 2 2 4 2 4 4" xfId="4769"/>
    <cellStyle name="Normal 2 2 4 2 4 4 2" xfId="13294"/>
    <cellStyle name="Normal 2 2 4 2 4 4 3" xfId="25575"/>
    <cellStyle name="Normal 2 2 4 2 4 5" xfId="6034"/>
    <cellStyle name="Normal 2 2 4 2 4 5 2" xfId="13295"/>
    <cellStyle name="Normal 2 2 4 2 4 5 3" xfId="25576"/>
    <cellStyle name="Normal 2 2 4 2 4 6" xfId="13291"/>
    <cellStyle name="Normal 2 2 4 2 4 7" xfId="25572"/>
    <cellStyle name="Normal 2 2 4 2 4_LNG &amp; LPG rework" xfId="9343"/>
    <cellStyle name="Normal 2 2 4 2 5" xfId="2340"/>
    <cellStyle name="Normal 2 2 4 2 5 2" xfId="3199"/>
    <cellStyle name="Normal 2 2 4 2 5 2 2" xfId="13297"/>
    <cellStyle name="Normal 2 2 4 2 5 2 3" xfId="25578"/>
    <cellStyle name="Normal 2 2 4 2 5 3" xfId="4065"/>
    <cellStyle name="Normal 2 2 4 2 5 3 2" xfId="13298"/>
    <cellStyle name="Normal 2 2 4 2 5 3 3" xfId="25579"/>
    <cellStyle name="Normal 2 2 4 2 5 4" xfId="4944"/>
    <cellStyle name="Normal 2 2 4 2 5 4 2" xfId="13299"/>
    <cellStyle name="Normal 2 2 4 2 5 4 3" xfId="25580"/>
    <cellStyle name="Normal 2 2 4 2 5 5" xfId="6209"/>
    <cellStyle name="Normal 2 2 4 2 5 5 2" xfId="13300"/>
    <cellStyle name="Normal 2 2 4 2 5 5 3" xfId="25581"/>
    <cellStyle name="Normal 2 2 4 2 5 6" xfId="13296"/>
    <cellStyle name="Normal 2 2 4 2 5 7" xfId="25577"/>
    <cellStyle name="Normal 2 2 4 2 5_LNG &amp; LPG rework" xfId="9344"/>
    <cellStyle name="Normal 2 2 4 2 6" xfId="2516"/>
    <cellStyle name="Normal 2 2 4 2 6 2" xfId="13301"/>
    <cellStyle name="Normal 2 2 4 2 6 3" xfId="25582"/>
    <cellStyle name="Normal 2 2 4 2 7" xfId="3379"/>
    <cellStyle name="Normal 2 2 4 2 7 2" xfId="13302"/>
    <cellStyle name="Normal 2 2 4 2 7 3" xfId="25583"/>
    <cellStyle name="Normal 2 2 4 2 8" xfId="4247"/>
    <cellStyle name="Normal 2 2 4 2 8 2" xfId="13303"/>
    <cellStyle name="Normal 2 2 4 2 8 3" xfId="25584"/>
    <cellStyle name="Normal 2 2 4 2 9" xfId="5144"/>
    <cellStyle name="Normal 2 2 4 2 9 2" xfId="13304"/>
    <cellStyle name="Normal 2 2 4 2 9 3" xfId="25585"/>
    <cellStyle name="Normal 2 2 4 2_LNG &amp; LPG rework" xfId="9338"/>
    <cellStyle name="Normal 2 2 4 3" xfId="1531"/>
    <cellStyle name="Normal 2 2 4 3 10" xfId="25586"/>
    <cellStyle name="Normal 2 2 4 3 2" xfId="1878"/>
    <cellStyle name="Normal 2 2 4 3 2 2" xfId="2768"/>
    <cellStyle name="Normal 2 2 4 3 2 2 2" xfId="13305"/>
    <cellStyle name="Normal 2 2 4 3 2 2 3" xfId="25588"/>
    <cellStyle name="Normal 2 2 4 3 2 3" xfId="3632"/>
    <cellStyle name="Normal 2 2 4 3 2 3 2" xfId="13306"/>
    <cellStyle name="Normal 2 2 4 3 2 3 3" xfId="25589"/>
    <cellStyle name="Normal 2 2 4 3 2 4" xfId="4507"/>
    <cellStyle name="Normal 2 2 4 3 2 4 2" xfId="13307"/>
    <cellStyle name="Normal 2 2 4 3 2 4 3" xfId="25590"/>
    <cellStyle name="Normal 2 2 4 3 2 5" xfId="5149"/>
    <cellStyle name="Normal 2 2 4 3 2 5 2" xfId="13308"/>
    <cellStyle name="Normal 2 2 4 3 2 5 3" xfId="25591"/>
    <cellStyle name="Normal 2 2 4 3 2 6" xfId="5772"/>
    <cellStyle name="Normal 2 2 4 3 2 6 2" xfId="13309"/>
    <cellStyle name="Normal 2 2 4 3 2 6 3" xfId="25592"/>
    <cellStyle name="Normal 2 2 4 3 2 7" xfId="10363"/>
    <cellStyle name="Normal 2 2 4 3 2 8" xfId="25587"/>
    <cellStyle name="Normal 2 2 4 3 2_LNG &amp; LPG rework" xfId="9346"/>
    <cellStyle name="Normal 2 2 4 3 3" xfId="2153"/>
    <cellStyle name="Normal 2 2 4 3 3 2" xfId="3023"/>
    <cellStyle name="Normal 2 2 4 3 3 2 2" xfId="13311"/>
    <cellStyle name="Normal 2 2 4 3 3 2 3" xfId="25594"/>
    <cellStyle name="Normal 2 2 4 3 3 3" xfId="3893"/>
    <cellStyle name="Normal 2 2 4 3 3 3 2" xfId="13312"/>
    <cellStyle name="Normal 2 2 4 3 3 3 3" xfId="25595"/>
    <cellStyle name="Normal 2 2 4 3 3 4" xfId="4771"/>
    <cellStyle name="Normal 2 2 4 3 3 4 2" xfId="13313"/>
    <cellStyle name="Normal 2 2 4 3 3 4 3" xfId="25596"/>
    <cellStyle name="Normal 2 2 4 3 3 5" xfId="6036"/>
    <cellStyle name="Normal 2 2 4 3 3 5 2" xfId="13314"/>
    <cellStyle name="Normal 2 2 4 3 3 5 3" xfId="25597"/>
    <cellStyle name="Normal 2 2 4 3 3 6" xfId="13310"/>
    <cellStyle name="Normal 2 2 4 3 3 7" xfId="25593"/>
    <cellStyle name="Normal 2 2 4 3 3_LNG &amp; LPG rework" xfId="9347"/>
    <cellStyle name="Normal 2 2 4 3 4" xfId="2518"/>
    <cellStyle name="Normal 2 2 4 3 4 2" xfId="13315"/>
    <cellStyle name="Normal 2 2 4 3 4 3" xfId="25598"/>
    <cellStyle name="Normal 2 2 4 3 5" xfId="3381"/>
    <cellStyle name="Normal 2 2 4 3 5 2" xfId="13316"/>
    <cellStyle name="Normal 2 2 4 3 5 3" xfId="25599"/>
    <cellStyle name="Normal 2 2 4 3 6" xfId="4249"/>
    <cellStyle name="Normal 2 2 4 3 6 2" xfId="13317"/>
    <cellStyle name="Normal 2 2 4 3 6 3" xfId="25600"/>
    <cellStyle name="Normal 2 2 4 3 7" xfId="5148"/>
    <cellStyle name="Normal 2 2 4 3 7 2" xfId="13318"/>
    <cellStyle name="Normal 2 2 4 3 7 3" xfId="25601"/>
    <cellStyle name="Normal 2 2 4 3 8" xfId="5511"/>
    <cellStyle name="Normal 2 2 4 3 8 2" xfId="13319"/>
    <cellStyle name="Normal 2 2 4 3 8 3" xfId="25602"/>
    <cellStyle name="Normal 2 2 4 3 9" xfId="10362"/>
    <cellStyle name="Normal 2 2 4 3_LNG &amp; LPG rework" xfId="9345"/>
    <cellStyle name="Normal 2 2 4 4" xfId="1875"/>
    <cellStyle name="Normal 2 2 4 4 2" xfId="2765"/>
    <cellStyle name="Normal 2 2 4 4 2 2" xfId="13320"/>
    <cellStyle name="Normal 2 2 4 4 2 3" xfId="25604"/>
    <cellStyle name="Normal 2 2 4 4 3" xfId="3629"/>
    <cellStyle name="Normal 2 2 4 4 3 2" xfId="13321"/>
    <cellStyle name="Normal 2 2 4 4 3 3" xfId="25605"/>
    <cellStyle name="Normal 2 2 4 4 4" xfId="4504"/>
    <cellStyle name="Normal 2 2 4 4 4 2" xfId="13322"/>
    <cellStyle name="Normal 2 2 4 4 4 3" xfId="25606"/>
    <cellStyle name="Normal 2 2 4 4 5" xfId="5150"/>
    <cellStyle name="Normal 2 2 4 4 5 2" xfId="13323"/>
    <cellStyle name="Normal 2 2 4 4 5 3" xfId="25607"/>
    <cellStyle name="Normal 2 2 4 4 6" xfId="5769"/>
    <cellStyle name="Normal 2 2 4 4 6 2" xfId="13324"/>
    <cellStyle name="Normal 2 2 4 4 6 3" xfId="25608"/>
    <cellStyle name="Normal 2 2 4 4 7" xfId="10364"/>
    <cellStyle name="Normal 2 2 4 4 8" xfId="25603"/>
    <cellStyle name="Normal 2 2 4 4_LNG &amp; LPG rework" xfId="9348"/>
    <cellStyle name="Normal 2 2 4 5" xfId="2150"/>
    <cellStyle name="Normal 2 2 4 5 2" xfId="3020"/>
    <cellStyle name="Normal 2 2 4 5 2 2" xfId="13326"/>
    <cellStyle name="Normal 2 2 4 5 2 3" xfId="25610"/>
    <cellStyle name="Normal 2 2 4 5 3" xfId="3890"/>
    <cellStyle name="Normal 2 2 4 5 3 2" xfId="13327"/>
    <cellStyle name="Normal 2 2 4 5 3 3" xfId="25611"/>
    <cellStyle name="Normal 2 2 4 5 4" xfId="4768"/>
    <cellStyle name="Normal 2 2 4 5 4 2" xfId="13328"/>
    <cellStyle name="Normal 2 2 4 5 4 3" xfId="25612"/>
    <cellStyle name="Normal 2 2 4 5 5" xfId="6033"/>
    <cellStyle name="Normal 2 2 4 5 5 2" xfId="13329"/>
    <cellStyle name="Normal 2 2 4 5 5 3" xfId="25613"/>
    <cellStyle name="Normal 2 2 4 5 6" xfId="13325"/>
    <cellStyle name="Normal 2 2 4 5 7" xfId="25609"/>
    <cellStyle name="Normal 2 2 4 5_LNG &amp; LPG rework" xfId="9349"/>
    <cellStyle name="Normal 2 2 4 6" xfId="2296"/>
    <cellStyle name="Normal 2 2 4 6 2" xfId="3155"/>
    <cellStyle name="Normal 2 2 4 6 2 2" xfId="13331"/>
    <cellStyle name="Normal 2 2 4 6 2 3" xfId="25615"/>
    <cellStyle name="Normal 2 2 4 6 3" xfId="4021"/>
    <cellStyle name="Normal 2 2 4 6 3 2" xfId="13332"/>
    <cellStyle name="Normal 2 2 4 6 3 3" xfId="25616"/>
    <cellStyle name="Normal 2 2 4 6 4" xfId="4900"/>
    <cellStyle name="Normal 2 2 4 6 4 2" xfId="13333"/>
    <cellStyle name="Normal 2 2 4 6 4 3" xfId="25617"/>
    <cellStyle name="Normal 2 2 4 6 5" xfId="6165"/>
    <cellStyle name="Normal 2 2 4 6 5 2" xfId="13334"/>
    <cellStyle name="Normal 2 2 4 6 5 3" xfId="25618"/>
    <cellStyle name="Normal 2 2 4 6 6" xfId="13330"/>
    <cellStyle name="Normal 2 2 4 6 7" xfId="25614"/>
    <cellStyle name="Normal 2 2 4 6_LNG &amp; LPG rework" xfId="9350"/>
    <cellStyle name="Normal 2 2 4 7" xfId="2515"/>
    <cellStyle name="Normal 2 2 4 7 2" xfId="13335"/>
    <cellStyle name="Normal 2 2 4 7 3" xfId="25619"/>
    <cellStyle name="Normal 2 2 4 8" xfId="3378"/>
    <cellStyle name="Normal 2 2 4 8 2" xfId="13336"/>
    <cellStyle name="Normal 2 2 4 8 3" xfId="25620"/>
    <cellStyle name="Normal 2 2 4 9" xfId="4246"/>
    <cellStyle name="Normal 2 2 4 9 2" xfId="13337"/>
    <cellStyle name="Normal 2 2 4 9 3" xfId="25621"/>
    <cellStyle name="Normal 2 2 4_LNG &amp; LPG rework" xfId="9337"/>
    <cellStyle name="Normal 2 2 5" xfId="1532"/>
    <cellStyle name="Normal 2 2 5 10" xfId="5512"/>
    <cellStyle name="Normal 2 2 5 10 2" xfId="13338"/>
    <cellStyle name="Normal 2 2 5 10 3" xfId="25623"/>
    <cellStyle name="Normal 2 2 5 11" xfId="10365"/>
    <cellStyle name="Normal 2 2 5 12" xfId="25622"/>
    <cellStyle name="Normal 2 2 5 2" xfId="1533"/>
    <cellStyle name="Normal 2 2 5 2 10" xfId="25624"/>
    <cellStyle name="Normal 2 2 5 2 2" xfId="1880"/>
    <cellStyle name="Normal 2 2 5 2 2 2" xfId="2770"/>
    <cellStyle name="Normal 2 2 5 2 2 2 2" xfId="13339"/>
    <cellStyle name="Normal 2 2 5 2 2 2 3" xfId="25626"/>
    <cellStyle name="Normal 2 2 5 2 2 3" xfId="3634"/>
    <cellStyle name="Normal 2 2 5 2 2 3 2" xfId="13340"/>
    <cellStyle name="Normal 2 2 5 2 2 3 3" xfId="25627"/>
    <cellStyle name="Normal 2 2 5 2 2 4" xfId="4509"/>
    <cellStyle name="Normal 2 2 5 2 2 4 2" xfId="13341"/>
    <cellStyle name="Normal 2 2 5 2 2 4 3" xfId="25628"/>
    <cellStyle name="Normal 2 2 5 2 2 5" xfId="5153"/>
    <cellStyle name="Normal 2 2 5 2 2 5 2" xfId="13342"/>
    <cellStyle name="Normal 2 2 5 2 2 5 3" xfId="25629"/>
    <cellStyle name="Normal 2 2 5 2 2 6" xfId="5774"/>
    <cellStyle name="Normal 2 2 5 2 2 6 2" xfId="13343"/>
    <cellStyle name="Normal 2 2 5 2 2 6 3" xfId="25630"/>
    <cellStyle name="Normal 2 2 5 2 2 7" xfId="10367"/>
    <cellStyle name="Normal 2 2 5 2 2 8" xfId="25625"/>
    <cellStyle name="Normal 2 2 5 2 2_LNG &amp; LPG rework" xfId="9353"/>
    <cellStyle name="Normal 2 2 5 2 3" xfId="2155"/>
    <cellStyle name="Normal 2 2 5 2 3 2" xfId="3025"/>
    <cellStyle name="Normal 2 2 5 2 3 2 2" xfId="13345"/>
    <cellStyle name="Normal 2 2 5 2 3 2 3" xfId="25632"/>
    <cellStyle name="Normal 2 2 5 2 3 3" xfId="3895"/>
    <cellStyle name="Normal 2 2 5 2 3 3 2" xfId="13346"/>
    <cellStyle name="Normal 2 2 5 2 3 3 3" xfId="25633"/>
    <cellStyle name="Normal 2 2 5 2 3 4" xfId="4773"/>
    <cellStyle name="Normal 2 2 5 2 3 4 2" xfId="13347"/>
    <cellStyle name="Normal 2 2 5 2 3 4 3" xfId="25634"/>
    <cellStyle name="Normal 2 2 5 2 3 5" xfId="6038"/>
    <cellStyle name="Normal 2 2 5 2 3 5 2" xfId="13348"/>
    <cellStyle name="Normal 2 2 5 2 3 5 3" xfId="25635"/>
    <cellStyle name="Normal 2 2 5 2 3 6" xfId="13344"/>
    <cellStyle name="Normal 2 2 5 2 3 7" xfId="25631"/>
    <cellStyle name="Normal 2 2 5 2 3_LNG &amp; LPG rework" xfId="9354"/>
    <cellStyle name="Normal 2 2 5 2 4" xfId="2520"/>
    <cellStyle name="Normal 2 2 5 2 4 2" xfId="13349"/>
    <cellStyle name="Normal 2 2 5 2 4 3" xfId="25636"/>
    <cellStyle name="Normal 2 2 5 2 5" xfId="3383"/>
    <cellStyle name="Normal 2 2 5 2 5 2" xfId="13350"/>
    <cellStyle name="Normal 2 2 5 2 5 3" xfId="25637"/>
    <cellStyle name="Normal 2 2 5 2 6" xfId="4251"/>
    <cellStyle name="Normal 2 2 5 2 6 2" xfId="13351"/>
    <cellStyle name="Normal 2 2 5 2 6 3" xfId="25638"/>
    <cellStyle name="Normal 2 2 5 2 7" xfId="5152"/>
    <cellStyle name="Normal 2 2 5 2 7 2" xfId="13352"/>
    <cellStyle name="Normal 2 2 5 2 7 3" xfId="25639"/>
    <cellStyle name="Normal 2 2 5 2 8" xfId="5513"/>
    <cellStyle name="Normal 2 2 5 2 8 2" xfId="13353"/>
    <cellStyle name="Normal 2 2 5 2 8 3" xfId="25640"/>
    <cellStyle name="Normal 2 2 5 2 9" xfId="10366"/>
    <cellStyle name="Normal 2 2 5 2_LNG &amp; LPG rework" xfId="9352"/>
    <cellStyle name="Normal 2 2 5 3" xfId="1879"/>
    <cellStyle name="Normal 2 2 5 3 2" xfId="2769"/>
    <cellStyle name="Normal 2 2 5 3 2 2" xfId="13354"/>
    <cellStyle name="Normal 2 2 5 3 2 3" xfId="25642"/>
    <cellStyle name="Normal 2 2 5 3 3" xfId="3633"/>
    <cellStyle name="Normal 2 2 5 3 3 2" xfId="13355"/>
    <cellStyle name="Normal 2 2 5 3 3 3" xfId="25643"/>
    <cellStyle name="Normal 2 2 5 3 4" xfId="4508"/>
    <cellStyle name="Normal 2 2 5 3 4 2" xfId="13356"/>
    <cellStyle name="Normal 2 2 5 3 4 3" xfId="25644"/>
    <cellStyle name="Normal 2 2 5 3 5" xfId="5154"/>
    <cellStyle name="Normal 2 2 5 3 5 2" xfId="13357"/>
    <cellStyle name="Normal 2 2 5 3 5 3" xfId="25645"/>
    <cellStyle name="Normal 2 2 5 3 6" xfId="5773"/>
    <cellStyle name="Normal 2 2 5 3 6 2" xfId="13358"/>
    <cellStyle name="Normal 2 2 5 3 6 3" xfId="25646"/>
    <cellStyle name="Normal 2 2 5 3 7" xfId="10368"/>
    <cellStyle name="Normal 2 2 5 3 8" xfId="25641"/>
    <cellStyle name="Normal 2 2 5 3_LNG &amp; LPG rework" xfId="9355"/>
    <cellStyle name="Normal 2 2 5 4" xfId="2154"/>
    <cellStyle name="Normal 2 2 5 4 2" xfId="3024"/>
    <cellStyle name="Normal 2 2 5 4 2 2" xfId="13360"/>
    <cellStyle name="Normal 2 2 5 4 2 3" xfId="25648"/>
    <cellStyle name="Normal 2 2 5 4 3" xfId="3894"/>
    <cellStyle name="Normal 2 2 5 4 3 2" xfId="13361"/>
    <cellStyle name="Normal 2 2 5 4 3 3" xfId="25649"/>
    <cellStyle name="Normal 2 2 5 4 4" xfId="4772"/>
    <cellStyle name="Normal 2 2 5 4 4 2" xfId="13362"/>
    <cellStyle name="Normal 2 2 5 4 4 3" xfId="25650"/>
    <cellStyle name="Normal 2 2 5 4 5" xfId="6037"/>
    <cellStyle name="Normal 2 2 5 4 5 2" xfId="13363"/>
    <cellStyle name="Normal 2 2 5 4 5 3" xfId="25651"/>
    <cellStyle name="Normal 2 2 5 4 6" xfId="13359"/>
    <cellStyle name="Normal 2 2 5 4 7" xfId="25647"/>
    <cellStyle name="Normal 2 2 5 4_LNG &amp; LPG rework" xfId="9356"/>
    <cellStyle name="Normal 2 2 5 5" xfId="2318"/>
    <cellStyle name="Normal 2 2 5 5 2" xfId="3177"/>
    <cellStyle name="Normal 2 2 5 5 2 2" xfId="13365"/>
    <cellStyle name="Normal 2 2 5 5 2 3" xfId="25653"/>
    <cellStyle name="Normal 2 2 5 5 3" xfId="4043"/>
    <cellStyle name="Normal 2 2 5 5 3 2" xfId="13366"/>
    <cellStyle name="Normal 2 2 5 5 3 3" xfId="25654"/>
    <cellStyle name="Normal 2 2 5 5 4" xfId="4922"/>
    <cellStyle name="Normal 2 2 5 5 4 2" xfId="13367"/>
    <cellStyle name="Normal 2 2 5 5 4 3" xfId="25655"/>
    <cellStyle name="Normal 2 2 5 5 5" xfId="6187"/>
    <cellStyle name="Normal 2 2 5 5 5 2" xfId="13368"/>
    <cellStyle name="Normal 2 2 5 5 5 3" xfId="25656"/>
    <cellStyle name="Normal 2 2 5 5 6" xfId="13364"/>
    <cellStyle name="Normal 2 2 5 5 7" xfId="25652"/>
    <cellStyle name="Normal 2 2 5 5_LNG &amp; LPG rework" xfId="9357"/>
    <cellStyle name="Normal 2 2 5 6" xfId="2519"/>
    <cellStyle name="Normal 2 2 5 6 2" xfId="13369"/>
    <cellStyle name="Normal 2 2 5 6 3" xfId="25657"/>
    <cellStyle name="Normal 2 2 5 7" xfId="3382"/>
    <cellStyle name="Normal 2 2 5 7 2" xfId="13370"/>
    <cellStyle name="Normal 2 2 5 7 3" xfId="25658"/>
    <cellStyle name="Normal 2 2 5 8" xfId="4250"/>
    <cellStyle name="Normal 2 2 5 8 2" xfId="13371"/>
    <cellStyle name="Normal 2 2 5 8 3" xfId="25659"/>
    <cellStyle name="Normal 2 2 5 9" xfId="5151"/>
    <cellStyle name="Normal 2 2 5 9 2" xfId="13372"/>
    <cellStyle name="Normal 2 2 5 9 3" xfId="25660"/>
    <cellStyle name="Normal 2 2 5_LNG &amp; LPG rework" xfId="9351"/>
    <cellStyle name="Normal 2 2 6" xfId="1534"/>
    <cellStyle name="Normal 2 2 6 10" xfId="25661"/>
    <cellStyle name="Normal 2 2 6 2" xfId="1881"/>
    <cellStyle name="Normal 2 2 6 2 2" xfId="2771"/>
    <cellStyle name="Normal 2 2 6 2 2 2" xfId="13373"/>
    <cellStyle name="Normal 2 2 6 2 2 3" xfId="25663"/>
    <cellStyle name="Normal 2 2 6 2 3" xfId="3635"/>
    <cellStyle name="Normal 2 2 6 2 3 2" xfId="13374"/>
    <cellStyle name="Normal 2 2 6 2 3 3" xfId="25664"/>
    <cellStyle name="Normal 2 2 6 2 4" xfId="4510"/>
    <cellStyle name="Normal 2 2 6 2 4 2" xfId="13375"/>
    <cellStyle name="Normal 2 2 6 2 4 3" xfId="25665"/>
    <cellStyle name="Normal 2 2 6 2 5" xfId="5156"/>
    <cellStyle name="Normal 2 2 6 2 5 2" xfId="13376"/>
    <cellStyle name="Normal 2 2 6 2 5 3" xfId="25666"/>
    <cellStyle name="Normal 2 2 6 2 6" xfId="5775"/>
    <cellStyle name="Normal 2 2 6 2 6 2" xfId="13377"/>
    <cellStyle name="Normal 2 2 6 2 6 3" xfId="25667"/>
    <cellStyle name="Normal 2 2 6 2 7" xfId="10370"/>
    <cellStyle name="Normal 2 2 6 2 8" xfId="25662"/>
    <cellStyle name="Normal 2 2 6 2_LNG &amp; LPG rework" xfId="9359"/>
    <cellStyle name="Normal 2 2 6 3" xfId="2156"/>
    <cellStyle name="Normal 2 2 6 3 2" xfId="3026"/>
    <cellStyle name="Normal 2 2 6 3 2 2" xfId="13379"/>
    <cellStyle name="Normal 2 2 6 3 2 3" xfId="25669"/>
    <cellStyle name="Normal 2 2 6 3 3" xfId="3896"/>
    <cellStyle name="Normal 2 2 6 3 3 2" xfId="13380"/>
    <cellStyle name="Normal 2 2 6 3 3 3" xfId="25670"/>
    <cellStyle name="Normal 2 2 6 3 4" xfId="4774"/>
    <cellStyle name="Normal 2 2 6 3 4 2" xfId="13381"/>
    <cellStyle name="Normal 2 2 6 3 4 3" xfId="25671"/>
    <cellStyle name="Normal 2 2 6 3 5" xfId="6039"/>
    <cellStyle name="Normal 2 2 6 3 5 2" xfId="13382"/>
    <cellStyle name="Normal 2 2 6 3 5 3" xfId="25672"/>
    <cellStyle name="Normal 2 2 6 3 6" xfId="13378"/>
    <cellStyle name="Normal 2 2 6 3 7" xfId="25668"/>
    <cellStyle name="Normal 2 2 6 3_LNG &amp; LPG rework" xfId="9360"/>
    <cellStyle name="Normal 2 2 6 4" xfId="2521"/>
    <cellStyle name="Normal 2 2 6 4 2" xfId="13383"/>
    <cellStyle name="Normal 2 2 6 4 3" xfId="25673"/>
    <cellStyle name="Normal 2 2 6 5" xfId="3384"/>
    <cellStyle name="Normal 2 2 6 5 2" xfId="13384"/>
    <cellStyle name="Normal 2 2 6 5 3" xfId="25674"/>
    <cellStyle name="Normal 2 2 6 6" xfId="4252"/>
    <cellStyle name="Normal 2 2 6 6 2" xfId="13385"/>
    <cellStyle name="Normal 2 2 6 6 3" xfId="25675"/>
    <cellStyle name="Normal 2 2 6 7" xfId="5155"/>
    <cellStyle name="Normal 2 2 6 7 2" xfId="13386"/>
    <cellStyle name="Normal 2 2 6 7 3" xfId="25676"/>
    <cellStyle name="Normal 2 2 6 8" xfId="5514"/>
    <cellStyle name="Normal 2 2 6 8 2" xfId="13387"/>
    <cellStyle name="Normal 2 2 6 8 3" xfId="25677"/>
    <cellStyle name="Normal 2 2 6 9" xfId="10369"/>
    <cellStyle name="Normal 2 2 6_LNG &amp; LPG rework" xfId="9358"/>
    <cellStyle name="Normal 2 2 7" xfId="1678"/>
    <cellStyle name="Normal 2 2 7 2" xfId="5157"/>
    <cellStyle name="Normal 2 2 7 2 2" xfId="13388"/>
    <cellStyle name="Normal 2 2 7 2 3" xfId="25679"/>
    <cellStyle name="Normal 2 2 7 3" xfId="6240"/>
    <cellStyle name="Normal 2 2 7 3 2" xfId="13389"/>
    <cellStyle name="Normal 2 2 7 3 3" xfId="25680"/>
    <cellStyle name="Normal 2 2 7 4" xfId="10371"/>
    <cellStyle name="Normal 2 2 7 5" xfId="25678"/>
    <cellStyle name="Normal 2 2 7_LNG &amp; LPG rework" xfId="9361"/>
    <cellStyle name="Normal 2 2 8" xfId="2274"/>
    <cellStyle name="Normal 2 2 8 2" xfId="3136"/>
    <cellStyle name="Normal 2 2 8 2 2" xfId="13390"/>
    <cellStyle name="Normal 2 2 8 2 3" xfId="25682"/>
    <cellStyle name="Normal 2 2 8 3" xfId="4003"/>
    <cellStyle name="Normal 2 2 8 3 2" xfId="13391"/>
    <cellStyle name="Normal 2 2 8 3 3" xfId="25683"/>
    <cellStyle name="Normal 2 2 8 4" xfId="4882"/>
    <cellStyle name="Normal 2 2 8 4 2" xfId="13392"/>
    <cellStyle name="Normal 2 2 8 4 3" xfId="25684"/>
    <cellStyle name="Normal 2 2 8 5" xfId="6147"/>
    <cellStyle name="Normal 2 2 8 5 2" xfId="13393"/>
    <cellStyle name="Normal 2 2 8 5 3" xfId="25685"/>
    <cellStyle name="Normal 2 2 8 6" xfId="10340"/>
    <cellStyle name="Normal 2 2 8 7" xfId="25681"/>
    <cellStyle name="Normal 2 2 8_LNG &amp; LPG rework" xfId="9362"/>
    <cellStyle name="Normal 2 2 9" xfId="2360"/>
    <cellStyle name="Normal 2 2 9 2" xfId="3219"/>
    <cellStyle name="Normal 2 2 9 2 2" xfId="13395"/>
    <cellStyle name="Normal 2 2 9 2 3" xfId="25687"/>
    <cellStyle name="Normal 2 2 9 3" xfId="4085"/>
    <cellStyle name="Normal 2 2 9 3 2" xfId="13396"/>
    <cellStyle name="Normal 2 2 9 3 3" xfId="25688"/>
    <cellStyle name="Normal 2 2 9 4" xfId="4964"/>
    <cellStyle name="Normal 2 2 9 4 2" xfId="13397"/>
    <cellStyle name="Normal 2 2 9 4 3" xfId="25689"/>
    <cellStyle name="Normal 2 2 9 5" xfId="6229"/>
    <cellStyle name="Normal 2 2 9 5 2" xfId="13398"/>
    <cellStyle name="Normal 2 2 9 5 3" xfId="25690"/>
    <cellStyle name="Normal 2 2 9 6" xfId="13394"/>
    <cellStyle name="Normal 2 2 9 7" xfId="25686"/>
    <cellStyle name="Normal 2 2 9_LNG &amp; LPG rework" xfId="9363"/>
    <cellStyle name="Normal 2 2_LNG &amp; LPG rework" xfId="9308"/>
    <cellStyle name="Normal 2 3" xfId="1154"/>
    <cellStyle name="Normal 2 3 2" xfId="1535"/>
    <cellStyle name="Normal 2 3 3" xfId="1261"/>
    <cellStyle name="Normal 2 3 4" xfId="34927"/>
    <cellStyle name="Normal 2 4" xfId="1364"/>
    <cellStyle name="Normal 2 4 10" xfId="4116"/>
    <cellStyle name="Normal 2 4 10 2" xfId="13399"/>
    <cellStyle name="Normal 2 4 10 3" xfId="25691"/>
    <cellStyle name="Normal 2 4 11" xfId="5158"/>
    <cellStyle name="Normal 2 4 11 2" xfId="13400"/>
    <cellStyle name="Normal 2 4 11 3" xfId="25692"/>
    <cellStyle name="Normal 2 4 12" xfId="5378"/>
    <cellStyle name="Normal 2 4 12 2" xfId="13401"/>
    <cellStyle name="Normal 2 4 12 3" xfId="25693"/>
    <cellStyle name="Normal 2 4 2" xfId="1444"/>
    <cellStyle name="Normal 2 4 2 2" xfId="1536"/>
    <cellStyle name="Normal 2 4 2 2 10" xfId="5160"/>
    <cellStyle name="Normal 2 4 2 2 10 2" xfId="13402"/>
    <cellStyle name="Normal 2 4 2 2 10 3" xfId="25696"/>
    <cellStyle name="Normal 2 4 2 2 11" xfId="5515"/>
    <cellStyle name="Normal 2 4 2 2 11 2" xfId="13403"/>
    <cellStyle name="Normal 2 4 2 2 11 3" xfId="25697"/>
    <cellStyle name="Normal 2 4 2 2 12" xfId="10373"/>
    <cellStyle name="Normal 2 4 2 2 13" xfId="25695"/>
    <cellStyle name="Normal 2 4 2 2 2" xfId="1537"/>
    <cellStyle name="Normal 2 4 2 2 2 10" xfId="5516"/>
    <cellStyle name="Normal 2 4 2 2 2 10 2" xfId="13404"/>
    <cellStyle name="Normal 2 4 2 2 2 10 3" xfId="25699"/>
    <cellStyle name="Normal 2 4 2 2 2 11" xfId="10374"/>
    <cellStyle name="Normal 2 4 2 2 2 12" xfId="25698"/>
    <cellStyle name="Normal 2 4 2 2 2 2" xfId="1538"/>
    <cellStyle name="Normal 2 4 2 2 2 2 10" xfId="25700"/>
    <cellStyle name="Normal 2 4 2 2 2 2 2" xfId="1884"/>
    <cellStyle name="Normal 2 4 2 2 2 2 2 2" xfId="2774"/>
    <cellStyle name="Normal 2 4 2 2 2 2 2 2 2" xfId="13405"/>
    <cellStyle name="Normal 2 4 2 2 2 2 2 2 3" xfId="25702"/>
    <cellStyle name="Normal 2 4 2 2 2 2 2 3" xfId="3638"/>
    <cellStyle name="Normal 2 4 2 2 2 2 2 3 2" xfId="13406"/>
    <cellStyle name="Normal 2 4 2 2 2 2 2 3 3" xfId="25703"/>
    <cellStyle name="Normal 2 4 2 2 2 2 2 4" xfId="4513"/>
    <cellStyle name="Normal 2 4 2 2 2 2 2 4 2" xfId="13407"/>
    <cellStyle name="Normal 2 4 2 2 2 2 2 4 3" xfId="25704"/>
    <cellStyle name="Normal 2 4 2 2 2 2 2 5" xfId="5163"/>
    <cellStyle name="Normal 2 4 2 2 2 2 2 5 2" xfId="13408"/>
    <cellStyle name="Normal 2 4 2 2 2 2 2 5 3" xfId="25705"/>
    <cellStyle name="Normal 2 4 2 2 2 2 2 6" xfId="5778"/>
    <cellStyle name="Normal 2 4 2 2 2 2 2 6 2" xfId="13409"/>
    <cellStyle name="Normal 2 4 2 2 2 2 2 6 3" xfId="25706"/>
    <cellStyle name="Normal 2 4 2 2 2 2 2 7" xfId="10376"/>
    <cellStyle name="Normal 2 4 2 2 2 2 2 8" xfId="25701"/>
    <cellStyle name="Normal 2 4 2 2 2 2 2_LNG &amp; LPG rework" xfId="9368"/>
    <cellStyle name="Normal 2 4 2 2 2 2 3" xfId="2159"/>
    <cellStyle name="Normal 2 4 2 2 2 2 3 2" xfId="3029"/>
    <cellStyle name="Normal 2 4 2 2 2 2 3 2 2" xfId="13411"/>
    <cellStyle name="Normal 2 4 2 2 2 2 3 2 3" xfId="25708"/>
    <cellStyle name="Normal 2 4 2 2 2 2 3 3" xfId="3899"/>
    <cellStyle name="Normal 2 4 2 2 2 2 3 3 2" xfId="13412"/>
    <cellStyle name="Normal 2 4 2 2 2 2 3 3 3" xfId="25709"/>
    <cellStyle name="Normal 2 4 2 2 2 2 3 4" xfId="4777"/>
    <cellStyle name="Normal 2 4 2 2 2 2 3 4 2" xfId="13413"/>
    <cellStyle name="Normal 2 4 2 2 2 2 3 4 3" xfId="25710"/>
    <cellStyle name="Normal 2 4 2 2 2 2 3 5" xfId="6042"/>
    <cellStyle name="Normal 2 4 2 2 2 2 3 5 2" xfId="13414"/>
    <cellStyle name="Normal 2 4 2 2 2 2 3 5 3" xfId="25711"/>
    <cellStyle name="Normal 2 4 2 2 2 2 3 6" xfId="13410"/>
    <cellStyle name="Normal 2 4 2 2 2 2 3 7" xfId="25707"/>
    <cellStyle name="Normal 2 4 2 2 2 2 3_LNG &amp; LPG rework" xfId="9369"/>
    <cellStyle name="Normal 2 4 2 2 2 2 4" xfId="2524"/>
    <cellStyle name="Normal 2 4 2 2 2 2 4 2" xfId="13415"/>
    <cellStyle name="Normal 2 4 2 2 2 2 4 3" xfId="25712"/>
    <cellStyle name="Normal 2 4 2 2 2 2 5" xfId="3387"/>
    <cellStyle name="Normal 2 4 2 2 2 2 5 2" xfId="13416"/>
    <cellStyle name="Normal 2 4 2 2 2 2 5 3" xfId="25713"/>
    <cellStyle name="Normal 2 4 2 2 2 2 6" xfId="4255"/>
    <cellStyle name="Normal 2 4 2 2 2 2 6 2" xfId="13417"/>
    <cellStyle name="Normal 2 4 2 2 2 2 6 3" xfId="25714"/>
    <cellStyle name="Normal 2 4 2 2 2 2 7" xfId="5162"/>
    <cellStyle name="Normal 2 4 2 2 2 2 7 2" xfId="13418"/>
    <cellStyle name="Normal 2 4 2 2 2 2 7 3" xfId="25715"/>
    <cellStyle name="Normal 2 4 2 2 2 2 8" xfId="5517"/>
    <cellStyle name="Normal 2 4 2 2 2 2 8 2" xfId="13419"/>
    <cellStyle name="Normal 2 4 2 2 2 2 8 3" xfId="25716"/>
    <cellStyle name="Normal 2 4 2 2 2 2 9" xfId="10375"/>
    <cellStyle name="Normal 2 4 2 2 2 2_LNG &amp; LPG rework" xfId="9367"/>
    <cellStyle name="Normal 2 4 2 2 2 3" xfId="1883"/>
    <cellStyle name="Normal 2 4 2 2 2 3 2" xfId="2773"/>
    <cellStyle name="Normal 2 4 2 2 2 3 2 2" xfId="13420"/>
    <cellStyle name="Normal 2 4 2 2 2 3 2 3" xfId="25718"/>
    <cellStyle name="Normal 2 4 2 2 2 3 3" xfId="3637"/>
    <cellStyle name="Normal 2 4 2 2 2 3 3 2" xfId="13421"/>
    <cellStyle name="Normal 2 4 2 2 2 3 3 3" xfId="25719"/>
    <cellStyle name="Normal 2 4 2 2 2 3 4" xfId="4512"/>
    <cellStyle name="Normal 2 4 2 2 2 3 4 2" xfId="13422"/>
    <cellStyle name="Normal 2 4 2 2 2 3 4 3" xfId="25720"/>
    <cellStyle name="Normal 2 4 2 2 2 3 5" xfId="5164"/>
    <cellStyle name="Normal 2 4 2 2 2 3 5 2" xfId="13423"/>
    <cellStyle name="Normal 2 4 2 2 2 3 5 3" xfId="25721"/>
    <cellStyle name="Normal 2 4 2 2 2 3 6" xfId="5777"/>
    <cellStyle name="Normal 2 4 2 2 2 3 6 2" xfId="13424"/>
    <cellStyle name="Normal 2 4 2 2 2 3 6 3" xfId="25722"/>
    <cellStyle name="Normal 2 4 2 2 2 3 7" xfId="10377"/>
    <cellStyle name="Normal 2 4 2 2 2 3 8" xfId="25717"/>
    <cellStyle name="Normal 2 4 2 2 2 3_LNG &amp; LPG rework" xfId="9370"/>
    <cellStyle name="Normal 2 4 2 2 2 4" xfId="2158"/>
    <cellStyle name="Normal 2 4 2 2 2 4 2" xfId="3028"/>
    <cellStyle name="Normal 2 4 2 2 2 4 2 2" xfId="13426"/>
    <cellStyle name="Normal 2 4 2 2 2 4 2 3" xfId="25724"/>
    <cellStyle name="Normal 2 4 2 2 2 4 3" xfId="3898"/>
    <cellStyle name="Normal 2 4 2 2 2 4 3 2" xfId="13427"/>
    <cellStyle name="Normal 2 4 2 2 2 4 3 3" xfId="25725"/>
    <cellStyle name="Normal 2 4 2 2 2 4 4" xfId="4776"/>
    <cellStyle name="Normal 2 4 2 2 2 4 4 2" xfId="13428"/>
    <cellStyle name="Normal 2 4 2 2 2 4 4 3" xfId="25726"/>
    <cellStyle name="Normal 2 4 2 2 2 4 5" xfId="6041"/>
    <cellStyle name="Normal 2 4 2 2 2 4 5 2" xfId="13429"/>
    <cellStyle name="Normal 2 4 2 2 2 4 5 3" xfId="25727"/>
    <cellStyle name="Normal 2 4 2 2 2 4 6" xfId="13425"/>
    <cellStyle name="Normal 2 4 2 2 2 4 7" xfId="25723"/>
    <cellStyle name="Normal 2 4 2 2 2 4_LNG &amp; LPG rework" xfId="9371"/>
    <cellStyle name="Normal 2 4 2 2 2 5" xfId="2355"/>
    <cellStyle name="Normal 2 4 2 2 2 5 2" xfId="3214"/>
    <cellStyle name="Normal 2 4 2 2 2 5 2 2" xfId="13431"/>
    <cellStyle name="Normal 2 4 2 2 2 5 2 3" xfId="25729"/>
    <cellStyle name="Normal 2 4 2 2 2 5 3" xfId="4080"/>
    <cellStyle name="Normal 2 4 2 2 2 5 3 2" xfId="13432"/>
    <cellStyle name="Normal 2 4 2 2 2 5 3 3" xfId="25730"/>
    <cellStyle name="Normal 2 4 2 2 2 5 4" xfId="4959"/>
    <cellStyle name="Normal 2 4 2 2 2 5 4 2" xfId="13433"/>
    <cellStyle name="Normal 2 4 2 2 2 5 4 3" xfId="25731"/>
    <cellStyle name="Normal 2 4 2 2 2 5 5" xfId="6224"/>
    <cellStyle name="Normal 2 4 2 2 2 5 5 2" xfId="13434"/>
    <cellStyle name="Normal 2 4 2 2 2 5 5 3" xfId="25732"/>
    <cellStyle name="Normal 2 4 2 2 2 5 6" xfId="13430"/>
    <cellStyle name="Normal 2 4 2 2 2 5 7" xfId="25728"/>
    <cellStyle name="Normal 2 4 2 2 2 5_LNG &amp; LPG rework" xfId="9372"/>
    <cellStyle name="Normal 2 4 2 2 2 6" xfId="2523"/>
    <cellStyle name="Normal 2 4 2 2 2 6 2" xfId="13435"/>
    <cellStyle name="Normal 2 4 2 2 2 6 3" xfId="25733"/>
    <cellStyle name="Normal 2 4 2 2 2 7" xfId="3386"/>
    <cellStyle name="Normal 2 4 2 2 2 7 2" xfId="13436"/>
    <cellStyle name="Normal 2 4 2 2 2 7 3" xfId="25734"/>
    <cellStyle name="Normal 2 4 2 2 2 8" xfId="4254"/>
    <cellStyle name="Normal 2 4 2 2 2 8 2" xfId="13437"/>
    <cellStyle name="Normal 2 4 2 2 2 8 3" xfId="25735"/>
    <cellStyle name="Normal 2 4 2 2 2 9" xfId="5161"/>
    <cellStyle name="Normal 2 4 2 2 2 9 2" xfId="13438"/>
    <cellStyle name="Normal 2 4 2 2 2 9 3" xfId="25736"/>
    <cellStyle name="Normal 2 4 2 2 2_LNG &amp; LPG rework" xfId="9366"/>
    <cellStyle name="Normal 2 4 2 2 3" xfId="1539"/>
    <cellStyle name="Normal 2 4 2 2 3 10" xfId="25737"/>
    <cellStyle name="Normal 2 4 2 2 3 2" xfId="1885"/>
    <cellStyle name="Normal 2 4 2 2 3 2 2" xfId="2775"/>
    <cellStyle name="Normal 2 4 2 2 3 2 2 2" xfId="13439"/>
    <cellStyle name="Normal 2 4 2 2 3 2 2 3" xfId="25739"/>
    <cellStyle name="Normal 2 4 2 2 3 2 3" xfId="3639"/>
    <cellStyle name="Normal 2 4 2 2 3 2 3 2" xfId="13440"/>
    <cellStyle name="Normal 2 4 2 2 3 2 3 3" xfId="25740"/>
    <cellStyle name="Normal 2 4 2 2 3 2 4" xfId="4514"/>
    <cellStyle name="Normal 2 4 2 2 3 2 4 2" xfId="13441"/>
    <cellStyle name="Normal 2 4 2 2 3 2 4 3" xfId="25741"/>
    <cellStyle name="Normal 2 4 2 2 3 2 5" xfId="5166"/>
    <cellStyle name="Normal 2 4 2 2 3 2 5 2" xfId="13442"/>
    <cellStyle name="Normal 2 4 2 2 3 2 5 3" xfId="25742"/>
    <cellStyle name="Normal 2 4 2 2 3 2 6" xfId="5779"/>
    <cellStyle name="Normal 2 4 2 2 3 2 6 2" xfId="13443"/>
    <cellStyle name="Normal 2 4 2 2 3 2 6 3" xfId="25743"/>
    <cellStyle name="Normal 2 4 2 2 3 2 7" xfId="10379"/>
    <cellStyle name="Normal 2 4 2 2 3 2 8" xfId="25738"/>
    <cellStyle name="Normal 2 4 2 2 3 2_LNG &amp; LPG rework" xfId="9374"/>
    <cellStyle name="Normal 2 4 2 2 3 3" xfId="2160"/>
    <cellStyle name="Normal 2 4 2 2 3 3 2" xfId="3030"/>
    <cellStyle name="Normal 2 4 2 2 3 3 2 2" xfId="13445"/>
    <cellStyle name="Normal 2 4 2 2 3 3 2 3" xfId="25745"/>
    <cellStyle name="Normal 2 4 2 2 3 3 3" xfId="3900"/>
    <cellStyle name="Normal 2 4 2 2 3 3 3 2" xfId="13446"/>
    <cellStyle name="Normal 2 4 2 2 3 3 3 3" xfId="25746"/>
    <cellStyle name="Normal 2 4 2 2 3 3 4" xfId="4778"/>
    <cellStyle name="Normal 2 4 2 2 3 3 4 2" xfId="13447"/>
    <cellStyle name="Normal 2 4 2 2 3 3 4 3" xfId="25747"/>
    <cellStyle name="Normal 2 4 2 2 3 3 5" xfId="6043"/>
    <cellStyle name="Normal 2 4 2 2 3 3 5 2" xfId="13448"/>
    <cellStyle name="Normal 2 4 2 2 3 3 5 3" xfId="25748"/>
    <cellStyle name="Normal 2 4 2 2 3 3 6" xfId="13444"/>
    <cellStyle name="Normal 2 4 2 2 3 3 7" xfId="25744"/>
    <cellStyle name="Normal 2 4 2 2 3 3_LNG &amp; LPG rework" xfId="9375"/>
    <cellStyle name="Normal 2 4 2 2 3 4" xfId="2525"/>
    <cellStyle name="Normal 2 4 2 2 3 4 2" xfId="13449"/>
    <cellStyle name="Normal 2 4 2 2 3 4 3" xfId="25749"/>
    <cellStyle name="Normal 2 4 2 2 3 5" xfId="3388"/>
    <cellStyle name="Normal 2 4 2 2 3 5 2" xfId="13450"/>
    <cellStyle name="Normal 2 4 2 2 3 5 3" xfId="25750"/>
    <cellStyle name="Normal 2 4 2 2 3 6" xfId="4256"/>
    <cellStyle name="Normal 2 4 2 2 3 6 2" xfId="13451"/>
    <cellStyle name="Normal 2 4 2 2 3 6 3" xfId="25751"/>
    <cellStyle name="Normal 2 4 2 2 3 7" xfId="5165"/>
    <cellStyle name="Normal 2 4 2 2 3 7 2" xfId="13452"/>
    <cellStyle name="Normal 2 4 2 2 3 7 3" xfId="25752"/>
    <cellStyle name="Normal 2 4 2 2 3 8" xfId="5518"/>
    <cellStyle name="Normal 2 4 2 2 3 8 2" xfId="13453"/>
    <cellStyle name="Normal 2 4 2 2 3 8 3" xfId="25753"/>
    <cellStyle name="Normal 2 4 2 2 3 9" xfId="10378"/>
    <cellStyle name="Normal 2 4 2 2 3_LNG &amp; LPG rework" xfId="9373"/>
    <cellStyle name="Normal 2 4 2 2 4" xfId="1882"/>
    <cellStyle name="Normal 2 4 2 2 4 2" xfId="2772"/>
    <cellStyle name="Normal 2 4 2 2 4 2 2" xfId="13454"/>
    <cellStyle name="Normal 2 4 2 2 4 2 3" xfId="25755"/>
    <cellStyle name="Normal 2 4 2 2 4 3" xfId="3636"/>
    <cellStyle name="Normal 2 4 2 2 4 3 2" xfId="13455"/>
    <cellStyle name="Normal 2 4 2 2 4 3 3" xfId="25756"/>
    <cellStyle name="Normal 2 4 2 2 4 4" xfId="4511"/>
    <cellStyle name="Normal 2 4 2 2 4 4 2" xfId="13456"/>
    <cellStyle name="Normal 2 4 2 2 4 4 3" xfId="25757"/>
    <cellStyle name="Normal 2 4 2 2 4 5" xfId="5167"/>
    <cellStyle name="Normal 2 4 2 2 4 5 2" xfId="13457"/>
    <cellStyle name="Normal 2 4 2 2 4 5 3" xfId="25758"/>
    <cellStyle name="Normal 2 4 2 2 4 6" xfId="5776"/>
    <cellStyle name="Normal 2 4 2 2 4 6 2" xfId="13458"/>
    <cellStyle name="Normal 2 4 2 2 4 6 3" xfId="25759"/>
    <cellStyle name="Normal 2 4 2 2 4 7" xfId="10380"/>
    <cellStyle name="Normal 2 4 2 2 4 8" xfId="25754"/>
    <cellStyle name="Normal 2 4 2 2 4_LNG &amp; LPG rework" xfId="9376"/>
    <cellStyle name="Normal 2 4 2 2 5" xfId="2157"/>
    <cellStyle name="Normal 2 4 2 2 5 2" xfId="3027"/>
    <cellStyle name="Normal 2 4 2 2 5 2 2" xfId="13460"/>
    <cellStyle name="Normal 2 4 2 2 5 2 3" xfId="25761"/>
    <cellStyle name="Normal 2 4 2 2 5 3" xfId="3897"/>
    <cellStyle name="Normal 2 4 2 2 5 3 2" xfId="13461"/>
    <cellStyle name="Normal 2 4 2 2 5 3 3" xfId="25762"/>
    <cellStyle name="Normal 2 4 2 2 5 4" xfId="4775"/>
    <cellStyle name="Normal 2 4 2 2 5 4 2" xfId="13462"/>
    <cellStyle name="Normal 2 4 2 2 5 4 3" xfId="25763"/>
    <cellStyle name="Normal 2 4 2 2 5 5" xfId="6040"/>
    <cellStyle name="Normal 2 4 2 2 5 5 2" xfId="13463"/>
    <cellStyle name="Normal 2 4 2 2 5 5 3" xfId="25764"/>
    <cellStyle name="Normal 2 4 2 2 5 6" xfId="13459"/>
    <cellStyle name="Normal 2 4 2 2 5 7" xfId="25760"/>
    <cellStyle name="Normal 2 4 2 2 5_LNG &amp; LPG rework" xfId="9377"/>
    <cellStyle name="Normal 2 4 2 2 6" xfId="2311"/>
    <cellStyle name="Normal 2 4 2 2 6 2" xfId="3170"/>
    <cellStyle name="Normal 2 4 2 2 6 2 2" xfId="13465"/>
    <cellStyle name="Normal 2 4 2 2 6 2 3" xfId="25766"/>
    <cellStyle name="Normal 2 4 2 2 6 3" xfId="4036"/>
    <cellStyle name="Normal 2 4 2 2 6 3 2" xfId="13466"/>
    <cellStyle name="Normal 2 4 2 2 6 3 3" xfId="25767"/>
    <cellStyle name="Normal 2 4 2 2 6 4" xfId="4915"/>
    <cellStyle name="Normal 2 4 2 2 6 4 2" xfId="13467"/>
    <cellStyle name="Normal 2 4 2 2 6 4 3" xfId="25768"/>
    <cellStyle name="Normal 2 4 2 2 6 5" xfId="6180"/>
    <cellStyle name="Normal 2 4 2 2 6 5 2" xfId="13468"/>
    <cellStyle name="Normal 2 4 2 2 6 5 3" xfId="25769"/>
    <cellStyle name="Normal 2 4 2 2 6 6" xfId="13464"/>
    <cellStyle name="Normal 2 4 2 2 6 7" xfId="25765"/>
    <cellStyle name="Normal 2 4 2 2 6_LNG &amp; LPG rework" xfId="9378"/>
    <cellStyle name="Normal 2 4 2 2 7" xfId="2522"/>
    <cellStyle name="Normal 2 4 2 2 7 2" xfId="13469"/>
    <cellStyle name="Normal 2 4 2 2 7 3" xfId="25770"/>
    <cellStyle name="Normal 2 4 2 2 8" xfId="3385"/>
    <cellStyle name="Normal 2 4 2 2 8 2" xfId="13470"/>
    <cellStyle name="Normal 2 4 2 2 8 3" xfId="25771"/>
    <cellStyle name="Normal 2 4 2 2 9" xfId="4253"/>
    <cellStyle name="Normal 2 4 2 2 9 2" xfId="13471"/>
    <cellStyle name="Normal 2 4 2 2 9 3" xfId="25772"/>
    <cellStyle name="Normal 2 4 2 2_LNG &amp; LPG rework" xfId="9365"/>
    <cellStyle name="Normal 2 4 2 3" xfId="1540"/>
    <cellStyle name="Normal 2 4 2 3 10" xfId="5519"/>
    <cellStyle name="Normal 2 4 2 3 10 2" xfId="13472"/>
    <cellStyle name="Normal 2 4 2 3 10 3" xfId="25774"/>
    <cellStyle name="Normal 2 4 2 3 11" xfId="10381"/>
    <cellStyle name="Normal 2 4 2 3 12" xfId="25773"/>
    <cellStyle name="Normal 2 4 2 3 2" xfId="1541"/>
    <cellStyle name="Normal 2 4 2 3 2 10" xfId="25775"/>
    <cellStyle name="Normal 2 4 2 3 2 2" xfId="1887"/>
    <cellStyle name="Normal 2 4 2 3 2 2 2" xfId="2777"/>
    <cellStyle name="Normal 2 4 2 3 2 2 2 2" xfId="13473"/>
    <cellStyle name="Normal 2 4 2 3 2 2 2 3" xfId="25777"/>
    <cellStyle name="Normal 2 4 2 3 2 2 3" xfId="3641"/>
    <cellStyle name="Normal 2 4 2 3 2 2 3 2" xfId="13474"/>
    <cellStyle name="Normal 2 4 2 3 2 2 3 3" xfId="25778"/>
    <cellStyle name="Normal 2 4 2 3 2 2 4" xfId="4516"/>
    <cellStyle name="Normal 2 4 2 3 2 2 4 2" xfId="13475"/>
    <cellStyle name="Normal 2 4 2 3 2 2 4 3" xfId="25779"/>
    <cellStyle name="Normal 2 4 2 3 2 2 5" xfId="5170"/>
    <cellStyle name="Normal 2 4 2 3 2 2 5 2" xfId="13476"/>
    <cellStyle name="Normal 2 4 2 3 2 2 5 3" xfId="25780"/>
    <cellStyle name="Normal 2 4 2 3 2 2 6" xfId="5781"/>
    <cellStyle name="Normal 2 4 2 3 2 2 6 2" xfId="13477"/>
    <cellStyle name="Normal 2 4 2 3 2 2 6 3" xfId="25781"/>
    <cellStyle name="Normal 2 4 2 3 2 2 7" xfId="10383"/>
    <cellStyle name="Normal 2 4 2 3 2 2 8" xfId="25776"/>
    <cellStyle name="Normal 2 4 2 3 2 2_LNG &amp; LPG rework" xfId="9381"/>
    <cellStyle name="Normal 2 4 2 3 2 3" xfId="2162"/>
    <cellStyle name="Normal 2 4 2 3 2 3 2" xfId="3032"/>
    <cellStyle name="Normal 2 4 2 3 2 3 2 2" xfId="13479"/>
    <cellStyle name="Normal 2 4 2 3 2 3 2 3" xfId="25783"/>
    <cellStyle name="Normal 2 4 2 3 2 3 3" xfId="3902"/>
    <cellStyle name="Normal 2 4 2 3 2 3 3 2" xfId="13480"/>
    <cellStyle name="Normal 2 4 2 3 2 3 3 3" xfId="25784"/>
    <cellStyle name="Normal 2 4 2 3 2 3 4" xfId="4780"/>
    <cellStyle name="Normal 2 4 2 3 2 3 4 2" xfId="13481"/>
    <cellStyle name="Normal 2 4 2 3 2 3 4 3" xfId="25785"/>
    <cellStyle name="Normal 2 4 2 3 2 3 5" xfId="6045"/>
    <cellStyle name="Normal 2 4 2 3 2 3 5 2" xfId="13482"/>
    <cellStyle name="Normal 2 4 2 3 2 3 5 3" xfId="25786"/>
    <cellStyle name="Normal 2 4 2 3 2 3 6" xfId="13478"/>
    <cellStyle name="Normal 2 4 2 3 2 3 7" xfId="25782"/>
    <cellStyle name="Normal 2 4 2 3 2 3_LNG &amp; LPG rework" xfId="9382"/>
    <cellStyle name="Normal 2 4 2 3 2 4" xfId="2527"/>
    <cellStyle name="Normal 2 4 2 3 2 4 2" xfId="13483"/>
    <cellStyle name="Normal 2 4 2 3 2 4 3" xfId="25787"/>
    <cellStyle name="Normal 2 4 2 3 2 5" xfId="3390"/>
    <cellStyle name="Normal 2 4 2 3 2 5 2" xfId="13484"/>
    <cellStyle name="Normal 2 4 2 3 2 5 3" xfId="25788"/>
    <cellStyle name="Normal 2 4 2 3 2 6" xfId="4258"/>
    <cellStyle name="Normal 2 4 2 3 2 6 2" xfId="13485"/>
    <cellStyle name="Normal 2 4 2 3 2 6 3" xfId="25789"/>
    <cellStyle name="Normal 2 4 2 3 2 7" xfId="5169"/>
    <cellStyle name="Normal 2 4 2 3 2 7 2" xfId="13486"/>
    <cellStyle name="Normal 2 4 2 3 2 7 3" xfId="25790"/>
    <cellStyle name="Normal 2 4 2 3 2 8" xfId="5520"/>
    <cellStyle name="Normal 2 4 2 3 2 8 2" xfId="13487"/>
    <cellStyle name="Normal 2 4 2 3 2 8 3" xfId="25791"/>
    <cellStyle name="Normal 2 4 2 3 2 9" xfId="10382"/>
    <cellStyle name="Normal 2 4 2 3 2_LNG &amp; LPG rework" xfId="9380"/>
    <cellStyle name="Normal 2 4 2 3 3" xfId="1886"/>
    <cellStyle name="Normal 2 4 2 3 3 2" xfId="2776"/>
    <cellStyle name="Normal 2 4 2 3 3 2 2" xfId="13488"/>
    <cellStyle name="Normal 2 4 2 3 3 2 3" xfId="25793"/>
    <cellStyle name="Normal 2 4 2 3 3 3" xfId="3640"/>
    <cellStyle name="Normal 2 4 2 3 3 3 2" xfId="13489"/>
    <cellStyle name="Normal 2 4 2 3 3 3 3" xfId="25794"/>
    <cellStyle name="Normal 2 4 2 3 3 4" xfId="4515"/>
    <cellStyle name="Normal 2 4 2 3 3 4 2" xfId="13490"/>
    <cellStyle name="Normal 2 4 2 3 3 4 3" xfId="25795"/>
    <cellStyle name="Normal 2 4 2 3 3 5" xfId="5171"/>
    <cellStyle name="Normal 2 4 2 3 3 5 2" xfId="13491"/>
    <cellStyle name="Normal 2 4 2 3 3 5 3" xfId="25796"/>
    <cellStyle name="Normal 2 4 2 3 3 6" xfId="5780"/>
    <cellStyle name="Normal 2 4 2 3 3 6 2" xfId="13492"/>
    <cellStyle name="Normal 2 4 2 3 3 6 3" xfId="25797"/>
    <cellStyle name="Normal 2 4 2 3 3 7" xfId="10384"/>
    <cellStyle name="Normal 2 4 2 3 3 8" xfId="25792"/>
    <cellStyle name="Normal 2 4 2 3 3_LNG &amp; LPG rework" xfId="9383"/>
    <cellStyle name="Normal 2 4 2 3 4" xfId="2161"/>
    <cellStyle name="Normal 2 4 2 3 4 2" xfId="3031"/>
    <cellStyle name="Normal 2 4 2 3 4 2 2" xfId="13494"/>
    <cellStyle name="Normal 2 4 2 3 4 2 3" xfId="25799"/>
    <cellStyle name="Normal 2 4 2 3 4 3" xfId="3901"/>
    <cellStyle name="Normal 2 4 2 3 4 3 2" xfId="13495"/>
    <cellStyle name="Normal 2 4 2 3 4 3 3" xfId="25800"/>
    <cellStyle name="Normal 2 4 2 3 4 4" xfId="4779"/>
    <cellStyle name="Normal 2 4 2 3 4 4 2" xfId="13496"/>
    <cellStyle name="Normal 2 4 2 3 4 4 3" xfId="25801"/>
    <cellStyle name="Normal 2 4 2 3 4 5" xfId="6044"/>
    <cellStyle name="Normal 2 4 2 3 4 5 2" xfId="13497"/>
    <cellStyle name="Normal 2 4 2 3 4 5 3" xfId="25802"/>
    <cellStyle name="Normal 2 4 2 3 4 6" xfId="13493"/>
    <cellStyle name="Normal 2 4 2 3 4 7" xfId="25798"/>
    <cellStyle name="Normal 2 4 2 3 4_LNG &amp; LPG rework" xfId="9384"/>
    <cellStyle name="Normal 2 4 2 3 5" xfId="2333"/>
    <cellStyle name="Normal 2 4 2 3 5 2" xfId="3192"/>
    <cellStyle name="Normal 2 4 2 3 5 2 2" xfId="13499"/>
    <cellStyle name="Normal 2 4 2 3 5 2 3" xfId="25804"/>
    <cellStyle name="Normal 2 4 2 3 5 3" xfId="4058"/>
    <cellStyle name="Normal 2 4 2 3 5 3 2" xfId="13500"/>
    <cellStyle name="Normal 2 4 2 3 5 3 3" xfId="25805"/>
    <cellStyle name="Normal 2 4 2 3 5 4" xfId="4937"/>
    <cellStyle name="Normal 2 4 2 3 5 4 2" xfId="13501"/>
    <cellStyle name="Normal 2 4 2 3 5 4 3" xfId="25806"/>
    <cellStyle name="Normal 2 4 2 3 5 5" xfId="6202"/>
    <cellStyle name="Normal 2 4 2 3 5 5 2" xfId="13502"/>
    <cellStyle name="Normal 2 4 2 3 5 5 3" xfId="25807"/>
    <cellStyle name="Normal 2 4 2 3 5 6" xfId="13498"/>
    <cellStyle name="Normal 2 4 2 3 5 7" xfId="25803"/>
    <cellStyle name="Normal 2 4 2 3 5_LNG &amp; LPG rework" xfId="9385"/>
    <cellStyle name="Normal 2 4 2 3 6" xfId="2526"/>
    <cellStyle name="Normal 2 4 2 3 6 2" xfId="13503"/>
    <cellStyle name="Normal 2 4 2 3 6 3" xfId="25808"/>
    <cellStyle name="Normal 2 4 2 3 7" xfId="3389"/>
    <cellStyle name="Normal 2 4 2 3 7 2" xfId="13504"/>
    <cellStyle name="Normal 2 4 2 3 7 3" xfId="25809"/>
    <cellStyle name="Normal 2 4 2 3 8" xfId="4257"/>
    <cellStyle name="Normal 2 4 2 3 8 2" xfId="13505"/>
    <cellStyle name="Normal 2 4 2 3 8 3" xfId="25810"/>
    <cellStyle name="Normal 2 4 2 3 9" xfId="5168"/>
    <cellStyle name="Normal 2 4 2 3 9 2" xfId="13506"/>
    <cellStyle name="Normal 2 4 2 3 9 3" xfId="25811"/>
    <cellStyle name="Normal 2 4 2 3_LNG &amp; LPG rework" xfId="9379"/>
    <cellStyle name="Normal 2 4 2 4" xfId="1542"/>
    <cellStyle name="Normal 2 4 2 4 10" xfId="25812"/>
    <cellStyle name="Normal 2 4 2 4 2" xfId="1888"/>
    <cellStyle name="Normal 2 4 2 4 2 2" xfId="2778"/>
    <cellStyle name="Normal 2 4 2 4 2 2 2" xfId="13507"/>
    <cellStyle name="Normal 2 4 2 4 2 2 3" xfId="25814"/>
    <cellStyle name="Normal 2 4 2 4 2 3" xfId="3642"/>
    <cellStyle name="Normal 2 4 2 4 2 3 2" xfId="13508"/>
    <cellStyle name="Normal 2 4 2 4 2 3 3" xfId="25815"/>
    <cellStyle name="Normal 2 4 2 4 2 4" xfId="4517"/>
    <cellStyle name="Normal 2 4 2 4 2 4 2" xfId="13509"/>
    <cellStyle name="Normal 2 4 2 4 2 4 3" xfId="25816"/>
    <cellStyle name="Normal 2 4 2 4 2 5" xfId="5173"/>
    <cellStyle name="Normal 2 4 2 4 2 5 2" xfId="13510"/>
    <cellStyle name="Normal 2 4 2 4 2 5 3" xfId="25817"/>
    <cellStyle name="Normal 2 4 2 4 2 6" xfId="5782"/>
    <cellStyle name="Normal 2 4 2 4 2 6 2" xfId="13511"/>
    <cellStyle name="Normal 2 4 2 4 2 6 3" xfId="25818"/>
    <cellStyle name="Normal 2 4 2 4 2 7" xfId="10386"/>
    <cellStyle name="Normal 2 4 2 4 2 8" xfId="25813"/>
    <cellStyle name="Normal 2 4 2 4 2_LNG &amp; LPG rework" xfId="9387"/>
    <cellStyle name="Normal 2 4 2 4 3" xfId="2163"/>
    <cellStyle name="Normal 2 4 2 4 3 2" xfId="3033"/>
    <cellStyle name="Normal 2 4 2 4 3 2 2" xfId="13513"/>
    <cellStyle name="Normal 2 4 2 4 3 2 3" xfId="25820"/>
    <cellStyle name="Normal 2 4 2 4 3 3" xfId="3903"/>
    <cellStyle name="Normal 2 4 2 4 3 3 2" xfId="13514"/>
    <cellStyle name="Normal 2 4 2 4 3 3 3" xfId="25821"/>
    <cellStyle name="Normal 2 4 2 4 3 4" xfId="4781"/>
    <cellStyle name="Normal 2 4 2 4 3 4 2" xfId="13515"/>
    <cellStyle name="Normal 2 4 2 4 3 4 3" xfId="25822"/>
    <cellStyle name="Normal 2 4 2 4 3 5" xfId="6046"/>
    <cellStyle name="Normal 2 4 2 4 3 5 2" xfId="13516"/>
    <cellStyle name="Normal 2 4 2 4 3 5 3" xfId="25823"/>
    <cellStyle name="Normal 2 4 2 4 3 6" xfId="13512"/>
    <cellStyle name="Normal 2 4 2 4 3 7" xfId="25819"/>
    <cellStyle name="Normal 2 4 2 4 3_LNG &amp; LPG rework" xfId="9388"/>
    <cellStyle name="Normal 2 4 2 4 4" xfId="2528"/>
    <cellStyle name="Normal 2 4 2 4 4 2" xfId="13517"/>
    <cellStyle name="Normal 2 4 2 4 4 3" xfId="25824"/>
    <cellStyle name="Normal 2 4 2 4 5" xfId="3391"/>
    <cellStyle name="Normal 2 4 2 4 5 2" xfId="13518"/>
    <cellStyle name="Normal 2 4 2 4 5 3" xfId="25825"/>
    <cellStyle name="Normal 2 4 2 4 6" xfId="4259"/>
    <cellStyle name="Normal 2 4 2 4 6 2" xfId="13519"/>
    <cellStyle name="Normal 2 4 2 4 6 3" xfId="25826"/>
    <cellStyle name="Normal 2 4 2 4 7" xfId="5172"/>
    <cellStyle name="Normal 2 4 2 4 7 2" xfId="13520"/>
    <cellStyle name="Normal 2 4 2 4 7 3" xfId="25827"/>
    <cellStyle name="Normal 2 4 2 4 8" xfId="5521"/>
    <cellStyle name="Normal 2 4 2 4 8 2" xfId="13521"/>
    <cellStyle name="Normal 2 4 2 4 8 3" xfId="25828"/>
    <cellStyle name="Normal 2 4 2 4 9" xfId="10385"/>
    <cellStyle name="Normal 2 4 2 4_LNG &amp; LPG rework" xfId="9386"/>
    <cellStyle name="Normal 2 4 2 5" xfId="2289"/>
    <cellStyle name="Normal 2 4 2 5 2" xfId="3148"/>
    <cellStyle name="Normal 2 4 2 5 2 2" xfId="13522"/>
    <cellStyle name="Normal 2 4 2 5 2 3" xfId="25830"/>
    <cellStyle name="Normal 2 4 2 5 3" xfId="4014"/>
    <cellStyle name="Normal 2 4 2 5 3 2" xfId="13523"/>
    <cellStyle name="Normal 2 4 2 5 3 3" xfId="25831"/>
    <cellStyle name="Normal 2 4 2 5 4" xfId="4893"/>
    <cellStyle name="Normal 2 4 2 5 4 2" xfId="13524"/>
    <cellStyle name="Normal 2 4 2 5 4 3" xfId="25832"/>
    <cellStyle name="Normal 2 4 2 5 5" xfId="5174"/>
    <cellStyle name="Normal 2 4 2 5 5 2" xfId="13525"/>
    <cellStyle name="Normal 2 4 2 5 5 3" xfId="25833"/>
    <cellStyle name="Normal 2 4 2 5 6" xfId="6158"/>
    <cellStyle name="Normal 2 4 2 5 6 2" xfId="13526"/>
    <cellStyle name="Normal 2 4 2 5 6 3" xfId="25834"/>
    <cellStyle name="Normal 2 4 2 5 7" xfId="10387"/>
    <cellStyle name="Normal 2 4 2 5 8" xfId="25829"/>
    <cellStyle name="Normal 2 4 2 5_LNG &amp; LPG rework" xfId="9389"/>
    <cellStyle name="Normal 2 4 2 6" xfId="5159"/>
    <cellStyle name="Normal 2 4 2 6 2" xfId="13527"/>
    <cellStyle name="Normal 2 4 2 6 3" xfId="25835"/>
    <cellStyle name="Normal 2 4 2 7" xfId="10372"/>
    <cellStyle name="Normal 2 4 2 8" xfId="25694"/>
    <cellStyle name="Normal 2 4 2_LNG &amp; LPG rework" xfId="9364"/>
    <cellStyle name="Normal 2 4 3" xfId="1543"/>
    <cellStyle name="Normal 2 4 3 10" xfId="5175"/>
    <cellStyle name="Normal 2 4 3 10 2" xfId="13528"/>
    <cellStyle name="Normal 2 4 3 10 3" xfId="25837"/>
    <cellStyle name="Normal 2 4 3 11" xfId="5522"/>
    <cellStyle name="Normal 2 4 3 11 2" xfId="13529"/>
    <cellStyle name="Normal 2 4 3 11 3" xfId="25838"/>
    <cellStyle name="Normal 2 4 3 12" xfId="10388"/>
    <cellStyle name="Normal 2 4 3 13" xfId="25836"/>
    <cellStyle name="Normal 2 4 3 2" xfId="1544"/>
    <cellStyle name="Normal 2 4 3 2 10" xfId="5523"/>
    <cellStyle name="Normal 2 4 3 2 10 2" xfId="13530"/>
    <cellStyle name="Normal 2 4 3 2 10 3" xfId="25840"/>
    <cellStyle name="Normal 2 4 3 2 11" xfId="10389"/>
    <cellStyle name="Normal 2 4 3 2 12" xfId="25839"/>
    <cellStyle name="Normal 2 4 3 2 2" xfId="1545"/>
    <cellStyle name="Normal 2 4 3 2 2 10" xfId="25841"/>
    <cellStyle name="Normal 2 4 3 2 2 2" xfId="1891"/>
    <cellStyle name="Normal 2 4 3 2 2 2 2" xfId="2781"/>
    <cellStyle name="Normal 2 4 3 2 2 2 2 2" xfId="13531"/>
    <cellStyle name="Normal 2 4 3 2 2 2 2 3" xfId="25843"/>
    <cellStyle name="Normal 2 4 3 2 2 2 3" xfId="3645"/>
    <cellStyle name="Normal 2 4 3 2 2 2 3 2" xfId="13532"/>
    <cellStyle name="Normal 2 4 3 2 2 2 3 3" xfId="25844"/>
    <cellStyle name="Normal 2 4 3 2 2 2 4" xfId="4520"/>
    <cellStyle name="Normal 2 4 3 2 2 2 4 2" xfId="13533"/>
    <cellStyle name="Normal 2 4 3 2 2 2 4 3" xfId="25845"/>
    <cellStyle name="Normal 2 4 3 2 2 2 5" xfId="5178"/>
    <cellStyle name="Normal 2 4 3 2 2 2 5 2" xfId="13534"/>
    <cellStyle name="Normal 2 4 3 2 2 2 5 3" xfId="25846"/>
    <cellStyle name="Normal 2 4 3 2 2 2 6" xfId="5785"/>
    <cellStyle name="Normal 2 4 3 2 2 2 6 2" xfId="13535"/>
    <cellStyle name="Normal 2 4 3 2 2 2 6 3" xfId="25847"/>
    <cellStyle name="Normal 2 4 3 2 2 2 7" xfId="10391"/>
    <cellStyle name="Normal 2 4 3 2 2 2 8" xfId="25842"/>
    <cellStyle name="Normal 2 4 3 2 2 2_LNG &amp; LPG rework" xfId="9393"/>
    <cellStyle name="Normal 2 4 3 2 2 3" xfId="2166"/>
    <cellStyle name="Normal 2 4 3 2 2 3 2" xfId="3036"/>
    <cellStyle name="Normal 2 4 3 2 2 3 2 2" xfId="13537"/>
    <cellStyle name="Normal 2 4 3 2 2 3 2 3" xfId="25849"/>
    <cellStyle name="Normal 2 4 3 2 2 3 3" xfId="3906"/>
    <cellStyle name="Normal 2 4 3 2 2 3 3 2" xfId="13538"/>
    <cellStyle name="Normal 2 4 3 2 2 3 3 3" xfId="25850"/>
    <cellStyle name="Normal 2 4 3 2 2 3 4" xfId="4784"/>
    <cellStyle name="Normal 2 4 3 2 2 3 4 2" xfId="13539"/>
    <cellStyle name="Normal 2 4 3 2 2 3 4 3" xfId="25851"/>
    <cellStyle name="Normal 2 4 3 2 2 3 5" xfId="6049"/>
    <cellStyle name="Normal 2 4 3 2 2 3 5 2" xfId="13540"/>
    <cellStyle name="Normal 2 4 3 2 2 3 5 3" xfId="25852"/>
    <cellStyle name="Normal 2 4 3 2 2 3 6" xfId="13536"/>
    <cellStyle name="Normal 2 4 3 2 2 3 7" xfId="25848"/>
    <cellStyle name="Normal 2 4 3 2 2 3_LNG &amp; LPG rework" xfId="9394"/>
    <cellStyle name="Normal 2 4 3 2 2 4" xfId="2531"/>
    <cellStyle name="Normal 2 4 3 2 2 4 2" xfId="13541"/>
    <cellStyle name="Normal 2 4 3 2 2 4 3" xfId="25853"/>
    <cellStyle name="Normal 2 4 3 2 2 5" xfId="3394"/>
    <cellStyle name="Normal 2 4 3 2 2 5 2" xfId="13542"/>
    <cellStyle name="Normal 2 4 3 2 2 5 3" xfId="25854"/>
    <cellStyle name="Normal 2 4 3 2 2 6" xfId="4262"/>
    <cellStyle name="Normal 2 4 3 2 2 6 2" xfId="13543"/>
    <cellStyle name="Normal 2 4 3 2 2 6 3" xfId="25855"/>
    <cellStyle name="Normal 2 4 3 2 2 7" xfId="5177"/>
    <cellStyle name="Normal 2 4 3 2 2 7 2" xfId="13544"/>
    <cellStyle name="Normal 2 4 3 2 2 7 3" xfId="25856"/>
    <cellStyle name="Normal 2 4 3 2 2 8" xfId="5524"/>
    <cellStyle name="Normal 2 4 3 2 2 8 2" xfId="13545"/>
    <cellStyle name="Normal 2 4 3 2 2 8 3" xfId="25857"/>
    <cellStyle name="Normal 2 4 3 2 2 9" xfId="10390"/>
    <cellStyle name="Normal 2 4 3 2 2_LNG &amp; LPG rework" xfId="9392"/>
    <cellStyle name="Normal 2 4 3 2 3" xfId="1890"/>
    <cellStyle name="Normal 2 4 3 2 3 2" xfId="2780"/>
    <cellStyle name="Normal 2 4 3 2 3 2 2" xfId="13546"/>
    <cellStyle name="Normal 2 4 3 2 3 2 3" xfId="25859"/>
    <cellStyle name="Normal 2 4 3 2 3 3" xfId="3644"/>
    <cellStyle name="Normal 2 4 3 2 3 3 2" xfId="13547"/>
    <cellStyle name="Normal 2 4 3 2 3 3 3" xfId="25860"/>
    <cellStyle name="Normal 2 4 3 2 3 4" xfId="4519"/>
    <cellStyle name="Normal 2 4 3 2 3 4 2" xfId="13548"/>
    <cellStyle name="Normal 2 4 3 2 3 4 3" xfId="25861"/>
    <cellStyle name="Normal 2 4 3 2 3 5" xfId="5179"/>
    <cellStyle name="Normal 2 4 3 2 3 5 2" xfId="13549"/>
    <cellStyle name="Normal 2 4 3 2 3 5 3" xfId="25862"/>
    <cellStyle name="Normal 2 4 3 2 3 6" xfId="5784"/>
    <cellStyle name="Normal 2 4 3 2 3 6 2" xfId="13550"/>
    <cellStyle name="Normal 2 4 3 2 3 6 3" xfId="25863"/>
    <cellStyle name="Normal 2 4 3 2 3 7" xfId="10392"/>
    <cellStyle name="Normal 2 4 3 2 3 8" xfId="25858"/>
    <cellStyle name="Normal 2 4 3 2 3_LNG &amp; LPG rework" xfId="9395"/>
    <cellStyle name="Normal 2 4 3 2 4" xfId="2165"/>
    <cellStyle name="Normal 2 4 3 2 4 2" xfId="3035"/>
    <cellStyle name="Normal 2 4 3 2 4 2 2" xfId="13552"/>
    <cellStyle name="Normal 2 4 3 2 4 2 3" xfId="25865"/>
    <cellStyle name="Normal 2 4 3 2 4 3" xfId="3905"/>
    <cellStyle name="Normal 2 4 3 2 4 3 2" xfId="13553"/>
    <cellStyle name="Normal 2 4 3 2 4 3 3" xfId="25866"/>
    <cellStyle name="Normal 2 4 3 2 4 4" xfId="4783"/>
    <cellStyle name="Normal 2 4 3 2 4 4 2" xfId="13554"/>
    <cellStyle name="Normal 2 4 3 2 4 4 3" xfId="25867"/>
    <cellStyle name="Normal 2 4 3 2 4 5" xfId="6048"/>
    <cellStyle name="Normal 2 4 3 2 4 5 2" xfId="13555"/>
    <cellStyle name="Normal 2 4 3 2 4 5 3" xfId="25868"/>
    <cellStyle name="Normal 2 4 3 2 4 6" xfId="13551"/>
    <cellStyle name="Normal 2 4 3 2 4 7" xfId="25864"/>
    <cellStyle name="Normal 2 4 3 2 4_LNG &amp; LPG rework" xfId="9396"/>
    <cellStyle name="Normal 2 4 3 2 5" xfId="2342"/>
    <cellStyle name="Normal 2 4 3 2 5 2" xfId="3201"/>
    <cellStyle name="Normal 2 4 3 2 5 2 2" xfId="13557"/>
    <cellStyle name="Normal 2 4 3 2 5 2 3" xfId="25870"/>
    <cellStyle name="Normal 2 4 3 2 5 3" xfId="4067"/>
    <cellStyle name="Normal 2 4 3 2 5 3 2" xfId="13558"/>
    <cellStyle name="Normal 2 4 3 2 5 3 3" xfId="25871"/>
    <cellStyle name="Normal 2 4 3 2 5 4" xfId="4946"/>
    <cellStyle name="Normal 2 4 3 2 5 4 2" xfId="13559"/>
    <cellStyle name="Normal 2 4 3 2 5 4 3" xfId="25872"/>
    <cellStyle name="Normal 2 4 3 2 5 5" xfId="6211"/>
    <cellStyle name="Normal 2 4 3 2 5 5 2" xfId="13560"/>
    <cellStyle name="Normal 2 4 3 2 5 5 3" xfId="25873"/>
    <cellStyle name="Normal 2 4 3 2 5 6" xfId="13556"/>
    <cellStyle name="Normal 2 4 3 2 5 7" xfId="25869"/>
    <cellStyle name="Normal 2 4 3 2 5_LNG &amp; LPG rework" xfId="9397"/>
    <cellStyle name="Normal 2 4 3 2 6" xfId="2530"/>
    <cellStyle name="Normal 2 4 3 2 6 2" xfId="13561"/>
    <cellStyle name="Normal 2 4 3 2 6 3" xfId="25874"/>
    <cellStyle name="Normal 2 4 3 2 7" xfId="3393"/>
    <cellStyle name="Normal 2 4 3 2 7 2" xfId="13562"/>
    <cellStyle name="Normal 2 4 3 2 7 3" xfId="25875"/>
    <cellStyle name="Normal 2 4 3 2 8" xfId="4261"/>
    <cellStyle name="Normal 2 4 3 2 8 2" xfId="13563"/>
    <cellStyle name="Normal 2 4 3 2 8 3" xfId="25876"/>
    <cellStyle name="Normal 2 4 3 2 9" xfId="5176"/>
    <cellStyle name="Normal 2 4 3 2 9 2" xfId="13564"/>
    <cellStyle name="Normal 2 4 3 2 9 3" xfId="25877"/>
    <cellStyle name="Normal 2 4 3 2_LNG &amp; LPG rework" xfId="9391"/>
    <cellStyle name="Normal 2 4 3 3" xfId="1546"/>
    <cellStyle name="Normal 2 4 3 3 10" xfId="25878"/>
    <cellStyle name="Normal 2 4 3 3 2" xfId="1892"/>
    <cellStyle name="Normal 2 4 3 3 2 2" xfId="2782"/>
    <cellStyle name="Normal 2 4 3 3 2 2 2" xfId="13565"/>
    <cellStyle name="Normal 2 4 3 3 2 2 3" xfId="25880"/>
    <cellStyle name="Normal 2 4 3 3 2 3" xfId="3646"/>
    <cellStyle name="Normal 2 4 3 3 2 3 2" xfId="13566"/>
    <cellStyle name="Normal 2 4 3 3 2 3 3" xfId="25881"/>
    <cellStyle name="Normal 2 4 3 3 2 4" xfId="4521"/>
    <cellStyle name="Normal 2 4 3 3 2 4 2" xfId="13567"/>
    <cellStyle name="Normal 2 4 3 3 2 4 3" xfId="25882"/>
    <cellStyle name="Normal 2 4 3 3 2 5" xfId="5181"/>
    <cellStyle name="Normal 2 4 3 3 2 5 2" xfId="13568"/>
    <cellStyle name="Normal 2 4 3 3 2 5 3" xfId="25883"/>
    <cellStyle name="Normal 2 4 3 3 2 6" xfId="5786"/>
    <cellStyle name="Normal 2 4 3 3 2 6 2" xfId="13569"/>
    <cellStyle name="Normal 2 4 3 3 2 6 3" xfId="25884"/>
    <cellStyle name="Normal 2 4 3 3 2 7" xfId="10394"/>
    <cellStyle name="Normal 2 4 3 3 2 8" xfId="25879"/>
    <cellStyle name="Normal 2 4 3 3 2_LNG &amp; LPG rework" xfId="9399"/>
    <cellStyle name="Normal 2 4 3 3 3" xfId="2167"/>
    <cellStyle name="Normal 2 4 3 3 3 2" xfId="3037"/>
    <cellStyle name="Normal 2 4 3 3 3 2 2" xfId="13571"/>
    <cellStyle name="Normal 2 4 3 3 3 2 3" xfId="25886"/>
    <cellStyle name="Normal 2 4 3 3 3 3" xfId="3907"/>
    <cellStyle name="Normal 2 4 3 3 3 3 2" xfId="13572"/>
    <cellStyle name="Normal 2 4 3 3 3 3 3" xfId="25887"/>
    <cellStyle name="Normal 2 4 3 3 3 4" xfId="4785"/>
    <cellStyle name="Normal 2 4 3 3 3 4 2" xfId="13573"/>
    <cellStyle name="Normal 2 4 3 3 3 4 3" xfId="25888"/>
    <cellStyle name="Normal 2 4 3 3 3 5" xfId="6050"/>
    <cellStyle name="Normal 2 4 3 3 3 5 2" xfId="13574"/>
    <cellStyle name="Normal 2 4 3 3 3 5 3" xfId="25889"/>
    <cellStyle name="Normal 2 4 3 3 3 6" xfId="13570"/>
    <cellStyle name="Normal 2 4 3 3 3 7" xfId="25885"/>
    <cellStyle name="Normal 2 4 3 3 3_LNG &amp; LPG rework" xfId="9400"/>
    <cellStyle name="Normal 2 4 3 3 4" xfId="2532"/>
    <cellStyle name="Normal 2 4 3 3 4 2" xfId="13575"/>
    <cellStyle name="Normal 2 4 3 3 4 3" xfId="25890"/>
    <cellStyle name="Normal 2 4 3 3 5" xfId="3395"/>
    <cellStyle name="Normal 2 4 3 3 5 2" xfId="13576"/>
    <cellStyle name="Normal 2 4 3 3 5 3" xfId="25891"/>
    <cellStyle name="Normal 2 4 3 3 6" xfId="4263"/>
    <cellStyle name="Normal 2 4 3 3 6 2" xfId="13577"/>
    <cellStyle name="Normal 2 4 3 3 6 3" xfId="25892"/>
    <cellStyle name="Normal 2 4 3 3 7" xfId="5180"/>
    <cellStyle name="Normal 2 4 3 3 7 2" xfId="13578"/>
    <cellStyle name="Normal 2 4 3 3 7 3" xfId="25893"/>
    <cellStyle name="Normal 2 4 3 3 8" xfId="5525"/>
    <cellStyle name="Normal 2 4 3 3 8 2" xfId="13579"/>
    <cellStyle name="Normal 2 4 3 3 8 3" xfId="25894"/>
    <cellStyle name="Normal 2 4 3 3 9" xfId="10393"/>
    <cellStyle name="Normal 2 4 3 3_LNG &amp; LPG rework" xfId="9398"/>
    <cellStyle name="Normal 2 4 3 4" xfId="1889"/>
    <cellStyle name="Normal 2 4 3 4 2" xfId="2779"/>
    <cellStyle name="Normal 2 4 3 4 2 2" xfId="13580"/>
    <cellStyle name="Normal 2 4 3 4 2 3" xfId="25896"/>
    <cellStyle name="Normal 2 4 3 4 3" xfId="3643"/>
    <cellStyle name="Normal 2 4 3 4 3 2" xfId="13581"/>
    <cellStyle name="Normal 2 4 3 4 3 3" xfId="25897"/>
    <cellStyle name="Normal 2 4 3 4 4" xfId="4518"/>
    <cellStyle name="Normal 2 4 3 4 4 2" xfId="13582"/>
    <cellStyle name="Normal 2 4 3 4 4 3" xfId="25898"/>
    <cellStyle name="Normal 2 4 3 4 5" xfId="5182"/>
    <cellStyle name="Normal 2 4 3 4 5 2" xfId="13583"/>
    <cellStyle name="Normal 2 4 3 4 5 3" xfId="25899"/>
    <cellStyle name="Normal 2 4 3 4 6" xfId="5783"/>
    <cellStyle name="Normal 2 4 3 4 6 2" xfId="13584"/>
    <cellStyle name="Normal 2 4 3 4 6 3" xfId="25900"/>
    <cellStyle name="Normal 2 4 3 4 7" xfId="10395"/>
    <cellStyle name="Normal 2 4 3 4 8" xfId="25895"/>
    <cellStyle name="Normal 2 4 3 4_LNG &amp; LPG rework" xfId="9401"/>
    <cellStyle name="Normal 2 4 3 5" xfId="2164"/>
    <cellStyle name="Normal 2 4 3 5 2" xfId="3034"/>
    <cellStyle name="Normal 2 4 3 5 2 2" xfId="13586"/>
    <cellStyle name="Normal 2 4 3 5 2 3" xfId="25902"/>
    <cellStyle name="Normal 2 4 3 5 3" xfId="3904"/>
    <cellStyle name="Normal 2 4 3 5 3 2" xfId="13587"/>
    <cellStyle name="Normal 2 4 3 5 3 3" xfId="25903"/>
    <cellStyle name="Normal 2 4 3 5 4" xfId="4782"/>
    <cellStyle name="Normal 2 4 3 5 4 2" xfId="13588"/>
    <cellStyle name="Normal 2 4 3 5 4 3" xfId="25904"/>
    <cellStyle name="Normal 2 4 3 5 5" xfId="6047"/>
    <cellStyle name="Normal 2 4 3 5 5 2" xfId="13589"/>
    <cellStyle name="Normal 2 4 3 5 5 3" xfId="25905"/>
    <cellStyle name="Normal 2 4 3 5 6" xfId="13585"/>
    <cellStyle name="Normal 2 4 3 5 7" xfId="25901"/>
    <cellStyle name="Normal 2 4 3 5_LNG &amp; LPG rework" xfId="9402"/>
    <cellStyle name="Normal 2 4 3 6" xfId="2298"/>
    <cellStyle name="Normal 2 4 3 6 2" xfId="3157"/>
    <cellStyle name="Normal 2 4 3 6 2 2" xfId="13591"/>
    <cellStyle name="Normal 2 4 3 6 2 3" xfId="25907"/>
    <cellStyle name="Normal 2 4 3 6 3" xfId="4023"/>
    <cellStyle name="Normal 2 4 3 6 3 2" xfId="13592"/>
    <cellStyle name="Normal 2 4 3 6 3 3" xfId="25908"/>
    <cellStyle name="Normal 2 4 3 6 4" xfId="4902"/>
    <cellStyle name="Normal 2 4 3 6 4 2" xfId="13593"/>
    <cellStyle name="Normal 2 4 3 6 4 3" xfId="25909"/>
    <cellStyle name="Normal 2 4 3 6 5" xfId="6167"/>
    <cellStyle name="Normal 2 4 3 6 5 2" xfId="13594"/>
    <cellStyle name="Normal 2 4 3 6 5 3" xfId="25910"/>
    <cellStyle name="Normal 2 4 3 6 6" xfId="13590"/>
    <cellStyle name="Normal 2 4 3 6 7" xfId="25906"/>
    <cellStyle name="Normal 2 4 3 6_LNG &amp; LPG rework" xfId="9403"/>
    <cellStyle name="Normal 2 4 3 7" xfId="2529"/>
    <cellStyle name="Normal 2 4 3 7 2" xfId="13595"/>
    <cellStyle name="Normal 2 4 3 7 3" xfId="25911"/>
    <cellStyle name="Normal 2 4 3 8" xfId="3392"/>
    <cellStyle name="Normal 2 4 3 8 2" xfId="13596"/>
    <cellStyle name="Normal 2 4 3 8 3" xfId="25912"/>
    <cellStyle name="Normal 2 4 3 9" xfId="4260"/>
    <cellStyle name="Normal 2 4 3 9 2" xfId="13597"/>
    <cellStyle name="Normal 2 4 3 9 3" xfId="25913"/>
    <cellStyle name="Normal 2 4 3_LNG &amp; LPG rework" xfId="9390"/>
    <cellStyle name="Normal 2 4 4" xfId="1547"/>
    <cellStyle name="Normal 2 4 4 10" xfId="5526"/>
    <cellStyle name="Normal 2 4 4 10 2" xfId="13598"/>
    <cellStyle name="Normal 2 4 4 10 3" xfId="25915"/>
    <cellStyle name="Normal 2 4 4 11" xfId="10396"/>
    <cellStyle name="Normal 2 4 4 12" xfId="25914"/>
    <cellStyle name="Normal 2 4 4 2" xfId="1548"/>
    <cellStyle name="Normal 2 4 4 2 10" xfId="25916"/>
    <cellStyle name="Normal 2 4 4 2 2" xfId="1894"/>
    <cellStyle name="Normal 2 4 4 2 2 2" xfId="2784"/>
    <cellStyle name="Normal 2 4 4 2 2 2 2" xfId="13599"/>
    <cellStyle name="Normal 2 4 4 2 2 2 3" xfId="25918"/>
    <cellStyle name="Normal 2 4 4 2 2 3" xfId="3648"/>
    <cellStyle name="Normal 2 4 4 2 2 3 2" xfId="13600"/>
    <cellStyle name="Normal 2 4 4 2 2 3 3" xfId="25919"/>
    <cellStyle name="Normal 2 4 4 2 2 4" xfId="4523"/>
    <cellStyle name="Normal 2 4 4 2 2 4 2" xfId="13601"/>
    <cellStyle name="Normal 2 4 4 2 2 4 3" xfId="25920"/>
    <cellStyle name="Normal 2 4 4 2 2 5" xfId="5185"/>
    <cellStyle name="Normal 2 4 4 2 2 5 2" xfId="13602"/>
    <cellStyle name="Normal 2 4 4 2 2 5 3" xfId="25921"/>
    <cellStyle name="Normal 2 4 4 2 2 6" xfId="5788"/>
    <cellStyle name="Normal 2 4 4 2 2 6 2" xfId="13603"/>
    <cellStyle name="Normal 2 4 4 2 2 6 3" xfId="25922"/>
    <cellStyle name="Normal 2 4 4 2 2 7" xfId="10398"/>
    <cellStyle name="Normal 2 4 4 2 2 8" xfId="25917"/>
    <cellStyle name="Normal 2 4 4 2 2_LNG &amp; LPG rework" xfId="9406"/>
    <cellStyle name="Normal 2 4 4 2 3" xfId="2169"/>
    <cellStyle name="Normal 2 4 4 2 3 2" xfId="3039"/>
    <cellStyle name="Normal 2 4 4 2 3 2 2" xfId="13605"/>
    <cellStyle name="Normal 2 4 4 2 3 2 3" xfId="25924"/>
    <cellStyle name="Normal 2 4 4 2 3 3" xfId="3909"/>
    <cellStyle name="Normal 2 4 4 2 3 3 2" xfId="13606"/>
    <cellStyle name="Normal 2 4 4 2 3 3 3" xfId="25925"/>
    <cellStyle name="Normal 2 4 4 2 3 4" xfId="4787"/>
    <cellStyle name="Normal 2 4 4 2 3 4 2" xfId="13607"/>
    <cellStyle name="Normal 2 4 4 2 3 4 3" xfId="25926"/>
    <cellStyle name="Normal 2 4 4 2 3 5" xfId="6052"/>
    <cellStyle name="Normal 2 4 4 2 3 5 2" xfId="13608"/>
    <cellStyle name="Normal 2 4 4 2 3 5 3" xfId="25927"/>
    <cellStyle name="Normal 2 4 4 2 3 6" xfId="13604"/>
    <cellStyle name="Normal 2 4 4 2 3 7" xfId="25923"/>
    <cellStyle name="Normal 2 4 4 2 3_LNG &amp; LPG rework" xfId="9407"/>
    <cellStyle name="Normal 2 4 4 2 4" xfId="2534"/>
    <cellStyle name="Normal 2 4 4 2 4 2" xfId="13609"/>
    <cellStyle name="Normal 2 4 4 2 4 3" xfId="25928"/>
    <cellStyle name="Normal 2 4 4 2 5" xfId="3397"/>
    <cellStyle name="Normal 2 4 4 2 5 2" xfId="13610"/>
    <cellStyle name="Normal 2 4 4 2 5 3" xfId="25929"/>
    <cellStyle name="Normal 2 4 4 2 6" xfId="4265"/>
    <cellStyle name="Normal 2 4 4 2 6 2" xfId="13611"/>
    <cellStyle name="Normal 2 4 4 2 6 3" xfId="25930"/>
    <cellStyle name="Normal 2 4 4 2 7" xfId="5184"/>
    <cellStyle name="Normal 2 4 4 2 7 2" xfId="13612"/>
    <cellStyle name="Normal 2 4 4 2 7 3" xfId="25931"/>
    <cellStyle name="Normal 2 4 4 2 8" xfId="5527"/>
    <cellStyle name="Normal 2 4 4 2 8 2" xfId="13613"/>
    <cellStyle name="Normal 2 4 4 2 8 3" xfId="25932"/>
    <cellStyle name="Normal 2 4 4 2 9" xfId="10397"/>
    <cellStyle name="Normal 2 4 4 2_LNG &amp; LPG rework" xfId="9405"/>
    <cellStyle name="Normal 2 4 4 3" xfId="1893"/>
    <cellStyle name="Normal 2 4 4 3 2" xfId="2783"/>
    <cellStyle name="Normal 2 4 4 3 2 2" xfId="13614"/>
    <cellStyle name="Normal 2 4 4 3 2 3" xfId="25934"/>
    <cellStyle name="Normal 2 4 4 3 3" xfId="3647"/>
    <cellStyle name="Normal 2 4 4 3 3 2" xfId="13615"/>
    <cellStyle name="Normal 2 4 4 3 3 3" xfId="25935"/>
    <cellStyle name="Normal 2 4 4 3 4" xfId="4522"/>
    <cellStyle name="Normal 2 4 4 3 4 2" xfId="13616"/>
    <cellStyle name="Normal 2 4 4 3 4 3" xfId="25936"/>
    <cellStyle name="Normal 2 4 4 3 5" xfId="5186"/>
    <cellStyle name="Normal 2 4 4 3 5 2" xfId="13617"/>
    <cellStyle name="Normal 2 4 4 3 5 3" xfId="25937"/>
    <cellStyle name="Normal 2 4 4 3 6" xfId="5787"/>
    <cellStyle name="Normal 2 4 4 3 6 2" xfId="13618"/>
    <cellStyle name="Normal 2 4 4 3 6 3" xfId="25938"/>
    <cellStyle name="Normal 2 4 4 3 7" xfId="10399"/>
    <cellStyle name="Normal 2 4 4 3 8" xfId="25933"/>
    <cellStyle name="Normal 2 4 4 3_LNG &amp; LPG rework" xfId="9408"/>
    <cellStyle name="Normal 2 4 4 4" xfId="2168"/>
    <cellStyle name="Normal 2 4 4 4 2" xfId="3038"/>
    <cellStyle name="Normal 2 4 4 4 2 2" xfId="13620"/>
    <cellStyle name="Normal 2 4 4 4 2 3" xfId="25940"/>
    <cellStyle name="Normal 2 4 4 4 3" xfId="3908"/>
    <cellStyle name="Normal 2 4 4 4 3 2" xfId="13621"/>
    <cellStyle name="Normal 2 4 4 4 3 3" xfId="25941"/>
    <cellStyle name="Normal 2 4 4 4 4" xfId="4786"/>
    <cellStyle name="Normal 2 4 4 4 4 2" xfId="13622"/>
    <cellStyle name="Normal 2 4 4 4 4 3" xfId="25942"/>
    <cellStyle name="Normal 2 4 4 4 5" xfId="6051"/>
    <cellStyle name="Normal 2 4 4 4 5 2" xfId="13623"/>
    <cellStyle name="Normal 2 4 4 4 5 3" xfId="25943"/>
    <cellStyle name="Normal 2 4 4 4 6" xfId="13619"/>
    <cellStyle name="Normal 2 4 4 4 7" xfId="25939"/>
    <cellStyle name="Normal 2 4 4 4_LNG &amp; LPG rework" xfId="9409"/>
    <cellStyle name="Normal 2 4 4 5" xfId="2320"/>
    <cellStyle name="Normal 2 4 4 5 2" xfId="3179"/>
    <cellStyle name="Normal 2 4 4 5 2 2" xfId="13625"/>
    <cellStyle name="Normal 2 4 4 5 2 3" xfId="25945"/>
    <cellStyle name="Normal 2 4 4 5 3" xfId="4045"/>
    <cellStyle name="Normal 2 4 4 5 3 2" xfId="13626"/>
    <cellStyle name="Normal 2 4 4 5 3 3" xfId="25946"/>
    <cellStyle name="Normal 2 4 4 5 4" xfId="4924"/>
    <cellStyle name="Normal 2 4 4 5 4 2" xfId="13627"/>
    <cellStyle name="Normal 2 4 4 5 4 3" xfId="25947"/>
    <cellStyle name="Normal 2 4 4 5 5" xfId="6189"/>
    <cellStyle name="Normal 2 4 4 5 5 2" xfId="13628"/>
    <cellStyle name="Normal 2 4 4 5 5 3" xfId="25948"/>
    <cellStyle name="Normal 2 4 4 5 6" xfId="13624"/>
    <cellStyle name="Normal 2 4 4 5 7" xfId="25944"/>
    <cellStyle name="Normal 2 4 4 5_LNG &amp; LPG rework" xfId="9410"/>
    <cellStyle name="Normal 2 4 4 6" xfId="2533"/>
    <cellStyle name="Normal 2 4 4 6 2" xfId="13629"/>
    <cellStyle name="Normal 2 4 4 6 3" xfId="25949"/>
    <cellStyle name="Normal 2 4 4 7" xfId="3396"/>
    <cellStyle name="Normal 2 4 4 7 2" xfId="13630"/>
    <cellStyle name="Normal 2 4 4 7 3" xfId="25950"/>
    <cellStyle name="Normal 2 4 4 8" xfId="4264"/>
    <cellStyle name="Normal 2 4 4 8 2" xfId="13631"/>
    <cellStyle name="Normal 2 4 4 8 3" xfId="25951"/>
    <cellStyle name="Normal 2 4 4 9" xfId="5183"/>
    <cellStyle name="Normal 2 4 4 9 2" xfId="13632"/>
    <cellStyle name="Normal 2 4 4 9 3" xfId="25952"/>
    <cellStyle name="Normal 2 4 4_LNG &amp; LPG rework" xfId="9404"/>
    <cellStyle name="Normal 2 4 5" xfId="1549"/>
    <cellStyle name="Normal 2 4 5 10" xfId="25953"/>
    <cellStyle name="Normal 2 4 5 2" xfId="1895"/>
    <cellStyle name="Normal 2 4 5 2 2" xfId="2785"/>
    <cellStyle name="Normal 2 4 5 2 2 2" xfId="13633"/>
    <cellStyle name="Normal 2 4 5 2 2 3" xfId="25955"/>
    <cellStyle name="Normal 2 4 5 2 3" xfId="3649"/>
    <cellStyle name="Normal 2 4 5 2 3 2" xfId="13634"/>
    <cellStyle name="Normal 2 4 5 2 3 3" xfId="25956"/>
    <cellStyle name="Normal 2 4 5 2 4" xfId="4524"/>
    <cellStyle name="Normal 2 4 5 2 4 2" xfId="13635"/>
    <cellStyle name="Normal 2 4 5 2 4 3" xfId="25957"/>
    <cellStyle name="Normal 2 4 5 2 5" xfId="5188"/>
    <cellStyle name="Normal 2 4 5 2 5 2" xfId="13636"/>
    <cellStyle name="Normal 2 4 5 2 5 3" xfId="25958"/>
    <cellStyle name="Normal 2 4 5 2 6" xfId="5789"/>
    <cellStyle name="Normal 2 4 5 2 6 2" xfId="13637"/>
    <cellStyle name="Normal 2 4 5 2 6 3" xfId="25959"/>
    <cellStyle name="Normal 2 4 5 2 7" xfId="10401"/>
    <cellStyle name="Normal 2 4 5 2 8" xfId="25954"/>
    <cellStyle name="Normal 2 4 5 2_LNG &amp; LPG rework" xfId="9412"/>
    <cellStyle name="Normal 2 4 5 3" xfId="2170"/>
    <cellStyle name="Normal 2 4 5 3 2" xfId="3040"/>
    <cellStyle name="Normal 2 4 5 3 2 2" xfId="13639"/>
    <cellStyle name="Normal 2 4 5 3 2 3" xfId="25961"/>
    <cellStyle name="Normal 2 4 5 3 3" xfId="3910"/>
    <cellStyle name="Normal 2 4 5 3 3 2" xfId="13640"/>
    <cellStyle name="Normal 2 4 5 3 3 3" xfId="25962"/>
    <cellStyle name="Normal 2 4 5 3 4" xfId="4788"/>
    <cellStyle name="Normal 2 4 5 3 4 2" xfId="13641"/>
    <cellStyle name="Normal 2 4 5 3 4 3" xfId="25963"/>
    <cellStyle name="Normal 2 4 5 3 5" xfId="6053"/>
    <cellStyle name="Normal 2 4 5 3 5 2" xfId="13642"/>
    <cellStyle name="Normal 2 4 5 3 5 3" xfId="25964"/>
    <cellStyle name="Normal 2 4 5 3 6" xfId="13638"/>
    <cellStyle name="Normal 2 4 5 3 7" xfId="25960"/>
    <cellStyle name="Normal 2 4 5 3_LNG &amp; LPG rework" xfId="9413"/>
    <cellStyle name="Normal 2 4 5 4" xfId="2535"/>
    <cellStyle name="Normal 2 4 5 4 2" xfId="13643"/>
    <cellStyle name="Normal 2 4 5 4 3" xfId="25965"/>
    <cellStyle name="Normal 2 4 5 5" xfId="3398"/>
    <cellStyle name="Normal 2 4 5 5 2" xfId="13644"/>
    <cellStyle name="Normal 2 4 5 5 3" xfId="25966"/>
    <cellStyle name="Normal 2 4 5 6" xfId="4266"/>
    <cellStyle name="Normal 2 4 5 6 2" xfId="13645"/>
    <cellStyle name="Normal 2 4 5 6 3" xfId="25967"/>
    <cellStyle name="Normal 2 4 5 7" xfId="5187"/>
    <cellStyle name="Normal 2 4 5 7 2" xfId="13646"/>
    <cellStyle name="Normal 2 4 5 7 3" xfId="25968"/>
    <cellStyle name="Normal 2 4 5 8" xfId="5528"/>
    <cellStyle name="Normal 2 4 5 8 2" xfId="13647"/>
    <cellStyle name="Normal 2 4 5 8 3" xfId="25969"/>
    <cellStyle name="Normal 2 4 5 9" xfId="10400"/>
    <cellStyle name="Normal 2 4 5_LNG &amp; LPG rework" xfId="9411"/>
    <cellStyle name="Normal 2 4 6" xfId="1735"/>
    <cellStyle name="Normal 2 4 6 2" xfId="2025"/>
    <cellStyle name="Normal 2 4 6 2 2" xfId="2895"/>
    <cellStyle name="Normal 2 4 6 2 2 2" xfId="13649"/>
    <cellStyle name="Normal 2 4 6 2 2 3" xfId="25972"/>
    <cellStyle name="Normal 2 4 6 2 3" xfId="3762"/>
    <cellStyle name="Normal 2 4 6 2 3 2" xfId="13650"/>
    <cellStyle name="Normal 2 4 6 2 3 3" xfId="25973"/>
    <cellStyle name="Normal 2 4 6 2 4" xfId="4640"/>
    <cellStyle name="Normal 2 4 6 2 4 2" xfId="13651"/>
    <cellStyle name="Normal 2 4 6 2 4 3" xfId="25974"/>
    <cellStyle name="Normal 2 4 6 2 5" xfId="5905"/>
    <cellStyle name="Normal 2 4 6 2 5 2" xfId="13652"/>
    <cellStyle name="Normal 2 4 6 2 5 3" xfId="25975"/>
    <cellStyle name="Normal 2 4 6 2 6" xfId="13648"/>
    <cellStyle name="Normal 2 4 6 2 7" xfId="25971"/>
    <cellStyle name="Normal 2 4 6 2_LNG &amp; LPG rework" xfId="9415"/>
    <cellStyle name="Normal 2 4 6 3" xfId="2640"/>
    <cellStyle name="Normal 2 4 6 3 2" xfId="13653"/>
    <cellStyle name="Normal 2 4 6 3 3" xfId="25976"/>
    <cellStyle name="Normal 2 4 6 4" xfId="3504"/>
    <cellStyle name="Normal 2 4 6 4 2" xfId="13654"/>
    <cellStyle name="Normal 2 4 6 4 3" xfId="25977"/>
    <cellStyle name="Normal 2 4 6 5" xfId="4376"/>
    <cellStyle name="Normal 2 4 6 5 2" xfId="13655"/>
    <cellStyle name="Normal 2 4 6 5 3" xfId="25978"/>
    <cellStyle name="Normal 2 4 6 6" xfId="5189"/>
    <cellStyle name="Normal 2 4 6 6 2" xfId="13656"/>
    <cellStyle name="Normal 2 4 6 6 3" xfId="25979"/>
    <cellStyle name="Normal 2 4 6 7" xfId="5641"/>
    <cellStyle name="Normal 2 4 6 7 2" xfId="13657"/>
    <cellStyle name="Normal 2 4 6 7 3" xfId="25980"/>
    <cellStyle name="Normal 2 4 6 8" xfId="10402"/>
    <cellStyle name="Normal 2 4 6 9" xfId="25970"/>
    <cellStyle name="Normal 2 4 6_LNG &amp; LPG rework" xfId="9414"/>
    <cellStyle name="Normal 2 4 7" xfId="2280"/>
    <cellStyle name="Normal 2 4 7 2" xfId="3139"/>
    <cellStyle name="Normal 2 4 7 2 2" xfId="13659"/>
    <cellStyle name="Normal 2 4 7 2 3" xfId="25982"/>
    <cellStyle name="Normal 2 4 7 3" xfId="4005"/>
    <cellStyle name="Normal 2 4 7 3 2" xfId="13660"/>
    <cellStyle name="Normal 2 4 7 3 3" xfId="25983"/>
    <cellStyle name="Normal 2 4 7 4" xfId="4884"/>
    <cellStyle name="Normal 2 4 7 4 2" xfId="13661"/>
    <cellStyle name="Normal 2 4 7 4 3" xfId="25984"/>
    <cellStyle name="Normal 2 4 7 5" xfId="6149"/>
    <cellStyle name="Normal 2 4 7 5 2" xfId="13662"/>
    <cellStyle name="Normal 2 4 7 5 3" xfId="25985"/>
    <cellStyle name="Normal 2 4 7 6" xfId="13658"/>
    <cellStyle name="Normal 2 4 7 7" xfId="25981"/>
    <cellStyle name="Normal 2 4 7_LNG &amp; LPG rework" xfId="9416"/>
    <cellStyle name="Normal 2 4 8" xfId="2389"/>
    <cellStyle name="Normal 2 4 8 2" xfId="13663"/>
    <cellStyle name="Normal 2 4 8 3" xfId="25986"/>
    <cellStyle name="Normal 2 4 9" xfId="3248"/>
    <cellStyle name="Normal 2 4 9 2" xfId="13664"/>
    <cellStyle name="Normal 2 4 9 3" xfId="25987"/>
    <cellStyle name="Normal 2 4_Comparison 2015 and 2016" xfId="6434"/>
    <cellStyle name="Normal 2 5" xfId="1450"/>
    <cellStyle name="Normal 2 5 2" xfId="1550"/>
    <cellStyle name="Normal 2 5 2 10" xfId="3399"/>
    <cellStyle name="Normal 2 5 2 10 2" xfId="13665"/>
    <cellStyle name="Normal 2 5 2 10 3" xfId="25989"/>
    <cellStyle name="Normal 2 5 2 11" xfId="4267"/>
    <cellStyle name="Normal 2 5 2 11 2" xfId="13666"/>
    <cellStyle name="Normal 2 5 2 11 3" xfId="25990"/>
    <cellStyle name="Normal 2 5 2 12" xfId="5191"/>
    <cellStyle name="Normal 2 5 2 12 2" xfId="13667"/>
    <cellStyle name="Normal 2 5 2 12 3" xfId="25991"/>
    <cellStyle name="Normal 2 5 2 13" xfId="5529"/>
    <cellStyle name="Normal 2 5 2 13 2" xfId="13668"/>
    <cellStyle name="Normal 2 5 2 13 3" xfId="25992"/>
    <cellStyle name="Normal 2 5 2 14" xfId="10403"/>
    <cellStyle name="Normal 2 5 2 15" xfId="25988"/>
    <cellStyle name="Normal 2 5 2 2" xfId="1551"/>
    <cellStyle name="Normal 2 5 2 2 10" xfId="5192"/>
    <cellStyle name="Normal 2 5 2 2 10 2" xfId="13669"/>
    <cellStyle name="Normal 2 5 2 2 10 3" xfId="25994"/>
    <cellStyle name="Normal 2 5 2 2 11" xfId="5530"/>
    <cellStyle name="Normal 2 5 2 2 11 2" xfId="13670"/>
    <cellStyle name="Normal 2 5 2 2 11 3" xfId="25995"/>
    <cellStyle name="Normal 2 5 2 2 12" xfId="10404"/>
    <cellStyle name="Normal 2 5 2 2 13" xfId="25993"/>
    <cellStyle name="Normal 2 5 2 2 2" xfId="1552"/>
    <cellStyle name="Normal 2 5 2 2 2 10" xfId="5531"/>
    <cellStyle name="Normal 2 5 2 2 2 10 2" xfId="13671"/>
    <cellStyle name="Normal 2 5 2 2 2 10 3" xfId="25997"/>
    <cellStyle name="Normal 2 5 2 2 2 11" xfId="10405"/>
    <cellStyle name="Normal 2 5 2 2 2 12" xfId="25996"/>
    <cellStyle name="Normal 2 5 2 2 2 2" xfId="1553"/>
    <cellStyle name="Normal 2 5 2 2 2 2 10" xfId="25998"/>
    <cellStyle name="Normal 2 5 2 2 2 2 2" xfId="1899"/>
    <cellStyle name="Normal 2 5 2 2 2 2 2 2" xfId="2789"/>
    <cellStyle name="Normal 2 5 2 2 2 2 2 2 2" xfId="13672"/>
    <cellStyle name="Normal 2 5 2 2 2 2 2 2 3" xfId="26000"/>
    <cellStyle name="Normal 2 5 2 2 2 2 2 3" xfId="3653"/>
    <cellStyle name="Normal 2 5 2 2 2 2 2 3 2" xfId="13673"/>
    <cellStyle name="Normal 2 5 2 2 2 2 2 3 3" xfId="26001"/>
    <cellStyle name="Normal 2 5 2 2 2 2 2 4" xfId="4528"/>
    <cellStyle name="Normal 2 5 2 2 2 2 2 4 2" xfId="13674"/>
    <cellStyle name="Normal 2 5 2 2 2 2 2 4 3" xfId="26002"/>
    <cellStyle name="Normal 2 5 2 2 2 2 2 5" xfId="5195"/>
    <cellStyle name="Normal 2 5 2 2 2 2 2 5 2" xfId="13675"/>
    <cellStyle name="Normal 2 5 2 2 2 2 2 5 3" xfId="26003"/>
    <cellStyle name="Normal 2 5 2 2 2 2 2 6" xfId="5793"/>
    <cellStyle name="Normal 2 5 2 2 2 2 2 6 2" xfId="13676"/>
    <cellStyle name="Normal 2 5 2 2 2 2 2 6 3" xfId="26004"/>
    <cellStyle name="Normal 2 5 2 2 2 2 2 7" xfId="10407"/>
    <cellStyle name="Normal 2 5 2 2 2 2 2 8" xfId="25999"/>
    <cellStyle name="Normal 2 5 2 2 2 2 2_LNG &amp; LPG rework" xfId="9421"/>
    <cellStyle name="Normal 2 5 2 2 2 2 3" xfId="2174"/>
    <cellStyle name="Normal 2 5 2 2 2 2 3 2" xfId="3044"/>
    <cellStyle name="Normal 2 5 2 2 2 2 3 2 2" xfId="13678"/>
    <cellStyle name="Normal 2 5 2 2 2 2 3 2 3" xfId="26006"/>
    <cellStyle name="Normal 2 5 2 2 2 2 3 3" xfId="3914"/>
    <cellStyle name="Normal 2 5 2 2 2 2 3 3 2" xfId="13679"/>
    <cellStyle name="Normal 2 5 2 2 2 2 3 3 3" xfId="26007"/>
    <cellStyle name="Normal 2 5 2 2 2 2 3 4" xfId="4792"/>
    <cellStyle name="Normal 2 5 2 2 2 2 3 4 2" xfId="13680"/>
    <cellStyle name="Normal 2 5 2 2 2 2 3 4 3" xfId="26008"/>
    <cellStyle name="Normal 2 5 2 2 2 2 3 5" xfId="6057"/>
    <cellStyle name="Normal 2 5 2 2 2 2 3 5 2" xfId="13681"/>
    <cellStyle name="Normal 2 5 2 2 2 2 3 5 3" xfId="26009"/>
    <cellStyle name="Normal 2 5 2 2 2 2 3 6" xfId="13677"/>
    <cellStyle name="Normal 2 5 2 2 2 2 3 7" xfId="26005"/>
    <cellStyle name="Normal 2 5 2 2 2 2 3_LNG &amp; LPG rework" xfId="9422"/>
    <cellStyle name="Normal 2 5 2 2 2 2 4" xfId="2539"/>
    <cellStyle name="Normal 2 5 2 2 2 2 4 2" xfId="13682"/>
    <cellStyle name="Normal 2 5 2 2 2 2 4 3" xfId="26010"/>
    <cellStyle name="Normal 2 5 2 2 2 2 5" xfId="3402"/>
    <cellStyle name="Normal 2 5 2 2 2 2 5 2" xfId="13683"/>
    <cellStyle name="Normal 2 5 2 2 2 2 5 3" xfId="26011"/>
    <cellStyle name="Normal 2 5 2 2 2 2 6" xfId="4270"/>
    <cellStyle name="Normal 2 5 2 2 2 2 6 2" xfId="13684"/>
    <cellStyle name="Normal 2 5 2 2 2 2 6 3" xfId="26012"/>
    <cellStyle name="Normal 2 5 2 2 2 2 7" xfId="5194"/>
    <cellStyle name="Normal 2 5 2 2 2 2 7 2" xfId="13685"/>
    <cellStyle name="Normal 2 5 2 2 2 2 7 3" xfId="26013"/>
    <cellStyle name="Normal 2 5 2 2 2 2 8" xfId="5532"/>
    <cellStyle name="Normal 2 5 2 2 2 2 8 2" xfId="13686"/>
    <cellStyle name="Normal 2 5 2 2 2 2 8 3" xfId="26014"/>
    <cellStyle name="Normal 2 5 2 2 2 2 9" xfId="10406"/>
    <cellStyle name="Normal 2 5 2 2 2 2_LNG &amp; LPG rework" xfId="9420"/>
    <cellStyle name="Normal 2 5 2 2 2 3" xfId="1898"/>
    <cellStyle name="Normal 2 5 2 2 2 3 2" xfId="2788"/>
    <cellStyle name="Normal 2 5 2 2 2 3 2 2" xfId="13687"/>
    <cellStyle name="Normal 2 5 2 2 2 3 2 3" xfId="26016"/>
    <cellStyle name="Normal 2 5 2 2 2 3 3" xfId="3652"/>
    <cellStyle name="Normal 2 5 2 2 2 3 3 2" xfId="13688"/>
    <cellStyle name="Normal 2 5 2 2 2 3 3 3" xfId="26017"/>
    <cellStyle name="Normal 2 5 2 2 2 3 4" xfId="4527"/>
    <cellStyle name="Normal 2 5 2 2 2 3 4 2" xfId="13689"/>
    <cellStyle name="Normal 2 5 2 2 2 3 4 3" xfId="26018"/>
    <cellStyle name="Normal 2 5 2 2 2 3 5" xfId="5196"/>
    <cellStyle name="Normal 2 5 2 2 2 3 5 2" xfId="13690"/>
    <cellStyle name="Normal 2 5 2 2 2 3 5 3" xfId="26019"/>
    <cellStyle name="Normal 2 5 2 2 2 3 6" xfId="5792"/>
    <cellStyle name="Normal 2 5 2 2 2 3 6 2" xfId="13691"/>
    <cellStyle name="Normal 2 5 2 2 2 3 6 3" xfId="26020"/>
    <cellStyle name="Normal 2 5 2 2 2 3 7" xfId="10408"/>
    <cellStyle name="Normal 2 5 2 2 2 3 8" xfId="26015"/>
    <cellStyle name="Normal 2 5 2 2 2 3_LNG &amp; LPG rework" xfId="9423"/>
    <cellStyle name="Normal 2 5 2 2 2 4" xfId="2173"/>
    <cellStyle name="Normal 2 5 2 2 2 4 2" xfId="3043"/>
    <cellStyle name="Normal 2 5 2 2 2 4 2 2" xfId="13693"/>
    <cellStyle name="Normal 2 5 2 2 2 4 2 3" xfId="26022"/>
    <cellStyle name="Normal 2 5 2 2 2 4 3" xfId="3913"/>
    <cellStyle name="Normal 2 5 2 2 2 4 3 2" xfId="13694"/>
    <cellStyle name="Normal 2 5 2 2 2 4 3 3" xfId="26023"/>
    <cellStyle name="Normal 2 5 2 2 2 4 4" xfId="4791"/>
    <cellStyle name="Normal 2 5 2 2 2 4 4 2" xfId="13695"/>
    <cellStyle name="Normal 2 5 2 2 2 4 4 3" xfId="26024"/>
    <cellStyle name="Normal 2 5 2 2 2 4 5" xfId="6056"/>
    <cellStyle name="Normal 2 5 2 2 2 4 5 2" xfId="13696"/>
    <cellStyle name="Normal 2 5 2 2 2 4 5 3" xfId="26025"/>
    <cellStyle name="Normal 2 5 2 2 2 4 6" xfId="13692"/>
    <cellStyle name="Normal 2 5 2 2 2 4 7" xfId="26021"/>
    <cellStyle name="Normal 2 5 2 2 2 4_LNG &amp; LPG rework" xfId="9424"/>
    <cellStyle name="Normal 2 5 2 2 2 5" xfId="2357"/>
    <cellStyle name="Normal 2 5 2 2 2 5 2" xfId="3216"/>
    <cellStyle name="Normal 2 5 2 2 2 5 2 2" xfId="13698"/>
    <cellStyle name="Normal 2 5 2 2 2 5 2 3" xfId="26027"/>
    <cellStyle name="Normal 2 5 2 2 2 5 3" xfId="4082"/>
    <cellStyle name="Normal 2 5 2 2 2 5 3 2" xfId="13699"/>
    <cellStyle name="Normal 2 5 2 2 2 5 3 3" xfId="26028"/>
    <cellStyle name="Normal 2 5 2 2 2 5 4" xfId="4961"/>
    <cellStyle name="Normal 2 5 2 2 2 5 4 2" xfId="13700"/>
    <cellStyle name="Normal 2 5 2 2 2 5 4 3" xfId="26029"/>
    <cellStyle name="Normal 2 5 2 2 2 5 5" xfId="6226"/>
    <cellStyle name="Normal 2 5 2 2 2 5 5 2" xfId="13701"/>
    <cellStyle name="Normal 2 5 2 2 2 5 5 3" xfId="26030"/>
    <cellStyle name="Normal 2 5 2 2 2 5 6" xfId="13697"/>
    <cellStyle name="Normal 2 5 2 2 2 5 7" xfId="26026"/>
    <cellStyle name="Normal 2 5 2 2 2 5_LNG &amp; LPG rework" xfId="9425"/>
    <cellStyle name="Normal 2 5 2 2 2 6" xfId="2538"/>
    <cellStyle name="Normal 2 5 2 2 2 6 2" xfId="13702"/>
    <cellStyle name="Normal 2 5 2 2 2 6 3" xfId="26031"/>
    <cellStyle name="Normal 2 5 2 2 2 7" xfId="3401"/>
    <cellStyle name="Normal 2 5 2 2 2 7 2" xfId="13703"/>
    <cellStyle name="Normal 2 5 2 2 2 7 3" xfId="26032"/>
    <cellStyle name="Normal 2 5 2 2 2 8" xfId="4269"/>
    <cellStyle name="Normal 2 5 2 2 2 8 2" xfId="13704"/>
    <cellStyle name="Normal 2 5 2 2 2 8 3" xfId="26033"/>
    <cellStyle name="Normal 2 5 2 2 2 9" xfId="5193"/>
    <cellStyle name="Normal 2 5 2 2 2 9 2" xfId="13705"/>
    <cellStyle name="Normal 2 5 2 2 2 9 3" xfId="26034"/>
    <cellStyle name="Normal 2 5 2 2 2_LNG &amp; LPG rework" xfId="9419"/>
    <cellStyle name="Normal 2 5 2 2 3" xfId="1554"/>
    <cellStyle name="Normal 2 5 2 2 3 10" xfId="26035"/>
    <cellStyle name="Normal 2 5 2 2 3 2" xfId="1900"/>
    <cellStyle name="Normal 2 5 2 2 3 2 2" xfId="2790"/>
    <cellStyle name="Normal 2 5 2 2 3 2 2 2" xfId="13706"/>
    <cellStyle name="Normal 2 5 2 2 3 2 2 3" xfId="26037"/>
    <cellStyle name="Normal 2 5 2 2 3 2 3" xfId="3654"/>
    <cellStyle name="Normal 2 5 2 2 3 2 3 2" xfId="13707"/>
    <cellStyle name="Normal 2 5 2 2 3 2 3 3" xfId="26038"/>
    <cellStyle name="Normal 2 5 2 2 3 2 4" xfId="4529"/>
    <cellStyle name="Normal 2 5 2 2 3 2 4 2" xfId="13708"/>
    <cellStyle name="Normal 2 5 2 2 3 2 4 3" xfId="26039"/>
    <cellStyle name="Normal 2 5 2 2 3 2 5" xfId="5198"/>
    <cellStyle name="Normal 2 5 2 2 3 2 5 2" xfId="13709"/>
    <cellStyle name="Normal 2 5 2 2 3 2 5 3" xfId="26040"/>
    <cellStyle name="Normal 2 5 2 2 3 2 6" xfId="5794"/>
    <cellStyle name="Normal 2 5 2 2 3 2 6 2" xfId="13710"/>
    <cellStyle name="Normal 2 5 2 2 3 2 6 3" xfId="26041"/>
    <cellStyle name="Normal 2 5 2 2 3 2 7" xfId="10410"/>
    <cellStyle name="Normal 2 5 2 2 3 2 8" xfId="26036"/>
    <cellStyle name="Normal 2 5 2 2 3 2_LNG &amp; LPG rework" xfId="9427"/>
    <cellStyle name="Normal 2 5 2 2 3 3" xfId="2175"/>
    <cellStyle name="Normal 2 5 2 2 3 3 2" xfId="3045"/>
    <cellStyle name="Normal 2 5 2 2 3 3 2 2" xfId="13712"/>
    <cellStyle name="Normal 2 5 2 2 3 3 2 3" xfId="26043"/>
    <cellStyle name="Normal 2 5 2 2 3 3 3" xfId="3915"/>
    <cellStyle name="Normal 2 5 2 2 3 3 3 2" xfId="13713"/>
    <cellStyle name="Normal 2 5 2 2 3 3 3 3" xfId="26044"/>
    <cellStyle name="Normal 2 5 2 2 3 3 4" xfId="4793"/>
    <cellStyle name="Normal 2 5 2 2 3 3 4 2" xfId="13714"/>
    <cellStyle name="Normal 2 5 2 2 3 3 4 3" xfId="26045"/>
    <cellStyle name="Normal 2 5 2 2 3 3 5" xfId="6058"/>
    <cellStyle name="Normal 2 5 2 2 3 3 5 2" xfId="13715"/>
    <cellStyle name="Normal 2 5 2 2 3 3 5 3" xfId="26046"/>
    <cellStyle name="Normal 2 5 2 2 3 3 6" xfId="13711"/>
    <cellStyle name="Normal 2 5 2 2 3 3 7" xfId="26042"/>
    <cellStyle name="Normal 2 5 2 2 3 3_LNG &amp; LPG rework" xfId="9428"/>
    <cellStyle name="Normal 2 5 2 2 3 4" xfId="2540"/>
    <cellStyle name="Normal 2 5 2 2 3 4 2" xfId="13716"/>
    <cellStyle name="Normal 2 5 2 2 3 4 3" xfId="26047"/>
    <cellStyle name="Normal 2 5 2 2 3 5" xfId="3403"/>
    <cellStyle name="Normal 2 5 2 2 3 5 2" xfId="13717"/>
    <cellStyle name="Normal 2 5 2 2 3 5 3" xfId="26048"/>
    <cellStyle name="Normal 2 5 2 2 3 6" xfId="4271"/>
    <cellStyle name="Normal 2 5 2 2 3 6 2" xfId="13718"/>
    <cellStyle name="Normal 2 5 2 2 3 6 3" xfId="26049"/>
    <cellStyle name="Normal 2 5 2 2 3 7" xfId="5197"/>
    <cellStyle name="Normal 2 5 2 2 3 7 2" xfId="13719"/>
    <cellStyle name="Normal 2 5 2 2 3 7 3" xfId="26050"/>
    <cellStyle name="Normal 2 5 2 2 3 8" xfId="5533"/>
    <cellStyle name="Normal 2 5 2 2 3 8 2" xfId="13720"/>
    <cellStyle name="Normal 2 5 2 2 3 8 3" xfId="26051"/>
    <cellStyle name="Normal 2 5 2 2 3 9" xfId="10409"/>
    <cellStyle name="Normal 2 5 2 2 3_LNG &amp; LPG rework" xfId="9426"/>
    <cellStyle name="Normal 2 5 2 2 4" xfId="1897"/>
    <cellStyle name="Normal 2 5 2 2 4 2" xfId="2787"/>
    <cellStyle name="Normal 2 5 2 2 4 2 2" xfId="13721"/>
    <cellStyle name="Normal 2 5 2 2 4 2 3" xfId="26053"/>
    <cellStyle name="Normal 2 5 2 2 4 3" xfId="3651"/>
    <cellStyle name="Normal 2 5 2 2 4 3 2" xfId="13722"/>
    <cellStyle name="Normal 2 5 2 2 4 3 3" xfId="26054"/>
    <cellStyle name="Normal 2 5 2 2 4 4" xfId="4526"/>
    <cellStyle name="Normal 2 5 2 2 4 4 2" xfId="13723"/>
    <cellStyle name="Normal 2 5 2 2 4 4 3" xfId="26055"/>
    <cellStyle name="Normal 2 5 2 2 4 5" xfId="5199"/>
    <cellStyle name="Normal 2 5 2 2 4 5 2" xfId="13724"/>
    <cellStyle name="Normal 2 5 2 2 4 5 3" xfId="26056"/>
    <cellStyle name="Normal 2 5 2 2 4 6" xfId="5791"/>
    <cellStyle name="Normal 2 5 2 2 4 6 2" xfId="13725"/>
    <cellStyle name="Normal 2 5 2 2 4 6 3" xfId="26057"/>
    <cellStyle name="Normal 2 5 2 2 4 7" xfId="10411"/>
    <cellStyle name="Normal 2 5 2 2 4 8" xfId="26052"/>
    <cellStyle name="Normal 2 5 2 2 4_LNG &amp; LPG rework" xfId="9429"/>
    <cellStyle name="Normal 2 5 2 2 5" xfId="2172"/>
    <cellStyle name="Normal 2 5 2 2 5 2" xfId="3042"/>
    <cellStyle name="Normal 2 5 2 2 5 2 2" xfId="13727"/>
    <cellStyle name="Normal 2 5 2 2 5 2 3" xfId="26059"/>
    <cellStyle name="Normal 2 5 2 2 5 3" xfId="3912"/>
    <cellStyle name="Normal 2 5 2 2 5 3 2" xfId="13728"/>
    <cellStyle name="Normal 2 5 2 2 5 3 3" xfId="26060"/>
    <cellStyle name="Normal 2 5 2 2 5 4" xfId="4790"/>
    <cellStyle name="Normal 2 5 2 2 5 4 2" xfId="13729"/>
    <cellStyle name="Normal 2 5 2 2 5 4 3" xfId="26061"/>
    <cellStyle name="Normal 2 5 2 2 5 5" xfId="6055"/>
    <cellStyle name="Normal 2 5 2 2 5 5 2" xfId="13730"/>
    <cellStyle name="Normal 2 5 2 2 5 5 3" xfId="26062"/>
    <cellStyle name="Normal 2 5 2 2 5 6" xfId="13726"/>
    <cellStyle name="Normal 2 5 2 2 5 7" xfId="26058"/>
    <cellStyle name="Normal 2 5 2 2 5_LNG &amp; LPG rework" xfId="9430"/>
    <cellStyle name="Normal 2 5 2 2 6" xfId="2313"/>
    <cellStyle name="Normal 2 5 2 2 6 2" xfId="3172"/>
    <cellStyle name="Normal 2 5 2 2 6 2 2" xfId="13732"/>
    <cellStyle name="Normal 2 5 2 2 6 2 3" xfId="26064"/>
    <cellStyle name="Normal 2 5 2 2 6 3" xfId="4038"/>
    <cellStyle name="Normal 2 5 2 2 6 3 2" xfId="13733"/>
    <cellStyle name="Normal 2 5 2 2 6 3 3" xfId="26065"/>
    <cellStyle name="Normal 2 5 2 2 6 4" xfId="4917"/>
    <cellStyle name="Normal 2 5 2 2 6 4 2" xfId="13734"/>
    <cellStyle name="Normal 2 5 2 2 6 4 3" xfId="26066"/>
    <cellStyle name="Normal 2 5 2 2 6 5" xfId="6182"/>
    <cellStyle name="Normal 2 5 2 2 6 5 2" xfId="13735"/>
    <cellStyle name="Normal 2 5 2 2 6 5 3" xfId="26067"/>
    <cellStyle name="Normal 2 5 2 2 6 6" xfId="13731"/>
    <cellStyle name="Normal 2 5 2 2 6 7" xfId="26063"/>
    <cellStyle name="Normal 2 5 2 2 6_LNG &amp; LPG rework" xfId="9431"/>
    <cellStyle name="Normal 2 5 2 2 7" xfId="2537"/>
    <cellStyle name="Normal 2 5 2 2 7 2" xfId="13736"/>
    <cellStyle name="Normal 2 5 2 2 7 3" xfId="26068"/>
    <cellStyle name="Normal 2 5 2 2 8" xfId="3400"/>
    <cellStyle name="Normal 2 5 2 2 8 2" xfId="13737"/>
    <cellStyle name="Normal 2 5 2 2 8 3" xfId="26069"/>
    <cellStyle name="Normal 2 5 2 2 9" xfId="4268"/>
    <cellStyle name="Normal 2 5 2 2 9 2" xfId="13738"/>
    <cellStyle name="Normal 2 5 2 2 9 3" xfId="26070"/>
    <cellStyle name="Normal 2 5 2 2_LNG &amp; LPG rework" xfId="9418"/>
    <cellStyle name="Normal 2 5 2 3" xfId="1555"/>
    <cellStyle name="Normal 2 5 2 3 10" xfId="5534"/>
    <cellStyle name="Normal 2 5 2 3 10 2" xfId="13739"/>
    <cellStyle name="Normal 2 5 2 3 10 3" xfId="26072"/>
    <cellStyle name="Normal 2 5 2 3 11" xfId="10412"/>
    <cellStyle name="Normal 2 5 2 3 12" xfId="26071"/>
    <cellStyle name="Normal 2 5 2 3 2" xfId="1556"/>
    <cellStyle name="Normal 2 5 2 3 2 10" xfId="26073"/>
    <cellStyle name="Normal 2 5 2 3 2 2" xfId="1902"/>
    <cellStyle name="Normal 2 5 2 3 2 2 2" xfId="2792"/>
    <cellStyle name="Normal 2 5 2 3 2 2 2 2" xfId="13740"/>
    <cellStyle name="Normal 2 5 2 3 2 2 2 3" xfId="26075"/>
    <cellStyle name="Normal 2 5 2 3 2 2 3" xfId="3656"/>
    <cellStyle name="Normal 2 5 2 3 2 2 3 2" xfId="13741"/>
    <cellStyle name="Normal 2 5 2 3 2 2 3 3" xfId="26076"/>
    <cellStyle name="Normal 2 5 2 3 2 2 4" xfId="4531"/>
    <cellStyle name="Normal 2 5 2 3 2 2 4 2" xfId="13742"/>
    <cellStyle name="Normal 2 5 2 3 2 2 4 3" xfId="26077"/>
    <cellStyle name="Normal 2 5 2 3 2 2 5" xfId="5202"/>
    <cellStyle name="Normal 2 5 2 3 2 2 5 2" xfId="13743"/>
    <cellStyle name="Normal 2 5 2 3 2 2 5 3" xfId="26078"/>
    <cellStyle name="Normal 2 5 2 3 2 2 6" xfId="5796"/>
    <cellStyle name="Normal 2 5 2 3 2 2 6 2" xfId="13744"/>
    <cellStyle name="Normal 2 5 2 3 2 2 6 3" xfId="26079"/>
    <cellStyle name="Normal 2 5 2 3 2 2 7" xfId="10414"/>
    <cellStyle name="Normal 2 5 2 3 2 2 8" xfId="26074"/>
    <cellStyle name="Normal 2 5 2 3 2 2_LNG &amp; LPG rework" xfId="9434"/>
    <cellStyle name="Normal 2 5 2 3 2 3" xfId="2177"/>
    <cellStyle name="Normal 2 5 2 3 2 3 2" xfId="3047"/>
    <cellStyle name="Normal 2 5 2 3 2 3 2 2" xfId="13746"/>
    <cellStyle name="Normal 2 5 2 3 2 3 2 3" xfId="26081"/>
    <cellStyle name="Normal 2 5 2 3 2 3 3" xfId="3917"/>
    <cellStyle name="Normal 2 5 2 3 2 3 3 2" xfId="13747"/>
    <cellStyle name="Normal 2 5 2 3 2 3 3 3" xfId="26082"/>
    <cellStyle name="Normal 2 5 2 3 2 3 4" xfId="4795"/>
    <cellStyle name="Normal 2 5 2 3 2 3 4 2" xfId="13748"/>
    <cellStyle name="Normal 2 5 2 3 2 3 4 3" xfId="26083"/>
    <cellStyle name="Normal 2 5 2 3 2 3 5" xfId="6060"/>
    <cellStyle name="Normal 2 5 2 3 2 3 5 2" xfId="13749"/>
    <cellStyle name="Normal 2 5 2 3 2 3 5 3" xfId="26084"/>
    <cellStyle name="Normal 2 5 2 3 2 3 6" xfId="13745"/>
    <cellStyle name="Normal 2 5 2 3 2 3 7" xfId="26080"/>
    <cellStyle name="Normal 2 5 2 3 2 3_LNG &amp; LPG rework" xfId="9435"/>
    <cellStyle name="Normal 2 5 2 3 2 4" xfId="2542"/>
    <cellStyle name="Normal 2 5 2 3 2 4 2" xfId="13750"/>
    <cellStyle name="Normal 2 5 2 3 2 4 3" xfId="26085"/>
    <cellStyle name="Normal 2 5 2 3 2 5" xfId="3405"/>
    <cellStyle name="Normal 2 5 2 3 2 5 2" xfId="13751"/>
    <cellStyle name="Normal 2 5 2 3 2 5 3" xfId="26086"/>
    <cellStyle name="Normal 2 5 2 3 2 6" xfId="4273"/>
    <cellStyle name="Normal 2 5 2 3 2 6 2" xfId="13752"/>
    <cellStyle name="Normal 2 5 2 3 2 6 3" xfId="26087"/>
    <cellStyle name="Normal 2 5 2 3 2 7" xfId="5201"/>
    <cellStyle name="Normal 2 5 2 3 2 7 2" xfId="13753"/>
    <cellStyle name="Normal 2 5 2 3 2 7 3" xfId="26088"/>
    <cellStyle name="Normal 2 5 2 3 2 8" xfId="5535"/>
    <cellStyle name="Normal 2 5 2 3 2 8 2" xfId="13754"/>
    <cellStyle name="Normal 2 5 2 3 2 8 3" xfId="26089"/>
    <cellStyle name="Normal 2 5 2 3 2 9" xfId="10413"/>
    <cellStyle name="Normal 2 5 2 3 2_LNG &amp; LPG rework" xfId="9433"/>
    <cellStyle name="Normal 2 5 2 3 3" xfId="1901"/>
    <cellStyle name="Normal 2 5 2 3 3 2" xfId="2791"/>
    <cellStyle name="Normal 2 5 2 3 3 2 2" xfId="13755"/>
    <cellStyle name="Normal 2 5 2 3 3 2 3" xfId="26091"/>
    <cellStyle name="Normal 2 5 2 3 3 3" xfId="3655"/>
    <cellStyle name="Normal 2 5 2 3 3 3 2" xfId="13756"/>
    <cellStyle name="Normal 2 5 2 3 3 3 3" xfId="26092"/>
    <cellStyle name="Normal 2 5 2 3 3 4" xfId="4530"/>
    <cellStyle name="Normal 2 5 2 3 3 4 2" xfId="13757"/>
    <cellStyle name="Normal 2 5 2 3 3 4 3" xfId="26093"/>
    <cellStyle name="Normal 2 5 2 3 3 5" xfId="5203"/>
    <cellStyle name="Normal 2 5 2 3 3 5 2" xfId="13758"/>
    <cellStyle name="Normal 2 5 2 3 3 5 3" xfId="26094"/>
    <cellStyle name="Normal 2 5 2 3 3 6" xfId="5795"/>
    <cellStyle name="Normal 2 5 2 3 3 6 2" xfId="13759"/>
    <cellStyle name="Normal 2 5 2 3 3 6 3" xfId="26095"/>
    <cellStyle name="Normal 2 5 2 3 3 7" xfId="10415"/>
    <cellStyle name="Normal 2 5 2 3 3 8" xfId="26090"/>
    <cellStyle name="Normal 2 5 2 3 3_LNG &amp; LPG rework" xfId="9436"/>
    <cellStyle name="Normal 2 5 2 3 4" xfId="2176"/>
    <cellStyle name="Normal 2 5 2 3 4 2" xfId="3046"/>
    <cellStyle name="Normal 2 5 2 3 4 2 2" xfId="13761"/>
    <cellStyle name="Normal 2 5 2 3 4 2 3" xfId="26097"/>
    <cellStyle name="Normal 2 5 2 3 4 3" xfId="3916"/>
    <cellStyle name="Normal 2 5 2 3 4 3 2" xfId="13762"/>
    <cellStyle name="Normal 2 5 2 3 4 3 3" xfId="26098"/>
    <cellStyle name="Normal 2 5 2 3 4 4" xfId="4794"/>
    <cellStyle name="Normal 2 5 2 3 4 4 2" xfId="13763"/>
    <cellStyle name="Normal 2 5 2 3 4 4 3" xfId="26099"/>
    <cellStyle name="Normal 2 5 2 3 4 5" xfId="6059"/>
    <cellStyle name="Normal 2 5 2 3 4 5 2" xfId="13764"/>
    <cellStyle name="Normal 2 5 2 3 4 5 3" xfId="26100"/>
    <cellStyle name="Normal 2 5 2 3 4 6" xfId="13760"/>
    <cellStyle name="Normal 2 5 2 3 4 7" xfId="26096"/>
    <cellStyle name="Normal 2 5 2 3 4_LNG &amp; LPG rework" xfId="9437"/>
    <cellStyle name="Normal 2 5 2 3 5" xfId="2335"/>
    <cellStyle name="Normal 2 5 2 3 5 2" xfId="3194"/>
    <cellStyle name="Normal 2 5 2 3 5 2 2" xfId="13766"/>
    <cellStyle name="Normal 2 5 2 3 5 2 3" xfId="26102"/>
    <cellStyle name="Normal 2 5 2 3 5 3" xfId="4060"/>
    <cellStyle name="Normal 2 5 2 3 5 3 2" xfId="13767"/>
    <cellStyle name="Normal 2 5 2 3 5 3 3" xfId="26103"/>
    <cellStyle name="Normal 2 5 2 3 5 4" xfId="4939"/>
    <cellStyle name="Normal 2 5 2 3 5 4 2" xfId="13768"/>
    <cellStyle name="Normal 2 5 2 3 5 4 3" xfId="26104"/>
    <cellStyle name="Normal 2 5 2 3 5 5" xfId="6204"/>
    <cellStyle name="Normal 2 5 2 3 5 5 2" xfId="13769"/>
    <cellStyle name="Normal 2 5 2 3 5 5 3" xfId="26105"/>
    <cellStyle name="Normal 2 5 2 3 5 6" xfId="13765"/>
    <cellStyle name="Normal 2 5 2 3 5 7" xfId="26101"/>
    <cellStyle name="Normal 2 5 2 3 5_LNG &amp; LPG rework" xfId="9438"/>
    <cellStyle name="Normal 2 5 2 3 6" xfId="2541"/>
    <cellStyle name="Normal 2 5 2 3 6 2" xfId="13770"/>
    <cellStyle name="Normal 2 5 2 3 6 3" xfId="26106"/>
    <cellStyle name="Normal 2 5 2 3 7" xfId="3404"/>
    <cellStyle name="Normal 2 5 2 3 7 2" xfId="13771"/>
    <cellStyle name="Normal 2 5 2 3 7 3" xfId="26107"/>
    <cellStyle name="Normal 2 5 2 3 8" xfId="4272"/>
    <cellStyle name="Normal 2 5 2 3 8 2" xfId="13772"/>
    <cellStyle name="Normal 2 5 2 3 8 3" xfId="26108"/>
    <cellStyle name="Normal 2 5 2 3 9" xfId="5200"/>
    <cellStyle name="Normal 2 5 2 3 9 2" xfId="13773"/>
    <cellStyle name="Normal 2 5 2 3 9 3" xfId="26109"/>
    <cellStyle name="Normal 2 5 2 3_LNG &amp; LPG rework" xfId="9432"/>
    <cellStyle name="Normal 2 5 2 4" xfId="1557"/>
    <cellStyle name="Normal 2 5 2 4 10" xfId="26110"/>
    <cellStyle name="Normal 2 5 2 4 2" xfId="1903"/>
    <cellStyle name="Normal 2 5 2 4 2 2" xfId="2793"/>
    <cellStyle name="Normal 2 5 2 4 2 2 2" xfId="13774"/>
    <cellStyle name="Normal 2 5 2 4 2 2 3" xfId="26112"/>
    <cellStyle name="Normal 2 5 2 4 2 3" xfId="3657"/>
    <cellStyle name="Normal 2 5 2 4 2 3 2" xfId="13775"/>
    <cellStyle name="Normal 2 5 2 4 2 3 3" xfId="26113"/>
    <cellStyle name="Normal 2 5 2 4 2 4" xfId="4532"/>
    <cellStyle name="Normal 2 5 2 4 2 4 2" xfId="13776"/>
    <cellStyle name="Normal 2 5 2 4 2 4 3" xfId="26114"/>
    <cellStyle name="Normal 2 5 2 4 2 5" xfId="5205"/>
    <cellStyle name="Normal 2 5 2 4 2 5 2" xfId="13777"/>
    <cellStyle name="Normal 2 5 2 4 2 5 3" xfId="26115"/>
    <cellStyle name="Normal 2 5 2 4 2 6" xfId="5797"/>
    <cellStyle name="Normal 2 5 2 4 2 6 2" xfId="13778"/>
    <cellStyle name="Normal 2 5 2 4 2 6 3" xfId="26116"/>
    <cellStyle name="Normal 2 5 2 4 2 7" xfId="10417"/>
    <cellStyle name="Normal 2 5 2 4 2 8" xfId="26111"/>
    <cellStyle name="Normal 2 5 2 4 2_LNG &amp; LPG rework" xfId="9440"/>
    <cellStyle name="Normal 2 5 2 4 3" xfId="2178"/>
    <cellStyle name="Normal 2 5 2 4 3 2" xfId="3048"/>
    <cellStyle name="Normal 2 5 2 4 3 2 2" xfId="13780"/>
    <cellStyle name="Normal 2 5 2 4 3 2 3" xfId="26118"/>
    <cellStyle name="Normal 2 5 2 4 3 3" xfId="3918"/>
    <cellStyle name="Normal 2 5 2 4 3 3 2" xfId="13781"/>
    <cellStyle name="Normal 2 5 2 4 3 3 3" xfId="26119"/>
    <cellStyle name="Normal 2 5 2 4 3 4" xfId="4796"/>
    <cellStyle name="Normal 2 5 2 4 3 4 2" xfId="13782"/>
    <cellStyle name="Normal 2 5 2 4 3 4 3" xfId="26120"/>
    <cellStyle name="Normal 2 5 2 4 3 5" xfId="6061"/>
    <cellStyle name="Normal 2 5 2 4 3 5 2" xfId="13783"/>
    <cellStyle name="Normal 2 5 2 4 3 5 3" xfId="26121"/>
    <cellStyle name="Normal 2 5 2 4 3 6" xfId="13779"/>
    <cellStyle name="Normal 2 5 2 4 3 7" xfId="26117"/>
    <cellStyle name="Normal 2 5 2 4 3_LNG &amp; LPG rework" xfId="9441"/>
    <cellStyle name="Normal 2 5 2 4 4" xfId="2543"/>
    <cellStyle name="Normal 2 5 2 4 4 2" xfId="13784"/>
    <cellStyle name="Normal 2 5 2 4 4 3" xfId="26122"/>
    <cellStyle name="Normal 2 5 2 4 5" xfId="3406"/>
    <cellStyle name="Normal 2 5 2 4 5 2" xfId="13785"/>
    <cellStyle name="Normal 2 5 2 4 5 3" xfId="26123"/>
    <cellStyle name="Normal 2 5 2 4 6" xfId="4274"/>
    <cellStyle name="Normal 2 5 2 4 6 2" xfId="13786"/>
    <cellStyle name="Normal 2 5 2 4 6 3" xfId="26124"/>
    <cellStyle name="Normal 2 5 2 4 7" xfId="5204"/>
    <cellStyle name="Normal 2 5 2 4 7 2" xfId="13787"/>
    <cellStyle name="Normal 2 5 2 4 7 3" xfId="26125"/>
    <cellStyle name="Normal 2 5 2 4 8" xfId="5536"/>
    <cellStyle name="Normal 2 5 2 4 8 2" xfId="13788"/>
    <cellStyle name="Normal 2 5 2 4 8 3" xfId="26126"/>
    <cellStyle name="Normal 2 5 2 4 9" xfId="10416"/>
    <cellStyle name="Normal 2 5 2 4_LNG &amp; LPG rework" xfId="9439"/>
    <cellStyle name="Normal 2 5 2 5" xfId="1988"/>
    <cellStyle name="Normal 2 5 2 5 2" xfId="5206"/>
    <cellStyle name="Normal 2 5 2 5 2 2" xfId="13789"/>
    <cellStyle name="Normal 2 5 2 5 2 3" xfId="26128"/>
    <cellStyle name="Normal 2 5 2 5 3" xfId="6234"/>
    <cellStyle name="Normal 2 5 2 5 3 2" xfId="13790"/>
    <cellStyle name="Normal 2 5 2 5 3 3" xfId="26129"/>
    <cellStyle name="Normal 2 5 2 5 4" xfId="10418"/>
    <cellStyle name="Normal 2 5 2 5 5" xfId="26127"/>
    <cellStyle name="Normal 2 5 2 5_LNG &amp; LPG rework" xfId="9442"/>
    <cellStyle name="Normal 2 5 2 6" xfId="1896"/>
    <cellStyle name="Normal 2 5 2 6 2" xfId="2786"/>
    <cellStyle name="Normal 2 5 2 6 2 2" xfId="13792"/>
    <cellStyle name="Normal 2 5 2 6 2 3" xfId="26131"/>
    <cellStyle name="Normal 2 5 2 6 3" xfId="3650"/>
    <cellStyle name="Normal 2 5 2 6 3 2" xfId="13793"/>
    <cellStyle name="Normal 2 5 2 6 3 3" xfId="26132"/>
    <cellStyle name="Normal 2 5 2 6 4" xfId="4525"/>
    <cellStyle name="Normal 2 5 2 6 4 2" xfId="13794"/>
    <cellStyle name="Normal 2 5 2 6 4 3" xfId="26133"/>
    <cellStyle name="Normal 2 5 2 6 5" xfId="5790"/>
    <cellStyle name="Normal 2 5 2 6 5 2" xfId="13795"/>
    <cellStyle name="Normal 2 5 2 6 5 3" xfId="26134"/>
    <cellStyle name="Normal 2 5 2 6 6" xfId="13791"/>
    <cellStyle name="Normal 2 5 2 6 7" xfId="26130"/>
    <cellStyle name="Normal 2 5 2 6_LNG &amp; LPG rework" xfId="9443"/>
    <cellStyle name="Normal 2 5 2 7" xfId="2171"/>
    <cellStyle name="Normal 2 5 2 7 2" xfId="3041"/>
    <cellStyle name="Normal 2 5 2 7 2 2" xfId="13797"/>
    <cellStyle name="Normal 2 5 2 7 2 3" xfId="26136"/>
    <cellStyle name="Normal 2 5 2 7 3" xfId="3911"/>
    <cellStyle name="Normal 2 5 2 7 3 2" xfId="13798"/>
    <cellStyle name="Normal 2 5 2 7 3 3" xfId="26137"/>
    <cellStyle name="Normal 2 5 2 7 4" xfId="4789"/>
    <cellStyle name="Normal 2 5 2 7 4 2" xfId="13799"/>
    <cellStyle name="Normal 2 5 2 7 4 3" xfId="26138"/>
    <cellStyle name="Normal 2 5 2 7 5" xfId="6054"/>
    <cellStyle name="Normal 2 5 2 7 5 2" xfId="13800"/>
    <cellStyle name="Normal 2 5 2 7 5 3" xfId="26139"/>
    <cellStyle name="Normal 2 5 2 7 6" xfId="13796"/>
    <cellStyle name="Normal 2 5 2 7 7" xfId="26135"/>
    <cellStyle name="Normal 2 5 2 7_LNG &amp; LPG rework" xfId="9444"/>
    <cellStyle name="Normal 2 5 2 8" xfId="2291"/>
    <cellStyle name="Normal 2 5 2 8 2" xfId="3150"/>
    <cellStyle name="Normal 2 5 2 8 2 2" xfId="13802"/>
    <cellStyle name="Normal 2 5 2 8 2 3" xfId="26141"/>
    <cellStyle name="Normal 2 5 2 8 3" xfId="4016"/>
    <cellStyle name="Normal 2 5 2 8 3 2" xfId="13803"/>
    <cellStyle name="Normal 2 5 2 8 3 3" xfId="26142"/>
    <cellStyle name="Normal 2 5 2 8 4" xfId="4895"/>
    <cellStyle name="Normal 2 5 2 8 4 2" xfId="13804"/>
    <cellStyle name="Normal 2 5 2 8 4 3" xfId="26143"/>
    <cellStyle name="Normal 2 5 2 8 5" xfId="6160"/>
    <cellStyle name="Normal 2 5 2 8 5 2" xfId="13805"/>
    <cellStyle name="Normal 2 5 2 8 5 3" xfId="26144"/>
    <cellStyle name="Normal 2 5 2 8 6" xfId="13801"/>
    <cellStyle name="Normal 2 5 2 8 7" xfId="26140"/>
    <cellStyle name="Normal 2 5 2 8_LNG &amp; LPG rework" xfId="9445"/>
    <cellStyle name="Normal 2 5 2 9" xfId="2536"/>
    <cellStyle name="Normal 2 5 2 9 2" xfId="13806"/>
    <cellStyle name="Normal 2 5 2 9 3" xfId="26145"/>
    <cellStyle name="Normal 2 5 2_LNG &amp; LPG rework" xfId="9417"/>
    <cellStyle name="Normal 2 5 3" xfId="1558"/>
    <cellStyle name="Normal 2 5 3 10" xfId="4275"/>
    <cellStyle name="Normal 2 5 3 10 2" xfId="13807"/>
    <cellStyle name="Normal 2 5 3 10 3" xfId="26147"/>
    <cellStyle name="Normal 2 5 3 11" xfId="5207"/>
    <cellStyle name="Normal 2 5 3 11 2" xfId="13808"/>
    <cellStyle name="Normal 2 5 3 11 3" xfId="26148"/>
    <cellStyle name="Normal 2 5 3 12" xfId="5537"/>
    <cellStyle name="Normal 2 5 3 12 2" xfId="13809"/>
    <cellStyle name="Normal 2 5 3 12 3" xfId="26149"/>
    <cellStyle name="Normal 2 5 3 13" xfId="10419"/>
    <cellStyle name="Normal 2 5 3 14" xfId="26146"/>
    <cellStyle name="Normal 2 5 3 2" xfId="1559"/>
    <cellStyle name="Normal 2 5 3 2 10" xfId="5538"/>
    <cellStyle name="Normal 2 5 3 2 10 2" xfId="13810"/>
    <cellStyle name="Normal 2 5 3 2 10 3" xfId="26151"/>
    <cellStyle name="Normal 2 5 3 2 11" xfId="10420"/>
    <cellStyle name="Normal 2 5 3 2 12" xfId="26150"/>
    <cellStyle name="Normal 2 5 3 2 2" xfId="1560"/>
    <cellStyle name="Normal 2 5 3 2 2 10" xfId="26152"/>
    <cellStyle name="Normal 2 5 3 2 2 2" xfId="1906"/>
    <cellStyle name="Normal 2 5 3 2 2 2 2" xfId="2796"/>
    <cellStyle name="Normal 2 5 3 2 2 2 2 2" xfId="13811"/>
    <cellStyle name="Normal 2 5 3 2 2 2 2 3" xfId="26154"/>
    <cellStyle name="Normal 2 5 3 2 2 2 3" xfId="3660"/>
    <cellStyle name="Normal 2 5 3 2 2 2 3 2" xfId="13812"/>
    <cellStyle name="Normal 2 5 3 2 2 2 3 3" xfId="26155"/>
    <cellStyle name="Normal 2 5 3 2 2 2 4" xfId="4535"/>
    <cellStyle name="Normal 2 5 3 2 2 2 4 2" xfId="13813"/>
    <cellStyle name="Normal 2 5 3 2 2 2 4 3" xfId="26156"/>
    <cellStyle name="Normal 2 5 3 2 2 2 5" xfId="5210"/>
    <cellStyle name="Normal 2 5 3 2 2 2 5 2" xfId="13814"/>
    <cellStyle name="Normal 2 5 3 2 2 2 5 3" xfId="26157"/>
    <cellStyle name="Normal 2 5 3 2 2 2 6" xfId="5800"/>
    <cellStyle name="Normal 2 5 3 2 2 2 6 2" xfId="13815"/>
    <cellStyle name="Normal 2 5 3 2 2 2 6 3" xfId="26158"/>
    <cellStyle name="Normal 2 5 3 2 2 2 7" xfId="10422"/>
    <cellStyle name="Normal 2 5 3 2 2 2 8" xfId="26153"/>
    <cellStyle name="Normal 2 5 3 2 2 2_LNG &amp; LPG rework" xfId="9449"/>
    <cellStyle name="Normal 2 5 3 2 2 3" xfId="2181"/>
    <cellStyle name="Normal 2 5 3 2 2 3 2" xfId="3051"/>
    <cellStyle name="Normal 2 5 3 2 2 3 2 2" xfId="13817"/>
    <cellStyle name="Normal 2 5 3 2 2 3 2 3" xfId="26160"/>
    <cellStyle name="Normal 2 5 3 2 2 3 3" xfId="3921"/>
    <cellStyle name="Normal 2 5 3 2 2 3 3 2" xfId="13818"/>
    <cellStyle name="Normal 2 5 3 2 2 3 3 3" xfId="26161"/>
    <cellStyle name="Normal 2 5 3 2 2 3 4" xfId="4799"/>
    <cellStyle name="Normal 2 5 3 2 2 3 4 2" xfId="13819"/>
    <cellStyle name="Normal 2 5 3 2 2 3 4 3" xfId="26162"/>
    <cellStyle name="Normal 2 5 3 2 2 3 5" xfId="6064"/>
    <cellStyle name="Normal 2 5 3 2 2 3 5 2" xfId="13820"/>
    <cellStyle name="Normal 2 5 3 2 2 3 5 3" xfId="26163"/>
    <cellStyle name="Normal 2 5 3 2 2 3 6" xfId="13816"/>
    <cellStyle name="Normal 2 5 3 2 2 3 7" xfId="26159"/>
    <cellStyle name="Normal 2 5 3 2 2 3_LNG &amp; LPG rework" xfId="9450"/>
    <cellStyle name="Normal 2 5 3 2 2 4" xfId="2546"/>
    <cellStyle name="Normal 2 5 3 2 2 4 2" xfId="13821"/>
    <cellStyle name="Normal 2 5 3 2 2 4 3" xfId="26164"/>
    <cellStyle name="Normal 2 5 3 2 2 5" xfId="3409"/>
    <cellStyle name="Normal 2 5 3 2 2 5 2" xfId="13822"/>
    <cellStyle name="Normal 2 5 3 2 2 5 3" xfId="26165"/>
    <cellStyle name="Normal 2 5 3 2 2 6" xfId="4277"/>
    <cellStyle name="Normal 2 5 3 2 2 6 2" xfId="13823"/>
    <cellStyle name="Normal 2 5 3 2 2 6 3" xfId="26166"/>
    <cellStyle name="Normal 2 5 3 2 2 7" xfId="5209"/>
    <cellStyle name="Normal 2 5 3 2 2 7 2" xfId="13824"/>
    <cellStyle name="Normal 2 5 3 2 2 7 3" xfId="26167"/>
    <cellStyle name="Normal 2 5 3 2 2 8" xfId="5539"/>
    <cellStyle name="Normal 2 5 3 2 2 8 2" xfId="13825"/>
    <cellStyle name="Normal 2 5 3 2 2 8 3" xfId="26168"/>
    <cellStyle name="Normal 2 5 3 2 2 9" xfId="10421"/>
    <cellStyle name="Normal 2 5 3 2 2_LNG &amp; LPG rework" xfId="9448"/>
    <cellStyle name="Normal 2 5 3 2 3" xfId="1905"/>
    <cellStyle name="Normal 2 5 3 2 3 2" xfId="2795"/>
    <cellStyle name="Normal 2 5 3 2 3 2 2" xfId="13826"/>
    <cellStyle name="Normal 2 5 3 2 3 2 3" xfId="26170"/>
    <cellStyle name="Normal 2 5 3 2 3 3" xfId="3659"/>
    <cellStyle name="Normal 2 5 3 2 3 3 2" xfId="13827"/>
    <cellStyle name="Normal 2 5 3 2 3 3 3" xfId="26171"/>
    <cellStyle name="Normal 2 5 3 2 3 4" xfId="4534"/>
    <cellStyle name="Normal 2 5 3 2 3 4 2" xfId="13828"/>
    <cellStyle name="Normal 2 5 3 2 3 4 3" xfId="26172"/>
    <cellStyle name="Normal 2 5 3 2 3 5" xfId="5211"/>
    <cellStyle name="Normal 2 5 3 2 3 5 2" xfId="13829"/>
    <cellStyle name="Normal 2 5 3 2 3 5 3" xfId="26173"/>
    <cellStyle name="Normal 2 5 3 2 3 6" xfId="5799"/>
    <cellStyle name="Normal 2 5 3 2 3 6 2" xfId="13830"/>
    <cellStyle name="Normal 2 5 3 2 3 6 3" xfId="26174"/>
    <cellStyle name="Normal 2 5 3 2 3 7" xfId="10423"/>
    <cellStyle name="Normal 2 5 3 2 3 8" xfId="26169"/>
    <cellStyle name="Normal 2 5 3 2 3_LNG &amp; LPG rework" xfId="9451"/>
    <cellStyle name="Normal 2 5 3 2 4" xfId="2180"/>
    <cellStyle name="Normal 2 5 3 2 4 2" xfId="3050"/>
    <cellStyle name="Normal 2 5 3 2 4 2 2" xfId="13832"/>
    <cellStyle name="Normal 2 5 3 2 4 2 3" xfId="26176"/>
    <cellStyle name="Normal 2 5 3 2 4 3" xfId="3920"/>
    <cellStyle name="Normal 2 5 3 2 4 3 2" xfId="13833"/>
    <cellStyle name="Normal 2 5 3 2 4 3 3" xfId="26177"/>
    <cellStyle name="Normal 2 5 3 2 4 4" xfId="4798"/>
    <cellStyle name="Normal 2 5 3 2 4 4 2" xfId="13834"/>
    <cellStyle name="Normal 2 5 3 2 4 4 3" xfId="26178"/>
    <cellStyle name="Normal 2 5 3 2 4 5" xfId="6063"/>
    <cellStyle name="Normal 2 5 3 2 4 5 2" xfId="13835"/>
    <cellStyle name="Normal 2 5 3 2 4 5 3" xfId="26179"/>
    <cellStyle name="Normal 2 5 3 2 4 6" xfId="13831"/>
    <cellStyle name="Normal 2 5 3 2 4 7" xfId="26175"/>
    <cellStyle name="Normal 2 5 3 2 4_LNG &amp; LPG rework" xfId="9452"/>
    <cellStyle name="Normal 2 5 3 2 5" xfId="2344"/>
    <cellStyle name="Normal 2 5 3 2 5 2" xfId="3203"/>
    <cellStyle name="Normal 2 5 3 2 5 2 2" xfId="13837"/>
    <cellStyle name="Normal 2 5 3 2 5 2 3" xfId="26181"/>
    <cellStyle name="Normal 2 5 3 2 5 3" xfId="4069"/>
    <cellStyle name="Normal 2 5 3 2 5 3 2" xfId="13838"/>
    <cellStyle name="Normal 2 5 3 2 5 3 3" xfId="26182"/>
    <cellStyle name="Normal 2 5 3 2 5 4" xfId="4948"/>
    <cellStyle name="Normal 2 5 3 2 5 4 2" xfId="13839"/>
    <cellStyle name="Normal 2 5 3 2 5 4 3" xfId="26183"/>
    <cellStyle name="Normal 2 5 3 2 5 5" xfId="6213"/>
    <cellStyle name="Normal 2 5 3 2 5 5 2" xfId="13840"/>
    <cellStyle name="Normal 2 5 3 2 5 5 3" xfId="26184"/>
    <cellStyle name="Normal 2 5 3 2 5 6" xfId="13836"/>
    <cellStyle name="Normal 2 5 3 2 5 7" xfId="26180"/>
    <cellStyle name="Normal 2 5 3 2 5_LNG &amp; LPG rework" xfId="9453"/>
    <cellStyle name="Normal 2 5 3 2 6" xfId="2545"/>
    <cellStyle name="Normal 2 5 3 2 6 2" xfId="13841"/>
    <cellStyle name="Normal 2 5 3 2 6 3" xfId="26185"/>
    <cellStyle name="Normal 2 5 3 2 7" xfId="3408"/>
    <cellStyle name="Normal 2 5 3 2 7 2" xfId="13842"/>
    <cellStyle name="Normal 2 5 3 2 7 3" xfId="26186"/>
    <cellStyle name="Normal 2 5 3 2 8" xfId="4276"/>
    <cellStyle name="Normal 2 5 3 2 8 2" xfId="13843"/>
    <cellStyle name="Normal 2 5 3 2 8 3" xfId="26187"/>
    <cellStyle name="Normal 2 5 3 2 9" xfId="5208"/>
    <cellStyle name="Normal 2 5 3 2 9 2" xfId="13844"/>
    <cellStyle name="Normal 2 5 3 2 9 3" xfId="26188"/>
    <cellStyle name="Normal 2 5 3 2_LNG &amp; LPG rework" xfId="9447"/>
    <cellStyle name="Normal 2 5 3 3" xfId="1561"/>
    <cellStyle name="Normal 2 5 3 3 10" xfId="26189"/>
    <cellStyle name="Normal 2 5 3 3 2" xfId="1907"/>
    <cellStyle name="Normal 2 5 3 3 2 2" xfId="2797"/>
    <cellStyle name="Normal 2 5 3 3 2 2 2" xfId="13845"/>
    <cellStyle name="Normal 2 5 3 3 2 2 3" xfId="26191"/>
    <cellStyle name="Normal 2 5 3 3 2 3" xfId="3661"/>
    <cellStyle name="Normal 2 5 3 3 2 3 2" xfId="13846"/>
    <cellStyle name="Normal 2 5 3 3 2 3 3" xfId="26192"/>
    <cellStyle name="Normal 2 5 3 3 2 4" xfId="4536"/>
    <cellStyle name="Normal 2 5 3 3 2 4 2" xfId="13847"/>
    <cellStyle name="Normal 2 5 3 3 2 4 3" xfId="26193"/>
    <cellStyle name="Normal 2 5 3 3 2 5" xfId="5213"/>
    <cellStyle name="Normal 2 5 3 3 2 5 2" xfId="13848"/>
    <cellStyle name="Normal 2 5 3 3 2 5 3" xfId="26194"/>
    <cellStyle name="Normal 2 5 3 3 2 6" xfId="5801"/>
    <cellStyle name="Normal 2 5 3 3 2 6 2" xfId="13849"/>
    <cellStyle name="Normal 2 5 3 3 2 6 3" xfId="26195"/>
    <cellStyle name="Normal 2 5 3 3 2 7" xfId="10425"/>
    <cellStyle name="Normal 2 5 3 3 2 8" xfId="26190"/>
    <cellStyle name="Normal 2 5 3 3 2_LNG &amp; LPG rework" xfId="9455"/>
    <cellStyle name="Normal 2 5 3 3 3" xfId="2182"/>
    <cellStyle name="Normal 2 5 3 3 3 2" xfId="3052"/>
    <cellStyle name="Normal 2 5 3 3 3 2 2" xfId="13851"/>
    <cellStyle name="Normal 2 5 3 3 3 2 3" xfId="26197"/>
    <cellStyle name="Normal 2 5 3 3 3 3" xfId="3922"/>
    <cellStyle name="Normal 2 5 3 3 3 3 2" xfId="13852"/>
    <cellStyle name="Normal 2 5 3 3 3 3 3" xfId="26198"/>
    <cellStyle name="Normal 2 5 3 3 3 4" xfId="4800"/>
    <cellStyle name="Normal 2 5 3 3 3 4 2" xfId="13853"/>
    <cellStyle name="Normal 2 5 3 3 3 4 3" xfId="26199"/>
    <cellStyle name="Normal 2 5 3 3 3 5" xfId="6065"/>
    <cellStyle name="Normal 2 5 3 3 3 5 2" xfId="13854"/>
    <cellStyle name="Normal 2 5 3 3 3 5 3" xfId="26200"/>
    <cellStyle name="Normal 2 5 3 3 3 6" xfId="13850"/>
    <cellStyle name="Normal 2 5 3 3 3 7" xfId="26196"/>
    <cellStyle name="Normal 2 5 3 3 3_LNG &amp; LPG rework" xfId="9456"/>
    <cellStyle name="Normal 2 5 3 3 4" xfId="2547"/>
    <cellStyle name="Normal 2 5 3 3 4 2" xfId="13855"/>
    <cellStyle name="Normal 2 5 3 3 4 3" xfId="26201"/>
    <cellStyle name="Normal 2 5 3 3 5" xfId="3410"/>
    <cellStyle name="Normal 2 5 3 3 5 2" xfId="13856"/>
    <cellStyle name="Normal 2 5 3 3 5 3" xfId="26202"/>
    <cellStyle name="Normal 2 5 3 3 6" xfId="4278"/>
    <cellStyle name="Normal 2 5 3 3 6 2" xfId="13857"/>
    <cellStyle name="Normal 2 5 3 3 6 3" xfId="26203"/>
    <cellStyle name="Normal 2 5 3 3 7" xfId="5212"/>
    <cellStyle name="Normal 2 5 3 3 7 2" xfId="13858"/>
    <cellStyle name="Normal 2 5 3 3 7 3" xfId="26204"/>
    <cellStyle name="Normal 2 5 3 3 8" xfId="5540"/>
    <cellStyle name="Normal 2 5 3 3 8 2" xfId="13859"/>
    <cellStyle name="Normal 2 5 3 3 8 3" xfId="26205"/>
    <cellStyle name="Normal 2 5 3 3 9" xfId="10424"/>
    <cellStyle name="Normal 2 5 3 3_LNG &amp; LPG rework" xfId="9454"/>
    <cellStyle name="Normal 2 5 3 4" xfId="1981"/>
    <cellStyle name="Normal 2 5 3 4 2" xfId="5214"/>
    <cellStyle name="Normal 2 5 3 4 2 2" xfId="13860"/>
    <cellStyle name="Normal 2 5 3 4 2 3" xfId="26207"/>
    <cellStyle name="Normal 2 5 3 4 3" xfId="6233"/>
    <cellStyle name="Normal 2 5 3 4 3 2" xfId="13861"/>
    <cellStyle name="Normal 2 5 3 4 3 3" xfId="26208"/>
    <cellStyle name="Normal 2 5 3 4 4" xfId="10426"/>
    <cellStyle name="Normal 2 5 3 4 5" xfId="26206"/>
    <cellStyle name="Normal 2 5 3 4_LNG &amp; LPG rework" xfId="9457"/>
    <cellStyle name="Normal 2 5 3 5" xfId="1904"/>
    <cellStyle name="Normal 2 5 3 5 2" xfId="2794"/>
    <cellStyle name="Normal 2 5 3 5 2 2" xfId="13863"/>
    <cellStyle name="Normal 2 5 3 5 2 3" xfId="26210"/>
    <cellStyle name="Normal 2 5 3 5 3" xfId="3658"/>
    <cellStyle name="Normal 2 5 3 5 3 2" xfId="13864"/>
    <cellStyle name="Normal 2 5 3 5 3 3" xfId="26211"/>
    <cellStyle name="Normal 2 5 3 5 4" xfId="4533"/>
    <cellStyle name="Normal 2 5 3 5 4 2" xfId="13865"/>
    <cellStyle name="Normal 2 5 3 5 4 3" xfId="26212"/>
    <cellStyle name="Normal 2 5 3 5 5" xfId="5798"/>
    <cellStyle name="Normal 2 5 3 5 5 2" xfId="13866"/>
    <cellStyle name="Normal 2 5 3 5 5 3" xfId="26213"/>
    <cellStyle name="Normal 2 5 3 5 6" xfId="13862"/>
    <cellStyle name="Normal 2 5 3 5 7" xfId="26209"/>
    <cellStyle name="Normal 2 5 3 5_LNG &amp; LPG rework" xfId="9458"/>
    <cellStyle name="Normal 2 5 3 6" xfId="2179"/>
    <cellStyle name="Normal 2 5 3 6 2" xfId="3049"/>
    <cellStyle name="Normal 2 5 3 6 2 2" xfId="13868"/>
    <cellStyle name="Normal 2 5 3 6 2 3" xfId="26215"/>
    <cellStyle name="Normal 2 5 3 6 3" xfId="3919"/>
    <cellStyle name="Normal 2 5 3 6 3 2" xfId="13869"/>
    <cellStyle name="Normal 2 5 3 6 3 3" xfId="26216"/>
    <cellStyle name="Normal 2 5 3 6 4" xfId="4797"/>
    <cellStyle name="Normal 2 5 3 6 4 2" xfId="13870"/>
    <cellStyle name="Normal 2 5 3 6 4 3" xfId="26217"/>
    <cellStyle name="Normal 2 5 3 6 5" xfId="6062"/>
    <cellStyle name="Normal 2 5 3 6 5 2" xfId="13871"/>
    <cellStyle name="Normal 2 5 3 6 5 3" xfId="26218"/>
    <cellStyle name="Normal 2 5 3 6 6" xfId="13867"/>
    <cellStyle name="Normal 2 5 3 6 7" xfId="26214"/>
    <cellStyle name="Normal 2 5 3 6_LNG &amp; LPG rework" xfId="9459"/>
    <cellStyle name="Normal 2 5 3 7" xfId="2300"/>
    <cellStyle name="Normal 2 5 3 7 2" xfId="3159"/>
    <cellStyle name="Normal 2 5 3 7 2 2" xfId="13873"/>
    <cellStyle name="Normal 2 5 3 7 2 3" xfId="26220"/>
    <cellStyle name="Normal 2 5 3 7 3" xfId="4025"/>
    <cellStyle name="Normal 2 5 3 7 3 2" xfId="13874"/>
    <cellStyle name="Normal 2 5 3 7 3 3" xfId="26221"/>
    <cellStyle name="Normal 2 5 3 7 4" xfId="4904"/>
    <cellStyle name="Normal 2 5 3 7 4 2" xfId="13875"/>
    <cellStyle name="Normal 2 5 3 7 4 3" xfId="26222"/>
    <cellStyle name="Normal 2 5 3 7 5" xfId="6169"/>
    <cellStyle name="Normal 2 5 3 7 5 2" xfId="13876"/>
    <cellStyle name="Normal 2 5 3 7 5 3" xfId="26223"/>
    <cellStyle name="Normal 2 5 3 7 6" xfId="13872"/>
    <cellStyle name="Normal 2 5 3 7 7" xfId="26219"/>
    <cellStyle name="Normal 2 5 3 7_LNG &amp; LPG rework" xfId="9460"/>
    <cellStyle name="Normal 2 5 3 8" xfId="2544"/>
    <cellStyle name="Normal 2 5 3 8 2" xfId="13877"/>
    <cellStyle name="Normal 2 5 3 8 3" xfId="26224"/>
    <cellStyle name="Normal 2 5 3 9" xfId="3407"/>
    <cellStyle name="Normal 2 5 3 9 2" xfId="13878"/>
    <cellStyle name="Normal 2 5 3 9 3" xfId="26225"/>
    <cellStyle name="Normal 2 5 3_LNG &amp; LPG rework" xfId="9446"/>
    <cellStyle name="Normal 2 5 4" xfId="1562"/>
    <cellStyle name="Normal 2 5 4 10" xfId="5541"/>
    <cellStyle name="Normal 2 5 4 10 2" xfId="13879"/>
    <cellStyle name="Normal 2 5 4 10 3" xfId="26227"/>
    <cellStyle name="Normal 2 5 4 11" xfId="10427"/>
    <cellStyle name="Normal 2 5 4 12" xfId="26226"/>
    <cellStyle name="Normal 2 5 4 2" xfId="1563"/>
    <cellStyle name="Normal 2 5 4 2 10" xfId="26228"/>
    <cellStyle name="Normal 2 5 4 2 2" xfId="1909"/>
    <cellStyle name="Normal 2 5 4 2 2 2" xfId="2799"/>
    <cellStyle name="Normal 2 5 4 2 2 2 2" xfId="13880"/>
    <cellStyle name="Normal 2 5 4 2 2 2 3" xfId="26230"/>
    <cellStyle name="Normal 2 5 4 2 2 3" xfId="3663"/>
    <cellStyle name="Normal 2 5 4 2 2 3 2" xfId="13881"/>
    <cellStyle name="Normal 2 5 4 2 2 3 3" xfId="26231"/>
    <cellStyle name="Normal 2 5 4 2 2 4" xfId="4538"/>
    <cellStyle name="Normal 2 5 4 2 2 4 2" xfId="13882"/>
    <cellStyle name="Normal 2 5 4 2 2 4 3" xfId="26232"/>
    <cellStyle name="Normal 2 5 4 2 2 5" xfId="5217"/>
    <cellStyle name="Normal 2 5 4 2 2 5 2" xfId="13883"/>
    <cellStyle name="Normal 2 5 4 2 2 5 3" xfId="26233"/>
    <cellStyle name="Normal 2 5 4 2 2 6" xfId="5803"/>
    <cellStyle name="Normal 2 5 4 2 2 6 2" xfId="13884"/>
    <cellStyle name="Normal 2 5 4 2 2 6 3" xfId="26234"/>
    <cellStyle name="Normal 2 5 4 2 2 7" xfId="10429"/>
    <cellStyle name="Normal 2 5 4 2 2 8" xfId="26229"/>
    <cellStyle name="Normal 2 5 4 2 2_LNG &amp; LPG rework" xfId="9463"/>
    <cellStyle name="Normal 2 5 4 2 3" xfId="2184"/>
    <cellStyle name="Normal 2 5 4 2 3 2" xfId="3054"/>
    <cellStyle name="Normal 2 5 4 2 3 2 2" xfId="13886"/>
    <cellStyle name="Normal 2 5 4 2 3 2 3" xfId="26236"/>
    <cellStyle name="Normal 2 5 4 2 3 3" xfId="3924"/>
    <cellStyle name="Normal 2 5 4 2 3 3 2" xfId="13887"/>
    <cellStyle name="Normal 2 5 4 2 3 3 3" xfId="26237"/>
    <cellStyle name="Normal 2 5 4 2 3 4" xfId="4802"/>
    <cellStyle name="Normal 2 5 4 2 3 4 2" xfId="13888"/>
    <cellStyle name="Normal 2 5 4 2 3 4 3" xfId="26238"/>
    <cellStyle name="Normal 2 5 4 2 3 5" xfId="6067"/>
    <cellStyle name="Normal 2 5 4 2 3 5 2" xfId="13889"/>
    <cellStyle name="Normal 2 5 4 2 3 5 3" xfId="26239"/>
    <cellStyle name="Normal 2 5 4 2 3 6" xfId="13885"/>
    <cellStyle name="Normal 2 5 4 2 3 7" xfId="26235"/>
    <cellStyle name="Normal 2 5 4 2 3_LNG &amp; LPG rework" xfId="9464"/>
    <cellStyle name="Normal 2 5 4 2 4" xfId="2549"/>
    <cellStyle name="Normal 2 5 4 2 4 2" xfId="13890"/>
    <cellStyle name="Normal 2 5 4 2 4 3" xfId="26240"/>
    <cellStyle name="Normal 2 5 4 2 5" xfId="3412"/>
    <cellStyle name="Normal 2 5 4 2 5 2" xfId="13891"/>
    <cellStyle name="Normal 2 5 4 2 5 3" xfId="26241"/>
    <cellStyle name="Normal 2 5 4 2 6" xfId="4280"/>
    <cellStyle name="Normal 2 5 4 2 6 2" xfId="13892"/>
    <cellStyle name="Normal 2 5 4 2 6 3" xfId="26242"/>
    <cellStyle name="Normal 2 5 4 2 7" xfId="5216"/>
    <cellStyle name="Normal 2 5 4 2 7 2" xfId="13893"/>
    <cellStyle name="Normal 2 5 4 2 7 3" xfId="26243"/>
    <cellStyle name="Normal 2 5 4 2 8" xfId="5542"/>
    <cellStyle name="Normal 2 5 4 2 8 2" xfId="13894"/>
    <cellStyle name="Normal 2 5 4 2 8 3" xfId="26244"/>
    <cellStyle name="Normal 2 5 4 2 9" xfId="10428"/>
    <cellStyle name="Normal 2 5 4 2_LNG &amp; LPG rework" xfId="9462"/>
    <cellStyle name="Normal 2 5 4 3" xfId="1908"/>
    <cellStyle name="Normal 2 5 4 3 2" xfId="2798"/>
    <cellStyle name="Normal 2 5 4 3 2 2" xfId="13895"/>
    <cellStyle name="Normal 2 5 4 3 2 3" xfId="26246"/>
    <cellStyle name="Normal 2 5 4 3 3" xfId="3662"/>
    <cellStyle name="Normal 2 5 4 3 3 2" xfId="13896"/>
    <cellStyle name="Normal 2 5 4 3 3 3" xfId="26247"/>
    <cellStyle name="Normal 2 5 4 3 4" xfId="4537"/>
    <cellStyle name="Normal 2 5 4 3 4 2" xfId="13897"/>
    <cellStyle name="Normal 2 5 4 3 4 3" xfId="26248"/>
    <cellStyle name="Normal 2 5 4 3 5" xfId="5218"/>
    <cellStyle name="Normal 2 5 4 3 5 2" xfId="13898"/>
    <cellStyle name="Normal 2 5 4 3 5 3" xfId="26249"/>
    <cellStyle name="Normal 2 5 4 3 6" xfId="5802"/>
    <cellStyle name="Normal 2 5 4 3 6 2" xfId="13899"/>
    <cellStyle name="Normal 2 5 4 3 6 3" xfId="26250"/>
    <cellStyle name="Normal 2 5 4 3 7" xfId="10430"/>
    <cellStyle name="Normal 2 5 4 3 8" xfId="26245"/>
    <cellStyle name="Normal 2 5 4 3_LNG &amp; LPG rework" xfId="9465"/>
    <cellStyle name="Normal 2 5 4 4" xfId="2183"/>
    <cellStyle name="Normal 2 5 4 4 2" xfId="3053"/>
    <cellStyle name="Normal 2 5 4 4 2 2" xfId="13901"/>
    <cellStyle name="Normal 2 5 4 4 2 3" xfId="26252"/>
    <cellStyle name="Normal 2 5 4 4 3" xfId="3923"/>
    <cellStyle name="Normal 2 5 4 4 3 2" xfId="13902"/>
    <cellStyle name="Normal 2 5 4 4 3 3" xfId="26253"/>
    <cellStyle name="Normal 2 5 4 4 4" xfId="4801"/>
    <cellStyle name="Normal 2 5 4 4 4 2" xfId="13903"/>
    <cellStyle name="Normal 2 5 4 4 4 3" xfId="26254"/>
    <cellStyle name="Normal 2 5 4 4 5" xfId="6066"/>
    <cellStyle name="Normal 2 5 4 4 5 2" xfId="13904"/>
    <cellStyle name="Normal 2 5 4 4 5 3" xfId="26255"/>
    <cellStyle name="Normal 2 5 4 4 6" xfId="13900"/>
    <cellStyle name="Normal 2 5 4 4 7" xfId="26251"/>
    <cellStyle name="Normal 2 5 4 4_LNG &amp; LPG rework" xfId="9466"/>
    <cellStyle name="Normal 2 5 4 5" xfId="2322"/>
    <cellStyle name="Normal 2 5 4 5 2" xfId="3181"/>
    <cellStyle name="Normal 2 5 4 5 2 2" xfId="13906"/>
    <cellStyle name="Normal 2 5 4 5 2 3" xfId="26257"/>
    <cellStyle name="Normal 2 5 4 5 3" xfId="4047"/>
    <cellStyle name="Normal 2 5 4 5 3 2" xfId="13907"/>
    <cellStyle name="Normal 2 5 4 5 3 3" xfId="26258"/>
    <cellStyle name="Normal 2 5 4 5 4" xfId="4926"/>
    <cellStyle name="Normal 2 5 4 5 4 2" xfId="13908"/>
    <cellStyle name="Normal 2 5 4 5 4 3" xfId="26259"/>
    <cellStyle name="Normal 2 5 4 5 5" xfId="6191"/>
    <cellStyle name="Normal 2 5 4 5 5 2" xfId="13909"/>
    <cellStyle name="Normal 2 5 4 5 5 3" xfId="26260"/>
    <cellStyle name="Normal 2 5 4 5 6" xfId="13905"/>
    <cellStyle name="Normal 2 5 4 5 7" xfId="26256"/>
    <cellStyle name="Normal 2 5 4 5_LNG &amp; LPG rework" xfId="9467"/>
    <cellStyle name="Normal 2 5 4 6" xfId="2548"/>
    <cellStyle name="Normal 2 5 4 6 2" xfId="13910"/>
    <cellStyle name="Normal 2 5 4 6 3" xfId="26261"/>
    <cellStyle name="Normal 2 5 4 7" xfId="3411"/>
    <cellStyle name="Normal 2 5 4 7 2" xfId="13911"/>
    <cellStyle name="Normal 2 5 4 7 3" xfId="26262"/>
    <cellStyle name="Normal 2 5 4 8" xfId="4279"/>
    <cellStyle name="Normal 2 5 4 8 2" xfId="13912"/>
    <cellStyle name="Normal 2 5 4 8 3" xfId="26263"/>
    <cellStyle name="Normal 2 5 4 9" xfId="5215"/>
    <cellStyle name="Normal 2 5 4 9 2" xfId="13913"/>
    <cellStyle name="Normal 2 5 4 9 3" xfId="26264"/>
    <cellStyle name="Normal 2 5 4_LNG &amp; LPG rework" xfId="9461"/>
    <cellStyle name="Normal 2 5 5" xfId="1564"/>
    <cellStyle name="Normal 2 5 5 10" xfId="26265"/>
    <cellStyle name="Normal 2 5 5 2" xfId="1910"/>
    <cellStyle name="Normal 2 5 5 2 2" xfId="2800"/>
    <cellStyle name="Normal 2 5 5 2 2 2" xfId="13914"/>
    <cellStyle name="Normal 2 5 5 2 2 3" xfId="26267"/>
    <cellStyle name="Normal 2 5 5 2 3" xfId="3664"/>
    <cellStyle name="Normal 2 5 5 2 3 2" xfId="13915"/>
    <cellStyle name="Normal 2 5 5 2 3 3" xfId="26268"/>
    <cellStyle name="Normal 2 5 5 2 4" xfId="4539"/>
    <cellStyle name="Normal 2 5 5 2 4 2" xfId="13916"/>
    <cellStyle name="Normal 2 5 5 2 4 3" xfId="26269"/>
    <cellStyle name="Normal 2 5 5 2 5" xfId="5220"/>
    <cellStyle name="Normal 2 5 5 2 5 2" xfId="13917"/>
    <cellStyle name="Normal 2 5 5 2 5 3" xfId="26270"/>
    <cellStyle name="Normal 2 5 5 2 6" xfId="5804"/>
    <cellStyle name="Normal 2 5 5 2 6 2" xfId="13918"/>
    <cellStyle name="Normal 2 5 5 2 6 3" xfId="26271"/>
    <cellStyle name="Normal 2 5 5 2 7" xfId="10432"/>
    <cellStyle name="Normal 2 5 5 2 8" xfId="26266"/>
    <cellStyle name="Normal 2 5 5 2_LNG &amp; LPG rework" xfId="9469"/>
    <cellStyle name="Normal 2 5 5 3" xfId="2185"/>
    <cellStyle name="Normal 2 5 5 3 2" xfId="3055"/>
    <cellStyle name="Normal 2 5 5 3 2 2" xfId="13920"/>
    <cellStyle name="Normal 2 5 5 3 2 3" xfId="26273"/>
    <cellStyle name="Normal 2 5 5 3 3" xfId="3925"/>
    <cellStyle name="Normal 2 5 5 3 3 2" xfId="13921"/>
    <cellStyle name="Normal 2 5 5 3 3 3" xfId="26274"/>
    <cellStyle name="Normal 2 5 5 3 4" xfId="4803"/>
    <cellStyle name="Normal 2 5 5 3 4 2" xfId="13922"/>
    <cellStyle name="Normal 2 5 5 3 4 3" xfId="26275"/>
    <cellStyle name="Normal 2 5 5 3 5" xfId="6068"/>
    <cellStyle name="Normal 2 5 5 3 5 2" xfId="13923"/>
    <cellStyle name="Normal 2 5 5 3 5 3" xfId="26276"/>
    <cellStyle name="Normal 2 5 5 3 6" xfId="13919"/>
    <cellStyle name="Normal 2 5 5 3 7" xfId="26272"/>
    <cellStyle name="Normal 2 5 5 3_LNG &amp; LPG rework" xfId="9470"/>
    <cellStyle name="Normal 2 5 5 4" xfId="2550"/>
    <cellStyle name="Normal 2 5 5 4 2" xfId="13924"/>
    <cellStyle name="Normal 2 5 5 4 3" xfId="26277"/>
    <cellStyle name="Normal 2 5 5 5" xfId="3413"/>
    <cellStyle name="Normal 2 5 5 5 2" xfId="13925"/>
    <cellStyle name="Normal 2 5 5 5 3" xfId="26278"/>
    <cellStyle name="Normal 2 5 5 6" xfId="4281"/>
    <cellStyle name="Normal 2 5 5 6 2" xfId="13926"/>
    <cellStyle name="Normal 2 5 5 6 3" xfId="26279"/>
    <cellStyle name="Normal 2 5 5 7" xfId="5219"/>
    <cellStyle name="Normal 2 5 5 7 2" xfId="13927"/>
    <cellStyle name="Normal 2 5 5 7 3" xfId="26280"/>
    <cellStyle name="Normal 2 5 5 8" xfId="5543"/>
    <cellStyle name="Normal 2 5 5 8 2" xfId="13928"/>
    <cellStyle name="Normal 2 5 5 8 3" xfId="26281"/>
    <cellStyle name="Normal 2 5 5 9" xfId="10431"/>
    <cellStyle name="Normal 2 5 5_LNG &amp; LPG rework" xfId="9468"/>
    <cellStyle name="Normal 2 5 6" xfId="2282"/>
    <cellStyle name="Normal 2 5 6 2" xfId="3141"/>
    <cellStyle name="Normal 2 5 6 2 2" xfId="13929"/>
    <cellStyle name="Normal 2 5 6 2 3" xfId="26283"/>
    <cellStyle name="Normal 2 5 6 3" xfId="4007"/>
    <cellStyle name="Normal 2 5 6 3 2" xfId="13930"/>
    <cellStyle name="Normal 2 5 6 3 3" xfId="26284"/>
    <cellStyle name="Normal 2 5 6 4" xfId="4886"/>
    <cellStyle name="Normal 2 5 6 4 2" xfId="13931"/>
    <cellStyle name="Normal 2 5 6 4 3" xfId="26285"/>
    <cellStyle name="Normal 2 5 6 5" xfId="5221"/>
    <cellStyle name="Normal 2 5 6 5 2" xfId="13932"/>
    <cellStyle name="Normal 2 5 6 5 3" xfId="26286"/>
    <cellStyle name="Normal 2 5 6 6" xfId="6151"/>
    <cellStyle name="Normal 2 5 6 6 2" xfId="13933"/>
    <cellStyle name="Normal 2 5 6 6 3" xfId="26287"/>
    <cellStyle name="Normal 2 5 6 7" xfId="10433"/>
    <cellStyle name="Normal 2 5 6 8" xfId="26282"/>
    <cellStyle name="Normal 2 5 6_LNG &amp; LPG rework" xfId="9471"/>
    <cellStyle name="Normal 2 5 7" xfId="5190"/>
    <cellStyle name="Normal 2 5 7 2" xfId="13934"/>
    <cellStyle name="Normal 2 5 7 3" xfId="26288"/>
    <cellStyle name="Normal 2 5_Data - Monthly Commodity Prices" xfId="7675"/>
    <cellStyle name="Normal 2 6" xfId="1565"/>
    <cellStyle name="Normal 2 6 2" xfId="1976"/>
    <cellStyle name="Normal 2 6 3" xfId="1974"/>
    <cellStyle name="Normal 2 6 4" xfId="10196"/>
    <cellStyle name="Normal 2 6 5" xfId="6596"/>
    <cellStyle name="Normal 2 6_LNG &amp; LPG rework" xfId="9472"/>
    <cellStyle name="Normal 2 7" xfId="1991"/>
    <cellStyle name="Normal 2 7 2" xfId="2861"/>
    <cellStyle name="Normal 2 7 2 2" xfId="13936"/>
    <cellStyle name="Normal 2 7 2 3" xfId="26290"/>
    <cellStyle name="Normal 2 7 3" xfId="3724"/>
    <cellStyle name="Normal 2 7 3 2" xfId="13937"/>
    <cellStyle name="Normal 2 7 3 3" xfId="26291"/>
    <cellStyle name="Normal 2 7 4" xfId="4600"/>
    <cellStyle name="Normal 2 7 4 2" xfId="13938"/>
    <cellStyle name="Normal 2 7 4 3" xfId="26292"/>
    <cellStyle name="Normal 2 7 5" xfId="5865"/>
    <cellStyle name="Normal 2 7 5 2" xfId="13939"/>
    <cellStyle name="Normal 2 7 5 3" xfId="26293"/>
    <cellStyle name="Normal 2 7 6" xfId="13935"/>
    <cellStyle name="Normal 2 7 7" xfId="26289"/>
    <cellStyle name="Normal 2 7_LNG &amp; LPG rework" xfId="9473"/>
    <cellStyle name="Normal 2 8" xfId="2246"/>
    <cellStyle name="Normal 2 8 2" xfId="3115"/>
    <cellStyle name="Normal 2 8 2 2" xfId="13941"/>
    <cellStyle name="Normal 2 8 2 3" xfId="26295"/>
    <cellStyle name="Normal 2 8 3" xfId="3985"/>
    <cellStyle name="Normal 2 8 3 2" xfId="13942"/>
    <cellStyle name="Normal 2 8 3 3" xfId="26296"/>
    <cellStyle name="Normal 2 8 4" xfId="4864"/>
    <cellStyle name="Normal 2 8 4 2" xfId="13943"/>
    <cellStyle name="Normal 2 8 4 3" xfId="26297"/>
    <cellStyle name="Normal 2 8 5" xfId="6129"/>
    <cellStyle name="Normal 2 8 5 2" xfId="13944"/>
    <cellStyle name="Normal 2 8 5 3" xfId="26298"/>
    <cellStyle name="Normal 2 8 6" xfId="13940"/>
    <cellStyle name="Normal 2 8 7" xfId="26294"/>
    <cellStyle name="Normal 2 8_LNG &amp; LPG rework" xfId="9474"/>
    <cellStyle name="Normal 2 9" xfId="2256"/>
    <cellStyle name="Normal 2 9 2" xfId="3125"/>
    <cellStyle name="Normal 2 9 2 2" xfId="13946"/>
    <cellStyle name="Normal 2 9 2 3" xfId="26300"/>
    <cellStyle name="Normal 2 9 3" xfId="3994"/>
    <cellStyle name="Normal 2 9 3 2" xfId="13947"/>
    <cellStyle name="Normal 2 9 3 3" xfId="26301"/>
    <cellStyle name="Normal 2 9 4" xfId="4873"/>
    <cellStyle name="Normal 2 9 4 2" xfId="13948"/>
    <cellStyle name="Normal 2 9 4 3" xfId="26302"/>
    <cellStyle name="Normal 2 9 5" xfId="6138"/>
    <cellStyle name="Normal 2 9 5 2" xfId="13949"/>
    <cellStyle name="Normal 2 9 5 3" xfId="26303"/>
    <cellStyle name="Normal 2 9 6" xfId="13945"/>
    <cellStyle name="Normal 2 9 7" xfId="26299"/>
    <cellStyle name="Normal 2 9_LNG &amp; LPG rework" xfId="9475"/>
    <cellStyle name="Normal 2_2015  Data" xfId="5222"/>
    <cellStyle name="Normal 20" xfId="1108"/>
    <cellStyle name="Normal 20 2" xfId="1326"/>
    <cellStyle name="Normal 20 3" xfId="1699"/>
    <cellStyle name="Normal 20 3 2" xfId="21400"/>
    <cellStyle name="Normal 20 4" xfId="5223"/>
    <cellStyle name="Normal 20 4 2" xfId="13950"/>
    <cellStyle name="Normal 20 4 3" xfId="26305"/>
    <cellStyle name="Normal 20 5" xfId="5609"/>
    <cellStyle name="Normal 20 5 2" xfId="13951"/>
    <cellStyle name="Normal 20 5 3" xfId="26306"/>
    <cellStyle name="Normal 20 6" xfId="1292"/>
    <cellStyle name="Normal 20 6 2" xfId="21401"/>
    <cellStyle name="Normal 20 7" xfId="10434"/>
    <cellStyle name="Normal 20 8" xfId="26304"/>
    <cellStyle name="Normal 20_LNG &amp; LPG rework" xfId="9476"/>
    <cellStyle name="Normal 200" xfId="1071"/>
    <cellStyle name="Normal 201" xfId="678"/>
    <cellStyle name="Normal 201 2" xfId="862"/>
    <cellStyle name="Normal 201 2 2" xfId="917"/>
    <cellStyle name="Normal 201 2 2 2" xfId="223"/>
    <cellStyle name="Normal 201 2 2 2 2" xfId="512"/>
    <cellStyle name="Normal 201 2 2 2 2 2" xfId="13956"/>
    <cellStyle name="Normal 201 2 2 2 2 3" xfId="26311"/>
    <cellStyle name="Normal 201 2 2 2 3" xfId="13955"/>
    <cellStyle name="Normal 201 2 2 2 4" xfId="26310"/>
    <cellStyle name="Normal 201 2 2 2_LNG &amp; LPG rework" xfId="9480"/>
    <cellStyle name="Normal 201 2 2 3" xfId="475"/>
    <cellStyle name="Normal 201 2 2 3 2" xfId="13957"/>
    <cellStyle name="Normal 201 2 2 3 3" xfId="26312"/>
    <cellStyle name="Normal 201 2 2 4" xfId="13954"/>
    <cellStyle name="Normal 201 2 2 5" xfId="26309"/>
    <cellStyle name="Normal 201 2 2_LNG &amp; LPG rework" xfId="9479"/>
    <cellStyle name="Normal 201 2 3" xfId="768"/>
    <cellStyle name="Normal 201 2 3 2" xfId="898"/>
    <cellStyle name="Normal 201 2 3 2 2" xfId="13959"/>
    <cellStyle name="Normal 201 2 3 2 3" xfId="26314"/>
    <cellStyle name="Normal 201 2 3 3" xfId="13958"/>
    <cellStyle name="Normal 201 2 3 4" xfId="26313"/>
    <cellStyle name="Normal 201 2 3_LNG &amp; LPG rework" xfId="9481"/>
    <cellStyle name="Normal 201 2 4" xfId="624"/>
    <cellStyle name="Normal 201 2 4 2" xfId="13960"/>
    <cellStyle name="Normal 201 2 4 3" xfId="26315"/>
    <cellStyle name="Normal 201 2 5" xfId="13953"/>
    <cellStyle name="Normal 201 2 6" xfId="26308"/>
    <cellStyle name="Normal 201 2_LNG &amp; LPG rework" xfId="9478"/>
    <cellStyle name="Normal 201 3" xfId="958"/>
    <cellStyle name="Normal 201 3 2" xfId="975"/>
    <cellStyle name="Normal 201 3 2 2" xfId="220"/>
    <cellStyle name="Normal 201 3 2 2 2" xfId="513"/>
    <cellStyle name="Normal 201 3 2 2 2 2" xfId="13964"/>
    <cellStyle name="Normal 201 3 2 2 2 3" xfId="26319"/>
    <cellStyle name="Normal 201 3 2 2 3" xfId="13963"/>
    <cellStyle name="Normal 201 3 2 2 4" xfId="26318"/>
    <cellStyle name="Normal 201 3 2 2_LNG &amp; LPG rework" xfId="9484"/>
    <cellStyle name="Normal 201 3 2 3" xfId="637"/>
    <cellStyle name="Normal 201 3 2 3 2" xfId="13965"/>
    <cellStyle name="Normal 201 3 2 3 3" xfId="26320"/>
    <cellStyle name="Normal 201 3 2 4" xfId="13962"/>
    <cellStyle name="Normal 201 3 2 5" xfId="26317"/>
    <cellStyle name="Normal 201 3 2_LNG &amp; LPG rework" xfId="9483"/>
    <cellStyle name="Normal 201 3 3" xfId="882"/>
    <cellStyle name="Normal 201 3 3 2" xfId="641"/>
    <cellStyle name="Normal 201 3 3 2 2" xfId="13967"/>
    <cellStyle name="Normal 201 3 3 2 3" xfId="26322"/>
    <cellStyle name="Normal 201 3 3 3" xfId="13966"/>
    <cellStyle name="Normal 201 3 3 4" xfId="26321"/>
    <cellStyle name="Normal 201 3 3_LNG &amp; LPG rework" xfId="9485"/>
    <cellStyle name="Normal 201 3 4" xfId="364"/>
    <cellStyle name="Normal 201 3 4 2" xfId="13968"/>
    <cellStyle name="Normal 201 3 4 3" xfId="26323"/>
    <cellStyle name="Normal 201 3 5" xfId="13961"/>
    <cellStyle name="Normal 201 3 6" xfId="26316"/>
    <cellStyle name="Normal 201 3_LNG &amp; LPG rework" xfId="9482"/>
    <cellStyle name="Normal 201 4" xfId="1138"/>
    <cellStyle name="Normal 201 4 2" xfId="127"/>
    <cellStyle name="Normal 201 4 2 2" xfId="552"/>
    <cellStyle name="Normal 201 4 2 2 2" xfId="13971"/>
    <cellStyle name="Normal 201 4 2 2 3" xfId="26326"/>
    <cellStyle name="Normal 201 4 2 3" xfId="13970"/>
    <cellStyle name="Normal 201 4 2 4" xfId="26325"/>
    <cellStyle name="Normal 201 4 2_LNG &amp; LPG rework" xfId="9487"/>
    <cellStyle name="Normal 201 4 3" xfId="414"/>
    <cellStyle name="Normal 201 4 3 2" xfId="13972"/>
    <cellStyle name="Normal 201 4 3 3" xfId="26327"/>
    <cellStyle name="Normal 201 4 4" xfId="13969"/>
    <cellStyle name="Normal 201 4 5" xfId="26324"/>
    <cellStyle name="Normal 201 4_LNG &amp; LPG rework" xfId="9486"/>
    <cellStyle name="Normal 201 5" xfId="932"/>
    <cellStyle name="Normal 201 5 2" xfId="421"/>
    <cellStyle name="Normal 201 5 2 2" xfId="13974"/>
    <cellStyle name="Normal 201 5 2 3" xfId="26329"/>
    <cellStyle name="Normal 201 5 3" xfId="13973"/>
    <cellStyle name="Normal 201 5 4" xfId="26328"/>
    <cellStyle name="Normal 201 5_LNG &amp; LPG rework" xfId="9488"/>
    <cellStyle name="Normal 201 6" xfId="429"/>
    <cellStyle name="Normal 201 6 2" xfId="13975"/>
    <cellStyle name="Normal 201 6 3" xfId="26330"/>
    <cellStyle name="Normal 201 7" xfId="13952"/>
    <cellStyle name="Normal 201 8" xfId="26307"/>
    <cellStyle name="Normal 201_LNG &amp; LPG rework" xfId="9477"/>
    <cellStyle name="Normal 202" xfId="679"/>
    <cellStyle name="Normal 202 2" xfId="863"/>
    <cellStyle name="Normal 202 2 2" xfId="741"/>
    <cellStyle name="Normal 202 2 2 2" xfId="900"/>
    <cellStyle name="Normal 202 2 2 2 2" xfId="315"/>
    <cellStyle name="Normal 202 2 2 2 2 2" xfId="13980"/>
    <cellStyle name="Normal 202 2 2 2 2 3" xfId="26335"/>
    <cellStyle name="Normal 202 2 2 2 3" xfId="13979"/>
    <cellStyle name="Normal 202 2 2 2 4" xfId="26334"/>
    <cellStyle name="Normal 202 2 2 2_LNG &amp; LPG rework" xfId="9492"/>
    <cellStyle name="Normal 202 2 2 3" xfId="280"/>
    <cellStyle name="Normal 202 2 2 3 2" xfId="13981"/>
    <cellStyle name="Normal 202 2 2 3 3" xfId="26336"/>
    <cellStyle name="Normal 202 2 2 4" xfId="13978"/>
    <cellStyle name="Normal 202 2 2 5" xfId="26333"/>
    <cellStyle name="Normal 202 2 2_LNG &amp; LPG rework" xfId="9491"/>
    <cellStyle name="Normal 202 2 3" xfId="1031"/>
    <cellStyle name="Normal 202 2 3 2" xfId="35"/>
    <cellStyle name="Normal 202 2 3 2 2" xfId="13983"/>
    <cellStyle name="Normal 202 2 3 2 3" xfId="26338"/>
    <cellStyle name="Normal 202 2 3 3" xfId="13982"/>
    <cellStyle name="Normal 202 2 3 4" xfId="26337"/>
    <cellStyle name="Normal 202 2 3_LNG &amp; LPG rework" xfId="9493"/>
    <cellStyle name="Normal 202 2 4" xfId="493"/>
    <cellStyle name="Normal 202 2 4 2" xfId="13984"/>
    <cellStyle name="Normal 202 2 4 3" xfId="26339"/>
    <cellStyle name="Normal 202 2 5" xfId="13977"/>
    <cellStyle name="Normal 202 2 6" xfId="26332"/>
    <cellStyle name="Normal 202 2_LNG &amp; LPG rework" xfId="9490"/>
    <cellStyle name="Normal 202 3" xfId="901"/>
    <cellStyle name="Normal 202 3 2" xfId="924"/>
    <cellStyle name="Normal 202 3 2 2" xfId="398"/>
    <cellStyle name="Normal 202 3 2 2 2" xfId="316"/>
    <cellStyle name="Normal 202 3 2 2 2 2" xfId="13988"/>
    <cellStyle name="Normal 202 3 2 2 2 3" xfId="26343"/>
    <cellStyle name="Normal 202 3 2 2 3" xfId="13987"/>
    <cellStyle name="Normal 202 3 2 2 4" xfId="26342"/>
    <cellStyle name="Normal 202 3 2 2_LNG &amp; LPG rework" xfId="9496"/>
    <cellStyle name="Normal 202 3 2 3" xfId="504"/>
    <cellStyle name="Normal 202 3 2 3 2" xfId="13989"/>
    <cellStyle name="Normal 202 3 2 3 3" xfId="26344"/>
    <cellStyle name="Normal 202 3 2 4" xfId="13986"/>
    <cellStyle name="Normal 202 3 2 5" xfId="26341"/>
    <cellStyle name="Normal 202 3 2_LNG &amp; LPG rework" xfId="9495"/>
    <cellStyle name="Normal 202 3 3" xfId="904"/>
    <cellStyle name="Normal 202 3 3 2" xfId="508"/>
    <cellStyle name="Normal 202 3 3 2 2" xfId="13991"/>
    <cellStyle name="Normal 202 3 3 2 3" xfId="26346"/>
    <cellStyle name="Normal 202 3 3 3" xfId="13990"/>
    <cellStyle name="Normal 202 3 3 4" xfId="26345"/>
    <cellStyle name="Normal 202 3 3_LNG &amp; LPG rework" xfId="9497"/>
    <cellStyle name="Normal 202 3 4" xfId="633"/>
    <cellStyle name="Normal 202 3 4 2" xfId="13992"/>
    <cellStyle name="Normal 202 3 4 3" xfId="26347"/>
    <cellStyle name="Normal 202 3 5" xfId="13985"/>
    <cellStyle name="Normal 202 3 6" xfId="26340"/>
    <cellStyle name="Normal 202 3_LNG &amp; LPG rework" xfId="9494"/>
    <cellStyle name="Normal 202 4" xfId="1139"/>
    <cellStyle name="Normal 202 4 2" xfId="522"/>
    <cellStyle name="Normal 202 4 2 2" xfId="419"/>
    <cellStyle name="Normal 202 4 2 2 2" xfId="13995"/>
    <cellStyle name="Normal 202 4 2 2 3" xfId="26350"/>
    <cellStyle name="Normal 202 4 2 3" xfId="13994"/>
    <cellStyle name="Normal 202 4 2 4" xfId="26349"/>
    <cellStyle name="Normal 202 4 2_LNG &amp; LPG rework" xfId="9499"/>
    <cellStyle name="Normal 202 4 3" xfId="58"/>
    <cellStyle name="Normal 202 4 3 2" xfId="13996"/>
    <cellStyle name="Normal 202 4 3 3" xfId="26351"/>
    <cellStyle name="Normal 202 4 4" xfId="13993"/>
    <cellStyle name="Normal 202 4 5" xfId="26348"/>
    <cellStyle name="Normal 202 4_LNG &amp; LPG rework" xfId="9498"/>
    <cellStyle name="Normal 202 5" xfId="997"/>
    <cellStyle name="Normal 202 5 2" xfId="97"/>
    <cellStyle name="Normal 202 5 2 2" xfId="13998"/>
    <cellStyle name="Normal 202 5 2 3" xfId="26353"/>
    <cellStyle name="Normal 202 5 3" xfId="13997"/>
    <cellStyle name="Normal 202 5 4" xfId="26352"/>
    <cellStyle name="Normal 202 5_LNG &amp; LPG rework" xfId="9500"/>
    <cellStyle name="Normal 202 6" xfId="91"/>
    <cellStyle name="Normal 202 6 2" xfId="13999"/>
    <cellStyle name="Normal 202 6 3" xfId="26354"/>
    <cellStyle name="Normal 202 7" xfId="13976"/>
    <cellStyle name="Normal 202 8" xfId="26331"/>
    <cellStyle name="Normal 202_LNG &amp; LPG rework" xfId="9489"/>
    <cellStyle name="Normal 203" xfId="980"/>
    <cellStyle name="Normal 203 2" xfId="1150"/>
    <cellStyle name="Normal 203 2 2" xfId="384"/>
    <cellStyle name="Normal 203 2 2 2" xfId="575"/>
    <cellStyle name="Normal 203 2 2 2 2" xfId="14003"/>
    <cellStyle name="Normal 203 2 2 2 3" xfId="26358"/>
    <cellStyle name="Normal 203 2 2 3" xfId="14002"/>
    <cellStyle name="Normal 203 2 2 4" xfId="26357"/>
    <cellStyle name="Normal 203 2 2_LNG &amp; LPG rework" xfId="9503"/>
    <cellStyle name="Normal 203 2 3" xfId="307"/>
    <cellStyle name="Normal 203 2 3 2" xfId="14004"/>
    <cellStyle name="Normal 203 2 3 3" xfId="26359"/>
    <cellStyle name="Normal 203 2 4" xfId="14001"/>
    <cellStyle name="Normal 203 2 5" xfId="26356"/>
    <cellStyle name="Normal 203 2_LNG &amp; LPG rework" xfId="9502"/>
    <cellStyle name="Normal 203 3" xfId="1074"/>
    <cellStyle name="Normal 203 3 2" xfId="311"/>
    <cellStyle name="Normal 203 3 2 2" xfId="14006"/>
    <cellStyle name="Normal 203 3 2 3" xfId="26361"/>
    <cellStyle name="Normal 203 3 3" xfId="14005"/>
    <cellStyle name="Normal 203 3 4" xfId="26360"/>
    <cellStyle name="Normal 203 3_LNG &amp; LPG rework" xfId="9504"/>
    <cellStyle name="Normal 203 4" xfId="501"/>
    <cellStyle name="Normal 203 4 2" xfId="14007"/>
    <cellStyle name="Normal 203 4 3" xfId="26362"/>
    <cellStyle name="Normal 203 5" xfId="14000"/>
    <cellStyle name="Normal 203 6" xfId="26355"/>
    <cellStyle name="Normal 203_LNG &amp; LPG rework" xfId="9501"/>
    <cellStyle name="Normal 204" xfId="993"/>
    <cellStyle name="Normal 204 2" xfId="989"/>
    <cellStyle name="Normal 204 2 2" xfId="777"/>
    <cellStyle name="Normal 204 2 2 2" xfId="450"/>
    <cellStyle name="Normal 204 2 2 2 2" xfId="14011"/>
    <cellStyle name="Normal 204 2 2 2 3" xfId="26366"/>
    <cellStyle name="Normal 204 2 2 3" xfId="14010"/>
    <cellStyle name="Normal 204 2 2 4" xfId="26365"/>
    <cellStyle name="Normal 204 2 2_LNG &amp; LPG rework" xfId="9507"/>
    <cellStyle name="Normal 204 2 3" xfId="566"/>
    <cellStyle name="Normal 204 2 3 2" xfId="14012"/>
    <cellStyle name="Normal 204 2 3 3" xfId="26367"/>
    <cellStyle name="Normal 204 2 4" xfId="14009"/>
    <cellStyle name="Normal 204 2 5" xfId="26364"/>
    <cellStyle name="Normal 204 2_LNG &amp; LPG rework" xfId="9506"/>
    <cellStyle name="Normal 204 3" xfId="1165"/>
    <cellStyle name="Normal 204 3 2" xfId="570"/>
    <cellStyle name="Normal 204 3 2 2" xfId="14014"/>
    <cellStyle name="Normal 204 3 2 3" xfId="26369"/>
    <cellStyle name="Normal 204 3 3" xfId="14013"/>
    <cellStyle name="Normal 204 3 4" xfId="26368"/>
    <cellStyle name="Normal 204 3_LNG &amp; LPG rework" xfId="9508"/>
    <cellStyle name="Normal 204 4" xfId="303"/>
    <cellStyle name="Normal 204 4 2" xfId="14015"/>
    <cellStyle name="Normal 204 4 3" xfId="26370"/>
    <cellStyle name="Normal 204 5" xfId="14008"/>
    <cellStyle name="Normal 204 6" xfId="26363"/>
    <cellStyle name="Normal 204_LNG &amp; LPG rework" xfId="9505"/>
    <cellStyle name="Normal 205" xfId="1025"/>
    <cellStyle name="Normal 205 2" xfId="1151"/>
    <cellStyle name="Normal 205 2 2" xfId="29"/>
    <cellStyle name="Normal 205 2 2 2" xfId="95"/>
    <cellStyle name="Normal 205 2 2 2 2" xfId="14019"/>
    <cellStyle name="Normal 205 2 2 2 3" xfId="26374"/>
    <cellStyle name="Normal 205 2 2 3" xfId="14018"/>
    <cellStyle name="Normal 205 2 2 4" xfId="26373"/>
    <cellStyle name="Normal 205 2 2_LNG &amp; LPG rework" xfId="9511"/>
    <cellStyle name="Normal 205 2 3" xfId="437"/>
    <cellStyle name="Normal 205 2 3 2" xfId="14020"/>
    <cellStyle name="Normal 205 2 3 3" xfId="26375"/>
    <cellStyle name="Normal 205 2 4" xfId="14017"/>
    <cellStyle name="Normal 205 2 5" xfId="26372"/>
    <cellStyle name="Normal 205 2_LNG &amp; LPG rework" xfId="9510"/>
    <cellStyle name="Normal 205 3" xfId="1061"/>
    <cellStyle name="Normal 205 3 2" xfId="442"/>
    <cellStyle name="Normal 205 3 2 2" xfId="14022"/>
    <cellStyle name="Normal 205 3 2 3" xfId="26377"/>
    <cellStyle name="Normal 205 3 3" xfId="14021"/>
    <cellStyle name="Normal 205 3 4" xfId="26376"/>
    <cellStyle name="Normal 205 3_LNG &amp; LPG rework" xfId="9512"/>
    <cellStyle name="Normal 205 4" xfId="562"/>
    <cellStyle name="Normal 205 4 2" xfId="14023"/>
    <cellStyle name="Normal 205 4 3" xfId="26378"/>
    <cellStyle name="Normal 205 5" xfId="14016"/>
    <cellStyle name="Normal 205 6" xfId="26371"/>
    <cellStyle name="Normal 205_LNG &amp; LPG rework" xfId="9509"/>
    <cellStyle name="Normal 206" xfId="1075"/>
    <cellStyle name="Normal 207" xfId="966"/>
    <cellStyle name="Normal 208" xfId="1152"/>
    <cellStyle name="Normal 208 2" xfId="1199"/>
    <cellStyle name="Normal 208 2 2" xfId="14025"/>
    <cellStyle name="Normal 208 2 3" xfId="26380"/>
    <cellStyle name="Normal 208 3" xfId="14024"/>
    <cellStyle name="Normal 208 4" xfId="26379"/>
    <cellStyle name="Normal 208_LNG &amp; LPG rework" xfId="9513"/>
    <cellStyle name="Normal 209" xfId="108"/>
    <cellStyle name="Normal 21" xfId="1109"/>
    <cellStyle name="Normal 21 2" xfId="1327"/>
    <cellStyle name="Normal 21 3" xfId="1700"/>
    <cellStyle name="Normal 21 4" xfId="1293"/>
    <cellStyle name="Normal 21_Monthly Price Data" xfId="8804"/>
    <cellStyle name="Normal 210" xfId="778"/>
    <cellStyle name="Normal 211" xfId="2244"/>
    <cellStyle name="Normal 212" xfId="6288"/>
    <cellStyle name="Normal 213" xfId="6297"/>
    <cellStyle name="Normal 214" xfId="6300"/>
    <cellStyle name="Normal 215" xfId="6301"/>
    <cellStyle name="Normal 216" xfId="6302"/>
    <cellStyle name="Normal 216 2" xfId="7671"/>
    <cellStyle name="Normal 217" xfId="6304"/>
    <cellStyle name="Normal 217 2" xfId="7670"/>
    <cellStyle name="Normal 218" xfId="6305"/>
    <cellStyle name="Normal 219" xfId="6306"/>
    <cellStyle name="Normal 22" xfId="1110"/>
    <cellStyle name="Normal 22 2" xfId="1336"/>
    <cellStyle name="Normal 22 3" xfId="1299"/>
    <cellStyle name="Normal 22_Monthly Price Data" xfId="8803"/>
    <cellStyle name="Normal 220" xfId="6475"/>
    <cellStyle name="Normal 221" xfId="6476"/>
    <cellStyle name="Normal 222" xfId="6477"/>
    <cellStyle name="Normal 223" xfId="6478"/>
    <cellStyle name="Normal 224" xfId="6479"/>
    <cellStyle name="Normal 225" xfId="6480"/>
    <cellStyle name="Normal 226" xfId="6481"/>
    <cellStyle name="Normal 227" xfId="6482"/>
    <cellStyle name="Normal 228" xfId="6483"/>
    <cellStyle name="Normal 229" xfId="6484"/>
    <cellStyle name="Normal 23" xfId="1111"/>
    <cellStyle name="Normal 23 2" xfId="1331"/>
    <cellStyle name="Normal 23 3" xfId="1706"/>
    <cellStyle name="Normal 23 4" xfId="1300"/>
    <cellStyle name="Normal 23_LNG &amp; LPG rework" xfId="9514"/>
    <cellStyle name="Normal 230" xfId="6485"/>
    <cellStyle name="Normal 231" xfId="6486"/>
    <cellStyle name="Normal 232" xfId="6487"/>
    <cellStyle name="Normal 233" xfId="6488"/>
    <cellStyle name="Normal 234" xfId="6489"/>
    <cellStyle name="Normal 235" xfId="6490"/>
    <cellStyle name="Normal 236" xfId="6491"/>
    <cellStyle name="Normal 237" xfId="6492"/>
    <cellStyle name="Normal 238" xfId="6493"/>
    <cellStyle name="Normal 239" xfId="6494"/>
    <cellStyle name="Normal 24" xfId="891"/>
    <cellStyle name="Normal 24 2" xfId="1332"/>
    <cellStyle name="Normal 24 3" xfId="1707"/>
    <cellStyle name="Normal 24 4" xfId="1301"/>
    <cellStyle name="Normal 24_LNG &amp; LPG rework" xfId="9515"/>
    <cellStyle name="Normal 240" xfId="6495"/>
    <cellStyle name="Normal 241" xfId="6496"/>
    <cellStyle name="Normal 242" xfId="6497"/>
    <cellStyle name="Normal 243" xfId="6498"/>
    <cellStyle name="Normal 244" xfId="6499"/>
    <cellStyle name="Normal 245" xfId="6500"/>
    <cellStyle name="Normal 246" xfId="6501"/>
    <cellStyle name="Normal 246 2" xfId="15948"/>
    <cellStyle name="Normal 246 3" xfId="28373"/>
    <cellStyle name="Normal 247" xfId="6504"/>
    <cellStyle name="Normal 247 2" xfId="15951"/>
    <cellStyle name="Normal 247 3" xfId="28376"/>
    <cellStyle name="Normal 248" xfId="6519"/>
    <cellStyle name="Normal 248 2" xfId="8770"/>
    <cellStyle name="Normal 248 3" xfId="20331"/>
    <cellStyle name="Normal 249" xfId="6552"/>
    <cellStyle name="Normal 249 2" xfId="8805"/>
    <cellStyle name="Normal 249 3" xfId="17083"/>
    <cellStyle name="Normal 25" xfId="884"/>
    <cellStyle name="Normal 25 2" xfId="1333"/>
    <cellStyle name="Normal 25 3" xfId="1713"/>
    <cellStyle name="Normal 25 4" xfId="1307"/>
    <cellStyle name="Normal 25_LNG &amp; LPG rework" xfId="9516"/>
    <cellStyle name="Normal 250" xfId="10033"/>
    <cellStyle name="Normal 250 2" xfId="28421"/>
    <cellStyle name="Normal 250 3" xfId="21427"/>
    <cellStyle name="Normal 251" xfId="10034"/>
    <cellStyle name="Normal 251 2" xfId="28422"/>
    <cellStyle name="Normal 251 3" xfId="21428"/>
    <cellStyle name="Normal 252" xfId="10035"/>
    <cellStyle name="Normal 253" xfId="10036"/>
    <cellStyle name="Normal 254" xfId="10037"/>
    <cellStyle name="Normal 255" xfId="10038"/>
    <cellStyle name="Normal 256" xfId="10039"/>
    <cellStyle name="Normal 257" xfId="10040"/>
    <cellStyle name="Normal 257 2" xfId="28423"/>
    <cellStyle name="Normal 257 3" xfId="21429"/>
    <cellStyle name="Normal 258" xfId="10041"/>
    <cellStyle name="Normal 258 2" xfId="28424"/>
    <cellStyle name="Normal 258 3" xfId="21430"/>
    <cellStyle name="Normal 259" xfId="10042"/>
    <cellStyle name="Normal 259 2" xfId="28425"/>
    <cellStyle name="Normal 259 3" xfId="21431"/>
    <cellStyle name="Normal 26" xfId="680"/>
    <cellStyle name="Normal 26 2" xfId="1334"/>
    <cellStyle name="Normal 26 3" xfId="1708"/>
    <cellStyle name="Normal 26 4" xfId="1302"/>
    <cellStyle name="Normal 26_LNG &amp; LPG rework" xfId="9517"/>
    <cellStyle name="Normal 260" xfId="10043"/>
    <cellStyle name="Normal 261" xfId="10044"/>
    <cellStyle name="Normal 262" xfId="10045"/>
    <cellStyle name="Normal 263" xfId="10046"/>
    <cellStyle name="Normal 264" xfId="10047"/>
    <cellStyle name="Normal 265" xfId="10048"/>
    <cellStyle name="Normal 266" xfId="10051"/>
    <cellStyle name="Normal 267" xfId="10052"/>
    <cellStyle name="Normal 267 2" xfId="28427"/>
    <cellStyle name="Normal 268" xfId="10053"/>
    <cellStyle name="Normal 268 2" xfId="28428"/>
    <cellStyle name="Normal 269" xfId="10054"/>
    <cellStyle name="Normal 269 2" xfId="28430"/>
    <cellStyle name="Normal 27" xfId="149"/>
    <cellStyle name="Normal 27 2" xfId="1335"/>
    <cellStyle name="Normal 27 3" xfId="1715"/>
    <cellStyle name="Normal 27 4" xfId="1309"/>
    <cellStyle name="Normal 27_LNG &amp; LPG rework" xfId="9518"/>
    <cellStyle name="Normal 270" xfId="10055"/>
    <cellStyle name="Normal 270 2" xfId="28431"/>
    <cellStyle name="Normal 271" xfId="7681"/>
    <cellStyle name="Normal 271 2" xfId="15989"/>
    <cellStyle name="Normal 272" xfId="7684"/>
    <cellStyle name="Normal 272 2" xfId="7669"/>
    <cellStyle name="Normal 272 2 2" xfId="18154"/>
    <cellStyle name="Normal 273" xfId="8767"/>
    <cellStyle name="Normal 273 2" xfId="7666"/>
    <cellStyle name="Normal 273 2 2" xfId="18153"/>
    <cellStyle name="Normal 274" xfId="7661"/>
    <cellStyle name="Normal 274 2" xfId="18152"/>
    <cellStyle name="Normal 274 3" xfId="28434"/>
    <cellStyle name="Normal 275" xfId="15991"/>
    <cellStyle name="Normal 276" xfId="15992"/>
    <cellStyle name="Normal 276 2" xfId="20305"/>
    <cellStyle name="Normal 276 3" xfId="28436"/>
    <cellStyle name="Normal 277" xfId="15993"/>
    <cellStyle name="Normal 277 2" xfId="20306"/>
    <cellStyle name="Normal 277 3" xfId="28439"/>
    <cellStyle name="Normal 278" xfId="15994"/>
    <cellStyle name="Normal 278 2" xfId="20307"/>
    <cellStyle name="Normal 278 3" xfId="28438"/>
    <cellStyle name="Normal 279" xfId="15997"/>
    <cellStyle name="Normal 279 2" xfId="20308"/>
    <cellStyle name="Normal 279 3" xfId="28453"/>
    <cellStyle name="Normal 28" xfId="825"/>
    <cellStyle name="Normal 28 2" xfId="1341"/>
    <cellStyle name="Normal 28 3" xfId="1310"/>
    <cellStyle name="Normal 28_Monthly Price Data" xfId="8802"/>
    <cellStyle name="Normal 280" xfId="16002"/>
    <cellStyle name="Normal 280 2" xfId="28455"/>
    <cellStyle name="Normal 281" xfId="16003"/>
    <cellStyle name="Normal 281 2" xfId="28456"/>
    <cellStyle name="Normal 282" xfId="16004"/>
    <cellStyle name="Normal 282 2" xfId="28458"/>
    <cellStyle name="Normal 283" xfId="16005"/>
    <cellStyle name="Normal 284" xfId="28459"/>
    <cellStyle name="Normal 285" xfId="28461"/>
    <cellStyle name="Normal 286" xfId="28463"/>
    <cellStyle name="Normal 287" xfId="28464"/>
    <cellStyle name="Normal 288" xfId="28466"/>
    <cellStyle name="Normal 289" xfId="28467"/>
    <cellStyle name="Normal 29" xfId="681"/>
    <cellStyle name="Normal 29 2" xfId="1340"/>
    <cellStyle name="Normal 29 2 2" xfId="1978"/>
    <cellStyle name="Normal 29 2_Monthly Price Data" xfId="8800"/>
    <cellStyle name="Normal 29 3" xfId="1342"/>
    <cellStyle name="Normal 29 4" xfId="1339"/>
    <cellStyle name="Normal 29 5" xfId="1714"/>
    <cellStyle name="Normal 29 5 2" xfId="21402"/>
    <cellStyle name="Normal 29 6" xfId="1308"/>
    <cellStyle name="Normal 29 6 2" xfId="21403"/>
    <cellStyle name="Normal 29_Monthly Price Data" xfId="8801"/>
    <cellStyle name="Normal 290" xfId="28468"/>
    <cellStyle name="Normal 291" xfId="28469"/>
    <cellStyle name="Normal 292" xfId="28470"/>
    <cellStyle name="Normal 293" xfId="28471"/>
    <cellStyle name="Normal 294" xfId="28472"/>
    <cellStyle name="Normal 295" xfId="28474"/>
    <cellStyle name="Normal 296" xfId="28475"/>
    <cellStyle name="Normal 297" xfId="28477"/>
    <cellStyle name="Normal 298" xfId="28478"/>
    <cellStyle name="Normal 299" xfId="28480"/>
    <cellStyle name="Normal 3" xfId="1112"/>
    <cellStyle name="Normal 3 2" xfId="1266"/>
    <cellStyle name="Normal 3 2 2" xfId="1566"/>
    <cellStyle name="Normal 3 2 3" xfId="10129"/>
    <cellStyle name="Normal 3 2 4" xfId="6566"/>
    <cellStyle name="Normal 3 2_Comparison 2015 and 2016" xfId="6435"/>
    <cellStyle name="Normal 3 3" xfId="1567"/>
    <cellStyle name="Normal 3 4" xfId="1209"/>
    <cellStyle name="Normal 3 5" xfId="6289"/>
    <cellStyle name="Normal 3 5 2" xfId="14026"/>
    <cellStyle name="Normal 3 5 3" xfId="26381"/>
    <cellStyle name="Normal 3 6" xfId="10074"/>
    <cellStyle name="Normal 3 7" xfId="6559"/>
    <cellStyle name="Normal 3 7 2" xfId="34928"/>
    <cellStyle name="Normal 3 8" xfId="34932"/>
    <cellStyle name="Normal 3 8 2" xfId="44568"/>
    <cellStyle name="Normal 3_2015  Data" xfId="5224"/>
    <cellStyle name="Normal 30" xfId="682"/>
    <cellStyle name="Normal 30 10" xfId="20326"/>
    <cellStyle name="Normal 30 2" xfId="722"/>
    <cellStyle name="Normal 30 2 2" xfId="1063"/>
    <cellStyle name="Normal 30 2 2 2" xfId="1099"/>
    <cellStyle name="Normal 30 2 2 2 2" xfId="393"/>
    <cellStyle name="Normal 30 2 2 2 2 2" xfId="14030"/>
    <cellStyle name="Normal 30 2 2 2 2 3" xfId="26385"/>
    <cellStyle name="Normal 30 2 2 2 3" xfId="14029"/>
    <cellStyle name="Normal 30 2 2 2 4" xfId="26384"/>
    <cellStyle name="Normal 30 2 2 2_LNG &amp; LPG rework" xfId="9521"/>
    <cellStyle name="Normal 30 2 2 3" xfId="110"/>
    <cellStyle name="Normal 30 2 2 3 2" xfId="14031"/>
    <cellStyle name="Normal 30 2 2 3 3" xfId="26386"/>
    <cellStyle name="Normal 30 2 2 4" xfId="14028"/>
    <cellStyle name="Normal 30 2 2 5" xfId="26383"/>
    <cellStyle name="Normal 30 2 2_LNG &amp; LPG rework" xfId="9520"/>
    <cellStyle name="Normal 30 2 3" xfId="981"/>
    <cellStyle name="Normal 30 2 3 2" xfId="80"/>
    <cellStyle name="Normal 30 2 3 2 2" xfId="14033"/>
    <cellStyle name="Normal 30 2 3 2 3" xfId="26388"/>
    <cellStyle name="Normal 30 2 3 3" xfId="14032"/>
    <cellStyle name="Normal 30 2 3 4" xfId="26387"/>
    <cellStyle name="Normal 30 2 3_LNG &amp; LPG rework" xfId="9522"/>
    <cellStyle name="Normal 30 2 4" xfId="527"/>
    <cellStyle name="Normal 30 2 4 2" xfId="14034"/>
    <cellStyle name="Normal 30 2 4 3" xfId="26389"/>
    <cellStyle name="Normal 30 2 5" xfId="1986"/>
    <cellStyle name="Normal 30 2 6" xfId="14027"/>
    <cellStyle name="Normal 30 2 7" xfId="26382"/>
    <cellStyle name="Normal 30 2_LNG &amp; LPG rework" xfId="9519"/>
    <cellStyle name="Normal 30 3" xfId="864"/>
    <cellStyle name="Normal 30 3 2" xfId="1142"/>
    <cellStyle name="Normal 30 3 2 2" xfId="206"/>
    <cellStyle name="Normal 30 3 2 2 2" xfId="574"/>
    <cellStyle name="Normal 30 3 2 2 2 2" xfId="14038"/>
    <cellStyle name="Normal 30 3 2 2 2 3" xfId="26393"/>
    <cellStyle name="Normal 30 3 2 2 3" xfId="14037"/>
    <cellStyle name="Normal 30 3 2 2 4" xfId="26392"/>
    <cellStyle name="Normal 30 3 2 2_LNG &amp; LPG rework" xfId="9525"/>
    <cellStyle name="Normal 30 3 2 3" xfId="535"/>
    <cellStyle name="Normal 30 3 2 3 2" xfId="14039"/>
    <cellStyle name="Normal 30 3 2 3 3" xfId="26394"/>
    <cellStyle name="Normal 30 3 2 4" xfId="14036"/>
    <cellStyle name="Normal 30 3 2 5" xfId="26391"/>
    <cellStyle name="Normal 30 3 2_LNG &amp; LPG rework" xfId="9524"/>
    <cellStyle name="Normal 30 3 3" xfId="1086"/>
    <cellStyle name="Normal 30 3 3 2" xfId="43"/>
    <cellStyle name="Normal 30 3 3 2 2" xfId="14041"/>
    <cellStyle name="Normal 30 3 3 2 3" xfId="26396"/>
    <cellStyle name="Normal 30 3 3 3" xfId="14040"/>
    <cellStyle name="Normal 30 3 3 4" xfId="26395"/>
    <cellStyle name="Normal 30 3 3_LNG &amp; LPG rework" xfId="9526"/>
    <cellStyle name="Normal 30 3 4" xfId="294"/>
    <cellStyle name="Normal 30 3 4 2" xfId="14042"/>
    <cellStyle name="Normal 30 3 4 3" xfId="26397"/>
    <cellStyle name="Normal 30 3 5" xfId="14035"/>
    <cellStyle name="Normal 30 3 6" xfId="26390"/>
    <cellStyle name="Normal 30 3_LNG &amp; LPG rework" xfId="9523"/>
    <cellStyle name="Normal 30 4" xfId="905"/>
    <cellStyle name="Normal 30 4 2" xfId="1167"/>
    <cellStyle name="Normal 30 4 2 2" xfId="93"/>
    <cellStyle name="Normal 30 4 2 2 2" xfId="14045"/>
    <cellStyle name="Normal 30 4 2 2 3" xfId="26400"/>
    <cellStyle name="Normal 30 4 2 3" xfId="14044"/>
    <cellStyle name="Normal 30 4 2 4" xfId="26399"/>
    <cellStyle name="Normal 30 4 2_LNG &amp; LPG rework" xfId="9528"/>
    <cellStyle name="Normal 30 4 3" xfId="235"/>
    <cellStyle name="Normal 30 4 3 2" xfId="14046"/>
    <cellStyle name="Normal 30 4 3 3" xfId="26401"/>
    <cellStyle name="Normal 30 4 4" xfId="14043"/>
    <cellStyle name="Normal 30 4 5" xfId="26398"/>
    <cellStyle name="Normal 30 4_LNG &amp; LPG rework" xfId="9527"/>
    <cellStyle name="Normal 30 5" xfId="1155"/>
    <cellStyle name="Normal 30 5 2" xfId="258"/>
    <cellStyle name="Normal 30 5 2 2" xfId="14048"/>
    <cellStyle name="Normal 30 5 2 3" xfId="26403"/>
    <cellStyle name="Normal 30 5 3" xfId="14047"/>
    <cellStyle name="Normal 30 5 4" xfId="26402"/>
    <cellStyle name="Normal 30 5_LNG &amp; LPG rework" xfId="9529"/>
    <cellStyle name="Normal 30 6" xfId="328"/>
    <cellStyle name="Normal 30 6 2" xfId="14049"/>
    <cellStyle name="Normal 30 6 3" xfId="26404"/>
    <cellStyle name="Normal 30 7" xfId="1343"/>
    <cellStyle name="Normal 30 8" xfId="7650"/>
    <cellStyle name="Normal 30 9" xfId="15987"/>
    <cellStyle name="Normal 30_Comparison 2015 and 2016" xfId="6436"/>
    <cellStyle name="Normal 300" xfId="28481"/>
    <cellStyle name="Normal 301" xfId="28495"/>
    <cellStyle name="Normal 302" xfId="28496"/>
    <cellStyle name="Normal 303" xfId="28498"/>
    <cellStyle name="Normal 304" xfId="28499"/>
    <cellStyle name="Normal 305" xfId="28500"/>
    <cellStyle name="Normal 306" xfId="20317"/>
    <cellStyle name="Normal 307" xfId="20318"/>
    <cellStyle name="Normal 308" xfId="21425"/>
    <cellStyle name="Normal 309" xfId="21399"/>
    <cellStyle name="Normal 309 2" xfId="44553"/>
    <cellStyle name="Normal 31" xfId="683"/>
    <cellStyle name="Normal 31 2" xfId="1018"/>
    <cellStyle name="Normal 31 2 2" xfId="1004"/>
    <cellStyle name="Normal 31 2 2 2" xfId="1171"/>
    <cellStyle name="Normal 31 2 2 2 2" xfId="50"/>
    <cellStyle name="Normal 31 2 2 2 2 2" xfId="14054"/>
    <cellStyle name="Normal 31 2 2 2 2 3" xfId="26409"/>
    <cellStyle name="Normal 31 2 2 2 3" xfId="14053"/>
    <cellStyle name="Normal 31 2 2 2 4" xfId="26408"/>
    <cellStyle name="Normal 31 2 2 2_LNG &amp; LPG rework" xfId="9533"/>
    <cellStyle name="Normal 31 2 2 3" xfId="336"/>
    <cellStyle name="Normal 31 2 2 3 2" xfId="14055"/>
    <cellStyle name="Normal 31 2 2 3 3" xfId="26410"/>
    <cellStyle name="Normal 31 2 2 4" xfId="14052"/>
    <cellStyle name="Normal 31 2 2 5" xfId="26407"/>
    <cellStyle name="Normal 31 2 2_LNG &amp; LPG rework" xfId="9532"/>
    <cellStyle name="Normal 31 2 3" xfId="933"/>
    <cellStyle name="Normal 31 2 3 2" xfId="259"/>
    <cellStyle name="Normal 31 2 3 2 2" xfId="14057"/>
    <cellStyle name="Normal 31 2 3 2 3" xfId="26412"/>
    <cellStyle name="Normal 31 2 3 3" xfId="14056"/>
    <cellStyle name="Normal 31 2 3 4" xfId="26411"/>
    <cellStyle name="Normal 31 2 3_LNG &amp; LPG rework" xfId="9534"/>
    <cellStyle name="Normal 31 2 4" xfId="430"/>
    <cellStyle name="Normal 31 2 4 2" xfId="14058"/>
    <cellStyle name="Normal 31 2 4 3" xfId="26413"/>
    <cellStyle name="Normal 31 2 5" xfId="1442"/>
    <cellStyle name="Normal 31 2 6" xfId="14051"/>
    <cellStyle name="Normal 31 2 7" xfId="26406"/>
    <cellStyle name="Normal 31 2_LNG &amp; LPG rework" xfId="9531"/>
    <cellStyle name="Normal 31 3" xfId="865"/>
    <cellStyle name="Normal 31 3 2" xfId="1055"/>
    <cellStyle name="Normal 31 3 2 2" xfId="222"/>
    <cellStyle name="Normal 31 3 2 2 2" xfId="448"/>
    <cellStyle name="Normal 31 3 2 2 2 2" xfId="14062"/>
    <cellStyle name="Normal 31 3 2 2 2 3" xfId="26417"/>
    <cellStyle name="Normal 31 3 2 2 3" xfId="14061"/>
    <cellStyle name="Normal 31 3 2 2 4" xfId="26416"/>
    <cellStyle name="Normal 31 3 2 2_LNG &amp; LPG rework" xfId="9537"/>
    <cellStyle name="Normal 31 3 2 3" xfId="436"/>
    <cellStyle name="Normal 31 3 2 3 2" xfId="14063"/>
    <cellStyle name="Normal 31 3 2 3 3" xfId="26418"/>
    <cellStyle name="Normal 31 3 2 4" xfId="4630"/>
    <cellStyle name="Normal 31 3 2 4 2" xfId="14064"/>
    <cellStyle name="Normal 31 3 2 4 3" xfId="26419"/>
    <cellStyle name="Normal 31 3 2 5" xfId="5895"/>
    <cellStyle name="Normal 31 3 2 5 2" xfId="14065"/>
    <cellStyle name="Normal 31 3 2 5 3" xfId="26420"/>
    <cellStyle name="Normal 31 3 2 6" xfId="14060"/>
    <cellStyle name="Normal 31 3 2 7" xfId="26415"/>
    <cellStyle name="Normal 31 3 2_LNG &amp; LPG rework" xfId="9536"/>
    <cellStyle name="Normal 31 3 3" xfId="1067"/>
    <cellStyle name="Normal 31 3 3 2" xfId="69"/>
    <cellStyle name="Normal 31 3 3 2 2" xfId="14067"/>
    <cellStyle name="Normal 31 3 3 2 3" xfId="26422"/>
    <cellStyle name="Normal 31 3 3 3" xfId="14066"/>
    <cellStyle name="Normal 31 3 3 4" xfId="26421"/>
    <cellStyle name="Normal 31 3 3_LNG &amp; LPG rework" xfId="9538"/>
    <cellStyle name="Normal 31 3 4" xfId="553"/>
    <cellStyle name="Normal 31 3 4 2" xfId="14068"/>
    <cellStyle name="Normal 31 3 4 3" xfId="26423"/>
    <cellStyle name="Normal 31 3 5" xfId="4366"/>
    <cellStyle name="Normal 31 3 5 2" xfId="14069"/>
    <cellStyle name="Normal 31 3 5 3" xfId="26424"/>
    <cellStyle name="Normal 31 3 6" xfId="5630"/>
    <cellStyle name="Normal 31 3 6 2" xfId="14070"/>
    <cellStyle name="Normal 31 3 6 3" xfId="26425"/>
    <cellStyle name="Normal 31 3 7" xfId="14059"/>
    <cellStyle name="Normal 31 3 8" xfId="26414"/>
    <cellStyle name="Normal 31 3_LNG &amp; LPG rework" xfId="9535"/>
    <cellStyle name="Normal 31 4" xfId="1008"/>
    <cellStyle name="Normal 31 4 2" xfId="63"/>
    <cellStyle name="Normal 31 4 2 2" xfId="263"/>
    <cellStyle name="Normal 31 4 2 2 2" xfId="14073"/>
    <cellStyle name="Normal 31 4 2 2 3" xfId="26428"/>
    <cellStyle name="Normal 31 4 2 3" xfId="14072"/>
    <cellStyle name="Normal 31 4 2 4" xfId="26427"/>
    <cellStyle name="Normal 31 4 2_LNG &amp; LPG rework" xfId="9540"/>
    <cellStyle name="Normal 31 4 3" xfId="341"/>
    <cellStyle name="Normal 31 4 3 2" xfId="14074"/>
    <cellStyle name="Normal 31 4 3 3" xfId="26429"/>
    <cellStyle name="Normal 31 4 4" xfId="14071"/>
    <cellStyle name="Normal 31 4 5" xfId="26426"/>
    <cellStyle name="Normal 31 4_LNG &amp; LPG rework" xfId="9539"/>
    <cellStyle name="Normal 31 5" xfId="1019"/>
    <cellStyle name="Normal 31 5 2" xfId="368"/>
    <cellStyle name="Normal 31 5 2 2" xfId="14076"/>
    <cellStyle name="Normal 31 5 2 3" xfId="26431"/>
    <cellStyle name="Normal 31 5 3" xfId="14075"/>
    <cellStyle name="Normal 31 5 4" xfId="26430"/>
    <cellStyle name="Normal 31 5_LNG &amp; LPG rework" xfId="9541"/>
    <cellStyle name="Normal 31 6" xfId="589"/>
    <cellStyle name="Normal 31 6 2" xfId="14077"/>
    <cellStyle name="Normal 31 6 3" xfId="26432"/>
    <cellStyle name="Normal 31 7" xfId="5367"/>
    <cellStyle name="Normal 31 7 2" xfId="14078"/>
    <cellStyle name="Normal 31 7 3" xfId="26433"/>
    <cellStyle name="Normal 31 8" xfId="14050"/>
    <cellStyle name="Normal 31 9" xfId="26405"/>
    <cellStyle name="Normal 31_LNG &amp; LPG rework" xfId="9530"/>
    <cellStyle name="Normal 310" xfId="21409"/>
    <cellStyle name="Normal 310 2" xfId="44554"/>
    <cellStyle name="Normal 311" xfId="28505"/>
    <cellStyle name="Normal 311 2" xfId="44555"/>
    <cellStyle name="Normal 312" xfId="21392"/>
    <cellStyle name="Normal 313" xfId="41348"/>
    <cellStyle name="Normal 314" xfId="44607"/>
    <cellStyle name="Normal 315" xfId="44608"/>
    <cellStyle name="Normal 316" xfId="44645"/>
    <cellStyle name="Normal 32" xfId="684"/>
    <cellStyle name="Normal 32 2" xfId="991"/>
    <cellStyle name="Normal 32 2 2" xfId="1036"/>
    <cellStyle name="Normal 32 2 2 2" xfId="1095"/>
    <cellStyle name="Normal 32 2 2 2 2" xfId="76"/>
    <cellStyle name="Normal 32 2 2 2 2 2" xfId="14083"/>
    <cellStyle name="Normal 32 2 2 2 2 3" xfId="26438"/>
    <cellStyle name="Normal 32 2 2 2 3" xfId="14082"/>
    <cellStyle name="Normal 32 2 2 2 4" xfId="26437"/>
    <cellStyle name="Normal 32 2 2 2_LNG &amp; LPG rework" xfId="9545"/>
    <cellStyle name="Normal 32 2 2 3" xfId="603"/>
    <cellStyle name="Normal 32 2 2 3 2" xfId="14084"/>
    <cellStyle name="Normal 32 2 2 3 3" xfId="26439"/>
    <cellStyle name="Normal 32 2 2 4" xfId="4430"/>
    <cellStyle name="Normal 32 2 2 4 2" xfId="14085"/>
    <cellStyle name="Normal 32 2 2 4 3" xfId="26440"/>
    <cellStyle name="Normal 32 2 2 5" xfId="5695"/>
    <cellStyle name="Normal 32 2 2 5 2" xfId="14086"/>
    <cellStyle name="Normal 32 2 2 5 3" xfId="26441"/>
    <cellStyle name="Normal 32 2 2 6" xfId="14081"/>
    <cellStyle name="Normal 32 2 2 7" xfId="26436"/>
    <cellStyle name="Normal 32 2 2_LNG &amp; LPG rework" xfId="9544"/>
    <cellStyle name="Normal 32 2 3" xfId="761"/>
    <cellStyle name="Normal 32 2 3 2" xfId="369"/>
    <cellStyle name="Normal 32 2 3 2 2" xfId="14088"/>
    <cellStyle name="Normal 32 2 3 2 3" xfId="26443"/>
    <cellStyle name="Normal 32 2 3 3" xfId="3816"/>
    <cellStyle name="Normal 32 2 3 3 2" xfId="14089"/>
    <cellStyle name="Normal 32 2 3 3 3" xfId="26444"/>
    <cellStyle name="Normal 32 2 3 4" xfId="4694"/>
    <cellStyle name="Normal 32 2 3 4 2" xfId="14090"/>
    <cellStyle name="Normal 32 2 3 4 3" xfId="26445"/>
    <cellStyle name="Normal 32 2 3 5" xfId="5959"/>
    <cellStyle name="Normal 32 2 3 5 2" xfId="14091"/>
    <cellStyle name="Normal 32 2 3 5 3" xfId="26446"/>
    <cellStyle name="Normal 32 2 3 6" xfId="14087"/>
    <cellStyle name="Normal 32 2 3 7" xfId="26442"/>
    <cellStyle name="Normal 32 2 3_LNG &amp; LPG rework" xfId="9546"/>
    <cellStyle name="Normal 32 2 4" xfId="59"/>
    <cellStyle name="Normal 32 2 4 2" xfId="14092"/>
    <cellStyle name="Normal 32 2 4 3" xfId="26447"/>
    <cellStyle name="Normal 32 2 5" xfId="3302"/>
    <cellStyle name="Normal 32 2 5 2" xfId="14093"/>
    <cellStyle name="Normal 32 2 5 3" xfId="26448"/>
    <cellStyle name="Normal 32 2 6" xfId="4170"/>
    <cellStyle name="Normal 32 2 6 2" xfId="14094"/>
    <cellStyle name="Normal 32 2 6 3" xfId="26449"/>
    <cellStyle name="Normal 32 2 7" xfId="5432"/>
    <cellStyle name="Normal 32 2 7 2" xfId="14095"/>
    <cellStyle name="Normal 32 2 7 3" xfId="26450"/>
    <cellStyle name="Normal 32 2 8" xfId="14080"/>
    <cellStyle name="Normal 32 2 9" xfId="26435"/>
    <cellStyle name="Normal 32 2_LNG &amp; LPG rework" xfId="9543"/>
    <cellStyle name="Normal 32 3" xfId="866"/>
    <cellStyle name="Normal 32 3 2" xfId="1045"/>
    <cellStyle name="Normal 32 3 2 2" xfId="1180"/>
    <cellStyle name="Normal 32 3 2 2 2" xfId="106"/>
    <cellStyle name="Normal 32 3 2 2 2 2" xfId="14099"/>
    <cellStyle name="Normal 32 3 2 2 2 3" xfId="26454"/>
    <cellStyle name="Normal 32 3 2 2 3" xfId="14098"/>
    <cellStyle name="Normal 32 3 2 2 4" xfId="26453"/>
    <cellStyle name="Normal 32 3 2 2_LNG &amp; LPG rework" xfId="9549"/>
    <cellStyle name="Normal 32 3 2 3" xfId="85"/>
    <cellStyle name="Normal 32 3 2 3 2" xfId="14100"/>
    <cellStyle name="Normal 32 3 2 3 3" xfId="26455"/>
    <cellStyle name="Normal 32 3 2 4" xfId="14097"/>
    <cellStyle name="Normal 32 3 2 5" xfId="26452"/>
    <cellStyle name="Normal 32 3 2_LNG &amp; LPG rework" xfId="9548"/>
    <cellStyle name="Normal 32 3 3" xfId="942"/>
    <cellStyle name="Normal 32 3 3 2" xfId="262"/>
    <cellStyle name="Normal 32 3 3 2 2" xfId="14102"/>
    <cellStyle name="Normal 32 3 3 2 3" xfId="26457"/>
    <cellStyle name="Normal 32 3 3 3" xfId="14101"/>
    <cellStyle name="Normal 32 3 3 4" xfId="26456"/>
    <cellStyle name="Normal 32 3 3_LNG &amp; LPG rework" xfId="9550"/>
    <cellStyle name="Normal 32 3 4" xfId="420"/>
    <cellStyle name="Normal 32 3 4 2" xfId="14103"/>
    <cellStyle name="Normal 32 3 4 3" xfId="26458"/>
    <cellStyle name="Normal 32 3 5" xfId="1716"/>
    <cellStyle name="Normal 32 3 5 2" xfId="21404"/>
    <cellStyle name="Normal 32 3 6" xfId="14096"/>
    <cellStyle name="Normal 32 3 7" xfId="26451"/>
    <cellStyle name="Normal 32 3_LNG &amp; LPG rework" xfId="9547"/>
    <cellStyle name="Normal 32 4" xfId="880"/>
    <cellStyle name="Normal 32 4 2" xfId="582"/>
    <cellStyle name="Normal 32 4 2 2" xfId="373"/>
    <cellStyle name="Normal 32 4 2 2 2" xfId="14106"/>
    <cellStyle name="Normal 32 4 2 2 3" xfId="26461"/>
    <cellStyle name="Normal 32 4 2 3" xfId="14105"/>
    <cellStyle name="Normal 32 4 2 4" xfId="26460"/>
    <cellStyle name="Normal 32 4 2_LNG &amp; LPG rework" xfId="9552"/>
    <cellStyle name="Normal 32 4 3" xfId="608"/>
    <cellStyle name="Normal 32 4 3 2" xfId="14107"/>
    <cellStyle name="Normal 32 4 3 3" xfId="26462"/>
    <cellStyle name="Normal 32 4 4" xfId="4341"/>
    <cellStyle name="Normal 32 4 4 2" xfId="14108"/>
    <cellStyle name="Normal 32 4 4 3" xfId="26463"/>
    <cellStyle name="Normal 32 4 5" xfId="5603"/>
    <cellStyle name="Normal 32 4 5 2" xfId="14109"/>
    <cellStyle name="Normal 32 4 5 3" xfId="26464"/>
    <cellStyle name="Normal 32 4 6" xfId="14104"/>
    <cellStyle name="Normal 32 4 7" xfId="26459"/>
    <cellStyle name="Normal 32 4_LNG &amp; LPG rework" xfId="9551"/>
    <cellStyle name="Normal 32 5" xfId="931"/>
    <cellStyle name="Normal 32 5 2" xfId="638"/>
    <cellStyle name="Normal 32 5 2 2" xfId="14111"/>
    <cellStyle name="Normal 32 5 2 3" xfId="26466"/>
    <cellStyle name="Normal 32 5 3" xfId="3728"/>
    <cellStyle name="Normal 32 5 3 2" xfId="14112"/>
    <cellStyle name="Normal 32 5 3 3" xfId="26467"/>
    <cellStyle name="Normal 32 5 4" xfId="4604"/>
    <cellStyle name="Normal 32 5 4 2" xfId="14113"/>
    <cellStyle name="Normal 32 5 4 3" xfId="26468"/>
    <cellStyle name="Normal 32 5 5" xfId="5869"/>
    <cellStyle name="Normal 32 5 5 2" xfId="14114"/>
    <cellStyle name="Normal 32 5 5 3" xfId="26469"/>
    <cellStyle name="Normal 32 5 6" xfId="14110"/>
    <cellStyle name="Normal 32 5 7" xfId="26465"/>
    <cellStyle name="Normal 32 5_LNG &amp; LPG rework" xfId="9553"/>
    <cellStyle name="Normal 32 6" xfId="465"/>
    <cellStyle name="Normal 32 6 2" xfId="14115"/>
    <cellStyle name="Normal 32 6 3" xfId="26470"/>
    <cellStyle name="Normal 32 7" xfId="1344"/>
    <cellStyle name="Normal 32 7 2" xfId="21405"/>
    <cellStyle name="Normal 32 8" xfId="14079"/>
    <cellStyle name="Normal 32 9" xfId="26434"/>
    <cellStyle name="Normal 32_LNG &amp; LPG rework" xfId="9542"/>
    <cellStyle name="Normal 33" xfId="685"/>
    <cellStyle name="Normal 33 2" xfId="968"/>
    <cellStyle name="Normal 33 2 2" xfId="910"/>
    <cellStyle name="Normal 33 2 2 2" xfId="1"/>
    <cellStyle name="Normal 33 2 2 2 2" xfId="230"/>
    <cellStyle name="Normal 33 2 2 2 2 2" xfId="14120"/>
    <cellStyle name="Normal 33 2 2 2 2 3" xfId="26475"/>
    <cellStyle name="Normal 33 2 2 2 3" xfId="14119"/>
    <cellStyle name="Normal 33 2 2 2 4" xfId="26474"/>
    <cellStyle name="Normal 33 2 2 2_LNG &amp; LPG rework" xfId="9557"/>
    <cellStyle name="Normal 33 2 2 3" xfId="463"/>
    <cellStyle name="Normal 33 2 2 3 2" xfId="14121"/>
    <cellStyle name="Normal 33 2 2 3 3" xfId="26476"/>
    <cellStyle name="Normal 33 2 2 4" xfId="4431"/>
    <cellStyle name="Normal 33 2 2 4 2" xfId="14122"/>
    <cellStyle name="Normal 33 2 2 4 3" xfId="26477"/>
    <cellStyle name="Normal 33 2 2 5" xfId="5696"/>
    <cellStyle name="Normal 33 2 2 5 2" xfId="14123"/>
    <cellStyle name="Normal 33 2 2 5 3" xfId="26478"/>
    <cellStyle name="Normal 33 2 2 6" xfId="14118"/>
    <cellStyle name="Normal 33 2 2 7" xfId="26473"/>
    <cellStyle name="Normal 33 2 2_LNG &amp; LPG rework" xfId="9556"/>
    <cellStyle name="Normal 33 2 3" xfId="762"/>
    <cellStyle name="Normal 33 2 3 2" xfId="639"/>
    <cellStyle name="Normal 33 2 3 2 2" xfId="14125"/>
    <cellStyle name="Normal 33 2 3 2 3" xfId="26480"/>
    <cellStyle name="Normal 33 2 3 3" xfId="3817"/>
    <cellStyle name="Normal 33 2 3 3 2" xfId="14126"/>
    <cellStyle name="Normal 33 2 3 3 3" xfId="26481"/>
    <cellStyle name="Normal 33 2 3 4" xfId="4695"/>
    <cellStyle name="Normal 33 2 3 4 2" xfId="14127"/>
    <cellStyle name="Normal 33 2 3 4 3" xfId="26482"/>
    <cellStyle name="Normal 33 2 3 5" xfId="5960"/>
    <cellStyle name="Normal 33 2 3 5 2" xfId="14128"/>
    <cellStyle name="Normal 33 2 3 5 3" xfId="26483"/>
    <cellStyle name="Normal 33 2 3 6" xfId="14124"/>
    <cellStyle name="Normal 33 2 3 7" xfId="26479"/>
    <cellStyle name="Normal 33 2 3_LNG &amp; LPG rework" xfId="9558"/>
    <cellStyle name="Normal 33 2 4" xfId="234"/>
    <cellStyle name="Normal 33 2 4 2" xfId="14129"/>
    <cellStyle name="Normal 33 2 4 3" xfId="26484"/>
    <cellStyle name="Normal 33 2 5" xfId="3303"/>
    <cellStyle name="Normal 33 2 5 2" xfId="14130"/>
    <cellStyle name="Normal 33 2 5 3" xfId="26485"/>
    <cellStyle name="Normal 33 2 6" xfId="4171"/>
    <cellStyle name="Normal 33 2 6 2" xfId="14131"/>
    <cellStyle name="Normal 33 2 6 3" xfId="26486"/>
    <cellStyle name="Normal 33 2 7" xfId="5433"/>
    <cellStyle name="Normal 33 2 7 2" xfId="14132"/>
    <cellStyle name="Normal 33 2 7 3" xfId="26487"/>
    <cellStyle name="Normal 33 2 8" xfId="14117"/>
    <cellStyle name="Normal 33 2 9" xfId="26472"/>
    <cellStyle name="Normal 33 2_LNG &amp; LPG rework" xfId="9555"/>
    <cellStyle name="Normal 33 3" xfId="867"/>
    <cellStyle name="Normal 33 3 2" xfId="918"/>
    <cellStyle name="Normal 33 3 2 2" xfId="1181"/>
    <cellStyle name="Normal 33 3 2 2 2" xfId="332"/>
    <cellStyle name="Normal 33 3 2 2 2 2" xfId="14136"/>
    <cellStyle name="Normal 33 3 2 2 2 3" xfId="26491"/>
    <cellStyle name="Normal 33 3 2 2 3" xfId="14135"/>
    <cellStyle name="Normal 33 3 2 2 4" xfId="26490"/>
    <cellStyle name="Normal 33 3 2 2_LNG &amp; LPG rework" xfId="9561"/>
    <cellStyle name="Normal 33 3 2 3" xfId="255"/>
    <cellStyle name="Normal 33 3 2 3 2" xfId="14137"/>
    <cellStyle name="Normal 33 3 2 3 3" xfId="26492"/>
    <cellStyle name="Normal 33 3 2 4" xfId="14134"/>
    <cellStyle name="Normal 33 3 2 5" xfId="26489"/>
    <cellStyle name="Normal 33 3 2_LNG &amp; LPG rework" xfId="9560"/>
    <cellStyle name="Normal 33 3 3" xfId="1082"/>
    <cellStyle name="Normal 33 3 3 2" xfId="372"/>
    <cellStyle name="Normal 33 3 3 2 2" xfId="14139"/>
    <cellStyle name="Normal 33 3 3 2 3" xfId="26494"/>
    <cellStyle name="Normal 33 3 3 3" xfId="14138"/>
    <cellStyle name="Normal 33 3 3 4" xfId="26493"/>
    <cellStyle name="Normal 33 3 3_LNG &amp; LPG rework" xfId="9562"/>
    <cellStyle name="Normal 33 3 4" xfId="90"/>
    <cellStyle name="Normal 33 3 4 2" xfId="14140"/>
    <cellStyle name="Normal 33 3 4 3" xfId="26495"/>
    <cellStyle name="Normal 33 3 5" xfId="1717"/>
    <cellStyle name="Normal 33 3 5 2" xfId="21406"/>
    <cellStyle name="Normal 33 3 6" xfId="14133"/>
    <cellStyle name="Normal 33 3 7" xfId="26488"/>
    <cellStyle name="Normal 33 3_LNG &amp; LPG rework" xfId="9559"/>
    <cellStyle name="Normal 33 4" xfId="218"/>
    <cellStyle name="Normal 33 4 2" xfId="88"/>
    <cellStyle name="Normal 33 4 2 2" xfId="643"/>
    <cellStyle name="Normal 33 4 2 2 2" xfId="14143"/>
    <cellStyle name="Normal 33 4 2 2 3" xfId="26498"/>
    <cellStyle name="Normal 33 4 2 3" xfId="14142"/>
    <cellStyle name="Normal 33 4 2 4" xfId="26497"/>
    <cellStyle name="Normal 33 4 2_LNG &amp; LPG rework" xfId="9564"/>
    <cellStyle name="Normal 33 4 3" xfId="471"/>
    <cellStyle name="Normal 33 4 3 2" xfId="14144"/>
    <cellStyle name="Normal 33 4 3 3" xfId="26499"/>
    <cellStyle name="Normal 33 4 4" xfId="4342"/>
    <cellStyle name="Normal 33 4 4 2" xfId="14145"/>
    <cellStyle name="Normal 33 4 4 3" xfId="26500"/>
    <cellStyle name="Normal 33 4 5" xfId="5604"/>
    <cellStyle name="Normal 33 4 5 2" xfId="14146"/>
    <cellStyle name="Normal 33 4 5 3" xfId="26501"/>
    <cellStyle name="Normal 33 4 6" xfId="14141"/>
    <cellStyle name="Normal 33 4 7" xfId="26496"/>
    <cellStyle name="Normal 33 4_LNG &amp; LPG rework" xfId="9563"/>
    <cellStyle name="Normal 33 5" xfId="756"/>
    <cellStyle name="Normal 33 5 2" xfId="505"/>
    <cellStyle name="Normal 33 5 2 2" xfId="14148"/>
    <cellStyle name="Normal 33 5 2 3" xfId="26503"/>
    <cellStyle name="Normal 33 5 3" xfId="3729"/>
    <cellStyle name="Normal 33 5 3 2" xfId="14149"/>
    <cellStyle name="Normal 33 5 3 3" xfId="26504"/>
    <cellStyle name="Normal 33 5 4" xfId="4605"/>
    <cellStyle name="Normal 33 5 4 2" xfId="14150"/>
    <cellStyle name="Normal 33 5 4 3" xfId="26505"/>
    <cellStyle name="Normal 33 5 5" xfId="5870"/>
    <cellStyle name="Normal 33 5 5 2" xfId="14151"/>
    <cellStyle name="Normal 33 5 5 3" xfId="26506"/>
    <cellStyle name="Normal 33 5 6" xfId="14147"/>
    <cellStyle name="Normal 33 5 7" xfId="26502"/>
    <cellStyle name="Normal 33 5_LNG &amp; LPG rework" xfId="9565"/>
    <cellStyle name="Normal 33 6" xfId="116"/>
    <cellStyle name="Normal 33 6 2" xfId="14152"/>
    <cellStyle name="Normal 33 6 3" xfId="26507"/>
    <cellStyle name="Normal 33 7" xfId="1345"/>
    <cellStyle name="Normal 33 7 2" xfId="21407"/>
    <cellStyle name="Normal 33 8" xfId="14116"/>
    <cellStyle name="Normal 33 9" xfId="26471"/>
    <cellStyle name="Normal 33_LNG &amp; LPG rework" xfId="9554"/>
    <cellStyle name="Normal 34" xfId="19"/>
    <cellStyle name="Normal 34 2" xfId="909"/>
    <cellStyle name="Normal 34 2 2" xfId="734"/>
    <cellStyle name="Normal 34 2 2 2" xfId="205"/>
    <cellStyle name="Normal 34 2 2 2 2" xfId="271"/>
    <cellStyle name="Normal 34 2 2 2 2 2" xfId="14157"/>
    <cellStyle name="Normal 34 2 2 2 2 3" xfId="26512"/>
    <cellStyle name="Normal 34 2 2 2 3" xfId="14156"/>
    <cellStyle name="Normal 34 2 2 2 4" xfId="26511"/>
    <cellStyle name="Normal 34 2 2 2_LNG &amp; LPG rework" xfId="9569"/>
    <cellStyle name="Normal 34 2 2 3" xfId="275"/>
    <cellStyle name="Normal 34 2 2 3 2" xfId="14158"/>
    <cellStyle name="Normal 34 2 2 3 3" xfId="26513"/>
    <cellStyle name="Normal 34 2 2 4" xfId="4344"/>
    <cellStyle name="Normal 34 2 2 4 2" xfId="14159"/>
    <cellStyle name="Normal 34 2 2 4 3" xfId="26514"/>
    <cellStyle name="Normal 34 2 2 5" xfId="5606"/>
    <cellStyle name="Normal 34 2 2 5 2" xfId="14160"/>
    <cellStyle name="Normal 34 2 2 5 3" xfId="26515"/>
    <cellStyle name="Normal 34 2 2 6" xfId="14155"/>
    <cellStyle name="Normal 34 2 2 7" xfId="26510"/>
    <cellStyle name="Normal 34 2 2_LNG &amp; LPG rework" xfId="9568"/>
    <cellStyle name="Normal 34 2 3" xfId="955"/>
    <cellStyle name="Normal 34 2 3 2" xfId="506"/>
    <cellStyle name="Normal 34 2 3 2 2" xfId="14162"/>
    <cellStyle name="Normal 34 2 3 2 3" xfId="26517"/>
    <cellStyle name="Normal 34 2 3 3" xfId="3731"/>
    <cellStyle name="Normal 34 2 3 3 2" xfId="14163"/>
    <cellStyle name="Normal 34 2 3 3 3" xfId="26518"/>
    <cellStyle name="Normal 34 2 3 4" xfId="4607"/>
    <cellStyle name="Normal 34 2 3 4 2" xfId="14164"/>
    <cellStyle name="Normal 34 2 3 4 3" xfId="26519"/>
    <cellStyle name="Normal 34 2 3 5" xfId="5872"/>
    <cellStyle name="Normal 34 2 3 5 2" xfId="14165"/>
    <cellStyle name="Normal 34 2 3 5 3" xfId="26520"/>
    <cellStyle name="Normal 34 2 3 6" xfId="14161"/>
    <cellStyle name="Normal 34 2 3 7" xfId="26516"/>
    <cellStyle name="Normal 34 2 3_LNG &amp; LPG rework" xfId="9570"/>
    <cellStyle name="Normal 34 2 4" xfId="338"/>
    <cellStyle name="Normal 34 2 4 2" xfId="14166"/>
    <cellStyle name="Normal 34 2 4 3" xfId="26521"/>
    <cellStyle name="Normal 34 2 5" xfId="3305"/>
    <cellStyle name="Normal 34 2 5 2" xfId="14167"/>
    <cellStyle name="Normal 34 2 5 3" xfId="26522"/>
    <cellStyle name="Normal 34 2 6" xfId="4173"/>
    <cellStyle name="Normal 34 2 6 2" xfId="14168"/>
    <cellStyle name="Normal 34 2 6 3" xfId="26523"/>
    <cellStyle name="Normal 34 2 7" xfId="5435"/>
    <cellStyle name="Normal 34 2 7 2" xfId="14169"/>
    <cellStyle name="Normal 34 2 7 3" xfId="26524"/>
    <cellStyle name="Normal 34 2 8" xfId="14154"/>
    <cellStyle name="Normal 34 2 9" xfId="26509"/>
    <cellStyle name="Normal 34 2_LNG &amp; LPG rework" xfId="9567"/>
    <cellStyle name="Normal 34 3" xfId="868"/>
    <cellStyle name="Normal 34 3 2" xfId="742"/>
    <cellStyle name="Normal 34 3 2 2" xfId="209"/>
    <cellStyle name="Normal 34 3 2 2 2" xfId="599"/>
    <cellStyle name="Normal 34 3 2 2 2 2" xfId="14173"/>
    <cellStyle name="Normal 34 3 2 2 2 3" xfId="26528"/>
    <cellStyle name="Normal 34 3 2 2 3" xfId="14172"/>
    <cellStyle name="Normal 34 3 2 2 4" xfId="26527"/>
    <cellStyle name="Normal 34 3 2 2_LNG &amp; LPG rework" xfId="9573"/>
    <cellStyle name="Normal 34 3 2 3" xfId="366"/>
    <cellStyle name="Normal 34 3 2 3 2" xfId="14174"/>
    <cellStyle name="Normal 34 3 2 3 3" xfId="26529"/>
    <cellStyle name="Normal 34 3 2 4" xfId="14171"/>
    <cellStyle name="Normal 34 3 2 5" xfId="26526"/>
    <cellStyle name="Normal 34 3 2_LNG &amp; LPG rework" xfId="9572"/>
    <cellStyle name="Normal 34 3 3" xfId="1087"/>
    <cellStyle name="Normal 34 3 3 2" xfId="642"/>
    <cellStyle name="Normal 34 3 3 2 2" xfId="14176"/>
    <cellStyle name="Normal 34 3 3 2 3" xfId="26531"/>
    <cellStyle name="Normal 34 3 3 3" xfId="14175"/>
    <cellStyle name="Normal 34 3 3 4" xfId="26530"/>
    <cellStyle name="Normal 34 3 3_LNG &amp; LPG rework" xfId="9574"/>
    <cellStyle name="Normal 34 3 4" xfId="252"/>
    <cellStyle name="Normal 34 3 4 2" xfId="14177"/>
    <cellStyle name="Normal 34 3 4 3" xfId="26532"/>
    <cellStyle name="Normal 34 3 5" xfId="1449"/>
    <cellStyle name="Normal 34 3 6" xfId="14170"/>
    <cellStyle name="Normal 34 3 7" xfId="26525"/>
    <cellStyle name="Normal 34 3_LNG &amp; LPG rework" xfId="9571"/>
    <cellStyle name="Normal 34 4" xfId="26"/>
    <cellStyle name="Normal 34 4 2" xfId="588"/>
    <cellStyle name="Normal 34 4 2 2" xfId="510"/>
    <cellStyle name="Normal 34 4 2 2 2" xfId="14180"/>
    <cellStyle name="Normal 34 4 2 2 3" xfId="26535"/>
    <cellStyle name="Normal 34 4 2 3" xfId="14179"/>
    <cellStyle name="Normal 34 4 2 4" xfId="26534"/>
    <cellStyle name="Normal 34 4 2_LNG &amp; LPG rework" xfId="9576"/>
    <cellStyle name="Normal 34 4 3" xfId="1194"/>
    <cellStyle name="Normal 34 4 3 2" xfId="14181"/>
    <cellStyle name="Normal 34 4 3 3" xfId="26536"/>
    <cellStyle name="Normal 34 4 4" xfId="1440"/>
    <cellStyle name="Normal 34 4 5" xfId="14178"/>
    <cellStyle name="Normal 34 4 6" xfId="26533"/>
    <cellStyle name="Normal 34 4_LNG &amp; LPG rework" xfId="9575"/>
    <cellStyle name="Normal 34 5" xfId="757"/>
    <cellStyle name="Normal 34 5 2" xfId="308"/>
    <cellStyle name="Normal 34 5 2 2" xfId="14183"/>
    <cellStyle name="Normal 34 5 2 3" xfId="26538"/>
    <cellStyle name="Normal 34 5 3" xfId="14182"/>
    <cellStyle name="Normal 34 5 4" xfId="26537"/>
    <cellStyle name="Normal 34 5_LNG &amp; LPG rework" xfId="9577"/>
    <cellStyle name="Normal 34 6" xfId="526"/>
    <cellStyle name="Normal 34 6 2" xfId="14184"/>
    <cellStyle name="Normal 34 6 3" xfId="26539"/>
    <cellStyle name="Normal 34 7" xfId="1346"/>
    <cellStyle name="Normal 34 8" xfId="14153"/>
    <cellStyle name="Normal 34 9" xfId="26508"/>
    <cellStyle name="Normal 34_LNG &amp; LPG rework" xfId="9566"/>
    <cellStyle name="Normal 35" xfId="892"/>
    <cellStyle name="Normal 35 10" xfId="15983"/>
    <cellStyle name="Normal 35 2" xfId="724"/>
    <cellStyle name="Normal 35 2 2" xfId="1050"/>
    <cellStyle name="Normal 35 2 2 2" xfId="1175"/>
    <cellStyle name="Normal 35 2 2 2 2" xfId="457"/>
    <cellStyle name="Normal 35 2 2 2 2 2" xfId="14188"/>
    <cellStyle name="Normal 35 2 2 2 2 3" xfId="26543"/>
    <cellStyle name="Normal 35 2 2 2 3" xfId="14187"/>
    <cellStyle name="Normal 35 2 2 2 4" xfId="26542"/>
    <cellStyle name="Normal 35 2 2 2_LNG &amp; LPG rework" xfId="9580"/>
    <cellStyle name="Normal 35 2 2 3" xfId="1195"/>
    <cellStyle name="Normal 35 2 2 3 2" xfId="14189"/>
    <cellStyle name="Normal 35 2 2 3 3" xfId="26544"/>
    <cellStyle name="Normal 35 2 2 4" xfId="14186"/>
    <cellStyle name="Normal 35 2 2 5" xfId="26541"/>
    <cellStyle name="Normal 35 2 2_LNG &amp; LPG rework" xfId="9579"/>
    <cellStyle name="Normal 35 2 3" xfId="1015"/>
    <cellStyle name="Normal 35 2 3 2" xfId="598"/>
    <cellStyle name="Normal 35 2 3 2 2" xfId="14191"/>
    <cellStyle name="Normal 35 2 3 2 3" xfId="26546"/>
    <cellStyle name="Normal 35 2 3 3" xfId="14190"/>
    <cellStyle name="Normal 35 2 3 4" xfId="26545"/>
    <cellStyle name="Normal 35 2 3_LNG &amp; LPG rework" xfId="9581"/>
    <cellStyle name="Normal 35 2 4" xfId="1188"/>
    <cellStyle name="Normal 35 2 4 2" xfId="14192"/>
    <cellStyle name="Normal 35 2 4 3" xfId="26547"/>
    <cellStyle name="Normal 35 2 5" xfId="1448"/>
    <cellStyle name="Normal 35 2 6" xfId="14185"/>
    <cellStyle name="Normal 35 2 7" xfId="26540"/>
    <cellStyle name="Normal 35 2_LNG &amp; LPG rework" xfId="9578"/>
    <cellStyle name="Normal 35 3" xfId="874"/>
    <cellStyle name="Normal 35 3 2" xfId="965"/>
    <cellStyle name="Normal 35 3 2 2" xfId="1183"/>
    <cellStyle name="Normal 35 3 2 2 2" xfId="239"/>
    <cellStyle name="Normal 35 3 2 2 2 2" xfId="14196"/>
    <cellStyle name="Normal 35 3 2 2 2 3" xfId="26551"/>
    <cellStyle name="Normal 35 3 2 2 3" xfId="14195"/>
    <cellStyle name="Normal 35 3 2 2 4" xfId="26550"/>
    <cellStyle name="Normal 35 3 2 2_LNG &amp; LPG rework" xfId="9584"/>
    <cellStyle name="Normal 35 3 2 3" xfId="1198"/>
    <cellStyle name="Normal 35 3 2 3 2" xfId="14197"/>
    <cellStyle name="Normal 35 3 2 3 3" xfId="26552"/>
    <cellStyle name="Normal 35 3 2 4" xfId="14194"/>
    <cellStyle name="Normal 35 3 2 5" xfId="26549"/>
    <cellStyle name="Normal 35 3 2_LNG &amp; LPG rework" xfId="9583"/>
    <cellStyle name="Normal 35 3 3" xfId="995"/>
    <cellStyle name="Normal 35 3 3 2" xfId="330"/>
    <cellStyle name="Normal 35 3 3 2 2" xfId="14199"/>
    <cellStyle name="Normal 35 3 3 2 3" xfId="26554"/>
    <cellStyle name="Normal 35 3 3 3" xfId="14198"/>
    <cellStyle name="Normal 35 3 3 4" xfId="26553"/>
    <cellStyle name="Normal 35 3 3_LNG &amp; LPG rework" xfId="9585"/>
    <cellStyle name="Normal 35 3 4" xfId="431"/>
    <cellStyle name="Normal 35 3 4 2" xfId="14200"/>
    <cellStyle name="Normal 35 3 4 3" xfId="26555"/>
    <cellStyle name="Normal 35 3 5" xfId="1447"/>
    <cellStyle name="Normal 35 3 6" xfId="14193"/>
    <cellStyle name="Normal 35 3 7" xfId="26548"/>
    <cellStyle name="Normal 35 3_LNG &amp; LPG rework" xfId="9582"/>
    <cellStyle name="Normal 35 4" xfId="729"/>
    <cellStyle name="Normal 35 4 2" xfId="114"/>
    <cellStyle name="Normal 35 4 2 2" xfId="313"/>
    <cellStyle name="Normal 35 4 2 2 2" xfId="14203"/>
    <cellStyle name="Normal 35 4 2 2 3" xfId="26558"/>
    <cellStyle name="Normal 35 4 2 3" xfId="3757"/>
    <cellStyle name="Normal 35 4 2 3 2" xfId="14204"/>
    <cellStyle name="Normal 35 4 2 3 3" xfId="26559"/>
    <cellStyle name="Normal 35 4 2 4" xfId="4635"/>
    <cellStyle name="Normal 35 4 2 4 2" xfId="14205"/>
    <cellStyle name="Normal 35 4 2 4 3" xfId="26560"/>
    <cellStyle name="Normal 35 4 2 5" xfId="5900"/>
    <cellStyle name="Normal 35 4 2 5 2" xfId="14206"/>
    <cellStyle name="Normal 35 4 2 5 3" xfId="26561"/>
    <cellStyle name="Normal 35 4 2 6" xfId="14202"/>
    <cellStyle name="Normal 35 4 2 7" xfId="26557"/>
    <cellStyle name="Normal 35 4 2_LNG &amp; LPG rework" xfId="9587"/>
    <cellStyle name="Normal 35 4 3" xfId="531"/>
    <cellStyle name="Normal 35 4 3 2" xfId="14207"/>
    <cellStyle name="Normal 35 4 3 3" xfId="26562"/>
    <cellStyle name="Normal 35 4 4" xfId="3499"/>
    <cellStyle name="Normal 35 4 4 2" xfId="14208"/>
    <cellStyle name="Normal 35 4 4 3" xfId="26563"/>
    <cellStyle name="Normal 35 4 5" xfId="4371"/>
    <cellStyle name="Normal 35 4 5 2" xfId="14209"/>
    <cellStyle name="Normal 35 4 5 3" xfId="26564"/>
    <cellStyle name="Normal 35 4 6" xfId="5636"/>
    <cellStyle name="Normal 35 4 6 2" xfId="14210"/>
    <cellStyle name="Normal 35 4 6 3" xfId="26565"/>
    <cellStyle name="Normal 35 4 7" xfId="14201"/>
    <cellStyle name="Normal 35 4 8" xfId="26556"/>
    <cellStyle name="Normal 35 4_LNG &amp; LPG rework" xfId="9586"/>
    <cellStyle name="Normal 35 5" xfId="758"/>
    <cellStyle name="Normal 35 5 2" xfId="567"/>
    <cellStyle name="Normal 35 5 2 2" xfId="14212"/>
    <cellStyle name="Normal 35 5 2 3" xfId="26567"/>
    <cellStyle name="Normal 35 5 3" xfId="14211"/>
    <cellStyle name="Normal 35 5 4" xfId="26566"/>
    <cellStyle name="Normal 35 5_LNG &amp; LPG rework" xfId="9588"/>
    <cellStyle name="Normal 35 6" xfId="417"/>
    <cellStyle name="Normal 35 6 2" xfId="14213"/>
    <cellStyle name="Normal 35 6 3" xfId="26568"/>
    <cellStyle name="Normal 35 7" xfId="4110"/>
    <cellStyle name="Normal 35 7 2" xfId="14214"/>
    <cellStyle name="Normal 35 7 3" xfId="26569"/>
    <cellStyle name="Normal 35 8" xfId="5372"/>
    <cellStyle name="Normal 35 8 2" xfId="14215"/>
    <cellStyle name="Normal 35 8 3" xfId="26570"/>
    <cellStyle name="Normal 35 9" xfId="7651"/>
    <cellStyle name="Normal 35_Comparison 2015 and 2016" xfId="6437"/>
    <cellStyle name="Normal 36" xfId="885"/>
    <cellStyle name="Normal 36 10" xfId="26571"/>
    <cellStyle name="Normal 36 2" xfId="725"/>
    <cellStyle name="Normal 36 2 2" xfId="1054"/>
    <cellStyle name="Normal 36 2 2 2" xfId="1094"/>
    <cellStyle name="Normal 36 2 2 2 2" xfId="246"/>
    <cellStyle name="Normal 36 2 2 2 2 2" xfId="14220"/>
    <cellStyle name="Normal 36 2 2 2 2 3" xfId="26575"/>
    <cellStyle name="Normal 36 2 2 2 3" xfId="14219"/>
    <cellStyle name="Normal 36 2 2 2 4" xfId="26574"/>
    <cellStyle name="Normal 36 2 2 2_LNG &amp; LPG rework" xfId="9592"/>
    <cellStyle name="Normal 36 2 2 3" xfId="636"/>
    <cellStyle name="Normal 36 2 2 3 2" xfId="14221"/>
    <cellStyle name="Normal 36 2 2 3 3" xfId="26576"/>
    <cellStyle name="Normal 36 2 2 4" xfId="4433"/>
    <cellStyle name="Normal 36 2 2 4 2" xfId="14222"/>
    <cellStyle name="Normal 36 2 2 4 3" xfId="26577"/>
    <cellStyle name="Normal 36 2 2 5" xfId="5698"/>
    <cellStyle name="Normal 36 2 2 5 2" xfId="14223"/>
    <cellStyle name="Normal 36 2 2 5 3" xfId="26578"/>
    <cellStyle name="Normal 36 2 2 6" xfId="14218"/>
    <cellStyle name="Normal 36 2 2 7" xfId="26573"/>
    <cellStyle name="Normal 36 2 2_LNG &amp; LPG rework" xfId="9591"/>
    <cellStyle name="Normal 36 2 3" xfId="935"/>
    <cellStyle name="Normal 36 2 3 2" xfId="478"/>
    <cellStyle name="Normal 36 2 3 2 2" xfId="14225"/>
    <cellStyle name="Normal 36 2 3 2 3" xfId="26580"/>
    <cellStyle name="Normal 36 2 3 3" xfId="3819"/>
    <cellStyle name="Normal 36 2 3 3 2" xfId="14226"/>
    <cellStyle name="Normal 36 2 3 3 3" xfId="26581"/>
    <cellStyle name="Normal 36 2 3 4" xfId="4697"/>
    <cellStyle name="Normal 36 2 3 4 2" xfId="14227"/>
    <cellStyle name="Normal 36 2 3 4 3" xfId="26582"/>
    <cellStyle name="Normal 36 2 3 5" xfId="5962"/>
    <cellStyle name="Normal 36 2 3 5 2" xfId="14228"/>
    <cellStyle name="Normal 36 2 3 5 3" xfId="26583"/>
    <cellStyle name="Normal 36 2 3 6" xfId="14224"/>
    <cellStyle name="Normal 36 2 3 7" xfId="26579"/>
    <cellStyle name="Normal 36 2 3_LNG &amp; LPG rework" xfId="9593"/>
    <cellStyle name="Normal 36 2 4" xfId="250"/>
    <cellStyle name="Normal 36 2 4 2" xfId="14229"/>
    <cellStyle name="Normal 36 2 4 3" xfId="26584"/>
    <cellStyle name="Normal 36 2 5" xfId="3307"/>
    <cellStyle name="Normal 36 2 5 2" xfId="14230"/>
    <cellStyle name="Normal 36 2 5 3" xfId="26585"/>
    <cellStyle name="Normal 36 2 6" xfId="4175"/>
    <cellStyle name="Normal 36 2 6 2" xfId="14231"/>
    <cellStyle name="Normal 36 2 6 3" xfId="26586"/>
    <cellStyle name="Normal 36 2 7" xfId="5437"/>
    <cellStyle name="Normal 36 2 7 2" xfId="14232"/>
    <cellStyle name="Normal 36 2 7 3" xfId="26587"/>
    <cellStyle name="Normal 36 2 8" xfId="14217"/>
    <cellStyle name="Normal 36 2 9" xfId="26572"/>
    <cellStyle name="Normal 36 2_LNG &amp; LPG rework" xfId="9590"/>
    <cellStyle name="Normal 36 3" xfId="875"/>
    <cellStyle name="Normal 36 3 2" xfId="992"/>
    <cellStyle name="Normal 36 3 2 2" xfId="53"/>
    <cellStyle name="Normal 36 3 2 2 2" xfId="351"/>
    <cellStyle name="Normal 36 3 2 2 2 2" xfId="14236"/>
    <cellStyle name="Normal 36 3 2 2 2 3" xfId="26591"/>
    <cellStyle name="Normal 36 3 2 2 3" xfId="14235"/>
    <cellStyle name="Normal 36 3 2 2 4" xfId="26590"/>
    <cellStyle name="Normal 36 3 2 2_LNG &amp; LPG rework" xfId="9596"/>
    <cellStyle name="Normal 36 3 2 3" xfId="342"/>
    <cellStyle name="Normal 36 3 2 3 2" xfId="14237"/>
    <cellStyle name="Normal 36 3 2 3 3" xfId="26592"/>
    <cellStyle name="Normal 36 3 2 4" xfId="14234"/>
    <cellStyle name="Normal 36 3 2 5" xfId="26589"/>
    <cellStyle name="Normal 36 3 2_LNG &amp; LPG rework" xfId="9595"/>
    <cellStyle name="Normal 36 3 3" xfId="985"/>
    <cellStyle name="Normal 36 3 3 2" xfId="591"/>
    <cellStyle name="Normal 36 3 3 2 2" xfId="14239"/>
    <cellStyle name="Normal 36 3 3 2 3" xfId="26594"/>
    <cellStyle name="Normal 36 3 3 3" xfId="14238"/>
    <cellStyle name="Normal 36 3 3 4" xfId="26593"/>
    <cellStyle name="Normal 36 3 3_LNG &amp; LPG rework" xfId="9597"/>
    <cellStyle name="Normal 36 3 4" xfId="115"/>
    <cellStyle name="Normal 36 3 4 2" xfId="14240"/>
    <cellStyle name="Normal 36 3 4 3" xfId="26595"/>
    <cellStyle name="Normal 36 3 5" xfId="5608"/>
    <cellStyle name="Normal 36 3 5 2" xfId="14241"/>
    <cellStyle name="Normal 36 3 5 3" xfId="26596"/>
    <cellStyle name="Normal 36 3 6" xfId="14233"/>
    <cellStyle name="Normal 36 3 7" xfId="26588"/>
    <cellStyle name="Normal 36 3_LNG &amp; LPG rework" xfId="9594"/>
    <cellStyle name="Normal 36 4" xfId="730"/>
    <cellStyle name="Normal 36 4 2" xfId="200"/>
    <cellStyle name="Normal 36 4 2 2" xfId="572"/>
    <cellStyle name="Normal 36 4 2 2 2" xfId="14244"/>
    <cellStyle name="Normal 36 4 2 2 3" xfId="26599"/>
    <cellStyle name="Normal 36 4 2 3" xfId="14243"/>
    <cellStyle name="Normal 36 4 2 4" xfId="26598"/>
    <cellStyle name="Normal 36 4 2_LNG &amp; LPG rework" xfId="9599"/>
    <cellStyle name="Normal 36 4 3" xfId="433"/>
    <cellStyle name="Normal 36 4 3 2" xfId="14245"/>
    <cellStyle name="Normal 36 4 3 3" xfId="26600"/>
    <cellStyle name="Normal 36 4 4" xfId="4609"/>
    <cellStyle name="Normal 36 4 4 2" xfId="14246"/>
    <cellStyle name="Normal 36 4 4 3" xfId="26601"/>
    <cellStyle name="Normal 36 4 5" xfId="5874"/>
    <cellStyle name="Normal 36 4 5 2" xfId="14247"/>
    <cellStyle name="Normal 36 4 5 3" xfId="26602"/>
    <cellStyle name="Normal 36 4 6" xfId="14242"/>
    <cellStyle name="Normal 36 4 7" xfId="26597"/>
    <cellStyle name="Normal 36 4_LNG &amp; LPG rework" xfId="9598"/>
    <cellStyle name="Normal 36 5" xfId="759"/>
    <cellStyle name="Normal 36 5 2" xfId="438"/>
    <cellStyle name="Normal 36 5 2 2" xfId="14249"/>
    <cellStyle name="Normal 36 5 2 3" xfId="26604"/>
    <cellStyle name="Normal 36 5 3" xfId="14248"/>
    <cellStyle name="Normal 36 5 4" xfId="26603"/>
    <cellStyle name="Normal 36 5_LNG &amp; LPG rework" xfId="9600"/>
    <cellStyle name="Normal 36 6" xfId="397"/>
    <cellStyle name="Normal 36 6 2" xfId="14250"/>
    <cellStyle name="Normal 36 6 3" xfId="26605"/>
    <cellStyle name="Normal 36 7" xfId="4111"/>
    <cellStyle name="Normal 36 7 2" xfId="14251"/>
    <cellStyle name="Normal 36 7 3" xfId="26606"/>
    <cellStyle name="Normal 36 8" xfId="5373"/>
    <cellStyle name="Normal 36 8 2" xfId="14252"/>
    <cellStyle name="Normal 36 8 3" xfId="26607"/>
    <cellStyle name="Normal 36 9" xfId="14216"/>
    <cellStyle name="Normal 36_LNG &amp; LPG rework" xfId="9589"/>
    <cellStyle name="Normal 37" xfId="686"/>
    <cellStyle name="Normal 37 2" xfId="24"/>
    <cellStyle name="Normal 37 2 2" xfId="1047"/>
    <cellStyle name="Normal 37 2 2 2" xfId="1176"/>
    <cellStyle name="Normal 37 2 2 2 2" xfId="358"/>
    <cellStyle name="Normal 37 2 2 2 2 2" xfId="14257"/>
    <cellStyle name="Normal 37 2 2 2 2 3" xfId="26612"/>
    <cellStyle name="Normal 37 2 2 2 3" xfId="14256"/>
    <cellStyle name="Normal 37 2 2 2 4" xfId="26611"/>
    <cellStyle name="Normal 37 2 2 2_LNG &amp; LPG rework" xfId="9604"/>
    <cellStyle name="Normal 37 2 2 3" xfId="1196"/>
    <cellStyle name="Normal 37 2 2 3 2" xfId="14258"/>
    <cellStyle name="Normal 37 2 2 3 3" xfId="26613"/>
    <cellStyle name="Normal 37 2 2 4" xfId="14255"/>
    <cellStyle name="Normal 37 2 2 5" xfId="26610"/>
    <cellStyle name="Normal 37 2 2_LNG &amp; LPG rework" xfId="9603"/>
    <cellStyle name="Normal 37 2 3" xfId="1158"/>
    <cellStyle name="Normal 37 2 3 2" xfId="1201"/>
    <cellStyle name="Normal 37 2 3 2 2" xfId="14260"/>
    <cellStyle name="Normal 37 2 3 2 3" xfId="26615"/>
    <cellStyle name="Normal 37 2 3 3" xfId="14259"/>
    <cellStyle name="Normal 37 2 3 4" xfId="26614"/>
    <cellStyle name="Normal 37 2 3_LNG &amp; LPG rework" xfId="9605"/>
    <cellStyle name="Normal 37 2 4" xfId="1189"/>
    <cellStyle name="Normal 37 2 4 2" xfId="14261"/>
    <cellStyle name="Normal 37 2 4 3" xfId="26616"/>
    <cellStyle name="Normal 37 2 5" xfId="1982"/>
    <cellStyle name="Normal 37 2 6" xfId="14254"/>
    <cellStyle name="Normal 37 2 7" xfId="26609"/>
    <cellStyle name="Normal 37 2_LNG &amp; LPG rework" xfId="9602"/>
    <cellStyle name="Normal 37 3" xfId="876"/>
    <cellStyle name="Normal 37 3 2" xfId="1145"/>
    <cellStyle name="Normal 37 3 2 2" xfId="207"/>
    <cellStyle name="Normal 37 3 2 2 2" xfId="619"/>
    <cellStyle name="Normal 37 3 2 2 2 2" xfId="14265"/>
    <cellStyle name="Normal 37 3 2 2 2 3" xfId="26620"/>
    <cellStyle name="Normal 37 3 2 2 3" xfId="14264"/>
    <cellStyle name="Normal 37 3 2 2 4" xfId="26619"/>
    <cellStyle name="Normal 37 3 2 2_LNG &amp; LPG rework" xfId="9608"/>
    <cellStyle name="Normal 37 3 2 3" xfId="609"/>
    <cellStyle name="Normal 37 3 2 3 2" xfId="14266"/>
    <cellStyle name="Normal 37 3 2 3 3" xfId="26621"/>
    <cellStyle name="Normal 37 3 2 4" xfId="14263"/>
    <cellStyle name="Normal 37 3 2 5" xfId="26618"/>
    <cellStyle name="Normal 37 3 2_LNG &amp; LPG rework" xfId="9607"/>
    <cellStyle name="Normal 37 3 3" xfId="1162"/>
    <cellStyle name="Normal 37 3 3 2" xfId="482"/>
    <cellStyle name="Normal 37 3 3 2 2" xfId="14268"/>
    <cellStyle name="Normal 37 3 3 2 3" xfId="26623"/>
    <cellStyle name="Normal 37 3 3 3" xfId="14267"/>
    <cellStyle name="Normal 37 3 3 4" xfId="26622"/>
    <cellStyle name="Normal 37 3 3_LNG &amp; LPG rework" xfId="9609"/>
    <cellStyle name="Normal 37 3 4" xfId="339"/>
    <cellStyle name="Normal 37 3 4 2" xfId="14269"/>
    <cellStyle name="Normal 37 3 4 3" xfId="26624"/>
    <cellStyle name="Normal 37 3 5" xfId="14262"/>
    <cellStyle name="Normal 37 3 6" xfId="26617"/>
    <cellStyle name="Normal 37 3_LNG &amp; LPG rework" xfId="9606"/>
    <cellStyle name="Normal 37 4" xfId="155"/>
    <cellStyle name="Normal 37 4 2" xfId="1168"/>
    <cellStyle name="Normal 37 4 2 2" xfId="446"/>
    <cellStyle name="Normal 37 4 2 2 2" xfId="14272"/>
    <cellStyle name="Normal 37 4 2 2 3" xfId="26627"/>
    <cellStyle name="Normal 37 4 2 3" xfId="14271"/>
    <cellStyle name="Normal 37 4 2 4" xfId="26626"/>
    <cellStyle name="Normal 37 4 2_LNG &amp; LPG rework" xfId="9611"/>
    <cellStyle name="Normal 37 4 3" xfId="84"/>
    <cellStyle name="Normal 37 4 3 2" xfId="14273"/>
    <cellStyle name="Normal 37 4 3 3" xfId="26628"/>
    <cellStyle name="Normal 37 4 4" xfId="14270"/>
    <cellStyle name="Normal 37 4 5" xfId="26625"/>
    <cellStyle name="Normal 37 4_LNG &amp; LPG rework" xfId="9610"/>
    <cellStyle name="Normal 37 5" xfId="1156"/>
    <cellStyle name="Normal 37 5 2" xfId="121"/>
    <cellStyle name="Normal 37 5 2 2" xfId="14275"/>
    <cellStyle name="Normal 37 5 2 3" xfId="26630"/>
    <cellStyle name="Normal 37 5 3" xfId="14274"/>
    <cellStyle name="Normal 37 5 4" xfId="26629"/>
    <cellStyle name="Normal 37 5_LNG &amp; LPG rework" xfId="9612"/>
    <cellStyle name="Normal 37 6" xfId="48"/>
    <cellStyle name="Normal 37 6 2" xfId="14276"/>
    <cellStyle name="Normal 37 6 3" xfId="26631"/>
    <cellStyle name="Normal 37 7" xfId="1351"/>
    <cellStyle name="Normal 37 7 2" xfId="21410"/>
    <cellStyle name="Normal 37 8" xfId="14253"/>
    <cellStyle name="Normal 37 9" xfId="26608"/>
    <cellStyle name="Normal 37_LNG &amp; LPG rework" xfId="9601"/>
    <cellStyle name="Normal 38" xfId="150"/>
    <cellStyle name="Normal 38 2" xfId="1989"/>
    <cellStyle name="Normal 38 3" xfId="1723"/>
    <cellStyle name="Normal 38 4" xfId="1352"/>
    <cellStyle name="Normal 38_LNG &amp; LPG rework" xfId="9613"/>
    <cellStyle name="Normal 39" xfId="826"/>
    <cellStyle name="Normal 39 2" xfId="726"/>
    <cellStyle name="Normal 39 2 2" xfId="913"/>
    <cellStyle name="Normal 39 2 2 2" xfId="1097"/>
    <cellStyle name="Normal 39 2 2 2 2" xfId="626"/>
    <cellStyle name="Normal 39 2 2 2 2 2" xfId="14281"/>
    <cellStyle name="Normal 39 2 2 2 2 3" xfId="26636"/>
    <cellStyle name="Normal 39 2 2 2 3" xfId="14280"/>
    <cellStyle name="Normal 39 2 2 2 4" xfId="26635"/>
    <cellStyle name="Normal 39 2 2 2_LNG &amp; LPG rework" xfId="9617"/>
    <cellStyle name="Normal 39 2 2 3" xfId="306"/>
    <cellStyle name="Normal 39 2 2 3 2" xfId="14282"/>
    <cellStyle name="Normal 39 2 2 3 3" xfId="26637"/>
    <cellStyle name="Normal 39 2 2 4" xfId="4862"/>
    <cellStyle name="Normal 39 2 2 4 2" xfId="14283"/>
    <cellStyle name="Normal 39 2 2 4 3" xfId="26638"/>
    <cellStyle name="Normal 39 2 2 5" xfId="6127"/>
    <cellStyle name="Normal 39 2 2 5 2" xfId="14284"/>
    <cellStyle name="Normal 39 2 2 5 3" xfId="26639"/>
    <cellStyle name="Normal 39 2 2 6" xfId="14279"/>
    <cellStyle name="Normal 39 2 2 7" xfId="26634"/>
    <cellStyle name="Normal 39 2 2_LNG &amp; LPG rework" xfId="9616"/>
    <cellStyle name="Normal 39 2 3" xfId="956"/>
    <cellStyle name="Normal 39 2 3 2" xfId="538"/>
    <cellStyle name="Normal 39 2 3 2 2" xfId="14286"/>
    <cellStyle name="Normal 39 2 3 2 3" xfId="26641"/>
    <cellStyle name="Normal 39 2 3 3" xfId="14285"/>
    <cellStyle name="Normal 39 2 3 4" xfId="26640"/>
    <cellStyle name="Normal 39 2 3_LNG &amp; LPG rework" xfId="9618"/>
    <cellStyle name="Normal 39 2 4" xfId="630"/>
    <cellStyle name="Normal 39 2 4 2" xfId="14287"/>
    <cellStyle name="Normal 39 2 4 3" xfId="26642"/>
    <cellStyle name="Normal 39 2 5" xfId="4598"/>
    <cellStyle name="Normal 39 2 5 2" xfId="14288"/>
    <cellStyle name="Normal 39 2 5 3" xfId="26643"/>
    <cellStyle name="Normal 39 2 6" xfId="5863"/>
    <cellStyle name="Normal 39 2 6 2" xfId="14289"/>
    <cellStyle name="Normal 39 2 6 3" xfId="26644"/>
    <cellStyle name="Normal 39 2 7" xfId="14278"/>
    <cellStyle name="Normal 39 2 8" xfId="26633"/>
    <cellStyle name="Normal 39 2_LNG &amp; LPG rework" xfId="9615"/>
    <cellStyle name="Normal 39 3" xfId="877"/>
    <cellStyle name="Normal 39 3 2" xfId="920"/>
    <cellStyle name="Normal 39 3 2 2" xfId="1184"/>
    <cellStyle name="Normal 39 3 2 2 2" xfId="488"/>
    <cellStyle name="Normal 39 3 2 2 2 2" xfId="14293"/>
    <cellStyle name="Normal 39 3 2 2 2 3" xfId="26648"/>
    <cellStyle name="Normal 39 3 2 2 3" xfId="14292"/>
    <cellStyle name="Normal 39 3 2 2 4" xfId="26647"/>
    <cellStyle name="Normal 39 3 2 2_LNG &amp; LPG rework" xfId="9621"/>
    <cellStyle name="Normal 39 3 2 3" xfId="472"/>
    <cellStyle name="Normal 39 3 2 3 2" xfId="14294"/>
    <cellStyle name="Normal 39 3 2 3 3" xfId="26649"/>
    <cellStyle name="Normal 39 3 2 4" xfId="14291"/>
    <cellStyle name="Normal 39 3 2 5" xfId="26646"/>
    <cellStyle name="Normal 39 3 2_LNG &amp; LPG rework" xfId="9620"/>
    <cellStyle name="Normal 39 3 3" xfId="1081"/>
    <cellStyle name="Normal 39 3 3 2" xfId="119"/>
    <cellStyle name="Normal 39 3 3 2 2" xfId="14296"/>
    <cellStyle name="Normal 39 3 3 2 3" xfId="26651"/>
    <cellStyle name="Normal 39 3 3 3" xfId="14295"/>
    <cellStyle name="Normal 39 3 3 4" xfId="26650"/>
    <cellStyle name="Normal 39 3 3_LNG &amp; LPG rework" xfId="9622"/>
    <cellStyle name="Normal 39 3 4" xfId="606"/>
    <cellStyle name="Normal 39 3 4 2" xfId="14297"/>
    <cellStyle name="Normal 39 3 4 3" xfId="26652"/>
    <cellStyle name="Normal 39 3 5" xfId="1730"/>
    <cellStyle name="Normal 39 3 6" xfId="14290"/>
    <cellStyle name="Normal 39 3 7" xfId="26645"/>
    <cellStyle name="Normal 39 3_LNG &amp; LPG rework" xfId="9619"/>
    <cellStyle name="Normal 39 4" xfId="881"/>
    <cellStyle name="Normal 39 4 2" xfId="1093"/>
    <cellStyle name="Normal 39 4 2 2" xfId="118"/>
    <cellStyle name="Normal 39 4 2 2 2" xfId="14300"/>
    <cellStyle name="Normal 39 4 2 2 3" xfId="26655"/>
    <cellStyle name="Normal 39 4 2 3" xfId="14299"/>
    <cellStyle name="Normal 39 4 2 4" xfId="26654"/>
    <cellStyle name="Normal 39 4 2_LNG &amp; LPG rework" xfId="9624"/>
    <cellStyle name="Normal 39 4 3" xfId="249"/>
    <cellStyle name="Normal 39 4 3 2" xfId="14301"/>
    <cellStyle name="Normal 39 4 3 3" xfId="26656"/>
    <cellStyle name="Normal 39 4 4" xfId="14298"/>
    <cellStyle name="Normal 39 4 5" xfId="26653"/>
    <cellStyle name="Normal 39 4_LNG &amp; LPG rework" xfId="9623"/>
    <cellStyle name="Normal 39 5" xfId="760"/>
    <cellStyle name="Normal 39 5 2" xfId="344"/>
    <cellStyle name="Normal 39 5 2 2" xfId="14303"/>
    <cellStyle name="Normal 39 5 2 3" xfId="26658"/>
    <cellStyle name="Normal 39 5 3" xfId="14302"/>
    <cellStyle name="Normal 39 5 4" xfId="26657"/>
    <cellStyle name="Normal 39 5_LNG &amp; LPG rework" xfId="9625"/>
    <cellStyle name="Normal 39 6" xfId="74"/>
    <cellStyle name="Normal 39 6 2" xfId="14304"/>
    <cellStyle name="Normal 39 6 3" xfId="26659"/>
    <cellStyle name="Normal 39 7" xfId="1359"/>
    <cellStyle name="Normal 39 8" xfId="14277"/>
    <cellStyle name="Normal 39 9" xfId="26632"/>
    <cellStyle name="Normal 39_LNG &amp; LPG rework" xfId="9614"/>
    <cellStyle name="Normal 4" xfId="687"/>
    <cellStyle name="Normal 4 10" xfId="6290"/>
    <cellStyle name="Normal 4 10 2" xfId="14305"/>
    <cellStyle name="Normal 4 10 3" xfId="26660"/>
    <cellStyle name="Normal 4 11" xfId="10088"/>
    <cellStyle name="Normal 4 12" xfId="22532"/>
    <cellStyle name="Normal 4 12 2" xfId="34929"/>
    <cellStyle name="Normal 4 13" xfId="28429"/>
    <cellStyle name="Normal 4 14" xfId="28432"/>
    <cellStyle name="Normal 4 15" xfId="28433"/>
    <cellStyle name="Normal 4 16" xfId="28473"/>
    <cellStyle name="Normal 4 17" xfId="28476"/>
    <cellStyle name="Normal 4 18" xfId="28497"/>
    <cellStyle name="Normal 4 19" xfId="28501"/>
    <cellStyle name="Normal 4 2" xfId="1313"/>
    <cellStyle name="Normal 4 2 2" xfId="2263"/>
    <cellStyle name="Normal 4 2 2 2" xfId="21411"/>
    <cellStyle name="Normal 4 2 3" xfId="10142"/>
    <cellStyle name="Normal 4 2 4" xfId="6567"/>
    <cellStyle name="Normal 4 2_Comparison 2015 and 2016" xfId="6438"/>
    <cellStyle name="Normal 4 20" xfId="28502"/>
    <cellStyle name="Normal 4 21" xfId="28503"/>
    <cellStyle name="Normal 4 22" xfId="44550"/>
    <cellStyle name="Normal 4 23" xfId="44551"/>
    <cellStyle name="Normal 4 24" xfId="44552"/>
    <cellStyle name="Normal 4 25" xfId="44569"/>
    <cellStyle name="Normal 4 3" xfId="1568"/>
    <cellStyle name="Normal 4 4" xfId="1672"/>
    <cellStyle name="Normal 4 4 2" xfId="21412"/>
    <cellStyle name="Normal 4 5" xfId="2271"/>
    <cellStyle name="Normal 4 6" xfId="5225"/>
    <cellStyle name="Normal 4 7" xfId="6235"/>
    <cellStyle name="Normal 4 8" xfId="6236"/>
    <cellStyle name="Normal 4 9" xfId="1211"/>
    <cellStyle name="Normal 4 9 2" xfId="21413"/>
    <cellStyle name="Normal 4_2015  Data" xfId="5226"/>
    <cellStyle name="Normal 40" xfId="688"/>
    <cellStyle name="Normal 40 10" xfId="20323"/>
    <cellStyle name="Normal 40 2" xfId="154"/>
    <cellStyle name="Normal 40 2 2" xfId="736"/>
    <cellStyle name="Normal 40 2 2 2" xfId="1177"/>
    <cellStyle name="Normal 40 2 2 2 2" xfId="495"/>
    <cellStyle name="Normal 40 2 2 2 2 2" xfId="14309"/>
    <cellStyle name="Normal 40 2 2 2 2 3" xfId="26664"/>
    <cellStyle name="Normal 40 2 2 2 3" xfId="14308"/>
    <cellStyle name="Normal 40 2 2 2 4" xfId="26663"/>
    <cellStyle name="Normal 40 2 2 2_LNG &amp; LPG rework" xfId="9628"/>
    <cellStyle name="Normal 40 2 2 3" xfId="565"/>
    <cellStyle name="Normal 40 2 2 3 2" xfId="14310"/>
    <cellStyle name="Normal 40 2 2 3 3" xfId="26665"/>
    <cellStyle name="Normal 40 2 2 4" xfId="14307"/>
    <cellStyle name="Normal 40 2 2 5" xfId="26662"/>
    <cellStyle name="Normal 40 2 2_LNG &amp; LPG rework" xfId="9627"/>
    <cellStyle name="Normal 40 2 3" xfId="1159"/>
    <cellStyle name="Normal 40 2 3 2" xfId="412"/>
    <cellStyle name="Normal 40 2 3 2 2" xfId="14312"/>
    <cellStyle name="Normal 40 2 3 2 3" xfId="26667"/>
    <cellStyle name="Normal 40 2 3 3" xfId="14311"/>
    <cellStyle name="Normal 40 2 3 4" xfId="26666"/>
    <cellStyle name="Normal 40 2 3_LNG &amp; LPG rework" xfId="9629"/>
    <cellStyle name="Normal 40 2 4" xfId="1190"/>
    <cellStyle name="Normal 40 2 4 2" xfId="14313"/>
    <cellStyle name="Normal 40 2 4 3" xfId="26668"/>
    <cellStyle name="Normal 40 2 5" xfId="1973"/>
    <cellStyle name="Normal 40 2 6" xfId="14306"/>
    <cellStyle name="Normal 40 2 7" xfId="26661"/>
    <cellStyle name="Normal 40 2_LNG &amp; LPG rework" xfId="9626"/>
    <cellStyle name="Normal 40 3" xfId="878"/>
    <cellStyle name="Normal 40 3 2" xfId="744"/>
    <cellStyle name="Normal 40 3 2 2" xfId="1185"/>
    <cellStyle name="Normal 40 3 2 2 2" xfId="289"/>
    <cellStyle name="Normal 40 3 2 2 2 2" xfId="14317"/>
    <cellStyle name="Normal 40 3 2 2 2 3" xfId="26672"/>
    <cellStyle name="Normal 40 3 2 2 3" xfId="14316"/>
    <cellStyle name="Normal 40 3 2 2 4" xfId="26671"/>
    <cellStyle name="Normal 40 3 2 2_LNG &amp; LPG rework" xfId="9632"/>
    <cellStyle name="Normal 40 3 2 3" xfId="279"/>
    <cellStyle name="Normal 40 3 2 3 2" xfId="14318"/>
    <cellStyle name="Normal 40 3 2 3 3" xfId="26673"/>
    <cellStyle name="Normal 40 3 2 4" xfId="14315"/>
    <cellStyle name="Normal 40 3 2 5" xfId="26670"/>
    <cellStyle name="Normal 40 3 2_LNG &amp; LPG rework" xfId="9631"/>
    <cellStyle name="Normal 40 3 3" xfId="1085"/>
    <cellStyle name="Normal 40 3 3 2" xfId="542"/>
    <cellStyle name="Normal 40 3 3 2 2" xfId="14320"/>
    <cellStyle name="Normal 40 3 3 2 3" xfId="26675"/>
    <cellStyle name="Normal 40 3 3 3" xfId="14319"/>
    <cellStyle name="Normal 40 3 3 4" xfId="26674"/>
    <cellStyle name="Normal 40 3 3_LNG &amp; LPG rework" xfId="9633"/>
    <cellStyle name="Normal 40 3 4" xfId="468"/>
    <cellStyle name="Normal 40 3 4 2" xfId="14321"/>
    <cellStyle name="Normal 40 3 4 3" xfId="26676"/>
    <cellStyle name="Normal 40 3 5" xfId="1731"/>
    <cellStyle name="Normal 40 3 6" xfId="14314"/>
    <cellStyle name="Normal 40 3 7" xfId="26669"/>
    <cellStyle name="Normal 40 3_LNG &amp; LPG rework" xfId="9630"/>
    <cellStyle name="Normal 40 4" xfId="731"/>
    <cellStyle name="Normal 40 4 2" xfId="1169"/>
    <cellStyle name="Normal 40 4 2 2" xfId="349"/>
    <cellStyle name="Normal 40 4 2 2 2" xfId="14324"/>
    <cellStyle name="Normal 40 4 2 2 3" xfId="26679"/>
    <cellStyle name="Normal 40 4 2 3" xfId="14323"/>
    <cellStyle name="Normal 40 4 2 4" xfId="26678"/>
    <cellStyle name="Normal 40 4 2_LNG &amp; LPG rework" xfId="9635"/>
    <cellStyle name="Normal 40 4 3" xfId="361"/>
    <cellStyle name="Normal 40 4 3 2" xfId="14325"/>
    <cellStyle name="Normal 40 4 3 3" xfId="26680"/>
    <cellStyle name="Normal 40 4 4" xfId="14322"/>
    <cellStyle name="Normal 40 4 5" xfId="26677"/>
    <cellStyle name="Normal 40 4_LNG &amp; LPG rework" xfId="9634"/>
    <cellStyle name="Normal 40 5" xfId="1024"/>
    <cellStyle name="Normal 40 5 2" xfId="612"/>
    <cellStyle name="Normal 40 5 2 2" xfId="14327"/>
    <cellStyle name="Normal 40 5 2 3" xfId="26682"/>
    <cellStyle name="Normal 40 5 3" xfId="14326"/>
    <cellStyle name="Normal 40 5 4" xfId="26681"/>
    <cellStyle name="Normal 40 5_LNG &amp; LPG rework" xfId="9636"/>
    <cellStyle name="Normal 40 6" xfId="324"/>
    <cellStyle name="Normal 40 6 2" xfId="14328"/>
    <cellStyle name="Normal 40 6 3" xfId="26683"/>
    <cellStyle name="Normal 40 7" xfId="1360"/>
    <cellStyle name="Normal 40 8" xfId="7652"/>
    <cellStyle name="Normal 40 9" xfId="15988"/>
    <cellStyle name="Normal 40_Comparison 2015 and 2016" xfId="6439"/>
    <cellStyle name="Normal 41" xfId="689"/>
    <cellStyle name="Normal 41 2" xfId="839"/>
    <cellStyle name="Normal 41 2 2" xfId="957"/>
    <cellStyle name="Normal 41 2 2 2" xfId="1098"/>
    <cellStyle name="Normal 41 2 2 2 2" xfId="296"/>
    <cellStyle name="Normal 41 2 2 2 2 2" xfId="14333"/>
    <cellStyle name="Normal 41 2 2 2 2 3" xfId="26688"/>
    <cellStyle name="Normal 41 2 2 2 3" xfId="14332"/>
    <cellStyle name="Normal 41 2 2 2 4" xfId="26687"/>
    <cellStyle name="Normal 41 2 2 2_LNG &amp; LPG rework" xfId="9640"/>
    <cellStyle name="Normal 41 2 2 3" xfId="1197"/>
    <cellStyle name="Normal 41 2 2 3 2" xfId="14334"/>
    <cellStyle name="Normal 41 2 2 3 3" xfId="26689"/>
    <cellStyle name="Normal 41 2 2 4" xfId="14331"/>
    <cellStyle name="Normal 41 2 2 5" xfId="26686"/>
    <cellStyle name="Normal 41 2 2_LNG &amp; LPG rework" xfId="9639"/>
    <cellStyle name="Normal 41 2 3" xfId="1001"/>
    <cellStyle name="Normal 41 2 3 2" xfId="57"/>
    <cellStyle name="Normal 41 2 3 2 2" xfId="14336"/>
    <cellStyle name="Normal 41 2 3 2 3" xfId="26691"/>
    <cellStyle name="Normal 41 2 3 3" xfId="14335"/>
    <cellStyle name="Normal 41 2 3 4" xfId="26690"/>
    <cellStyle name="Normal 41 2 3_LNG &amp; LPG rework" xfId="9641"/>
    <cellStyle name="Normal 41 2 4" xfId="300"/>
    <cellStyle name="Normal 41 2 4 2" xfId="14337"/>
    <cellStyle name="Normal 41 2 4 3" xfId="26692"/>
    <cellStyle name="Normal 41 2 5" xfId="1732"/>
    <cellStyle name="Normal 41 2 6" xfId="14330"/>
    <cellStyle name="Normal 41 2 7" xfId="26685"/>
    <cellStyle name="Normal 41 2_LNG &amp; LPG rework" xfId="9638"/>
    <cellStyle name="Normal 41 3" xfId="879"/>
    <cellStyle name="Normal 41 3 2" xfId="1146"/>
    <cellStyle name="Normal 41 3 2 2" xfId="203"/>
    <cellStyle name="Normal 41 3 2 2 2" xfId="548"/>
    <cellStyle name="Normal 41 3 2 2 2 2" xfId="14341"/>
    <cellStyle name="Normal 41 3 2 2 2 3" xfId="26696"/>
    <cellStyle name="Normal 41 3 2 2 3" xfId="14340"/>
    <cellStyle name="Normal 41 3 2 2 4" xfId="26695"/>
    <cellStyle name="Normal 41 3 2 2_LNG &amp; LPG rework" xfId="9644"/>
    <cellStyle name="Normal 41 3 2 3" xfId="532"/>
    <cellStyle name="Normal 41 3 2 3 2" xfId="14342"/>
    <cellStyle name="Normal 41 3 2 3 3" xfId="26697"/>
    <cellStyle name="Normal 41 3 2 4" xfId="14339"/>
    <cellStyle name="Normal 41 3 2 5" xfId="26694"/>
    <cellStyle name="Normal 41 3 2_LNG &amp; LPG rework" xfId="9643"/>
    <cellStyle name="Normal 41 3 3" xfId="987"/>
    <cellStyle name="Normal 41 3 3 2" xfId="416"/>
    <cellStyle name="Normal 41 3 3 2 2" xfId="14344"/>
    <cellStyle name="Normal 41 3 3 2 3" xfId="26699"/>
    <cellStyle name="Normal 41 3 3 3" xfId="14343"/>
    <cellStyle name="Normal 41 3 3 4" xfId="26698"/>
    <cellStyle name="Normal 41 3 3_LNG &amp; LPG rework" xfId="9645"/>
    <cellStyle name="Normal 41 3 4" xfId="1191"/>
    <cellStyle name="Normal 41 3 4 2" xfId="14345"/>
    <cellStyle name="Normal 41 3 4 3" xfId="26700"/>
    <cellStyle name="Normal 41 3 5" xfId="14338"/>
    <cellStyle name="Normal 41 3 6" xfId="26693"/>
    <cellStyle name="Normal 41 3_LNG &amp; LPG rework" xfId="9642"/>
    <cellStyle name="Normal 41 4" xfId="732"/>
    <cellStyle name="Normal 41 4 2" xfId="1100"/>
    <cellStyle name="Normal 41 4 2 2" xfId="617"/>
    <cellStyle name="Normal 41 4 2 2 2" xfId="14348"/>
    <cellStyle name="Normal 41 4 2 2 3" xfId="26703"/>
    <cellStyle name="Normal 41 4 2 3" xfId="14347"/>
    <cellStyle name="Normal 41 4 2 4" xfId="26702"/>
    <cellStyle name="Normal 41 4 2_LNG &amp; LPG rework" xfId="9647"/>
    <cellStyle name="Normal 41 4 3" xfId="629"/>
    <cellStyle name="Normal 41 4 3 2" xfId="14349"/>
    <cellStyle name="Normal 41 4 3 3" xfId="26704"/>
    <cellStyle name="Normal 41 4 4" xfId="14346"/>
    <cellStyle name="Normal 41 4 5" xfId="26701"/>
    <cellStyle name="Normal 41 4_LNG &amp; LPG rework" xfId="9646"/>
    <cellStyle name="Normal 41 5" xfId="1056"/>
    <cellStyle name="Normal 41 5 2" xfId="477"/>
    <cellStyle name="Normal 41 5 2 2" xfId="14351"/>
    <cellStyle name="Normal 41 5 2 3" xfId="26706"/>
    <cellStyle name="Normal 41 5 3" xfId="14350"/>
    <cellStyle name="Normal 41 5 4" xfId="26705"/>
    <cellStyle name="Normal 41 5_LNG &amp; LPG rework" xfId="9648"/>
    <cellStyle name="Normal 41 6" xfId="584"/>
    <cellStyle name="Normal 41 6 2" xfId="14352"/>
    <cellStyle name="Normal 41 6 3" xfId="26707"/>
    <cellStyle name="Normal 41 7" xfId="1361"/>
    <cellStyle name="Normal 41 8" xfId="14329"/>
    <cellStyle name="Normal 41 9" xfId="26684"/>
    <cellStyle name="Normal 41_LNG &amp; LPG rework" xfId="9637"/>
    <cellStyle name="Normal 42" xfId="690"/>
    <cellStyle name="Normal 42 2" xfId="840"/>
    <cellStyle name="Normal 42 2 2" xfId="1003"/>
    <cellStyle name="Normal 42 2 2 2" xfId="1178"/>
    <cellStyle name="Normal 42 2 2 2 2" xfId="555"/>
    <cellStyle name="Normal 42 2 2 2 2 2" xfId="14357"/>
    <cellStyle name="Normal 42 2 2 2 2 3" xfId="26712"/>
    <cellStyle name="Normal 42 2 2 2 3" xfId="14356"/>
    <cellStyle name="Normal 42 2 2 2 4" xfId="26711"/>
    <cellStyle name="Normal 42 2 2 2_LNG &amp; LPG rework" xfId="9652"/>
    <cellStyle name="Normal 42 2 2 3" xfId="92"/>
    <cellStyle name="Normal 42 2 2 3 2" xfId="14358"/>
    <cellStyle name="Normal 42 2 2 3 3" xfId="26713"/>
    <cellStyle name="Normal 42 2 2 4" xfId="14355"/>
    <cellStyle name="Normal 42 2 2 5" xfId="26710"/>
    <cellStyle name="Normal 42 2 2_LNG &amp; LPG rework" xfId="9651"/>
    <cellStyle name="Normal 42 2 3" xfId="1160"/>
    <cellStyle name="Normal 42 2 3 2" xfId="237"/>
    <cellStyle name="Normal 42 2 3 2 2" xfId="14360"/>
    <cellStyle name="Normal 42 2 3 2 3" xfId="26715"/>
    <cellStyle name="Normal 42 2 3 3" xfId="14359"/>
    <cellStyle name="Normal 42 2 3 4" xfId="26714"/>
    <cellStyle name="Normal 42 2 3_LNG &amp; LPG rework" xfId="9653"/>
    <cellStyle name="Normal 42 2 4" xfId="559"/>
    <cellStyle name="Normal 42 2 4 2" xfId="14361"/>
    <cellStyle name="Normal 42 2 4 3" xfId="26716"/>
    <cellStyle name="Normal 42 2 5" xfId="1733"/>
    <cellStyle name="Normal 42 2 6" xfId="14354"/>
    <cellStyle name="Normal 42 2 7" xfId="26709"/>
    <cellStyle name="Normal 42 2_LNG &amp; LPG rework" xfId="9650"/>
    <cellStyle name="Normal 42 3" xfId="25"/>
    <cellStyle name="Normal 42 3 2" xfId="1147"/>
    <cellStyle name="Normal 42 3 2 2" xfId="890"/>
    <cellStyle name="Normal 42 3 2 2 2" xfId="449"/>
    <cellStyle name="Normal 42 3 2 2 2 2" xfId="14365"/>
    <cellStyle name="Normal 42 3 2 2 2 3" xfId="26720"/>
    <cellStyle name="Normal 42 3 2 2 3" xfId="14364"/>
    <cellStyle name="Normal 42 3 2 2 4" xfId="26719"/>
    <cellStyle name="Normal 42 3 2 2_LNG &amp; LPG rework" xfId="9656"/>
    <cellStyle name="Normal 42 3 2 3" xfId="403"/>
    <cellStyle name="Normal 42 3 2 3 2" xfId="14366"/>
    <cellStyle name="Normal 42 3 2 3 3" xfId="26721"/>
    <cellStyle name="Normal 42 3 2 4" xfId="14363"/>
    <cellStyle name="Normal 42 3 2 5" xfId="26718"/>
    <cellStyle name="Normal 42 3 2_LNG &amp; LPG rework" xfId="9655"/>
    <cellStyle name="Normal 42 3 3" xfId="1163"/>
    <cellStyle name="Normal 42 3 3 2" xfId="396"/>
    <cellStyle name="Normal 42 3 3 2 2" xfId="14368"/>
    <cellStyle name="Normal 42 3 3 2 3" xfId="26723"/>
    <cellStyle name="Normal 42 3 3 3" xfId="14367"/>
    <cellStyle name="Normal 42 3 3 4" xfId="26722"/>
    <cellStyle name="Normal 42 3 3_LNG &amp; LPG rework" xfId="9657"/>
    <cellStyle name="Normal 42 3 4" xfId="1192"/>
    <cellStyle name="Normal 42 3 4 2" xfId="14369"/>
    <cellStyle name="Normal 42 3 4 3" xfId="26724"/>
    <cellStyle name="Normal 42 3 5" xfId="14362"/>
    <cellStyle name="Normal 42 3 6" xfId="26717"/>
    <cellStyle name="Normal 42 3_LNG &amp; LPG rework" xfId="9654"/>
    <cellStyle name="Normal 42 4" xfId="733"/>
    <cellStyle name="Normal 42 4 2" xfId="1170"/>
    <cellStyle name="Normal 42 4 2 2" xfId="485"/>
    <cellStyle name="Normal 42 4 2 2 2" xfId="14372"/>
    <cellStyle name="Normal 42 4 2 2 3" xfId="26727"/>
    <cellStyle name="Normal 42 4 2 3" xfId="14371"/>
    <cellStyle name="Normal 42 4 2 4" xfId="26726"/>
    <cellStyle name="Normal 42 4 2_LNG &amp; LPG rework" xfId="9659"/>
    <cellStyle name="Normal 42 4 3" xfId="498"/>
    <cellStyle name="Normal 42 4 3 2" xfId="14373"/>
    <cellStyle name="Normal 42 4 3 3" xfId="26728"/>
    <cellStyle name="Normal 42 4 4" xfId="14370"/>
    <cellStyle name="Normal 42 4 5" xfId="26725"/>
    <cellStyle name="Normal 42 4_LNG &amp; LPG rework" xfId="9658"/>
    <cellStyle name="Normal 42 5" xfId="971"/>
    <cellStyle name="Normal 42 5 2" xfId="282"/>
    <cellStyle name="Normal 42 5 2 2" xfId="14375"/>
    <cellStyle name="Normal 42 5 2 3" xfId="26730"/>
    <cellStyle name="Normal 42 5 3" xfId="14374"/>
    <cellStyle name="Normal 42 5 4" xfId="26729"/>
    <cellStyle name="Normal 42 5_LNG &amp; LPG rework" xfId="9660"/>
    <cellStyle name="Normal 42 6" xfId="466"/>
    <cellStyle name="Normal 42 6 2" xfId="14376"/>
    <cellStyle name="Normal 42 6 3" xfId="26731"/>
    <cellStyle name="Normal 42 7" xfId="1362"/>
    <cellStyle name="Normal 42 8" xfId="14353"/>
    <cellStyle name="Normal 42 9" xfId="26708"/>
    <cellStyle name="Normal 42_LNG &amp; LPG rework" xfId="9649"/>
    <cellStyle name="Normal 43" xfId="691"/>
    <cellStyle name="Normal 43 2" xfId="841"/>
    <cellStyle name="Normal 43 2 2" xfId="1040"/>
    <cellStyle name="Normal 43 2 2 2" xfId="1179"/>
    <cellStyle name="Normal 43 2 2 2 2" xfId="422"/>
    <cellStyle name="Normal 43 2 2 2 2 2" xfId="14381"/>
    <cellStyle name="Normal 43 2 2 2 2 3" xfId="26736"/>
    <cellStyle name="Normal 43 2 2 2 3" xfId="14380"/>
    <cellStyle name="Normal 43 2 2 2 4" xfId="26735"/>
    <cellStyle name="Normal 43 2 2 2_LNG &amp; LPG rework" xfId="9664"/>
    <cellStyle name="Normal 43 2 2 3" xfId="329"/>
    <cellStyle name="Normal 43 2 2 3 2" xfId="14382"/>
    <cellStyle name="Normal 43 2 2 3 3" xfId="26737"/>
    <cellStyle name="Normal 43 2 2 4" xfId="14379"/>
    <cellStyle name="Normal 43 2 2 5" xfId="26734"/>
    <cellStyle name="Normal 43 2 2_LNG &amp; LPG rework" xfId="9663"/>
    <cellStyle name="Normal 43 2 3" xfId="763"/>
    <cellStyle name="Normal 43 2 3 2" xfId="345"/>
    <cellStyle name="Normal 43 2 3 2 2" xfId="14384"/>
    <cellStyle name="Normal 43 2 3 2 3" xfId="26739"/>
    <cellStyle name="Normal 43 2 3 3" xfId="14383"/>
    <cellStyle name="Normal 43 2 3 4" xfId="26738"/>
    <cellStyle name="Normal 43 2 3_LNG &amp; LPG rework" xfId="9665"/>
    <cellStyle name="Normal 43 2 4" xfId="428"/>
    <cellStyle name="Normal 43 2 4 2" xfId="14385"/>
    <cellStyle name="Normal 43 2 4 3" xfId="26740"/>
    <cellStyle name="Normal 43 2 5" xfId="1729"/>
    <cellStyle name="Normal 43 2 6" xfId="14378"/>
    <cellStyle name="Normal 43 2 7" xfId="26733"/>
    <cellStyle name="Normal 43 2_LNG &amp; LPG rework" xfId="9662"/>
    <cellStyle name="Normal 43 3" xfId="727"/>
    <cellStyle name="Normal 43 3 2" xfId="1148"/>
    <cellStyle name="Normal 43 3 2 2" xfId="199"/>
    <cellStyle name="Normal 43 3 2 2 2" xfId="86"/>
    <cellStyle name="Normal 43 3 2 2 2 2" xfId="14389"/>
    <cellStyle name="Normal 43 3 2 2 2 3" xfId="26744"/>
    <cellStyle name="Normal 43 3 2 2 3" xfId="14388"/>
    <cellStyle name="Normal 43 3 2 2 4" xfId="26743"/>
    <cellStyle name="Normal 43 3 2 2_LNG &amp; LPG rework" xfId="9668"/>
    <cellStyle name="Normal 43 3 2 3" xfId="389"/>
    <cellStyle name="Normal 43 3 2 3 2" xfId="14390"/>
    <cellStyle name="Normal 43 3 2 3 3" xfId="26745"/>
    <cellStyle name="Normal 43 3 2 4" xfId="14387"/>
    <cellStyle name="Normal 43 3 2 5" xfId="26742"/>
    <cellStyle name="Normal 43 3 2_LNG &amp; LPG rework" xfId="9667"/>
    <cellStyle name="Normal 43 3 3" xfId="771"/>
    <cellStyle name="Normal 43 3 3 2" xfId="51"/>
    <cellStyle name="Normal 43 3 3 2 2" xfId="14392"/>
    <cellStyle name="Normal 43 3 3 2 3" xfId="26747"/>
    <cellStyle name="Normal 43 3 3 3" xfId="14391"/>
    <cellStyle name="Normal 43 3 3 4" xfId="26746"/>
    <cellStyle name="Normal 43 3 3_LNG &amp; LPG rework" xfId="9669"/>
    <cellStyle name="Normal 43 3 4" xfId="408"/>
    <cellStyle name="Normal 43 3 4 2" xfId="14393"/>
    <cellStyle name="Normal 43 3 4 3" xfId="26748"/>
    <cellStyle name="Normal 43 3 5" xfId="14386"/>
    <cellStyle name="Normal 43 3 6" xfId="26741"/>
    <cellStyle name="Normal 43 3_LNG &amp; LPG rework" xfId="9666"/>
    <cellStyle name="Normal 43 4" xfId="1022"/>
    <cellStyle name="Normal 43 4 2" xfId="1091"/>
    <cellStyle name="Normal 43 4 2 2" xfId="287"/>
    <cellStyle name="Normal 43 4 2 2 2" xfId="14396"/>
    <cellStyle name="Normal 43 4 2 2 3" xfId="26751"/>
    <cellStyle name="Normal 43 4 2 3" xfId="14395"/>
    <cellStyle name="Normal 43 4 2 4" xfId="26750"/>
    <cellStyle name="Normal 43 4 2_LNG &amp; LPG rework" xfId="9671"/>
    <cellStyle name="Normal 43 4 3" xfId="299"/>
    <cellStyle name="Normal 43 4 3 2" xfId="14397"/>
    <cellStyle name="Normal 43 4 3 3" xfId="26752"/>
    <cellStyle name="Normal 43 4 4" xfId="14394"/>
    <cellStyle name="Normal 43 4 5" xfId="26749"/>
    <cellStyle name="Normal 43 4_LNG &amp; LPG rework" xfId="9670"/>
    <cellStyle name="Normal 43 5" xfId="934"/>
    <cellStyle name="Normal 43 5 2" xfId="537"/>
    <cellStyle name="Normal 43 5 2 2" xfId="14399"/>
    <cellStyle name="Normal 43 5 2 3" xfId="26754"/>
    <cellStyle name="Normal 43 5 3" xfId="14398"/>
    <cellStyle name="Normal 43 5 4" xfId="26753"/>
    <cellStyle name="Normal 43 5_LNG &amp; LPG rework" xfId="9672"/>
    <cellStyle name="Normal 43 6" xfId="99"/>
    <cellStyle name="Normal 43 6 2" xfId="14400"/>
    <cellStyle name="Normal 43 6 3" xfId="26755"/>
    <cellStyle name="Normal 43 7" xfId="1358"/>
    <cellStyle name="Normal 43 8" xfId="14377"/>
    <cellStyle name="Normal 43 9" xfId="26732"/>
    <cellStyle name="Normal 43_LNG &amp; LPG rework" xfId="9661"/>
    <cellStyle name="Normal 44" xfId="692"/>
    <cellStyle name="Normal 44 2" xfId="1049"/>
    <cellStyle name="Normal 44 2 2" xfId="962"/>
    <cellStyle name="Normal 44 2 2 2" xfId="1172"/>
    <cellStyle name="Normal 44 2 2 2 2" xfId="381"/>
    <cellStyle name="Normal 44 2 2 2 2 2" xfId="14405"/>
    <cellStyle name="Normal 44 2 2 2 2 3" xfId="26760"/>
    <cellStyle name="Normal 44 2 2 2 3" xfId="14404"/>
    <cellStyle name="Normal 44 2 2 2 4" xfId="26759"/>
    <cellStyle name="Normal 44 2 2 2_LNG &amp; LPG rework" xfId="9676"/>
    <cellStyle name="Normal 44 2 2 3" xfId="524"/>
    <cellStyle name="Normal 44 2 2 3 2" xfId="14406"/>
    <cellStyle name="Normal 44 2 2 3 3" xfId="26761"/>
    <cellStyle name="Normal 44 2 2 4" xfId="14403"/>
    <cellStyle name="Normal 44 2 2 5" xfId="26758"/>
    <cellStyle name="Normal 44 2 2_LNG &amp; LPG rework" xfId="9675"/>
    <cellStyle name="Normal 44 2 3" xfId="1060"/>
    <cellStyle name="Normal 44 2 3 2" xfId="309"/>
    <cellStyle name="Normal 44 2 3 2 2" xfId="14408"/>
    <cellStyle name="Normal 44 2 3 2 3" xfId="26763"/>
    <cellStyle name="Normal 44 2 3 3" xfId="14407"/>
    <cellStyle name="Normal 44 2 3 4" xfId="26762"/>
    <cellStyle name="Normal 44 2 3_LNG &amp; LPG rework" xfId="9677"/>
    <cellStyle name="Normal 44 2 4" xfId="605"/>
    <cellStyle name="Normal 44 2 4 2" xfId="14409"/>
    <cellStyle name="Normal 44 2 4 3" xfId="26764"/>
    <cellStyle name="Normal 44 2 5" xfId="1734"/>
    <cellStyle name="Normal 44 2 6" xfId="14402"/>
    <cellStyle name="Normal 44 2 7" xfId="26757"/>
    <cellStyle name="Normal 44 2_LNG &amp; LPG rework" xfId="9674"/>
    <cellStyle name="Normal 44 3" xfId="869"/>
    <cellStyle name="Normal 44 3 2" xfId="1143"/>
    <cellStyle name="Normal 44 3 2 2" xfId="224"/>
    <cellStyle name="Normal 44 3 2 2 2" xfId="487"/>
    <cellStyle name="Normal 44 3 2 2 2 2" xfId="14413"/>
    <cellStyle name="Normal 44 3 2 2 2 3" xfId="26768"/>
    <cellStyle name="Normal 44 3 2 2 3" xfId="14412"/>
    <cellStyle name="Normal 44 3 2 2 4" xfId="26767"/>
    <cellStyle name="Normal 44 3 2 2_LNG &amp; LPG rework" xfId="9680"/>
    <cellStyle name="Normal 44 3 2 3" xfId="635"/>
    <cellStyle name="Normal 44 3 2 3 2" xfId="14414"/>
    <cellStyle name="Normal 44 3 2 3 3" xfId="26769"/>
    <cellStyle name="Normal 44 3 2 4" xfId="14411"/>
    <cellStyle name="Normal 44 3 2 5" xfId="26766"/>
    <cellStyle name="Normal 44 3 2_LNG &amp; LPG rework" xfId="9679"/>
    <cellStyle name="Normal 44 3 3" xfId="1011"/>
    <cellStyle name="Normal 44 3 3 2" xfId="509"/>
    <cellStyle name="Normal 44 3 3 2 2" xfId="14416"/>
    <cellStyle name="Normal 44 3 3 2 3" xfId="26771"/>
    <cellStyle name="Normal 44 3 3 3" xfId="14415"/>
    <cellStyle name="Normal 44 3 3 4" xfId="26770"/>
    <cellStyle name="Normal 44 3 3_LNG &amp; LPG rework" xfId="9681"/>
    <cellStyle name="Normal 44 3 4" xfId="363"/>
    <cellStyle name="Normal 44 3 4 2" xfId="14417"/>
    <cellStyle name="Normal 44 3 4 3" xfId="26772"/>
    <cellStyle name="Normal 44 3 5" xfId="14410"/>
    <cellStyle name="Normal 44 3 6" xfId="26765"/>
    <cellStyle name="Normal 44 3_LNG &amp; LPG rework" xfId="9678"/>
    <cellStyle name="Normal 44 4" xfId="949"/>
    <cellStyle name="Normal 44 4 2" xfId="1092"/>
    <cellStyle name="Normal 44 4 2 2" xfId="545"/>
    <cellStyle name="Normal 44 4 2 2 2" xfId="14420"/>
    <cellStyle name="Normal 44 4 2 2 3" xfId="26775"/>
    <cellStyle name="Normal 44 4 2 3" xfId="14419"/>
    <cellStyle name="Normal 44 4 2 4" xfId="26774"/>
    <cellStyle name="Normal 44 4 2_LNG &amp; LPG rework" xfId="9683"/>
    <cellStyle name="Normal 44 4 3" xfId="558"/>
    <cellStyle name="Normal 44 4 3 2" xfId="14421"/>
    <cellStyle name="Normal 44 4 3 3" xfId="26776"/>
    <cellStyle name="Normal 44 4 4" xfId="14418"/>
    <cellStyle name="Normal 44 4 5" xfId="26773"/>
    <cellStyle name="Normal 44 4_LNG &amp; LPG rework" xfId="9682"/>
    <cellStyle name="Normal 44 5" xfId="1021"/>
    <cellStyle name="Normal 44 5 2" xfId="409"/>
    <cellStyle name="Normal 44 5 2 2" xfId="14423"/>
    <cellStyle name="Normal 44 5 2 3" xfId="26778"/>
    <cellStyle name="Normal 44 5 3" xfId="14422"/>
    <cellStyle name="Normal 44 5 4" xfId="26777"/>
    <cellStyle name="Normal 44 5_LNG &amp; LPG rework" xfId="9684"/>
    <cellStyle name="Normal 44 6" xfId="593"/>
    <cellStyle name="Normal 44 6 2" xfId="14424"/>
    <cellStyle name="Normal 44 6 3" xfId="26779"/>
    <cellStyle name="Normal 44 7" xfId="1363"/>
    <cellStyle name="Normal 44 8" xfId="14401"/>
    <cellStyle name="Normal 44 9" xfId="26756"/>
    <cellStyle name="Normal 44_LNG &amp; LPG rework" xfId="9673"/>
    <cellStyle name="Normal 45" xfId="693"/>
    <cellStyle name="Normal 45 2" xfId="998"/>
    <cellStyle name="Normal 45 2 2" xfId="1010"/>
    <cellStyle name="Normal 45 2 2 2" xfId="1173"/>
    <cellStyle name="Normal 45 2 2 2 2" xfId="651"/>
    <cellStyle name="Normal 45 2 2 2 2 2" xfId="14429"/>
    <cellStyle name="Normal 45 2 2 2 2 3" xfId="26784"/>
    <cellStyle name="Normal 45 2 2 2 3" xfId="14428"/>
    <cellStyle name="Normal 45 2 2 2 4" xfId="26783"/>
    <cellStyle name="Normal 45 2 2 2_LNG &amp; LPG rework" xfId="9688"/>
    <cellStyle name="Normal 45 2 2 3" xfId="33"/>
    <cellStyle name="Normal 45 2 2 3 2" xfId="14430"/>
    <cellStyle name="Normal 45 2 2 3 3" xfId="26785"/>
    <cellStyle name="Normal 45 2 2 4" xfId="14427"/>
    <cellStyle name="Normal 45 2 2 5" xfId="26782"/>
    <cellStyle name="Normal 45 2 2_LNG &amp; LPG rework" xfId="9687"/>
    <cellStyle name="Normal 45 2 3" xfId="972"/>
    <cellStyle name="Normal 45 2 3 2" xfId="568"/>
    <cellStyle name="Normal 45 2 3 2 2" xfId="14432"/>
    <cellStyle name="Normal 45 2 3 2 3" xfId="26787"/>
    <cellStyle name="Normal 45 2 3 3" xfId="14431"/>
    <cellStyle name="Normal 45 2 3 4" xfId="26786"/>
    <cellStyle name="Normal 45 2 3_LNG &amp; LPG rework" xfId="9689"/>
    <cellStyle name="Normal 45 2 4" xfId="467"/>
    <cellStyle name="Normal 45 2 4 2" xfId="14433"/>
    <cellStyle name="Normal 45 2 4 3" xfId="26788"/>
    <cellStyle name="Normal 45 2 5" xfId="1738"/>
    <cellStyle name="Normal 45 2 6" xfId="14426"/>
    <cellStyle name="Normal 45 2 7" xfId="26781"/>
    <cellStyle name="Normal 45 2_LNG &amp; LPG rework" xfId="9686"/>
    <cellStyle name="Normal 45 3" xfId="870"/>
    <cellStyle name="Normal 45 3 2" xfId="1144"/>
    <cellStyle name="Normal 45 3 2 2" xfId="210"/>
    <cellStyle name="Normal 45 3 2 2 2" xfId="129"/>
    <cellStyle name="Normal 45 3 2 2 2 2" xfId="14437"/>
    <cellStyle name="Normal 45 3 2 2 2 3" xfId="26792"/>
    <cellStyle name="Normal 45 3 2 2 3" xfId="14436"/>
    <cellStyle name="Normal 45 3 2 2 4" xfId="26791"/>
    <cellStyle name="Normal 45 3 2 2_LNG &amp; LPG rework" xfId="9692"/>
    <cellStyle name="Normal 45 3 2 3" xfId="503"/>
    <cellStyle name="Normal 45 3 2 3 2" xfId="14438"/>
    <cellStyle name="Normal 45 3 2 3 3" xfId="26793"/>
    <cellStyle name="Normal 45 3 2 4" xfId="14435"/>
    <cellStyle name="Normal 45 3 2 5" xfId="26790"/>
    <cellStyle name="Normal 45 3 2_LNG &amp; LPG rework" xfId="9691"/>
    <cellStyle name="Normal 45 3 3" xfId="941"/>
    <cellStyle name="Normal 45 3 3 2" xfId="312"/>
    <cellStyle name="Normal 45 3 3 2 2" xfId="14440"/>
    <cellStyle name="Normal 45 3 3 2 3" xfId="26795"/>
    <cellStyle name="Normal 45 3 3 3" xfId="14439"/>
    <cellStyle name="Normal 45 3 3 4" xfId="26794"/>
    <cellStyle name="Normal 45 3 3_LNG &amp; LPG rework" xfId="9693"/>
    <cellStyle name="Normal 45 3 4" xfId="632"/>
    <cellStyle name="Normal 45 3 4 2" xfId="14441"/>
    <cellStyle name="Normal 45 3 4 3" xfId="26796"/>
    <cellStyle name="Normal 45 3 5" xfId="14434"/>
    <cellStyle name="Normal 45 3 6" xfId="26789"/>
    <cellStyle name="Normal 45 3_LNG &amp; LPG rework" xfId="9690"/>
    <cellStyle name="Normal 45 4" xfId="1051"/>
    <cellStyle name="Normal 45 4 2" xfId="1096"/>
    <cellStyle name="Normal 45 4 2 2" xfId="407"/>
    <cellStyle name="Normal 45 4 2 2 2" xfId="14444"/>
    <cellStyle name="Normal 45 4 2 2 3" xfId="26799"/>
    <cellStyle name="Normal 45 4 2 3" xfId="14443"/>
    <cellStyle name="Normal 45 4 2 4" xfId="26798"/>
    <cellStyle name="Normal 45 4 2_LNG &amp; LPG rework" xfId="9695"/>
    <cellStyle name="Normal 45 4 3" xfId="427"/>
    <cellStyle name="Normal 45 4 3 2" xfId="14445"/>
    <cellStyle name="Normal 45 4 3 3" xfId="26800"/>
    <cellStyle name="Normal 45 4 4" xfId="14442"/>
    <cellStyle name="Normal 45 4 5" xfId="26797"/>
    <cellStyle name="Normal 45 4_LNG &amp; LPG rework" xfId="9694"/>
    <cellStyle name="Normal 45 5" xfId="1065"/>
    <cellStyle name="Normal 45 5 2" xfId="54"/>
    <cellStyle name="Normal 45 5 2 2" xfId="14447"/>
    <cellStyle name="Normal 45 5 2 3" xfId="26802"/>
    <cellStyle name="Normal 45 5 3" xfId="14446"/>
    <cellStyle name="Normal 45 5 4" xfId="26801"/>
    <cellStyle name="Normal 45 5_LNG &amp; LPG rework" xfId="9696"/>
    <cellStyle name="Normal 45 6" xfId="123"/>
    <cellStyle name="Normal 45 6 2" xfId="14448"/>
    <cellStyle name="Normal 45 6 3" xfId="26803"/>
    <cellStyle name="Normal 45 7" xfId="1367"/>
    <cellStyle name="Normal 45 8" xfId="14425"/>
    <cellStyle name="Normal 45 9" xfId="26780"/>
    <cellStyle name="Normal 45_LNG &amp; LPG rework" xfId="9685"/>
    <cellStyle name="Normal 46" xfId="20"/>
    <cellStyle name="Normal 46 2" xfId="1744"/>
    <cellStyle name="Normal 46 2 2" xfId="2647"/>
    <cellStyle name="Normal 46 2 2 2" xfId="14450"/>
    <cellStyle name="Normal 46 2 2 3" xfId="26805"/>
    <cellStyle name="Normal 46 2 3" xfId="3511"/>
    <cellStyle name="Normal 46 2 3 2" xfId="14451"/>
    <cellStyle name="Normal 46 2 3 3" xfId="26806"/>
    <cellStyle name="Normal 46 2 4" xfId="4383"/>
    <cellStyle name="Normal 46 2 4 2" xfId="14452"/>
    <cellStyle name="Normal 46 2 4 3" xfId="26807"/>
    <cellStyle name="Normal 46 2 5" xfId="5648"/>
    <cellStyle name="Normal 46 2 5 2" xfId="14453"/>
    <cellStyle name="Normal 46 2 5 3" xfId="26808"/>
    <cellStyle name="Normal 46 2 6" xfId="14449"/>
    <cellStyle name="Normal 46 2 7" xfId="26804"/>
    <cellStyle name="Normal 46 2_LNG &amp; LPG rework" xfId="9698"/>
    <cellStyle name="Normal 46 3" xfId="2032"/>
    <cellStyle name="Normal 46 3 2" xfId="2902"/>
    <cellStyle name="Normal 46 3 2 2" xfId="14455"/>
    <cellStyle name="Normal 46 3 2 3" xfId="26810"/>
    <cellStyle name="Normal 46 3 3" xfId="3769"/>
    <cellStyle name="Normal 46 3 3 2" xfId="14456"/>
    <cellStyle name="Normal 46 3 3 3" xfId="26811"/>
    <cellStyle name="Normal 46 3 4" xfId="4647"/>
    <cellStyle name="Normal 46 3 4 2" xfId="14457"/>
    <cellStyle name="Normal 46 3 4 3" xfId="26812"/>
    <cellStyle name="Normal 46 3 5" xfId="5912"/>
    <cellStyle name="Normal 46 3 5 2" xfId="14458"/>
    <cellStyle name="Normal 46 3 5 3" xfId="26813"/>
    <cellStyle name="Normal 46 3 6" xfId="14454"/>
    <cellStyle name="Normal 46 3 7" xfId="26809"/>
    <cellStyle name="Normal 46 3_LNG &amp; LPG rework" xfId="9699"/>
    <cellStyle name="Normal 46 4" xfId="2396"/>
    <cellStyle name="Normal 46 4 2" xfId="14459"/>
    <cellStyle name="Normal 46 4 3" xfId="26814"/>
    <cellStyle name="Normal 46 5" xfId="3255"/>
    <cellStyle name="Normal 46 5 2" xfId="14460"/>
    <cellStyle name="Normal 46 5 3" xfId="26815"/>
    <cellStyle name="Normal 46 6" xfId="4123"/>
    <cellStyle name="Normal 46 6 2" xfId="14461"/>
    <cellStyle name="Normal 46 6 3" xfId="26816"/>
    <cellStyle name="Normal 46 7" xfId="5385"/>
    <cellStyle name="Normal 46 7 2" xfId="14462"/>
    <cellStyle name="Normal 46 7 3" xfId="26817"/>
    <cellStyle name="Normal 46 8" xfId="1373"/>
    <cellStyle name="Normal 46 8 2" xfId="14463"/>
    <cellStyle name="Normal 46 8 3" xfId="26818"/>
    <cellStyle name="Normal 46_LNG &amp; LPG rework" xfId="9697"/>
    <cellStyle name="Normal 47" xfId="893"/>
    <cellStyle name="Normal 47 2" xfId="1745"/>
    <cellStyle name="Normal 47 2 2" xfId="2648"/>
    <cellStyle name="Normal 47 2 2 2" xfId="14465"/>
    <cellStyle name="Normal 47 2 2 3" xfId="26820"/>
    <cellStyle name="Normal 47 2 3" xfId="3512"/>
    <cellStyle name="Normal 47 2 3 2" xfId="14466"/>
    <cellStyle name="Normal 47 2 3 3" xfId="26821"/>
    <cellStyle name="Normal 47 2 4" xfId="4384"/>
    <cellStyle name="Normal 47 2 4 2" xfId="14467"/>
    <cellStyle name="Normal 47 2 4 3" xfId="26822"/>
    <cellStyle name="Normal 47 2 5" xfId="5649"/>
    <cellStyle name="Normal 47 2 5 2" xfId="14468"/>
    <cellStyle name="Normal 47 2 5 3" xfId="26823"/>
    <cellStyle name="Normal 47 2 6" xfId="14464"/>
    <cellStyle name="Normal 47 2 7" xfId="26819"/>
    <cellStyle name="Normal 47 2_LNG &amp; LPG rework" xfId="9701"/>
    <cellStyle name="Normal 47 3" xfId="2033"/>
    <cellStyle name="Normal 47 3 2" xfId="2903"/>
    <cellStyle name="Normal 47 3 2 2" xfId="14470"/>
    <cellStyle name="Normal 47 3 2 3" xfId="26825"/>
    <cellStyle name="Normal 47 3 3" xfId="3770"/>
    <cellStyle name="Normal 47 3 3 2" xfId="14471"/>
    <cellStyle name="Normal 47 3 3 3" xfId="26826"/>
    <cellStyle name="Normal 47 3 4" xfId="4648"/>
    <cellStyle name="Normal 47 3 4 2" xfId="14472"/>
    <cellStyle name="Normal 47 3 4 3" xfId="26827"/>
    <cellStyle name="Normal 47 3 5" xfId="5913"/>
    <cellStyle name="Normal 47 3 5 2" xfId="14473"/>
    <cellStyle name="Normal 47 3 5 3" xfId="26828"/>
    <cellStyle name="Normal 47 3 6" xfId="14469"/>
    <cellStyle name="Normal 47 3 7" xfId="26824"/>
    <cellStyle name="Normal 47 3_LNG &amp; LPG rework" xfId="9702"/>
    <cellStyle name="Normal 47 4" xfId="2397"/>
    <cellStyle name="Normal 47 4 2" xfId="14474"/>
    <cellStyle name="Normal 47 4 3" xfId="26829"/>
    <cellStyle name="Normal 47 5" xfId="3256"/>
    <cellStyle name="Normal 47 5 2" xfId="14475"/>
    <cellStyle name="Normal 47 5 3" xfId="26830"/>
    <cellStyle name="Normal 47 6" xfId="4124"/>
    <cellStyle name="Normal 47 6 2" xfId="14476"/>
    <cellStyle name="Normal 47 6 3" xfId="26831"/>
    <cellStyle name="Normal 47 7" xfId="5386"/>
    <cellStyle name="Normal 47 7 2" xfId="14477"/>
    <cellStyle name="Normal 47 7 3" xfId="26832"/>
    <cellStyle name="Normal 47 8" xfId="1374"/>
    <cellStyle name="Normal 47 8 2" xfId="14478"/>
    <cellStyle name="Normal 47 8 3" xfId="26833"/>
    <cellStyle name="Normal 47_LNG &amp; LPG rework" xfId="9700"/>
    <cellStyle name="Normal 48" xfId="886"/>
    <cellStyle name="Normal 48 2" xfId="1746"/>
    <cellStyle name="Normal 48 3" xfId="1375"/>
    <cellStyle name="Normal 48_LNG &amp; LPG rework" xfId="9703"/>
    <cellStyle name="Normal 49" xfId="694"/>
    <cellStyle name="Normal 49 2" xfId="1756"/>
    <cellStyle name="Normal 49 2 2" xfId="2657"/>
    <cellStyle name="Normal 49 2 2 2" xfId="14480"/>
    <cellStyle name="Normal 49 2 2 3" xfId="26835"/>
    <cellStyle name="Normal 49 2 3" xfId="3521"/>
    <cellStyle name="Normal 49 2 3 2" xfId="14481"/>
    <cellStyle name="Normal 49 2 3 3" xfId="26836"/>
    <cellStyle name="Normal 49 2 4" xfId="4393"/>
    <cellStyle name="Normal 49 2 4 2" xfId="14482"/>
    <cellStyle name="Normal 49 2 4 3" xfId="26837"/>
    <cellStyle name="Normal 49 2 5" xfId="5658"/>
    <cellStyle name="Normal 49 2 5 2" xfId="14483"/>
    <cellStyle name="Normal 49 2 5 3" xfId="26838"/>
    <cellStyle name="Normal 49 2 6" xfId="14479"/>
    <cellStyle name="Normal 49 2 7" xfId="26834"/>
    <cellStyle name="Normal 49 2_LNG &amp; LPG rework" xfId="9705"/>
    <cellStyle name="Normal 49 3" xfId="2042"/>
    <cellStyle name="Normal 49 3 2" xfId="2912"/>
    <cellStyle name="Normal 49 3 2 2" xfId="14485"/>
    <cellStyle name="Normal 49 3 2 3" xfId="26840"/>
    <cellStyle name="Normal 49 3 3" xfId="3779"/>
    <cellStyle name="Normal 49 3 3 2" xfId="14486"/>
    <cellStyle name="Normal 49 3 3 3" xfId="26841"/>
    <cellStyle name="Normal 49 3 4" xfId="4657"/>
    <cellStyle name="Normal 49 3 4 2" xfId="14487"/>
    <cellStyle name="Normal 49 3 4 3" xfId="26842"/>
    <cellStyle name="Normal 49 3 5" xfId="5922"/>
    <cellStyle name="Normal 49 3 5 2" xfId="14488"/>
    <cellStyle name="Normal 49 3 5 3" xfId="26843"/>
    <cellStyle name="Normal 49 3 6" xfId="14484"/>
    <cellStyle name="Normal 49 3 7" xfId="26839"/>
    <cellStyle name="Normal 49 3_LNG &amp; LPG rework" xfId="9706"/>
    <cellStyle name="Normal 49 4" xfId="2406"/>
    <cellStyle name="Normal 49 4 2" xfId="14489"/>
    <cellStyle name="Normal 49 4 3" xfId="26844"/>
    <cellStyle name="Normal 49 5" xfId="3265"/>
    <cellStyle name="Normal 49 5 2" xfId="14490"/>
    <cellStyle name="Normal 49 5 3" xfId="26845"/>
    <cellStyle name="Normal 49 6" xfId="4133"/>
    <cellStyle name="Normal 49 6 2" xfId="14491"/>
    <cellStyle name="Normal 49 6 3" xfId="26846"/>
    <cellStyle name="Normal 49 7" xfId="5395"/>
    <cellStyle name="Normal 49 7 2" xfId="14492"/>
    <cellStyle name="Normal 49 7 3" xfId="26847"/>
    <cellStyle name="Normal 49 8" xfId="1386"/>
    <cellStyle name="Normal 49 8 2" xfId="14493"/>
    <cellStyle name="Normal 49 8 3" xfId="26848"/>
    <cellStyle name="Normal 49_LNG &amp; LPG rework" xfId="9704"/>
    <cellStyle name="Normal 5" xfId="1113"/>
    <cellStyle name="Normal 5 2" xfId="1268"/>
    <cellStyle name="Normal 5 2 2" xfId="1569"/>
    <cellStyle name="Normal 5 2_Monthly Price Data" xfId="8799"/>
    <cellStyle name="Normal 5 3" xfId="1314"/>
    <cellStyle name="Normal 5 4" xfId="1673"/>
    <cellStyle name="Normal 5 5" xfId="1214"/>
    <cellStyle name="Normal 5 6" xfId="34930"/>
    <cellStyle name="Normal 5 7" xfId="34933"/>
    <cellStyle name="Normal 5_2015  Data" xfId="5227"/>
    <cellStyle name="Normal 50" xfId="827"/>
    <cellStyle name="Normal 50 2" xfId="1757"/>
    <cellStyle name="Normal 50 3" xfId="1387"/>
    <cellStyle name="Normal 50_LNG &amp; LPG rework" xfId="9707"/>
    <cellStyle name="Normal 51" xfId="695"/>
    <cellStyle name="Normal 51 2" xfId="1762"/>
    <cellStyle name="Normal 51 3" xfId="1392"/>
    <cellStyle name="Normal 51_LNG &amp; LPG rework" xfId="9708"/>
    <cellStyle name="Normal 52" xfId="696"/>
    <cellStyle name="Normal 52 2" xfId="1763"/>
    <cellStyle name="Normal 52 3" xfId="1394"/>
    <cellStyle name="Normal 52_LNG &amp; LPG rework" xfId="9709"/>
    <cellStyle name="Normal 53" xfId="697"/>
    <cellStyle name="Normal 53 2" xfId="1764"/>
    <cellStyle name="Normal 53 3" xfId="1395"/>
    <cellStyle name="Normal 53_LNG &amp; LPG rework" xfId="9710"/>
    <cellStyle name="Normal 54" xfId="698"/>
    <cellStyle name="Normal 54 2" xfId="1765"/>
    <cellStyle name="Normal 54 3" xfId="1396"/>
    <cellStyle name="Normal 54_LNG &amp; LPG rework" xfId="9711"/>
    <cellStyle name="Normal 55" xfId="699"/>
    <cellStyle name="Normal 55 2" xfId="1766"/>
    <cellStyle name="Normal 55 3" xfId="1397"/>
    <cellStyle name="Normal 55_LNG &amp; LPG rework" xfId="9712"/>
    <cellStyle name="Normal 56" xfId="700"/>
    <cellStyle name="Normal 56 2" xfId="1767"/>
    <cellStyle name="Normal 56 3" xfId="1398"/>
    <cellStyle name="Normal 56_LNG &amp; LPG rework" xfId="9713"/>
    <cellStyle name="Normal 57" xfId="701"/>
    <cellStyle name="Normal 57 2" xfId="1399"/>
    <cellStyle name="Normal 57 2 2" xfId="21414"/>
    <cellStyle name="Normal 57_LNG &amp; LPG rework" xfId="9714"/>
    <cellStyle name="Normal 58" xfId="21"/>
    <cellStyle name="Normal 58 2" xfId="1393"/>
    <cellStyle name="Normal 58 2 2" xfId="21415"/>
    <cellStyle name="Normal 58_LNG &amp; LPG rework" xfId="9715"/>
    <cellStyle name="Normal 59" xfId="894"/>
    <cellStyle name="Normal 59 2" xfId="1768"/>
    <cellStyle name="Normal 59 3" xfId="1400"/>
    <cellStyle name="Normal 59_LNG &amp; LPG rework" xfId="9716"/>
    <cellStyle name="Normal 6" xfId="1114"/>
    <cellStyle name="Normal 6 2" xfId="1269"/>
    <cellStyle name="Normal 6 2 2" xfId="1570"/>
    <cellStyle name="Normal 6 2 3" xfId="1984"/>
    <cellStyle name="Normal 6 2 4" xfId="10157"/>
    <cellStyle name="Normal 6 2 5" xfId="6571"/>
    <cellStyle name="Normal 6 2_Data - Monthly Commodity Prices" xfId="7678"/>
    <cellStyle name="Normal 6 3" xfId="1328"/>
    <cellStyle name="Normal 6 3 2" xfId="6693"/>
    <cellStyle name="Normal 6 4" xfId="1674"/>
    <cellStyle name="Normal 6 5" xfId="1215"/>
    <cellStyle name="Normal 6 6" xfId="6293"/>
    <cellStyle name="Normal 6 6 2" xfId="14494"/>
    <cellStyle name="Normal 6 6 3" xfId="26849"/>
    <cellStyle name="Normal 6 7" xfId="22547"/>
    <cellStyle name="Normal 6 8" xfId="44570"/>
    <cellStyle name="Normal 6_2015  Data" xfId="5228"/>
    <cellStyle name="Normal 60" xfId="702"/>
    <cellStyle name="Normal 60 2" xfId="1405"/>
    <cellStyle name="Normal 60 2 2" xfId="21416"/>
    <cellStyle name="Normal 60_LNG &amp; LPG rework" xfId="9717"/>
    <cellStyle name="Normal 61" xfId="151"/>
    <cellStyle name="Normal 61 2" xfId="1406"/>
    <cellStyle name="Normal 61 2 2" xfId="21417"/>
    <cellStyle name="Normal 61_LNG &amp; LPG rework" xfId="9718"/>
    <cellStyle name="Normal 62" xfId="828"/>
    <cellStyle name="Normal 62 2" xfId="1773"/>
    <cellStyle name="Normal 62 3" xfId="1407"/>
    <cellStyle name="Normal 62_LNG &amp; LPG rework" xfId="9719"/>
    <cellStyle name="Normal 63" xfId="703"/>
    <cellStyle name="Normal 63 2" xfId="1778"/>
    <cellStyle name="Normal 63 3" xfId="1412"/>
    <cellStyle name="Normal 63_LNG &amp; LPG rework" xfId="9720"/>
    <cellStyle name="Normal 64" xfId="704"/>
    <cellStyle name="Normal 64 2" xfId="1787"/>
    <cellStyle name="Normal 64 2 2" xfId="2678"/>
    <cellStyle name="Normal 64 2 2 2" xfId="14496"/>
    <cellStyle name="Normal 64 2 2 3" xfId="26851"/>
    <cellStyle name="Normal 64 2 3" xfId="3542"/>
    <cellStyle name="Normal 64 2 3 2" xfId="14497"/>
    <cellStyle name="Normal 64 2 3 3" xfId="26852"/>
    <cellStyle name="Normal 64 2 4" xfId="4414"/>
    <cellStyle name="Normal 64 2 4 2" xfId="14498"/>
    <cellStyle name="Normal 64 2 4 3" xfId="26853"/>
    <cellStyle name="Normal 64 2 5" xfId="5679"/>
    <cellStyle name="Normal 64 2 5 2" xfId="14499"/>
    <cellStyle name="Normal 64 2 5 3" xfId="26854"/>
    <cellStyle name="Normal 64 2 6" xfId="14495"/>
    <cellStyle name="Normal 64 2 7" xfId="26850"/>
    <cellStyle name="Normal 64 2_LNG &amp; LPG rework" xfId="9722"/>
    <cellStyle name="Normal 64 3" xfId="2063"/>
    <cellStyle name="Normal 64 3 2" xfId="2933"/>
    <cellStyle name="Normal 64 3 2 2" xfId="14501"/>
    <cellStyle name="Normal 64 3 2 3" xfId="26856"/>
    <cellStyle name="Normal 64 3 3" xfId="3800"/>
    <cellStyle name="Normal 64 3 3 2" xfId="14502"/>
    <cellStyle name="Normal 64 3 3 3" xfId="26857"/>
    <cellStyle name="Normal 64 3 4" xfId="4678"/>
    <cellStyle name="Normal 64 3 4 2" xfId="14503"/>
    <cellStyle name="Normal 64 3 4 3" xfId="26858"/>
    <cellStyle name="Normal 64 3 5" xfId="5943"/>
    <cellStyle name="Normal 64 3 5 2" xfId="14504"/>
    <cellStyle name="Normal 64 3 5 3" xfId="26859"/>
    <cellStyle name="Normal 64 3 6" xfId="14500"/>
    <cellStyle name="Normal 64 3 7" xfId="26855"/>
    <cellStyle name="Normal 64 3_LNG &amp; LPG rework" xfId="9723"/>
    <cellStyle name="Normal 64 4" xfId="2427"/>
    <cellStyle name="Normal 64 4 2" xfId="14505"/>
    <cellStyle name="Normal 64 4 3" xfId="26860"/>
    <cellStyle name="Normal 64 5" xfId="3286"/>
    <cellStyle name="Normal 64 5 2" xfId="14506"/>
    <cellStyle name="Normal 64 5 3" xfId="26861"/>
    <cellStyle name="Normal 64 6" xfId="4154"/>
    <cellStyle name="Normal 64 6 2" xfId="14507"/>
    <cellStyle name="Normal 64 6 3" xfId="26862"/>
    <cellStyle name="Normal 64 7" xfId="5416"/>
    <cellStyle name="Normal 64 7 2" xfId="14508"/>
    <cellStyle name="Normal 64 7 3" xfId="26863"/>
    <cellStyle name="Normal 64 8" xfId="1421"/>
    <cellStyle name="Normal 64 8 2" xfId="14509"/>
    <cellStyle name="Normal 64 8 3" xfId="26864"/>
    <cellStyle name="Normal 64_LNG &amp; LPG rework" xfId="9721"/>
    <cellStyle name="Normal 65" xfId="705"/>
    <cellStyle name="Normal 65 2" xfId="1789"/>
    <cellStyle name="Normal 65 2 2" xfId="2680"/>
    <cellStyle name="Normal 65 2 2 2" xfId="14511"/>
    <cellStyle name="Normal 65 2 2 3" xfId="26866"/>
    <cellStyle name="Normal 65 2 3" xfId="3544"/>
    <cellStyle name="Normal 65 2 3 2" xfId="14512"/>
    <cellStyle name="Normal 65 2 3 3" xfId="26867"/>
    <cellStyle name="Normal 65 2 4" xfId="4416"/>
    <cellStyle name="Normal 65 2 4 2" xfId="14513"/>
    <cellStyle name="Normal 65 2 4 3" xfId="26868"/>
    <cellStyle name="Normal 65 2 5" xfId="5681"/>
    <cellStyle name="Normal 65 2 5 2" xfId="14514"/>
    <cellStyle name="Normal 65 2 5 3" xfId="26869"/>
    <cellStyle name="Normal 65 2 6" xfId="14510"/>
    <cellStyle name="Normal 65 2 7" xfId="26865"/>
    <cellStyle name="Normal 65 2_LNG &amp; LPG rework" xfId="9725"/>
    <cellStyle name="Normal 65 3" xfId="2065"/>
    <cellStyle name="Normal 65 3 2" xfId="2935"/>
    <cellStyle name="Normal 65 3 2 2" xfId="14516"/>
    <cellStyle name="Normal 65 3 2 3" xfId="26871"/>
    <cellStyle name="Normal 65 3 3" xfId="3802"/>
    <cellStyle name="Normal 65 3 3 2" xfId="14517"/>
    <cellStyle name="Normal 65 3 3 3" xfId="26872"/>
    <cellStyle name="Normal 65 3 4" xfId="4680"/>
    <cellStyle name="Normal 65 3 4 2" xfId="14518"/>
    <cellStyle name="Normal 65 3 4 3" xfId="26873"/>
    <cellStyle name="Normal 65 3 5" xfId="5945"/>
    <cellStyle name="Normal 65 3 5 2" xfId="14519"/>
    <cellStyle name="Normal 65 3 5 3" xfId="26874"/>
    <cellStyle name="Normal 65 3 6" xfId="14515"/>
    <cellStyle name="Normal 65 3 7" xfId="26870"/>
    <cellStyle name="Normal 65 3_LNG &amp; LPG rework" xfId="9726"/>
    <cellStyle name="Normal 65 4" xfId="2429"/>
    <cellStyle name="Normal 65 4 2" xfId="14520"/>
    <cellStyle name="Normal 65 4 3" xfId="26875"/>
    <cellStyle name="Normal 65 5" xfId="3288"/>
    <cellStyle name="Normal 65 5 2" xfId="14521"/>
    <cellStyle name="Normal 65 5 3" xfId="26876"/>
    <cellStyle name="Normal 65 6" xfId="4156"/>
    <cellStyle name="Normal 65 6 2" xfId="14522"/>
    <cellStyle name="Normal 65 6 3" xfId="26877"/>
    <cellStyle name="Normal 65 7" xfId="5418"/>
    <cellStyle name="Normal 65 7 2" xfId="14523"/>
    <cellStyle name="Normal 65 7 3" xfId="26878"/>
    <cellStyle name="Normal 65 8" xfId="1423"/>
    <cellStyle name="Normal 65 8 2" xfId="14524"/>
    <cellStyle name="Normal 65 8 3" xfId="26879"/>
    <cellStyle name="Normal 65_LNG &amp; LPG rework" xfId="9724"/>
    <cellStyle name="Normal 66" xfId="706"/>
    <cellStyle name="Normal 66 2" xfId="1788"/>
    <cellStyle name="Normal 66 2 2" xfId="2679"/>
    <cellStyle name="Normal 66 2 2 2" xfId="14526"/>
    <cellStyle name="Normal 66 2 2 3" xfId="26881"/>
    <cellStyle name="Normal 66 2 3" xfId="3543"/>
    <cellStyle name="Normal 66 2 3 2" xfId="14527"/>
    <cellStyle name="Normal 66 2 3 3" xfId="26882"/>
    <cellStyle name="Normal 66 2 4" xfId="4415"/>
    <cellStyle name="Normal 66 2 4 2" xfId="14528"/>
    <cellStyle name="Normal 66 2 4 3" xfId="26883"/>
    <cellStyle name="Normal 66 2 5" xfId="5680"/>
    <cellStyle name="Normal 66 2 5 2" xfId="14529"/>
    <cellStyle name="Normal 66 2 5 3" xfId="26884"/>
    <cellStyle name="Normal 66 2 6" xfId="14525"/>
    <cellStyle name="Normal 66 2 7" xfId="26880"/>
    <cellStyle name="Normal 66 2_LNG &amp; LPG rework" xfId="9728"/>
    <cellStyle name="Normal 66 3" xfId="2064"/>
    <cellStyle name="Normal 66 3 2" xfId="2934"/>
    <cellStyle name="Normal 66 3 2 2" xfId="14531"/>
    <cellStyle name="Normal 66 3 2 3" xfId="26886"/>
    <cellStyle name="Normal 66 3 3" xfId="3801"/>
    <cellStyle name="Normal 66 3 3 2" xfId="14532"/>
    <cellStyle name="Normal 66 3 3 3" xfId="26887"/>
    <cellStyle name="Normal 66 3 4" xfId="4679"/>
    <cellStyle name="Normal 66 3 4 2" xfId="14533"/>
    <cellStyle name="Normal 66 3 4 3" xfId="26888"/>
    <cellStyle name="Normal 66 3 5" xfId="5944"/>
    <cellStyle name="Normal 66 3 5 2" xfId="14534"/>
    <cellStyle name="Normal 66 3 5 3" xfId="26889"/>
    <cellStyle name="Normal 66 3 6" xfId="14530"/>
    <cellStyle name="Normal 66 3 7" xfId="26885"/>
    <cellStyle name="Normal 66 3_LNG &amp; LPG rework" xfId="9729"/>
    <cellStyle name="Normal 66 4" xfId="2428"/>
    <cellStyle name="Normal 66 4 2" xfId="14535"/>
    <cellStyle name="Normal 66 4 3" xfId="26890"/>
    <cellStyle name="Normal 66 5" xfId="3287"/>
    <cellStyle name="Normal 66 5 2" xfId="14536"/>
    <cellStyle name="Normal 66 5 3" xfId="26891"/>
    <cellStyle name="Normal 66 6" xfId="4155"/>
    <cellStyle name="Normal 66 6 2" xfId="14537"/>
    <cellStyle name="Normal 66 6 3" xfId="26892"/>
    <cellStyle name="Normal 66 7" xfId="5417"/>
    <cellStyle name="Normal 66 7 2" xfId="14538"/>
    <cellStyle name="Normal 66 7 3" xfId="26893"/>
    <cellStyle name="Normal 66 8" xfId="1422"/>
    <cellStyle name="Normal 66 8 2" xfId="14539"/>
    <cellStyle name="Normal 66 8 3" xfId="26894"/>
    <cellStyle name="Normal 66_LNG &amp; LPG rework" xfId="9727"/>
    <cellStyle name="Normal 67" xfId="707"/>
    <cellStyle name="Normal 67 2" xfId="1790"/>
    <cellStyle name="Normal 67 2 2" xfId="2681"/>
    <cellStyle name="Normal 67 2 2 2" xfId="14541"/>
    <cellStyle name="Normal 67 2 2 3" xfId="26896"/>
    <cellStyle name="Normal 67 2 3" xfId="3545"/>
    <cellStyle name="Normal 67 2 3 2" xfId="14542"/>
    <cellStyle name="Normal 67 2 3 3" xfId="26897"/>
    <cellStyle name="Normal 67 2 4" xfId="4417"/>
    <cellStyle name="Normal 67 2 4 2" xfId="14543"/>
    <cellStyle name="Normal 67 2 4 3" xfId="26898"/>
    <cellStyle name="Normal 67 2 5" xfId="5682"/>
    <cellStyle name="Normal 67 2 5 2" xfId="14544"/>
    <cellStyle name="Normal 67 2 5 3" xfId="26899"/>
    <cellStyle name="Normal 67 2 6" xfId="14540"/>
    <cellStyle name="Normal 67 2 7" xfId="26895"/>
    <cellStyle name="Normal 67 2_LNG &amp; LPG rework" xfId="9731"/>
    <cellStyle name="Normal 67 3" xfId="2066"/>
    <cellStyle name="Normal 67 3 2" xfId="2936"/>
    <cellStyle name="Normal 67 3 2 2" xfId="14546"/>
    <cellStyle name="Normal 67 3 2 3" xfId="26901"/>
    <cellStyle name="Normal 67 3 3" xfId="3803"/>
    <cellStyle name="Normal 67 3 3 2" xfId="14547"/>
    <cellStyle name="Normal 67 3 3 3" xfId="26902"/>
    <cellStyle name="Normal 67 3 4" xfId="4681"/>
    <cellStyle name="Normal 67 3 4 2" xfId="14548"/>
    <cellStyle name="Normal 67 3 4 3" xfId="26903"/>
    <cellStyle name="Normal 67 3 5" xfId="5946"/>
    <cellStyle name="Normal 67 3 5 2" xfId="14549"/>
    <cellStyle name="Normal 67 3 5 3" xfId="26904"/>
    <cellStyle name="Normal 67 3 6" xfId="14545"/>
    <cellStyle name="Normal 67 3 7" xfId="26900"/>
    <cellStyle name="Normal 67 3_LNG &amp; LPG rework" xfId="9732"/>
    <cellStyle name="Normal 67 4" xfId="2430"/>
    <cellStyle name="Normal 67 4 2" xfId="14550"/>
    <cellStyle name="Normal 67 4 3" xfId="26905"/>
    <cellStyle name="Normal 67 5" xfId="3289"/>
    <cellStyle name="Normal 67 5 2" xfId="14551"/>
    <cellStyle name="Normal 67 5 3" xfId="26906"/>
    <cellStyle name="Normal 67 6" xfId="4157"/>
    <cellStyle name="Normal 67 6 2" xfId="14552"/>
    <cellStyle name="Normal 67 6 3" xfId="26907"/>
    <cellStyle name="Normal 67 7" xfId="5419"/>
    <cellStyle name="Normal 67 7 2" xfId="14553"/>
    <cellStyle name="Normal 67 7 3" xfId="26908"/>
    <cellStyle name="Normal 67 8" xfId="1424"/>
    <cellStyle name="Normal 67 8 2" xfId="14554"/>
    <cellStyle name="Normal 67 8 3" xfId="26909"/>
    <cellStyle name="Normal 67_LNG &amp; LPG rework" xfId="9730"/>
    <cellStyle name="Normal 68" xfId="708"/>
    <cellStyle name="Normal 68 2" xfId="1425"/>
    <cellStyle name="Normal 68 2 2" xfId="21418"/>
    <cellStyle name="Normal 68_LNG &amp; LPG rework" xfId="9733"/>
    <cellStyle name="Normal 69" xfId="709"/>
    <cellStyle name="Normal 69 2" xfId="1426"/>
    <cellStyle name="Normal 69 2 2" xfId="21419"/>
    <cellStyle name="Normal 69_LNG &amp; LPG rework" xfId="9734"/>
    <cellStyle name="Normal 7" xfId="710"/>
    <cellStyle name="Normal 7 2" xfId="1279"/>
    <cellStyle name="Normal 7 2 2" xfId="10171"/>
    <cellStyle name="Normal 7 2 3" xfId="7691"/>
    <cellStyle name="Normal 7 2 4" xfId="6584"/>
    <cellStyle name="Normal 7 3" xfId="1315"/>
    <cellStyle name="Normal 7 3 2" xfId="6694"/>
    <cellStyle name="Normal 7 4" xfId="1677"/>
    <cellStyle name="Normal 7 5" xfId="1219"/>
    <cellStyle name="Normal 7 6" xfId="22561"/>
    <cellStyle name="Normal 7 6 2" xfId="34925"/>
    <cellStyle name="Normal 7 7" xfId="44571"/>
    <cellStyle name="Normal 7_Comparison 2015 and 2016" xfId="6440"/>
    <cellStyle name="Normal 70" xfId="22"/>
    <cellStyle name="Normal 70 2" xfId="1795"/>
    <cellStyle name="Normal 70 2 2" xfId="2686"/>
    <cellStyle name="Normal 70 2 2 2" xfId="14556"/>
    <cellStyle name="Normal 70 2 2 3" xfId="26911"/>
    <cellStyle name="Normal 70 2 3" xfId="3550"/>
    <cellStyle name="Normal 70 2 3 2" xfId="14557"/>
    <cellStyle name="Normal 70 2 3 3" xfId="26912"/>
    <cellStyle name="Normal 70 2 4" xfId="4422"/>
    <cellStyle name="Normal 70 2 4 2" xfId="14558"/>
    <cellStyle name="Normal 70 2 4 3" xfId="26913"/>
    <cellStyle name="Normal 70 2 5" xfId="5687"/>
    <cellStyle name="Normal 70 2 5 2" xfId="14559"/>
    <cellStyle name="Normal 70 2 5 3" xfId="26914"/>
    <cellStyle name="Normal 70 2 6" xfId="14555"/>
    <cellStyle name="Normal 70 2 7" xfId="26910"/>
    <cellStyle name="Normal 70 2_LNG &amp; LPG rework" xfId="9736"/>
    <cellStyle name="Normal 70 3" xfId="2071"/>
    <cellStyle name="Normal 70 3 2" xfId="2941"/>
    <cellStyle name="Normal 70 3 2 2" xfId="14561"/>
    <cellStyle name="Normal 70 3 2 3" xfId="26916"/>
    <cellStyle name="Normal 70 3 3" xfId="3808"/>
    <cellStyle name="Normal 70 3 3 2" xfId="14562"/>
    <cellStyle name="Normal 70 3 3 3" xfId="26917"/>
    <cellStyle name="Normal 70 3 4" xfId="4686"/>
    <cellStyle name="Normal 70 3 4 2" xfId="14563"/>
    <cellStyle name="Normal 70 3 4 3" xfId="26918"/>
    <cellStyle name="Normal 70 3 5" xfId="5951"/>
    <cellStyle name="Normal 70 3 5 2" xfId="14564"/>
    <cellStyle name="Normal 70 3 5 3" xfId="26919"/>
    <cellStyle name="Normal 70 3 6" xfId="14560"/>
    <cellStyle name="Normal 70 3 7" xfId="26915"/>
    <cellStyle name="Normal 70 3_LNG &amp; LPG rework" xfId="9737"/>
    <cellStyle name="Normal 70 4" xfId="2435"/>
    <cellStyle name="Normal 70 4 2" xfId="14565"/>
    <cellStyle name="Normal 70 4 3" xfId="26920"/>
    <cellStyle name="Normal 70 5" xfId="3294"/>
    <cellStyle name="Normal 70 5 2" xfId="14566"/>
    <cellStyle name="Normal 70 5 3" xfId="26921"/>
    <cellStyle name="Normal 70 6" xfId="4162"/>
    <cellStyle name="Normal 70 6 2" xfId="14567"/>
    <cellStyle name="Normal 70 6 3" xfId="26922"/>
    <cellStyle name="Normal 70 7" xfId="5424"/>
    <cellStyle name="Normal 70 7 2" xfId="14568"/>
    <cellStyle name="Normal 70 7 3" xfId="26923"/>
    <cellStyle name="Normal 70 8" xfId="1431"/>
    <cellStyle name="Normal 70 8 2" xfId="14569"/>
    <cellStyle name="Normal 70 8 3" xfId="26924"/>
    <cellStyle name="Normal 70_LNG &amp; LPG rework" xfId="9735"/>
    <cellStyle name="Normal 71" xfId="895"/>
    <cellStyle name="Normal 71 2" xfId="1796"/>
    <cellStyle name="Normal 71 3" xfId="1432"/>
    <cellStyle name="Normal 71_LNG &amp; LPG rework" xfId="9738"/>
    <cellStyle name="Normal 72" xfId="654"/>
    <cellStyle name="Normal 72 2" xfId="1801"/>
    <cellStyle name="Normal 72 2 2" xfId="2691"/>
    <cellStyle name="Normal 72 2 2 2" xfId="14571"/>
    <cellStyle name="Normal 72 2 2 3" xfId="26926"/>
    <cellStyle name="Normal 72 2 3" xfId="3555"/>
    <cellStyle name="Normal 72 2 3 2" xfId="14572"/>
    <cellStyle name="Normal 72 2 3 3" xfId="26927"/>
    <cellStyle name="Normal 72 2 4" xfId="4427"/>
    <cellStyle name="Normal 72 2 4 2" xfId="14573"/>
    <cellStyle name="Normal 72 2 4 3" xfId="26928"/>
    <cellStyle name="Normal 72 2 5" xfId="5692"/>
    <cellStyle name="Normal 72 2 5 2" xfId="14574"/>
    <cellStyle name="Normal 72 2 5 3" xfId="26929"/>
    <cellStyle name="Normal 72 2 6" xfId="14570"/>
    <cellStyle name="Normal 72 2 7" xfId="26925"/>
    <cellStyle name="Normal 72 2_LNG &amp; LPG rework" xfId="9740"/>
    <cellStyle name="Normal 72 3" xfId="2076"/>
    <cellStyle name="Normal 72 3 2" xfId="2946"/>
    <cellStyle name="Normal 72 3 2 2" xfId="14576"/>
    <cellStyle name="Normal 72 3 2 3" xfId="26931"/>
    <cellStyle name="Normal 72 3 3" xfId="3813"/>
    <cellStyle name="Normal 72 3 3 2" xfId="14577"/>
    <cellStyle name="Normal 72 3 3 3" xfId="26932"/>
    <cellStyle name="Normal 72 3 4" xfId="4691"/>
    <cellStyle name="Normal 72 3 4 2" xfId="14578"/>
    <cellStyle name="Normal 72 3 4 3" xfId="26933"/>
    <cellStyle name="Normal 72 3 5" xfId="5956"/>
    <cellStyle name="Normal 72 3 5 2" xfId="14579"/>
    <cellStyle name="Normal 72 3 5 3" xfId="26934"/>
    <cellStyle name="Normal 72 3 6" xfId="14575"/>
    <cellStyle name="Normal 72 3 7" xfId="26930"/>
    <cellStyle name="Normal 72 3_LNG &amp; LPG rework" xfId="9741"/>
    <cellStyle name="Normal 72 4" xfId="2440"/>
    <cellStyle name="Normal 72 4 2" xfId="14580"/>
    <cellStyle name="Normal 72 4 3" xfId="26935"/>
    <cellStyle name="Normal 72 5" xfId="3299"/>
    <cellStyle name="Normal 72 5 2" xfId="14581"/>
    <cellStyle name="Normal 72 5 3" xfId="26936"/>
    <cellStyle name="Normal 72 6" xfId="4167"/>
    <cellStyle name="Normal 72 6 2" xfId="14582"/>
    <cellStyle name="Normal 72 6 3" xfId="26937"/>
    <cellStyle name="Normal 72 7" xfId="5429"/>
    <cellStyle name="Normal 72 7 2" xfId="14583"/>
    <cellStyle name="Normal 72 7 3" xfId="26938"/>
    <cellStyle name="Normal 72 8" xfId="1437"/>
    <cellStyle name="Normal 72 8 2" xfId="14584"/>
    <cellStyle name="Normal 72 8 3" xfId="26939"/>
    <cellStyle name="Normal 72_LNG &amp; LPG rework" xfId="9739"/>
    <cellStyle name="Normal 73" xfId="887"/>
    <cellStyle name="Normal 73 2" xfId="1803"/>
    <cellStyle name="Normal 73 2 2" xfId="2693"/>
    <cellStyle name="Normal 73 2 2 2" xfId="14586"/>
    <cellStyle name="Normal 73 2 2 3" xfId="26941"/>
    <cellStyle name="Normal 73 2 3" xfId="3557"/>
    <cellStyle name="Normal 73 2 3 2" xfId="14587"/>
    <cellStyle name="Normal 73 2 3 3" xfId="26942"/>
    <cellStyle name="Normal 73 2 4" xfId="4429"/>
    <cellStyle name="Normal 73 2 4 2" xfId="14588"/>
    <cellStyle name="Normal 73 2 4 3" xfId="26943"/>
    <cellStyle name="Normal 73 2 5" xfId="5694"/>
    <cellStyle name="Normal 73 2 5 2" xfId="14589"/>
    <cellStyle name="Normal 73 2 5 3" xfId="26944"/>
    <cellStyle name="Normal 73 2 6" xfId="14585"/>
    <cellStyle name="Normal 73 2 7" xfId="26940"/>
    <cellStyle name="Normal 73 2_LNG &amp; LPG rework" xfId="9743"/>
    <cellStyle name="Normal 73 3" xfId="2078"/>
    <cellStyle name="Normal 73 3 2" xfId="2948"/>
    <cellStyle name="Normal 73 3 2 2" xfId="14591"/>
    <cellStyle name="Normal 73 3 2 3" xfId="26946"/>
    <cellStyle name="Normal 73 3 3" xfId="3815"/>
    <cellStyle name="Normal 73 3 3 2" xfId="14592"/>
    <cellStyle name="Normal 73 3 3 3" xfId="26947"/>
    <cellStyle name="Normal 73 3 4" xfId="4693"/>
    <cellStyle name="Normal 73 3 4 2" xfId="14593"/>
    <cellStyle name="Normal 73 3 4 3" xfId="26948"/>
    <cellStyle name="Normal 73 3 5" xfId="5958"/>
    <cellStyle name="Normal 73 3 5 2" xfId="14594"/>
    <cellStyle name="Normal 73 3 5 3" xfId="26949"/>
    <cellStyle name="Normal 73 3 6" xfId="14590"/>
    <cellStyle name="Normal 73 3 7" xfId="26945"/>
    <cellStyle name="Normal 73 3_LNG &amp; LPG rework" xfId="9744"/>
    <cellStyle name="Normal 73 4" xfId="2442"/>
    <cellStyle name="Normal 73 4 2" xfId="14595"/>
    <cellStyle name="Normal 73 4 3" xfId="26950"/>
    <cellStyle name="Normal 73 5" xfId="3301"/>
    <cellStyle name="Normal 73 5 2" xfId="14596"/>
    <cellStyle name="Normal 73 5 3" xfId="26951"/>
    <cellStyle name="Normal 73 6" xfId="4169"/>
    <cellStyle name="Normal 73 6 2" xfId="14597"/>
    <cellStyle name="Normal 73 6 3" xfId="26952"/>
    <cellStyle name="Normal 73 7" xfId="5431"/>
    <cellStyle name="Normal 73 7 2" xfId="14598"/>
    <cellStyle name="Normal 73 7 3" xfId="26953"/>
    <cellStyle name="Normal 73 8" xfId="1439"/>
    <cellStyle name="Normal 73 8 2" xfId="14599"/>
    <cellStyle name="Normal 73 8 3" xfId="26954"/>
    <cellStyle name="Normal 73_LNG &amp; LPG rework" xfId="9742"/>
    <cellStyle name="Normal 74" xfId="711"/>
    <cellStyle name="Normal 74 2" xfId="1805"/>
    <cellStyle name="Normal 74 2 2" xfId="2695"/>
    <cellStyle name="Normal 74 2 2 2" xfId="14601"/>
    <cellStyle name="Normal 74 2 2 3" xfId="26956"/>
    <cellStyle name="Normal 74 2 3" xfId="3559"/>
    <cellStyle name="Normal 74 2 3 2" xfId="14602"/>
    <cellStyle name="Normal 74 2 3 3" xfId="26957"/>
    <cellStyle name="Normal 74 2 4" xfId="4434"/>
    <cellStyle name="Normal 74 2 4 2" xfId="14603"/>
    <cellStyle name="Normal 74 2 4 3" xfId="26958"/>
    <cellStyle name="Normal 74 2 5" xfId="5699"/>
    <cellStyle name="Normal 74 2 5 2" xfId="14604"/>
    <cellStyle name="Normal 74 2 5 3" xfId="26959"/>
    <cellStyle name="Normal 74 2 6" xfId="14600"/>
    <cellStyle name="Normal 74 2 7" xfId="26955"/>
    <cellStyle name="Normal 74 2_LNG &amp; LPG rework" xfId="9746"/>
    <cellStyle name="Normal 74 3" xfId="2080"/>
    <cellStyle name="Normal 74 3 2" xfId="2950"/>
    <cellStyle name="Normal 74 3 2 2" xfId="14606"/>
    <cellStyle name="Normal 74 3 2 3" xfId="26961"/>
    <cellStyle name="Normal 74 3 3" xfId="3820"/>
    <cellStyle name="Normal 74 3 3 2" xfId="14607"/>
    <cellStyle name="Normal 74 3 3 3" xfId="26962"/>
    <cellStyle name="Normal 74 3 4" xfId="4698"/>
    <cellStyle name="Normal 74 3 4 2" xfId="14608"/>
    <cellStyle name="Normal 74 3 4 3" xfId="26963"/>
    <cellStyle name="Normal 74 3 5" xfId="5963"/>
    <cellStyle name="Normal 74 3 5 2" xfId="14609"/>
    <cellStyle name="Normal 74 3 5 3" xfId="26964"/>
    <cellStyle name="Normal 74 3 6" xfId="14605"/>
    <cellStyle name="Normal 74 3 7" xfId="26960"/>
    <cellStyle name="Normal 74 3_LNG &amp; LPG rework" xfId="9747"/>
    <cellStyle name="Normal 74 4" xfId="2445"/>
    <cellStyle name="Normal 74 4 2" xfId="14610"/>
    <cellStyle name="Normal 74 4 3" xfId="26965"/>
    <cellStyle name="Normal 74 5" xfId="3308"/>
    <cellStyle name="Normal 74 5 2" xfId="14611"/>
    <cellStyle name="Normal 74 5 3" xfId="26966"/>
    <cellStyle name="Normal 74 6" xfId="4176"/>
    <cellStyle name="Normal 74 6 2" xfId="14612"/>
    <cellStyle name="Normal 74 6 3" xfId="26967"/>
    <cellStyle name="Normal 74 7" xfId="5438"/>
    <cellStyle name="Normal 74 7 2" xfId="14613"/>
    <cellStyle name="Normal 74 7 3" xfId="26968"/>
    <cellStyle name="Normal 74 8" xfId="1451"/>
    <cellStyle name="Normal 74 8 2" xfId="14614"/>
    <cellStyle name="Normal 74 8 3" xfId="26969"/>
    <cellStyle name="Normal 74_LNG &amp; LPG rework" xfId="9745"/>
    <cellStyle name="Normal 75" xfId="152"/>
    <cellStyle name="Normal 75 2" xfId="1802"/>
    <cellStyle name="Normal 75 2 2" xfId="2692"/>
    <cellStyle name="Normal 75 2 2 2" xfId="14616"/>
    <cellStyle name="Normal 75 2 2 3" xfId="26971"/>
    <cellStyle name="Normal 75 2 3" xfId="3556"/>
    <cellStyle name="Normal 75 2 3 2" xfId="14617"/>
    <cellStyle name="Normal 75 2 3 3" xfId="26972"/>
    <cellStyle name="Normal 75 2 4" xfId="4428"/>
    <cellStyle name="Normal 75 2 4 2" xfId="14618"/>
    <cellStyle name="Normal 75 2 4 3" xfId="26973"/>
    <cellStyle name="Normal 75 2 5" xfId="5693"/>
    <cellStyle name="Normal 75 2 5 2" xfId="14619"/>
    <cellStyle name="Normal 75 2 5 3" xfId="26974"/>
    <cellStyle name="Normal 75 2 6" xfId="14615"/>
    <cellStyle name="Normal 75 2 7" xfId="26970"/>
    <cellStyle name="Normal 75 2_LNG &amp; LPG rework" xfId="9749"/>
    <cellStyle name="Normal 75 3" xfId="2077"/>
    <cellStyle name="Normal 75 3 2" xfId="2947"/>
    <cellStyle name="Normal 75 3 2 2" xfId="14621"/>
    <cellStyle name="Normal 75 3 2 3" xfId="26976"/>
    <cellStyle name="Normal 75 3 3" xfId="3814"/>
    <cellStyle name="Normal 75 3 3 2" xfId="14622"/>
    <cellStyle name="Normal 75 3 3 3" xfId="26977"/>
    <cellStyle name="Normal 75 3 4" xfId="4692"/>
    <cellStyle name="Normal 75 3 4 2" xfId="14623"/>
    <cellStyle name="Normal 75 3 4 3" xfId="26978"/>
    <cellStyle name="Normal 75 3 5" xfId="5957"/>
    <cellStyle name="Normal 75 3 5 2" xfId="14624"/>
    <cellStyle name="Normal 75 3 5 3" xfId="26979"/>
    <cellStyle name="Normal 75 3 6" xfId="14620"/>
    <cellStyle name="Normal 75 3 7" xfId="26975"/>
    <cellStyle name="Normal 75 3_LNG &amp; LPG rework" xfId="9750"/>
    <cellStyle name="Normal 75 4" xfId="2441"/>
    <cellStyle name="Normal 75 4 2" xfId="14625"/>
    <cellStyle name="Normal 75 4 3" xfId="26980"/>
    <cellStyle name="Normal 75 5" xfId="3300"/>
    <cellStyle name="Normal 75 5 2" xfId="14626"/>
    <cellStyle name="Normal 75 5 3" xfId="26981"/>
    <cellStyle name="Normal 75 6" xfId="4168"/>
    <cellStyle name="Normal 75 6 2" xfId="14627"/>
    <cellStyle name="Normal 75 6 3" xfId="26982"/>
    <cellStyle name="Normal 75 7" xfId="5430"/>
    <cellStyle name="Normal 75 7 2" xfId="14628"/>
    <cellStyle name="Normal 75 7 3" xfId="26983"/>
    <cellStyle name="Normal 75 8" xfId="1438"/>
    <cellStyle name="Normal 75 8 2" xfId="14629"/>
    <cellStyle name="Normal 75 8 3" xfId="26984"/>
    <cellStyle name="Normal 75_LNG &amp; LPG rework" xfId="9748"/>
    <cellStyle name="Normal 76" xfId="829"/>
    <cellStyle name="Normal 76 2" xfId="1806"/>
    <cellStyle name="Normal 76 2 2" xfId="2696"/>
    <cellStyle name="Normal 76 2 2 2" xfId="14631"/>
    <cellStyle name="Normal 76 2 2 3" xfId="26986"/>
    <cellStyle name="Normal 76 2 3" xfId="3560"/>
    <cellStyle name="Normal 76 2 3 2" xfId="14632"/>
    <cellStyle name="Normal 76 2 3 3" xfId="26987"/>
    <cellStyle name="Normal 76 2 4" xfId="4435"/>
    <cellStyle name="Normal 76 2 4 2" xfId="14633"/>
    <cellStyle name="Normal 76 2 4 3" xfId="26988"/>
    <cellStyle name="Normal 76 2 5" xfId="5700"/>
    <cellStyle name="Normal 76 2 5 2" xfId="14634"/>
    <cellStyle name="Normal 76 2 5 3" xfId="26989"/>
    <cellStyle name="Normal 76 2 6" xfId="14630"/>
    <cellStyle name="Normal 76 2 7" xfId="26985"/>
    <cellStyle name="Normal 76 2_LNG &amp; LPG rework" xfId="9752"/>
    <cellStyle name="Normal 76 3" xfId="2081"/>
    <cellStyle name="Normal 76 3 2" xfId="2951"/>
    <cellStyle name="Normal 76 3 2 2" xfId="14636"/>
    <cellStyle name="Normal 76 3 2 3" xfId="26991"/>
    <cellStyle name="Normal 76 3 3" xfId="3821"/>
    <cellStyle name="Normal 76 3 3 2" xfId="14637"/>
    <cellStyle name="Normal 76 3 3 3" xfId="26992"/>
    <cellStyle name="Normal 76 3 4" xfId="4699"/>
    <cellStyle name="Normal 76 3 4 2" xfId="14638"/>
    <cellStyle name="Normal 76 3 4 3" xfId="26993"/>
    <cellStyle name="Normal 76 3 5" xfId="5964"/>
    <cellStyle name="Normal 76 3 5 2" xfId="14639"/>
    <cellStyle name="Normal 76 3 5 3" xfId="26994"/>
    <cellStyle name="Normal 76 3 6" xfId="14635"/>
    <cellStyle name="Normal 76 3 7" xfId="26990"/>
    <cellStyle name="Normal 76 3_LNG &amp; LPG rework" xfId="9753"/>
    <cellStyle name="Normal 76 4" xfId="2446"/>
    <cellStyle name="Normal 76 4 2" xfId="14640"/>
    <cellStyle name="Normal 76 4 3" xfId="26995"/>
    <cellStyle name="Normal 76 5" xfId="3309"/>
    <cellStyle name="Normal 76 5 2" xfId="14641"/>
    <cellStyle name="Normal 76 5 3" xfId="26996"/>
    <cellStyle name="Normal 76 6" xfId="4177"/>
    <cellStyle name="Normal 76 6 2" xfId="14642"/>
    <cellStyle name="Normal 76 6 3" xfId="26997"/>
    <cellStyle name="Normal 76 7" xfId="5439"/>
    <cellStyle name="Normal 76 7 2" xfId="14643"/>
    <cellStyle name="Normal 76 7 3" xfId="26998"/>
    <cellStyle name="Normal 76 8" xfId="1452"/>
    <cellStyle name="Normal 76 8 2" xfId="14644"/>
    <cellStyle name="Normal 76 8 3" xfId="26999"/>
    <cellStyle name="Normal 76_LNG &amp; LPG rework" xfId="9751"/>
    <cellStyle name="Normal 77" xfId="712"/>
    <cellStyle name="Normal 77 2" xfId="1962"/>
    <cellStyle name="Normal 77 2 2" xfId="2852"/>
    <cellStyle name="Normal 77 2 2 2" xfId="14646"/>
    <cellStyle name="Normal 77 2 2 3" xfId="27001"/>
    <cellStyle name="Normal 77 2 3" xfId="3716"/>
    <cellStyle name="Normal 77 2 3 2" xfId="14647"/>
    <cellStyle name="Normal 77 2 3 3" xfId="27002"/>
    <cellStyle name="Normal 77 2 4" xfId="4591"/>
    <cellStyle name="Normal 77 2 4 2" xfId="14648"/>
    <cellStyle name="Normal 77 2 4 3" xfId="27003"/>
    <cellStyle name="Normal 77 2 5" xfId="5856"/>
    <cellStyle name="Normal 77 2 5 2" xfId="14649"/>
    <cellStyle name="Normal 77 2 5 3" xfId="27004"/>
    <cellStyle name="Normal 77 2 6" xfId="14645"/>
    <cellStyle name="Normal 77 2 7" xfId="27000"/>
    <cellStyle name="Normal 77 2_LNG &amp; LPG rework" xfId="9755"/>
    <cellStyle name="Normal 77 3" xfId="2237"/>
    <cellStyle name="Normal 77 3 2" xfId="3107"/>
    <cellStyle name="Normal 77 3 2 2" xfId="14651"/>
    <cellStyle name="Normal 77 3 2 3" xfId="27006"/>
    <cellStyle name="Normal 77 3 3" xfId="3977"/>
    <cellStyle name="Normal 77 3 3 2" xfId="14652"/>
    <cellStyle name="Normal 77 3 3 3" xfId="27007"/>
    <cellStyle name="Normal 77 3 4" xfId="4855"/>
    <cellStyle name="Normal 77 3 4 2" xfId="14653"/>
    <cellStyle name="Normal 77 3 4 3" xfId="27008"/>
    <cellStyle name="Normal 77 3 5" xfId="6120"/>
    <cellStyle name="Normal 77 3 5 2" xfId="14654"/>
    <cellStyle name="Normal 77 3 5 3" xfId="27009"/>
    <cellStyle name="Normal 77 3 6" xfId="14650"/>
    <cellStyle name="Normal 77 3 7" xfId="27005"/>
    <cellStyle name="Normal 77 3_LNG &amp; LPG rework" xfId="9756"/>
    <cellStyle name="Normal 77 4" xfId="2602"/>
    <cellStyle name="Normal 77 4 2" xfId="14655"/>
    <cellStyle name="Normal 77 4 3" xfId="27010"/>
    <cellStyle name="Normal 77 5" xfId="3465"/>
    <cellStyle name="Normal 77 5 2" xfId="14656"/>
    <cellStyle name="Normal 77 5 3" xfId="27011"/>
    <cellStyle name="Normal 77 6" xfId="4333"/>
    <cellStyle name="Normal 77 6 2" xfId="14657"/>
    <cellStyle name="Normal 77 6 3" xfId="27012"/>
    <cellStyle name="Normal 77 7" xfId="5595"/>
    <cellStyle name="Normal 77 7 2" xfId="14658"/>
    <cellStyle name="Normal 77 7 3" xfId="27013"/>
    <cellStyle name="Normal 77 8" xfId="1657"/>
    <cellStyle name="Normal 77 8 2" xfId="14659"/>
    <cellStyle name="Normal 77 8 3" xfId="27014"/>
    <cellStyle name="Normal 77_LNG &amp; LPG rework" xfId="9754"/>
    <cellStyle name="Normal 78" xfId="713"/>
    <cellStyle name="Normal 78 2" xfId="1964"/>
    <cellStyle name="Normal 78 2 2" xfId="2854"/>
    <cellStyle name="Normal 78 2 2 2" xfId="14661"/>
    <cellStyle name="Normal 78 2 2 3" xfId="27016"/>
    <cellStyle name="Normal 78 2 3" xfId="3718"/>
    <cellStyle name="Normal 78 2 3 2" xfId="14662"/>
    <cellStyle name="Normal 78 2 3 3" xfId="27017"/>
    <cellStyle name="Normal 78 2 4" xfId="4593"/>
    <cellStyle name="Normal 78 2 4 2" xfId="14663"/>
    <cellStyle name="Normal 78 2 4 3" xfId="27018"/>
    <cellStyle name="Normal 78 2 5" xfId="5858"/>
    <cellStyle name="Normal 78 2 5 2" xfId="14664"/>
    <cellStyle name="Normal 78 2 5 3" xfId="27019"/>
    <cellStyle name="Normal 78 2 6" xfId="14660"/>
    <cellStyle name="Normal 78 2 7" xfId="27015"/>
    <cellStyle name="Normal 78 2_LNG &amp; LPG rework" xfId="9758"/>
    <cellStyle name="Normal 78 3" xfId="2239"/>
    <cellStyle name="Normal 78 3 2" xfId="3109"/>
    <cellStyle name="Normal 78 3 2 2" xfId="14666"/>
    <cellStyle name="Normal 78 3 2 3" xfId="27021"/>
    <cellStyle name="Normal 78 3 3" xfId="3979"/>
    <cellStyle name="Normal 78 3 3 2" xfId="14667"/>
    <cellStyle name="Normal 78 3 3 3" xfId="27022"/>
    <cellStyle name="Normal 78 3 4" xfId="4857"/>
    <cellStyle name="Normal 78 3 4 2" xfId="14668"/>
    <cellStyle name="Normal 78 3 4 3" xfId="27023"/>
    <cellStyle name="Normal 78 3 5" xfId="6122"/>
    <cellStyle name="Normal 78 3 5 2" xfId="14669"/>
    <cellStyle name="Normal 78 3 5 3" xfId="27024"/>
    <cellStyle name="Normal 78 3 6" xfId="14665"/>
    <cellStyle name="Normal 78 3 7" xfId="27020"/>
    <cellStyle name="Normal 78 3_LNG &amp; LPG rework" xfId="9759"/>
    <cellStyle name="Normal 78 4" xfId="2604"/>
    <cellStyle name="Normal 78 4 2" xfId="14670"/>
    <cellStyle name="Normal 78 4 3" xfId="27025"/>
    <cellStyle name="Normal 78 5" xfId="3467"/>
    <cellStyle name="Normal 78 5 2" xfId="14671"/>
    <cellStyle name="Normal 78 5 3" xfId="27026"/>
    <cellStyle name="Normal 78 6" xfId="4335"/>
    <cellStyle name="Normal 78 6 2" xfId="14672"/>
    <cellStyle name="Normal 78 6 3" xfId="27027"/>
    <cellStyle name="Normal 78 7" xfId="5597"/>
    <cellStyle name="Normal 78 7 2" xfId="14673"/>
    <cellStyle name="Normal 78 7 3" xfId="27028"/>
    <cellStyle name="Normal 78 8" xfId="1659"/>
    <cellStyle name="Normal 78 8 2" xfId="14674"/>
    <cellStyle name="Normal 78 8 3" xfId="27029"/>
    <cellStyle name="Normal 78_LNG &amp; LPG rework" xfId="9757"/>
    <cellStyle name="Normal 79" xfId="714"/>
    <cellStyle name="Normal 79 2" xfId="1965"/>
    <cellStyle name="Normal 79 3" xfId="1660"/>
    <cellStyle name="Normal 79_LNG &amp; LPG rework" xfId="9760"/>
    <cellStyle name="Normal 8" xfId="715"/>
    <cellStyle name="Normal 8 10" xfId="10114"/>
    <cellStyle name="Normal 8 11" xfId="7687"/>
    <cellStyle name="Normal 8 12" xfId="6563"/>
    <cellStyle name="Normal 8 12 2" xfId="44572"/>
    <cellStyle name="Normal 8 2" xfId="1316"/>
    <cellStyle name="Normal 8 2 2" xfId="2262"/>
    <cellStyle name="Normal 8 2 2 2" xfId="21421"/>
    <cellStyle name="Normal 8 2 3" xfId="21420"/>
    <cellStyle name="Normal 8 2_LNG &amp; LPG rework" xfId="9761"/>
    <cellStyle name="Normal 8 3" xfId="1571"/>
    <cellStyle name="Normal 8 4" xfId="1675"/>
    <cellStyle name="Normal 8 4 2" xfId="21422"/>
    <cellStyle name="Normal 8 5" xfId="2276"/>
    <cellStyle name="Normal 8 6" xfId="5229"/>
    <cellStyle name="Normal 8 7" xfId="6237"/>
    <cellStyle name="Normal 8 8" xfId="6239"/>
    <cellStyle name="Normal 8 9" xfId="1217"/>
    <cellStyle name="Normal 8 9 2" xfId="21423"/>
    <cellStyle name="Normal 8_2015  Data" xfId="5230"/>
    <cellStyle name="Normal 80" xfId="716"/>
    <cellStyle name="Normal 80 2" xfId="1722"/>
    <cellStyle name="Normal 80_LNG &amp; LPG rework" xfId="9762"/>
    <cellStyle name="Normal 81" xfId="717"/>
    <cellStyle name="Normal 81 2" xfId="1970"/>
    <cellStyle name="Normal 81_LNG &amp; LPG rework" xfId="9763"/>
    <cellStyle name="Normal 82" xfId="718"/>
    <cellStyle name="Normal 82 2" xfId="1972"/>
    <cellStyle name="Normal 82_LNG &amp; LPG rework" xfId="9764"/>
    <cellStyle name="Normal 83" xfId="719"/>
    <cellStyle name="Normal 83 2" xfId="1971"/>
    <cellStyle name="Normal 83_LNG &amp; LPG rework" xfId="9765"/>
    <cellStyle name="Normal 84" xfId="23"/>
    <cellStyle name="Normal 84 2" xfId="2609"/>
    <cellStyle name="Normal 84 2 2" xfId="14675"/>
    <cellStyle name="Normal 84 2 3" xfId="27030"/>
    <cellStyle name="Normal 84 3" xfId="3472"/>
    <cellStyle name="Normal 84 3 2" xfId="14676"/>
    <cellStyle name="Normal 84 3 3" xfId="27031"/>
    <cellStyle name="Normal 84 4" xfId="4340"/>
    <cellStyle name="Normal 84 4 2" xfId="14677"/>
    <cellStyle name="Normal 84 4 3" xfId="27032"/>
    <cellStyle name="Normal 84 5" xfId="5602"/>
    <cellStyle name="Normal 84 5 2" xfId="14678"/>
    <cellStyle name="Normal 84 5 3" xfId="27033"/>
    <cellStyle name="Normal 84 6" xfId="1665"/>
    <cellStyle name="Normal 84 6 2" xfId="14679"/>
    <cellStyle name="Normal 84 6 3" xfId="27034"/>
    <cellStyle name="Normal 84_LNG &amp; LPG rework" xfId="9766"/>
    <cellStyle name="Normal 85" xfId="896"/>
    <cellStyle name="Normal 85 2" xfId="2860"/>
    <cellStyle name="Normal 85 3" xfId="1990"/>
    <cellStyle name="Normal 85_LNG &amp; LPG rework" xfId="9767"/>
    <cellStyle name="Normal 86" xfId="888"/>
    <cellStyle name="Normal 86 2" xfId="2864"/>
    <cellStyle name="Normal 86 2 2" xfId="14680"/>
    <cellStyle name="Normal 86 2 3" xfId="27035"/>
    <cellStyle name="Normal 86 3" xfId="3727"/>
    <cellStyle name="Normal 86 3 2" xfId="14681"/>
    <cellStyle name="Normal 86 3 3" xfId="27036"/>
    <cellStyle name="Normal 86 4" xfId="4603"/>
    <cellStyle name="Normal 86 4 2" xfId="14682"/>
    <cellStyle name="Normal 86 4 3" xfId="27037"/>
    <cellStyle name="Normal 86 5" xfId="5868"/>
    <cellStyle name="Normal 86 5 2" xfId="14683"/>
    <cellStyle name="Normal 86 5 3" xfId="27038"/>
    <cellStyle name="Normal 86 6" xfId="1994"/>
    <cellStyle name="Normal 86 6 2" xfId="14684"/>
    <cellStyle name="Normal 86 6 3" xfId="27039"/>
    <cellStyle name="Normal 86_LNG &amp; LPG rework" xfId="9768"/>
    <cellStyle name="Normal 87" xfId="720"/>
    <cellStyle name="Normal 87 2" xfId="3118"/>
    <cellStyle name="Normal 87 2 2" xfId="14685"/>
    <cellStyle name="Normal 87 2 3" xfId="27040"/>
    <cellStyle name="Normal 87 3" xfId="3988"/>
    <cellStyle name="Normal 87 3 2" xfId="14686"/>
    <cellStyle name="Normal 87 3 3" xfId="27041"/>
    <cellStyle name="Normal 87 4" xfId="4867"/>
    <cellStyle name="Normal 87 4 2" xfId="14687"/>
    <cellStyle name="Normal 87 4 3" xfId="27042"/>
    <cellStyle name="Normal 87 5" xfId="6132"/>
    <cellStyle name="Normal 87 5 2" xfId="14688"/>
    <cellStyle name="Normal 87 5 3" xfId="27043"/>
    <cellStyle name="Normal 87 6" xfId="2249"/>
    <cellStyle name="Normal 87 6 2" xfId="14689"/>
    <cellStyle name="Normal 87 6 3" xfId="27044"/>
    <cellStyle name="Normal 87_LNG &amp; LPG rework" xfId="9769"/>
    <cellStyle name="Normal 88" xfId="153"/>
    <cellStyle name="Normal 88 2" xfId="3120"/>
    <cellStyle name="Normal 88 3" xfId="2251"/>
    <cellStyle name="Normal 88_LNG &amp; LPG rework" xfId="9770"/>
    <cellStyle name="Normal 89" xfId="830"/>
    <cellStyle name="Normal 89 2" xfId="2259"/>
    <cellStyle name="Normal 89 2 2" xfId="21424"/>
    <cellStyle name="Normal 89_LNG &amp; LPG rework" xfId="9771"/>
    <cellStyle name="Normal 9" xfId="1115"/>
    <cellStyle name="Normal 9 10" xfId="1380"/>
    <cellStyle name="Normal 9 10 2" xfId="1751"/>
    <cellStyle name="Normal 9 10 2 2" xfId="2652"/>
    <cellStyle name="Normal 9 10 2 2 2" xfId="14692"/>
    <cellStyle name="Normal 9 10 2 2 3" xfId="27047"/>
    <cellStyle name="Normal 9 10 2 3" xfId="3516"/>
    <cellStyle name="Normal 9 10 2 3 2" xfId="14693"/>
    <cellStyle name="Normal 9 10 2 3 3" xfId="27048"/>
    <cellStyle name="Normal 9 10 2 4" xfId="4388"/>
    <cellStyle name="Normal 9 10 2 4 2" xfId="14694"/>
    <cellStyle name="Normal 9 10 2 4 3" xfId="27049"/>
    <cellStyle name="Normal 9 10 2 5" xfId="5653"/>
    <cellStyle name="Normal 9 10 2 5 2" xfId="14695"/>
    <cellStyle name="Normal 9 10 2 5 3" xfId="27050"/>
    <cellStyle name="Normal 9 10 2 6" xfId="14691"/>
    <cellStyle name="Normal 9 10 2 7" xfId="27046"/>
    <cellStyle name="Normal 9 10 2_LNG &amp; LPG rework" xfId="9773"/>
    <cellStyle name="Normal 9 10 3" xfId="2037"/>
    <cellStyle name="Normal 9 10 3 2" xfId="2907"/>
    <cellStyle name="Normal 9 10 3 2 2" xfId="14697"/>
    <cellStyle name="Normal 9 10 3 2 3" xfId="27052"/>
    <cellStyle name="Normal 9 10 3 3" xfId="3774"/>
    <cellStyle name="Normal 9 10 3 3 2" xfId="14698"/>
    <cellStyle name="Normal 9 10 3 3 3" xfId="27053"/>
    <cellStyle name="Normal 9 10 3 4" xfId="4652"/>
    <cellStyle name="Normal 9 10 3 4 2" xfId="14699"/>
    <cellStyle name="Normal 9 10 3 4 3" xfId="27054"/>
    <cellStyle name="Normal 9 10 3 5" xfId="5917"/>
    <cellStyle name="Normal 9 10 3 5 2" xfId="14700"/>
    <cellStyle name="Normal 9 10 3 5 3" xfId="27055"/>
    <cellStyle name="Normal 9 10 3 6" xfId="14696"/>
    <cellStyle name="Normal 9 10 3 7" xfId="27051"/>
    <cellStyle name="Normal 9 10 3_LNG &amp; LPG rework" xfId="9774"/>
    <cellStyle name="Normal 9 10 4" xfId="2401"/>
    <cellStyle name="Normal 9 10 4 2" xfId="14701"/>
    <cellStyle name="Normal 9 10 4 3" xfId="27056"/>
    <cellStyle name="Normal 9 10 5" xfId="3260"/>
    <cellStyle name="Normal 9 10 5 2" xfId="14702"/>
    <cellStyle name="Normal 9 10 5 3" xfId="27057"/>
    <cellStyle name="Normal 9 10 6" xfId="4128"/>
    <cellStyle name="Normal 9 10 6 2" xfId="14703"/>
    <cellStyle name="Normal 9 10 6 3" xfId="27058"/>
    <cellStyle name="Normal 9 10 7" xfId="5390"/>
    <cellStyle name="Normal 9 10 7 2" xfId="14704"/>
    <cellStyle name="Normal 9 10 7 3" xfId="27059"/>
    <cellStyle name="Normal 9 10 8" xfId="14690"/>
    <cellStyle name="Normal 9 10 9" xfId="27045"/>
    <cellStyle name="Normal 9 10_LNG &amp; LPG rework" xfId="9772"/>
    <cellStyle name="Normal 9 11" xfId="1385"/>
    <cellStyle name="Normal 9 11 2" xfId="1755"/>
    <cellStyle name="Normal 9 11 2 2" xfId="2656"/>
    <cellStyle name="Normal 9 11 2 2 2" xfId="14707"/>
    <cellStyle name="Normal 9 11 2 2 3" xfId="27062"/>
    <cellStyle name="Normal 9 11 2 3" xfId="3520"/>
    <cellStyle name="Normal 9 11 2 3 2" xfId="14708"/>
    <cellStyle name="Normal 9 11 2 3 3" xfId="27063"/>
    <cellStyle name="Normal 9 11 2 4" xfId="4392"/>
    <cellStyle name="Normal 9 11 2 4 2" xfId="14709"/>
    <cellStyle name="Normal 9 11 2 4 3" xfId="27064"/>
    <cellStyle name="Normal 9 11 2 5" xfId="5657"/>
    <cellStyle name="Normal 9 11 2 5 2" xfId="14710"/>
    <cellStyle name="Normal 9 11 2 5 3" xfId="27065"/>
    <cellStyle name="Normal 9 11 2 6" xfId="14706"/>
    <cellStyle name="Normal 9 11 2 7" xfId="27061"/>
    <cellStyle name="Normal 9 11 2_LNG &amp; LPG rework" xfId="9776"/>
    <cellStyle name="Normal 9 11 3" xfId="2041"/>
    <cellStyle name="Normal 9 11 3 2" xfId="2911"/>
    <cellStyle name="Normal 9 11 3 2 2" xfId="14712"/>
    <cellStyle name="Normal 9 11 3 2 3" xfId="27067"/>
    <cellStyle name="Normal 9 11 3 3" xfId="3778"/>
    <cellStyle name="Normal 9 11 3 3 2" xfId="14713"/>
    <cellStyle name="Normal 9 11 3 3 3" xfId="27068"/>
    <cellStyle name="Normal 9 11 3 4" xfId="4656"/>
    <cellStyle name="Normal 9 11 3 4 2" xfId="14714"/>
    <cellStyle name="Normal 9 11 3 4 3" xfId="27069"/>
    <cellStyle name="Normal 9 11 3 5" xfId="5921"/>
    <cellStyle name="Normal 9 11 3 5 2" xfId="14715"/>
    <cellStyle name="Normal 9 11 3 5 3" xfId="27070"/>
    <cellStyle name="Normal 9 11 3 6" xfId="14711"/>
    <cellStyle name="Normal 9 11 3 7" xfId="27066"/>
    <cellStyle name="Normal 9 11 3_LNG &amp; LPG rework" xfId="9777"/>
    <cellStyle name="Normal 9 11 4" xfId="2405"/>
    <cellStyle name="Normal 9 11 4 2" xfId="14716"/>
    <cellStyle name="Normal 9 11 4 3" xfId="27071"/>
    <cellStyle name="Normal 9 11 5" xfId="3264"/>
    <cellStyle name="Normal 9 11 5 2" xfId="14717"/>
    <cellStyle name="Normal 9 11 5 3" xfId="27072"/>
    <cellStyle name="Normal 9 11 6" xfId="4132"/>
    <cellStyle name="Normal 9 11 6 2" xfId="14718"/>
    <cellStyle name="Normal 9 11 6 3" xfId="27073"/>
    <cellStyle name="Normal 9 11 7" xfId="5394"/>
    <cellStyle name="Normal 9 11 7 2" xfId="14719"/>
    <cellStyle name="Normal 9 11 7 3" xfId="27074"/>
    <cellStyle name="Normal 9 11 8" xfId="14705"/>
    <cellStyle name="Normal 9 11 9" xfId="27060"/>
    <cellStyle name="Normal 9 11_LNG &amp; LPG rework" xfId="9775"/>
    <cellStyle name="Normal 9 12" xfId="1391"/>
    <cellStyle name="Normal 9 12 2" xfId="1761"/>
    <cellStyle name="Normal 9 12 2 2" xfId="2661"/>
    <cellStyle name="Normal 9 12 2 2 2" xfId="14722"/>
    <cellStyle name="Normal 9 12 2 2 3" xfId="27077"/>
    <cellStyle name="Normal 9 12 2 3" xfId="3525"/>
    <cellStyle name="Normal 9 12 2 3 2" xfId="14723"/>
    <cellStyle name="Normal 9 12 2 3 3" xfId="27078"/>
    <cellStyle name="Normal 9 12 2 4" xfId="4397"/>
    <cellStyle name="Normal 9 12 2 4 2" xfId="14724"/>
    <cellStyle name="Normal 9 12 2 4 3" xfId="27079"/>
    <cellStyle name="Normal 9 12 2 5" xfId="5662"/>
    <cellStyle name="Normal 9 12 2 5 2" xfId="14725"/>
    <cellStyle name="Normal 9 12 2 5 3" xfId="27080"/>
    <cellStyle name="Normal 9 12 2 6" xfId="14721"/>
    <cellStyle name="Normal 9 12 2 7" xfId="27076"/>
    <cellStyle name="Normal 9 12 2_LNG &amp; LPG rework" xfId="9779"/>
    <cellStyle name="Normal 9 12 3" xfId="2046"/>
    <cellStyle name="Normal 9 12 3 2" xfId="2916"/>
    <cellStyle name="Normal 9 12 3 2 2" xfId="14727"/>
    <cellStyle name="Normal 9 12 3 2 3" xfId="27082"/>
    <cellStyle name="Normal 9 12 3 3" xfId="3783"/>
    <cellStyle name="Normal 9 12 3 3 2" xfId="14728"/>
    <cellStyle name="Normal 9 12 3 3 3" xfId="27083"/>
    <cellStyle name="Normal 9 12 3 4" xfId="4661"/>
    <cellStyle name="Normal 9 12 3 4 2" xfId="14729"/>
    <cellStyle name="Normal 9 12 3 4 3" xfId="27084"/>
    <cellStyle name="Normal 9 12 3 5" xfId="5926"/>
    <cellStyle name="Normal 9 12 3 5 2" xfId="14730"/>
    <cellStyle name="Normal 9 12 3 5 3" xfId="27085"/>
    <cellStyle name="Normal 9 12 3 6" xfId="14726"/>
    <cellStyle name="Normal 9 12 3 7" xfId="27081"/>
    <cellStyle name="Normal 9 12 3_LNG &amp; LPG rework" xfId="9780"/>
    <cellStyle name="Normal 9 12 4" xfId="2410"/>
    <cellStyle name="Normal 9 12 4 2" xfId="14731"/>
    <cellStyle name="Normal 9 12 4 3" xfId="27086"/>
    <cellStyle name="Normal 9 12 5" xfId="3269"/>
    <cellStyle name="Normal 9 12 5 2" xfId="14732"/>
    <cellStyle name="Normal 9 12 5 3" xfId="27087"/>
    <cellStyle name="Normal 9 12 6" xfId="4137"/>
    <cellStyle name="Normal 9 12 6 2" xfId="14733"/>
    <cellStyle name="Normal 9 12 6 3" xfId="27088"/>
    <cellStyle name="Normal 9 12 7" xfId="5399"/>
    <cellStyle name="Normal 9 12 7 2" xfId="14734"/>
    <cellStyle name="Normal 9 12 7 3" xfId="27089"/>
    <cellStyle name="Normal 9 12 8" xfId="14720"/>
    <cellStyle name="Normal 9 12 9" xfId="27075"/>
    <cellStyle name="Normal 9 12_LNG &amp; LPG rework" xfId="9778"/>
    <cellStyle name="Normal 9 13" xfId="1404"/>
    <cellStyle name="Normal 9 13 2" xfId="1772"/>
    <cellStyle name="Normal 9 13 2 2" xfId="2665"/>
    <cellStyle name="Normal 9 13 2 2 2" xfId="14737"/>
    <cellStyle name="Normal 9 13 2 2 3" xfId="27092"/>
    <cellStyle name="Normal 9 13 2 3" xfId="3529"/>
    <cellStyle name="Normal 9 13 2 3 2" xfId="14738"/>
    <cellStyle name="Normal 9 13 2 3 3" xfId="27093"/>
    <cellStyle name="Normal 9 13 2 4" xfId="4401"/>
    <cellStyle name="Normal 9 13 2 4 2" xfId="14739"/>
    <cellStyle name="Normal 9 13 2 4 3" xfId="27094"/>
    <cellStyle name="Normal 9 13 2 5" xfId="5666"/>
    <cellStyle name="Normal 9 13 2 5 2" xfId="14740"/>
    <cellStyle name="Normal 9 13 2 5 3" xfId="27095"/>
    <cellStyle name="Normal 9 13 2 6" xfId="14736"/>
    <cellStyle name="Normal 9 13 2 7" xfId="27091"/>
    <cellStyle name="Normal 9 13 2_LNG &amp; LPG rework" xfId="9782"/>
    <cellStyle name="Normal 9 13 3" xfId="2050"/>
    <cellStyle name="Normal 9 13 3 2" xfId="2920"/>
    <cellStyle name="Normal 9 13 3 2 2" xfId="14742"/>
    <cellStyle name="Normal 9 13 3 2 3" xfId="27097"/>
    <cellStyle name="Normal 9 13 3 3" xfId="3787"/>
    <cellStyle name="Normal 9 13 3 3 2" xfId="14743"/>
    <cellStyle name="Normal 9 13 3 3 3" xfId="27098"/>
    <cellStyle name="Normal 9 13 3 4" xfId="4665"/>
    <cellStyle name="Normal 9 13 3 4 2" xfId="14744"/>
    <cellStyle name="Normal 9 13 3 4 3" xfId="27099"/>
    <cellStyle name="Normal 9 13 3 5" xfId="5930"/>
    <cellStyle name="Normal 9 13 3 5 2" xfId="14745"/>
    <cellStyle name="Normal 9 13 3 5 3" xfId="27100"/>
    <cellStyle name="Normal 9 13 3 6" xfId="14741"/>
    <cellStyle name="Normal 9 13 3 7" xfId="27096"/>
    <cellStyle name="Normal 9 13 3_LNG &amp; LPG rework" xfId="9783"/>
    <cellStyle name="Normal 9 13 4" xfId="2414"/>
    <cellStyle name="Normal 9 13 4 2" xfId="14746"/>
    <cellStyle name="Normal 9 13 4 3" xfId="27101"/>
    <cellStyle name="Normal 9 13 5" xfId="3273"/>
    <cellStyle name="Normal 9 13 5 2" xfId="14747"/>
    <cellStyle name="Normal 9 13 5 3" xfId="27102"/>
    <cellStyle name="Normal 9 13 6" xfId="4141"/>
    <cellStyle name="Normal 9 13 6 2" xfId="14748"/>
    <cellStyle name="Normal 9 13 6 3" xfId="27103"/>
    <cellStyle name="Normal 9 13 7" xfId="5403"/>
    <cellStyle name="Normal 9 13 7 2" xfId="14749"/>
    <cellStyle name="Normal 9 13 7 3" xfId="27104"/>
    <cellStyle name="Normal 9 13 8" xfId="14735"/>
    <cellStyle name="Normal 9 13 9" xfId="27090"/>
    <cellStyle name="Normal 9 13_LNG &amp; LPG rework" xfId="9781"/>
    <cellStyle name="Normal 9 14" xfId="1411"/>
    <cellStyle name="Normal 9 14 2" xfId="1777"/>
    <cellStyle name="Normal 9 14 2 2" xfId="2669"/>
    <cellStyle name="Normal 9 14 2 2 2" xfId="14752"/>
    <cellStyle name="Normal 9 14 2 2 3" xfId="27107"/>
    <cellStyle name="Normal 9 14 2 3" xfId="3533"/>
    <cellStyle name="Normal 9 14 2 3 2" xfId="14753"/>
    <cellStyle name="Normal 9 14 2 3 3" xfId="27108"/>
    <cellStyle name="Normal 9 14 2 4" xfId="4405"/>
    <cellStyle name="Normal 9 14 2 4 2" xfId="14754"/>
    <cellStyle name="Normal 9 14 2 4 3" xfId="27109"/>
    <cellStyle name="Normal 9 14 2 5" xfId="5670"/>
    <cellStyle name="Normal 9 14 2 5 2" xfId="14755"/>
    <cellStyle name="Normal 9 14 2 5 3" xfId="27110"/>
    <cellStyle name="Normal 9 14 2 6" xfId="14751"/>
    <cellStyle name="Normal 9 14 2 7" xfId="27106"/>
    <cellStyle name="Normal 9 14 2_LNG &amp; LPG rework" xfId="9785"/>
    <cellStyle name="Normal 9 14 3" xfId="2054"/>
    <cellStyle name="Normal 9 14 3 2" xfId="2924"/>
    <cellStyle name="Normal 9 14 3 2 2" xfId="14757"/>
    <cellStyle name="Normal 9 14 3 2 3" xfId="27112"/>
    <cellStyle name="Normal 9 14 3 3" xfId="3791"/>
    <cellStyle name="Normal 9 14 3 3 2" xfId="14758"/>
    <cellStyle name="Normal 9 14 3 3 3" xfId="27113"/>
    <cellStyle name="Normal 9 14 3 4" xfId="4669"/>
    <cellStyle name="Normal 9 14 3 4 2" xfId="14759"/>
    <cellStyle name="Normal 9 14 3 4 3" xfId="27114"/>
    <cellStyle name="Normal 9 14 3 5" xfId="5934"/>
    <cellStyle name="Normal 9 14 3 5 2" xfId="14760"/>
    <cellStyle name="Normal 9 14 3 5 3" xfId="27115"/>
    <cellStyle name="Normal 9 14 3 6" xfId="14756"/>
    <cellStyle name="Normal 9 14 3 7" xfId="27111"/>
    <cellStyle name="Normal 9 14 3_LNG &amp; LPG rework" xfId="9786"/>
    <cellStyle name="Normal 9 14 4" xfId="2418"/>
    <cellStyle name="Normal 9 14 4 2" xfId="14761"/>
    <cellStyle name="Normal 9 14 4 3" xfId="27116"/>
    <cellStyle name="Normal 9 14 5" xfId="3277"/>
    <cellStyle name="Normal 9 14 5 2" xfId="14762"/>
    <cellStyle name="Normal 9 14 5 3" xfId="27117"/>
    <cellStyle name="Normal 9 14 6" xfId="4145"/>
    <cellStyle name="Normal 9 14 6 2" xfId="14763"/>
    <cellStyle name="Normal 9 14 6 3" xfId="27118"/>
    <cellStyle name="Normal 9 14 7" xfId="5407"/>
    <cellStyle name="Normal 9 14 7 2" xfId="14764"/>
    <cellStyle name="Normal 9 14 7 3" xfId="27119"/>
    <cellStyle name="Normal 9 14 8" xfId="14750"/>
    <cellStyle name="Normal 9 14 9" xfId="27105"/>
    <cellStyle name="Normal 9 14_LNG &amp; LPG rework" xfId="9784"/>
    <cellStyle name="Normal 9 15" xfId="1416"/>
    <cellStyle name="Normal 9 15 2" xfId="1782"/>
    <cellStyle name="Normal 9 15 2 2" xfId="2673"/>
    <cellStyle name="Normal 9 15 2 2 2" xfId="14767"/>
    <cellStyle name="Normal 9 15 2 2 3" xfId="27122"/>
    <cellStyle name="Normal 9 15 2 3" xfId="3537"/>
    <cellStyle name="Normal 9 15 2 3 2" xfId="14768"/>
    <cellStyle name="Normal 9 15 2 3 3" xfId="27123"/>
    <cellStyle name="Normal 9 15 2 4" xfId="4409"/>
    <cellStyle name="Normal 9 15 2 4 2" xfId="14769"/>
    <cellStyle name="Normal 9 15 2 4 3" xfId="27124"/>
    <cellStyle name="Normal 9 15 2 5" xfId="5674"/>
    <cellStyle name="Normal 9 15 2 5 2" xfId="14770"/>
    <cellStyle name="Normal 9 15 2 5 3" xfId="27125"/>
    <cellStyle name="Normal 9 15 2 6" xfId="14766"/>
    <cellStyle name="Normal 9 15 2 7" xfId="27121"/>
    <cellStyle name="Normal 9 15 2_LNG &amp; LPG rework" xfId="9788"/>
    <cellStyle name="Normal 9 15 3" xfId="2058"/>
    <cellStyle name="Normal 9 15 3 2" xfId="2928"/>
    <cellStyle name="Normal 9 15 3 2 2" xfId="14772"/>
    <cellStyle name="Normal 9 15 3 2 3" xfId="27127"/>
    <cellStyle name="Normal 9 15 3 3" xfId="3795"/>
    <cellStyle name="Normal 9 15 3 3 2" xfId="14773"/>
    <cellStyle name="Normal 9 15 3 3 3" xfId="27128"/>
    <cellStyle name="Normal 9 15 3 4" xfId="4673"/>
    <cellStyle name="Normal 9 15 3 4 2" xfId="14774"/>
    <cellStyle name="Normal 9 15 3 4 3" xfId="27129"/>
    <cellStyle name="Normal 9 15 3 5" xfId="5938"/>
    <cellStyle name="Normal 9 15 3 5 2" xfId="14775"/>
    <cellStyle name="Normal 9 15 3 5 3" xfId="27130"/>
    <cellStyle name="Normal 9 15 3 6" xfId="14771"/>
    <cellStyle name="Normal 9 15 3 7" xfId="27126"/>
    <cellStyle name="Normal 9 15 3_LNG &amp; LPG rework" xfId="9789"/>
    <cellStyle name="Normal 9 15 4" xfId="2422"/>
    <cellStyle name="Normal 9 15 4 2" xfId="14776"/>
    <cellStyle name="Normal 9 15 4 3" xfId="27131"/>
    <cellStyle name="Normal 9 15 5" xfId="3281"/>
    <cellStyle name="Normal 9 15 5 2" xfId="14777"/>
    <cellStyle name="Normal 9 15 5 3" xfId="27132"/>
    <cellStyle name="Normal 9 15 6" xfId="4149"/>
    <cellStyle name="Normal 9 15 6 2" xfId="14778"/>
    <cellStyle name="Normal 9 15 6 3" xfId="27133"/>
    <cellStyle name="Normal 9 15 7" xfId="5411"/>
    <cellStyle name="Normal 9 15 7 2" xfId="14779"/>
    <cellStyle name="Normal 9 15 7 3" xfId="27134"/>
    <cellStyle name="Normal 9 15 8" xfId="14765"/>
    <cellStyle name="Normal 9 15 9" xfId="27120"/>
    <cellStyle name="Normal 9 15_LNG &amp; LPG rework" xfId="9787"/>
    <cellStyle name="Normal 9 16" xfId="1420"/>
    <cellStyle name="Normal 9 16 2" xfId="1786"/>
    <cellStyle name="Normal 9 16 2 2" xfId="2677"/>
    <cellStyle name="Normal 9 16 2 2 2" xfId="14782"/>
    <cellStyle name="Normal 9 16 2 2 3" xfId="27137"/>
    <cellStyle name="Normal 9 16 2 3" xfId="3541"/>
    <cellStyle name="Normal 9 16 2 3 2" xfId="14783"/>
    <cellStyle name="Normal 9 16 2 3 3" xfId="27138"/>
    <cellStyle name="Normal 9 16 2 4" xfId="4413"/>
    <cellStyle name="Normal 9 16 2 4 2" xfId="14784"/>
    <cellStyle name="Normal 9 16 2 4 3" xfId="27139"/>
    <cellStyle name="Normal 9 16 2 5" xfId="5678"/>
    <cellStyle name="Normal 9 16 2 5 2" xfId="14785"/>
    <cellStyle name="Normal 9 16 2 5 3" xfId="27140"/>
    <cellStyle name="Normal 9 16 2 6" xfId="14781"/>
    <cellStyle name="Normal 9 16 2 7" xfId="27136"/>
    <cellStyle name="Normal 9 16 2_LNG &amp; LPG rework" xfId="9791"/>
    <cellStyle name="Normal 9 16 3" xfId="2062"/>
    <cellStyle name="Normal 9 16 3 2" xfId="2932"/>
    <cellStyle name="Normal 9 16 3 2 2" xfId="14787"/>
    <cellStyle name="Normal 9 16 3 2 3" xfId="27142"/>
    <cellStyle name="Normal 9 16 3 3" xfId="3799"/>
    <cellStyle name="Normal 9 16 3 3 2" xfId="14788"/>
    <cellStyle name="Normal 9 16 3 3 3" xfId="27143"/>
    <cellStyle name="Normal 9 16 3 4" xfId="4677"/>
    <cellStyle name="Normal 9 16 3 4 2" xfId="14789"/>
    <cellStyle name="Normal 9 16 3 4 3" xfId="27144"/>
    <cellStyle name="Normal 9 16 3 5" xfId="5942"/>
    <cellStyle name="Normal 9 16 3 5 2" xfId="14790"/>
    <cellStyle name="Normal 9 16 3 5 3" xfId="27145"/>
    <cellStyle name="Normal 9 16 3 6" xfId="14786"/>
    <cellStyle name="Normal 9 16 3 7" xfId="27141"/>
    <cellStyle name="Normal 9 16 3_LNG &amp; LPG rework" xfId="9792"/>
    <cellStyle name="Normal 9 16 4" xfId="2426"/>
    <cellStyle name="Normal 9 16 4 2" xfId="14791"/>
    <cellStyle name="Normal 9 16 4 3" xfId="27146"/>
    <cellStyle name="Normal 9 16 5" xfId="3285"/>
    <cellStyle name="Normal 9 16 5 2" xfId="14792"/>
    <cellStyle name="Normal 9 16 5 3" xfId="27147"/>
    <cellStyle name="Normal 9 16 6" xfId="4153"/>
    <cellStyle name="Normal 9 16 6 2" xfId="14793"/>
    <cellStyle name="Normal 9 16 6 3" xfId="27148"/>
    <cellStyle name="Normal 9 16 7" xfId="5415"/>
    <cellStyle name="Normal 9 16 7 2" xfId="14794"/>
    <cellStyle name="Normal 9 16 7 3" xfId="27149"/>
    <cellStyle name="Normal 9 16 8" xfId="14780"/>
    <cellStyle name="Normal 9 16 9" xfId="27135"/>
    <cellStyle name="Normal 9 16_LNG &amp; LPG rework" xfId="9790"/>
    <cellStyle name="Normal 9 17" xfId="1430"/>
    <cellStyle name="Normal 9 17 2" xfId="1794"/>
    <cellStyle name="Normal 9 17 2 2" xfId="2685"/>
    <cellStyle name="Normal 9 17 2 2 2" xfId="14797"/>
    <cellStyle name="Normal 9 17 2 2 3" xfId="27152"/>
    <cellStyle name="Normal 9 17 2 3" xfId="3549"/>
    <cellStyle name="Normal 9 17 2 3 2" xfId="14798"/>
    <cellStyle name="Normal 9 17 2 3 3" xfId="27153"/>
    <cellStyle name="Normal 9 17 2 4" xfId="4421"/>
    <cellStyle name="Normal 9 17 2 4 2" xfId="14799"/>
    <cellStyle name="Normal 9 17 2 4 3" xfId="27154"/>
    <cellStyle name="Normal 9 17 2 5" xfId="5686"/>
    <cellStyle name="Normal 9 17 2 5 2" xfId="14800"/>
    <cellStyle name="Normal 9 17 2 5 3" xfId="27155"/>
    <cellStyle name="Normal 9 17 2 6" xfId="14796"/>
    <cellStyle name="Normal 9 17 2 7" xfId="27151"/>
    <cellStyle name="Normal 9 17 2_LNG &amp; LPG rework" xfId="9794"/>
    <cellStyle name="Normal 9 17 3" xfId="2070"/>
    <cellStyle name="Normal 9 17 3 2" xfId="2940"/>
    <cellStyle name="Normal 9 17 3 2 2" xfId="14802"/>
    <cellStyle name="Normal 9 17 3 2 3" xfId="27157"/>
    <cellStyle name="Normal 9 17 3 3" xfId="3807"/>
    <cellStyle name="Normal 9 17 3 3 2" xfId="14803"/>
    <cellStyle name="Normal 9 17 3 3 3" xfId="27158"/>
    <cellStyle name="Normal 9 17 3 4" xfId="4685"/>
    <cellStyle name="Normal 9 17 3 4 2" xfId="14804"/>
    <cellStyle name="Normal 9 17 3 4 3" xfId="27159"/>
    <cellStyle name="Normal 9 17 3 5" xfId="5950"/>
    <cellStyle name="Normal 9 17 3 5 2" xfId="14805"/>
    <cellStyle name="Normal 9 17 3 5 3" xfId="27160"/>
    <cellStyle name="Normal 9 17 3 6" xfId="14801"/>
    <cellStyle name="Normal 9 17 3 7" xfId="27156"/>
    <cellStyle name="Normal 9 17 3_LNG &amp; LPG rework" xfId="9795"/>
    <cellStyle name="Normal 9 17 4" xfId="2434"/>
    <cellStyle name="Normal 9 17 4 2" xfId="14806"/>
    <cellStyle name="Normal 9 17 4 3" xfId="27161"/>
    <cellStyle name="Normal 9 17 5" xfId="3293"/>
    <cellStyle name="Normal 9 17 5 2" xfId="14807"/>
    <cellStyle name="Normal 9 17 5 3" xfId="27162"/>
    <cellStyle name="Normal 9 17 6" xfId="4161"/>
    <cellStyle name="Normal 9 17 6 2" xfId="14808"/>
    <cellStyle name="Normal 9 17 6 3" xfId="27163"/>
    <cellStyle name="Normal 9 17 7" xfId="5423"/>
    <cellStyle name="Normal 9 17 7 2" xfId="14809"/>
    <cellStyle name="Normal 9 17 7 3" xfId="27164"/>
    <cellStyle name="Normal 9 17 8" xfId="14795"/>
    <cellStyle name="Normal 9 17 9" xfId="27150"/>
    <cellStyle name="Normal 9 17_LNG &amp; LPG rework" xfId="9793"/>
    <cellStyle name="Normal 9 18" xfId="1436"/>
    <cellStyle name="Normal 9 18 2" xfId="1800"/>
    <cellStyle name="Normal 9 18 2 2" xfId="2690"/>
    <cellStyle name="Normal 9 18 2 2 2" xfId="14812"/>
    <cellStyle name="Normal 9 18 2 2 3" xfId="27167"/>
    <cellStyle name="Normal 9 18 2 3" xfId="3554"/>
    <cellStyle name="Normal 9 18 2 3 2" xfId="14813"/>
    <cellStyle name="Normal 9 18 2 3 3" xfId="27168"/>
    <cellStyle name="Normal 9 18 2 4" xfId="4426"/>
    <cellStyle name="Normal 9 18 2 4 2" xfId="14814"/>
    <cellStyle name="Normal 9 18 2 4 3" xfId="27169"/>
    <cellStyle name="Normal 9 18 2 5" xfId="5691"/>
    <cellStyle name="Normal 9 18 2 5 2" xfId="14815"/>
    <cellStyle name="Normal 9 18 2 5 3" xfId="27170"/>
    <cellStyle name="Normal 9 18 2 6" xfId="14811"/>
    <cellStyle name="Normal 9 18 2 7" xfId="27166"/>
    <cellStyle name="Normal 9 18 2_LNG &amp; LPG rework" xfId="9797"/>
    <cellStyle name="Normal 9 18 3" xfId="2075"/>
    <cellStyle name="Normal 9 18 3 2" xfId="2945"/>
    <cellStyle name="Normal 9 18 3 2 2" xfId="14817"/>
    <cellStyle name="Normal 9 18 3 2 3" xfId="27172"/>
    <cellStyle name="Normal 9 18 3 3" xfId="3812"/>
    <cellStyle name="Normal 9 18 3 3 2" xfId="14818"/>
    <cellStyle name="Normal 9 18 3 3 3" xfId="27173"/>
    <cellStyle name="Normal 9 18 3 4" xfId="4690"/>
    <cellStyle name="Normal 9 18 3 4 2" xfId="14819"/>
    <cellStyle name="Normal 9 18 3 4 3" xfId="27174"/>
    <cellStyle name="Normal 9 18 3 5" xfId="5955"/>
    <cellStyle name="Normal 9 18 3 5 2" xfId="14820"/>
    <cellStyle name="Normal 9 18 3 5 3" xfId="27175"/>
    <cellStyle name="Normal 9 18 3 6" xfId="14816"/>
    <cellStyle name="Normal 9 18 3 7" xfId="27171"/>
    <cellStyle name="Normal 9 18 3_LNG &amp; LPG rework" xfId="9798"/>
    <cellStyle name="Normal 9 18 4" xfId="2439"/>
    <cellStyle name="Normal 9 18 4 2" xfId="14821"/>
    <cellStyle name="Normal 9 18 4 3" xfId="27176"/>
    <cellStyle name="Normal 9 18 5" xfId="3298"/>
    <cellStyle name="Normal 9 18 5 2" xfId="14822"/>
    <cellStyle name="Normal 9 18 5 3" xfId="27177"/>
    <cellStyle name="Normal 9 18 6" xfId="4166"/>
    <cellStyle name="Normal 9 18 6 2" xfId="14823"/>
    <cellStyle name="Normal 9 18 6 3" xfId="27178"/>
    <cellStyle name="Normal 9 18 7" xfId="5428"/>
    <cellStyle name="Normal 9 18 7 2" xfId="14824"/>
    <cellStyle name="Normal 9 18 7 3" xfId="27179"/>
    <cellStyle name="Normal 9 18 8" xfId="14810"/>
    <cellStyle name="Normal 9 18 9" xfId="27165"/>
    <cellStyle name="Normal 9 18_LNG &amp; LPG rework" xfId="9796"/>
    <cellStyle name="Normal 9 19" xfId="1664"/>
    <cellStyle name="Normal 9 19 2" xfId="1969"/>
    <cellStyle name="Normal 9 19 2 2" xfId="2858"/>
    <cellStyle name="Normal 9 19 2 2 2" xfId="14827"/>
    <cellStyle name="Normal 9 19 2 2 3" xfId="27182"/>
    <cellStyle name="Normal 9 19 2 3" xfId="3722"/>
    <cellStyle name="Normal 9 19 2 3 2" xfId="14828"/>
    <cellStyle name="Normal 9 19 2 3 3" xfId="27183"/>
    <cellStyle name="Normal 9 19 2 4" xfId="4597"/>
    <cellStyle name="Normal 9 19 2 4 2" xfId="14829"/>
    <cellStyle name="Normal 9 19 2 4 3" xfId="27184"/>
    <cellStyle name="Normal 9 19 2 5" xfId="5862"/>
    <cellStyle name="Normal 9 19 2 5 2" xfId="14830"/>
    <cellStyle name="Normal 9 19 2 5 3" xfId="27185"/>
    <cellStyle name="Normal 9 19 2 6" xfId="14826"/>
    <cellStyle name="Normal 9 19 2 7" xfId="27181"/>
    <cellStyle name="Normal 9 19 2_LNG &amp; LPG rework" xfId="9800"/>
    <cellStyle name="Normal 9 19 3" xfId="2243"/>
    <cellStyle name="Normal 9 19 3 2" xfId="3113"/>
    <cellStyle name="Normal 9 19 3 2 2" xfId="14832"/>
    <cellStyle name="Normal 9 19 3 2 3" xfId="27187"/>
    <cellStyle name="Normal 9 19 3 3" xfId="3983"/>
    <cellStyle name="Normal 9 19 3 3 2" xfId="14833"/>
    <cellStyle name="Normal 9 19 3 3 3" xfId="27188"/>
    <cellStyle name="Normal 9 19 3 4" xfId="4861"/>
    <cellStyle name="Normal 9 19 3 4 2" xfId="14834"/>
    <cellStyle name="Normal 9 19 3 4 3" xfId="27189"/>
    <cellStyle name="Normal 9 19 3 5" xfId="6126"/>
    <cellStyle name="Normal 9 19 3 5 2" xfId="14835"/>
    <cellStyle name="Normal 9 19 3 5 3" xfId="27190"/>
    <cellStyle name="Normal 9 19 3 6" xfId="14831"/>
    <cellStyle name="Normal 9 19 3 7" xfId="27186"/>
    <cellStyle name="Normal 9 19 3_LNG &amp; LPG rework" xfId="9801"/>
    <cellStyle name="Normal 9 19 4" xfId="2608"/>
    <cellStyle name="Normal 9 19 4 2" xfId="14836"/>
    <cellStyle name="Normal 9 19 4 3" xfId="27191"/>
    <cellStyle name="Normal 9 19 5" xfId="3471"/>
    <cellStyle name="Normal 9 19 5 2" xfId="14837"/>
    <cellStyle name="Normal 9 19 5 3" xfId="27192"/>
    <cellStyle name="Normal 9 19 6" xfId="4339"/>
    <cellStyle name="Normal 9 19 6 2" xfId="14838"/>
    <cellStyle name="Normal 9 19 6 3" xfId="27193"/>
    <cellStyle name="Normal 9 19 7" xfId="5601"/>
    <cellStyle name="Normal 9 19 7 2" xfId="14839"/>
    <cellStyle name="Normal 9 19 7 3" xfId="27194"/>
    <cellStyle name="Normal 9 19 8" xfId="14825"/>
    <cellStyle name="Normal 9 19 9" xfId="27180"/>
    <cellStyle name="Normal 9 19_LNG &amp; LPG rework" xfId="9799"/>
    <cellStyle name="Normal 9 2" xfId="1280"/>
    <cellStyle name="Normal 9 2 10" xfId="5232"/>
    <cellStyle name="Normal 9 2 10 2" xfId="14840"/>
    <cellStyle name="Normal 9 2 10 3" xfId="27196"/>
    <cellStyle name="Normal 9 2 11" xfId="5354"/>
    <cellStyle name="Normal 9 2 11 2" xfId="14841"/>
    <cellStyle name="Normal 9 2 11 3" xfId="27197"/>
    <cellStyle name="Normal 9 2 12" xfId="10436"/>
    <cellStyle name="Normal 9 2 13" xfId="27195"/>
    <cellStyle name="Normal 9 2 2" xfId="1572"/>
    <cellStyle name="Normal 9 2 2 10" xfId="5544"/>
    <cellStyle name="Normal 9 2 2 10 2" xfId="14842"/>
    <cellStyle name="Normal 9 2 2 10 3" xfId="27199"/>
    <cellStyle name="Normal 9 2 2 11" xfId="10437"/>
    <cellStyle name="Normal 9 2 2 12" xfId="27198"/>
    <cellStyle name="Normal 9 2 2 2" xfId="1573"/>
    <cellStyle name="Normal 9 2 2 2 10" xfId="27200"/>
    <cellStyle name="Normal 9 2 2 2 2" xfId="1912"/>
    <cellStyle name="Normal 9 2 2 2 2 2" xfId="2802"/>
    <cellStyle name="Normal 9 2 2 2 2 2 2" xfId="14843"/>
    <cellStyle name="Normal 9 2 2 2 2 2 3" xfId="27202"/>
    <cellStyle name="Normal 9 2 2 2 2 3" xfId="3666"/>
    <cellStyle name="Normal 9 2 2 2 2 3 2" xfId="14844"/>
    <cellStyle name="Normal 9 2 2 2 2 3 3" xfId="27203"/>
    <cellStyle name="Normal 9 2 2 2 2 4" xfId="4541"/>
    <cellStyle name="Normal 9 2 2 2 2 4 2" xfId="14845"/>
    <cellStyle name="Normal 9 2 2 2 2 4 3" xfId="27204"/>
    <cellStyle name="Normal 9 2 2 2 2 5" xfId="5235"/>
    <cellStyle name="Normal 9 2 2 2 2 5 2" xfId="14846"/>
    <cellStyle name="Normal 9 2 2 2 2 5 3" xfId="27205"/>
    <cellStyle name="Normal 9 2 2 2 2 6" xfId="5806"/>
    <cellStyle name="Normal 9 2 2 2 2 6 2" xfId="14847"/>
    <cellStyle name="Normal 9 2 2 2 2 6 3" xfId="27206"/>
    <cellStyle name="Normal 9 2 2 2 2 7" xfId="10439"/>
    <cellStyle name="Normal 9 2 2 2 2 8" xfId="27201"/>
    <cellStyle name="Normal 9 2 2 2 2_LNG &amp; LPG rework" xfId="9805"/>
    <cellStyle name="Normal 9 2 2 2 3" xfId="2187"/>
    <cellStyle name="Normal 9 2 2 2 3 2" xfId="3057"/>
    <cellStyle name="Normal 9 2 2 2 3 2 2" xfId="14849"/>
    <cellStyle name="Normal 9 2 2 2 3 2 3" xfId="27208"/>
    <cellStyle name="Normal 9 2 2 2 3 3" xfId="3927"/>
    <cellStyle name="Normal 9 2 2 2 3 3 2" xfId="14850"/>
    <cellStyle name="Normal 9 2 2 2 3 3 3" xfId="27209"/>
    <cellStyle name="Normal 9 2 2 2 3 4" xfId="4805"/>
    <cellStyle name="Normal 9 2 2 2 3 4 2" xfId="14851"/>
    <cellStyle name="Normal 9 2 2 2 3 4 3" xfId="27210"/>
    <cellStyle name="Normal 9 2 2 2 3 5" xfId="6070"/>
    <cellStyle name="Normal 9 2 2 2 3 5 2" xfId="14852"/>
    <cellStyle name="Normal 9 2 2 2 3 5 3" xfId="27211"/>
    <cellStyle name="Normal 9 2 2 2 3 6" xfId="14848"/>
    <cellStyle name="Normal 9 2 2 2 3 7" xfId="27207"/>
    <cellStyle name="Normal 9 2 2 2 3_LNG &amp; LPG rework" xfId="9806"/>
    <cellStyle name="Normal 9 2 2 2 4" xfId="2552"/>
    <cellStyle name="Normal 9 2 2 2 4 2" xfId="14853"/>
    <cellStyle name="Normal 9 2 2 2 4 3" xfId="27212"/>
    <cellStyle name="Normal 9 2 2 2 5" xfId="3415"/>
    <cellStyle name="Normal 9 2 2 2 5 2" xfId="14854"/>
    <cellStyle name="Normal 9 2 2 2 5 3" xfId="27213"/>
    <cellStyle name="Normal 9 2 2 2 6" xfId="4283"/>
    <cellStyle name="Normal 9 2 2 2 6 2" xfId="14855"/>
    <cellStyle name="Normal 9 2 2 2 6 3" xfId="27214"/>
    <cellStyle name="Normal 9 2 2 2 7" xfId="5234"/>
    <cellStyle name="Normal 9 2 2 2 7 2" xfId="14856"/>
    <cellStyle name="Normal 9 2 2 2 7 3" xfId="27215"/>
    <cellStyle name="Normal 9 2 2 2 8" xfId="5545"/>
    <cellStyle name="Normal 9 2 2 2 8 2" xfId="14857"/>
    <cellStyle name="Normal 9 2 2 2 8 3" xfId="27216"/>
    <cellStyle name="Normal 9 2 2 2 9" xfId="10438"/>
    <cellStyle name="Normal 9 2 2 2_LNG &amp; LPG rework" xfId="9804"/>
    <cellStyle name="Normal 9 2 2 3" xfId="1911"/>
    <cellStyle name="Normal 9 2 2 3 2" xfId="2801"/>
    <cellStyle name="Normal 9 2 2 3 2 2" xfId="14858"/>
    <cellStyle name="Normal 9 2 2 3 2 3" xfId="27218"/>
    <cellStyle name="Normal 9 2 2 3 3" xfId="3665"/>
    <cellStyle name="Normal 9 2 2 3 3 2" xfId="14859"/>
    <cellStyle name="Normal 9 2 2 3 3 3" xfId="27219"/>
    <cellStyle name="Normal 9 2 2 3 4" xfId="4540"/>
    <cellStyle name="Normal 9 2 2 3 4 2" xfId="14860"/>
    <cellStyle name="Normal 9 2 2 3 4 3" xfId="27220"/>
    <cellStyle name="Normal 9 2 2 3 5" xfId="5236"/>
    <cellStyle name="Normal 9 2 2 3 5 2" xfId="14861"/>
    <cellStyle name="Normal 9 2 2 3 5 3" xfId="27221"/>
    <cellStyle name="Normal 9 2 2 3 6" xfId="5805"/>
    <cellStyle name="Normal 9 2 2 3 6 2" xfId="14862"/>
    <cellStyle name="Normal 9 2 2 3 6 3" xfId="27222"/>
    <cellStyle name="Normal 9 2 2 3 7" xfId="10440"/>
    <cellStyle name="Normal 9 2 2 3 8" xfId="27217"/>
    <cellStyle name="Normal 9 2 2 3_LNG &amp; LPG rework" xfId="9807"/>
    <cellStyle name="Normal 9 2 2 4" xfId="2186"/>
    <cellStyle name="Normal 9 2 2 4 2" xfId="3056"/>
    <cellStyle name="Normal 9 2 2 4 2 2" xfId="14864"/>
    <cellStyle name="Normal 9 2 2 4 2 3" xfId="27224"/>
    <cellStyle name="Normal 9 2 2 4 3" xfId="3926"/>
    <cellStyle name="Normal 9 2 2 4 3 2" xfId="14865"/>
    <cellStyle name="Normal 9 2 2 4 3 3" xfId="27225"/>
    <cellStyle name="Normal 9 2 2 4 4" xfId="4804"/>
    <cellStyle name="Normal 9 2 2 4 4 2" xfId="14866"/>
    <cellStyle name="Normal 9 2 2 4 4 3" xfId="27226"/>
    <cellStyle name="Normal 9 2 2 4 5" xfId="6069"/>
    <cellStyle name="Normal 9 2 2 4 5 2" xfId="14867"/>
    <cellStyle name="Normal 9 2 2 4 5 3" xfId="27227"/>
    <cellStyle name="Normal 9 2 2 4 6" xfId="14863"/>
    <cellStyle name="Normal 9 2 2 4 7" xfId="27223"/>
    <cellStyle name="Normal 9 2 2 4_LNG &amp; LPG rework" xfId="9808"/>
    <cellStyle name="Normal 9 2 2 5" xfId="2347"/>
    <cellStyle name="Normal 9 2 2 5 2" xfId="3206"/>
    <cellStyle name="Normal 9 2 2 5 2 2" xfId="14869"/>
    <cellStyle name="Normal 9 2 2 5 2 3" xfId="27229"/>
    <cellStyle name="Normal 9 2 2 5 3" xfId="4072"/>
    <cellStyle name="Normal 9 2 2 5 3 2" xfId="14870"/>
    <cellStyle name="Normal 9 2 2 5 3 3" xfId="27230"/>
    <cellStyle name="Normal 9 2 2 5 4" xfId="4951"/>
    <cellStyle name="Normal 9 2 2 5 4 2" xfId="14871"/>
    <cellStyle name="Normal 9 2 2 5 4 3" xfId="27231"/>
    <cellStyle name="Normal 9 2 2 5 5" xfId="6216"/>
    <cellStyle name="Normal 9 2 2 5 5 2" xfId="14872"/>
    <cellStyle name="Normal 9 2 2 5 5 3" xfId="27232"/>
    <cellStyle name="Normal 9 2 2 5 6" xfId="14868"/>
    <cellStyle name="Normal 9 2 2 5 7" xfId="27228"/>
    <cellStyle name="Normal 9 2 2 5_LNG &amp; LPG rework" xfId="9809"/>
    <cellStyle name="Normal 9 2 2 6" xfId="2551"/>
    <cellStyle name="Normal 9 2 2 6 2" xfId="14873"/>
    <cellStyle name="Normal 9 2 2 6 3" xfId="27233"/>
    <cellStyle name="Normal 9 2 2 7" xfId="3414"/>
    <cellStyle name="Normal 9 2 2 7 2" xfId="14874"/>
    <cellStyle name="Normal 9 2 2 7 3" xfId="27234"/>
    <cellStyle name="Normal 9 2 2 8" xfId="4282"/>
    <cellStyle name="Normal 9 2 2 8 2" xfId="14875"/>
    <cellStyle name="Normal 9 2 2 8 3" xfId="27235"/>
    <cellStyle name="Normal 9 2 2 9" xfId="5233"/>
    <cellStyle name="Normal 9 2 2 9 2" xfId="14876"/>
    <cellStyle name="Normal 9 2 2 9 3" xfId="27236"/>
    <cellStyle name="Normal 9 2 2_LNG &amp; LPG rework" xfId="9803"/>
    <cellStyle name="Normal 9 2 3" xfId="1574"/>
    <cellStyle name="Normal 9 2 3 10" xfId="27237"/>
    <cellStyle name="Normal 9 2 3 2" xfId="1913"/>
    <cellStyle name="Normal 9 2 3 2 2" xfId="2803"/>
    <cellStyle name="Normal 9 2 3 2 2 2" xfId="14877"/>
    <cellStyle name="Normal 9 2 3 2 2 3" xfId="27239"/>
    <cellStyle name="Normal 9 2 3 2 3" xfId="3667"/>
    <cellStyle name="Normal 9 2 3 2 3 2" xfId="14878"/>
    <cellStyle name="Normal 9 2 3 2 3 3" xfId="27240"/>
    <cellStyle name="Normal 9 2 3 2 4" xfId="4542"/>
    <cellStyle name="Normal 9 2 3 2 4 2" xfId="14879"/>
    <cellStyle name="Normal 9 2 3 2 4 3" xfId="27241"/>
    <cellStyle name="Normal 9 2 3 2 5" xfId="5238"/>
    <cellStyle name="Normal 9 2 3 2 5 2" xfId="14880"/>
    <cellStyle name="Normal 9 2 3 2 5 3" xfId="27242"/>
    <cellStyle name="Normal 9 2 3 2 6" xfId="5807"/>
    <cellStyle name="Normal 9 2 3 2 6 2" xfId="14881"/>
    <cellStyle name="Normal 9 2 3 2 6 3" xfId="27243"/>
    <cellStyle name="Normal 9 2 3 2 7" xfId="10442"/>
    <cellStyle name="Normal 9 2 3 2 8" xfId="27238"/>
    <cellStyle name="Normal 9 2 3 2_LNG &amp; LPG rework" xfId="9811"/>
    <cellStyle name="Normal 9 2 3 3" xfId="2188"/>
    <cellStyle name="Normal 9 2 3 3 2" xfId="3058"/>
    <cellStyle name="Normal 9 2 3 3 2 2" xfId="14883"/>
    <cellStyle name="Normal 9 2 3 3 2 3" xfId="27245"/>
    <cellStyle name="Normal 9 2 3 3 3" xfId="3928"/>
    <cellStyle name="Normal 9 2 3 3 3 2" xfId="14884"/>
    <cellStyle name="Normal 9 2 3 3 3 3" xfId="27246"/>
    <cellStyle name="Normal 9 2 3 3 4" xfId="4806"/>
    <cellStyle name="Normal 9 2 3 3 4 2" xfId="14885"/>
    <cellStyle name="Normal 9 2 3 3 4 3" xfId="27247"/>
    <cellStyle name="Normal 9 2 3 3 5" xfId="6071"/>
    <cellStyle name="Normal 9 2 3 3 5 2" xfId="14886"/>
    <cellStyle name="Normal 9 2 3 3 5 3" xfId="27248"/>
    <cellStyle name="Normal 9 2 3 3 6" xfId="14882"/>
    <cellStyle name="Normal 9 2 3 3 7" xfId="27244"/>
    <cellStyle name="Normal 9 2 3 3_LNG &amp; LPG rework" xfId="9812"/>
    <cellStyle name="Normal 9 2 3 4" xfId="2553"/>
    <cellStyle name="Normal 9 2 3 4 2" xfId="14887"/>
    <cellStyle name="Normal 9 2 3 4 3" xfId="27249"/>
    <cellStyle name="Normal 9 2 3 5" xfId="3416"/>
    <cellStyle name="Normal 9 2 3 5 2" xfId="14888"/>
    <cellStyle name="Normal 9 2 3 5 3" xfId="27250"/>
    <cellStyle name="Normal 9 2 3 6" xfId="4284"/>
    <cellStyle name="Normal 9 2 3 6 2" xfId="14889"/>
    <cellStyle name="Normal 9 2 3 6 3" xfId="27251"/>
    <cellStyle name="Normal 9 2 3 7" xfId="5237"/>
    <cellStyle name="Normal 9 2 3 7 2" xfId="14890"/>
    <cellStyle name="Normal 9 2 3 7 3" xfId="27252"/>
    <cellStyle name="Normal 9 2 3 8" xfId="5546"/>
    <cellStyle name="Normal 9 2 3 8 2" xfId="14891"/>
    <cellStyle name="Normal 9 2 3 8 3" xfId="27253"/>
    <cellStyle name="Normal 9 2 3 9" xfId="10441"/>
    <cellStyle name="Normal 9 2 3_LNG &amp; LPG rework" xfId="9810"/>
    <cellStyle name="Normal 9 2 4" xfId="1687"/>
    <cellStyle name="Normal 9 2 4 2" xfId="2619"/>
    <cellStyle name="Normal 9 2 4 2 2" xfId="14892"/>
    <cellStyle name="Normal 9 2 4 2 3" xfId="27255"/>
    <cellStyle name="Normal 9 2 4 3" xfId="3482"/>
    <cellStyle name="Normal 9 2 4 3 2" xfId="14893"/>
    <cellStyle name="Normal 9 2 4 3 3" xfId="27256"/>
    <cellStyle name="Normal 9 2 4 4" xfId="4353"/>
    <cellStyle name="Normal 9 2 4 4 2" xfId="14894"/>
    <cellStyle name="Normal 9 2 4 4 3" xfId="27257"/>
    <cellStyle name="Normal 9 2 4 5" xfId="5239"/>
    <cellStyle name="Normal 9 2 4 5 2" xfId="14895"/>
    <cellStyle name="Normal 9 2 4 5 3" xfId="27258"/>
    <cellStyle name="Normal 9 2 4 6" xfId="5617"/>
    <cellStyle name="Normal 9 2 4 6 2" xfId="14896"/>
    <cellStyle name="Normal 9 2 4 6 3" xfId="27259"/>
    <cellStyle name="Normal 9 2 4 7" xfId="10443"/>
    <cellStyle name="Normal 9 2 4 8" xfId="27254"/>
    <cellStyle name="Normal 9 2 4_LNG &amp; LPG rework" xfId="9813"/>
    <cellStyle name="Normal 9 2 5" xfId="2004"/>
    <cellStyle name="Normal 9 2 5 2" xfId="2874"/>
    <cellStyle name="Normal 9 2 5 2 2" xfId="14898"/>
    <cellStyle name="Normal 9 2 5 2 3" xfId="27261"/>
    <cellStyle name="Normal 9 2 5 3" xfId="3740"/>
    <cellStyle name="Normal 9 2 5 3 2" xfId="14899"/>
    <cellStyle name="Normal 9 2 5 3 3" xfId="27262"/>
    <cellStyle name="Normal 9 2 5 4" xfId="4617"/>
    <cellStyle name="Normal 9 2 5 4 2" xfId="14900"/>
    <cellStyle name="Normal 9 2 5 4 3" xfId="27263"/>
    <cellStyle name="Normal 9 2 5 5" xfId="5882"/>
    <cellStyle name="Normal 9 2 5 5 2" xfId="14901"/>
    <cellStyle name="Normal 9 2 5 5 3" xfId="27264"/>
    <cellStyle name="Normal 9 2 5 6" xfId="14897"/>
    <cellStyle name="Normal 9 2 5 7" xfId="27260"/>
    <cellStyle name="Normal 9 2 5_LNG &amp; LPG rework" xfId="9814"/>
    <cellStyle name="Normal 9 2 6" xfId="2303"/>
    <cellStyle name="Normal 9 2 6 2" xfId="3162"/>
    <cellStyle name="Normal 9 2 6 2 2" xfId="14903"/>
    <cellStyle name="Normal 9 2 6 2 3" xfId="27266"/>
    <cellStyle name="Normal 9 2 6 3" xfId="4028"/>
    <cellStyle name="Normal 9 2 6 3 2" xfId="14904"/>
    <cellStyle name="Normal 9 2 6 3 3" xfId="27267"/>
    <cellStyle name="Normal 9 2 6 4" xfId="4907"/>
    <cellStyle name="Normal 9 2 6 4 2" xfId="14905"/>
    <cellStyle name="Normal 9 2 6 4 3" xfId="27268"/>
    <cellStyle name="Normal 9 2 6 5" xfId="6172"/>
    <cellStyle name="Normal 9 2 6 5 2" xfId="14906"/>
    <cellStyle name="Normal 9 2 6 5 3" xfId="27269"/>
    <cellStyle name="Normal 9 2 6 6" xfId="14902"/>
    <cellStyle name="Normal 9 2 6 7" xfId="27265"/>
    <cellStyle name="Normal 9 2 6_LNG &amp; LPG rework" xfId="9815"/>
    <cellStyle name="Normal 9 2 7" xfId="2368"/>
    <cellStyle name="Normal 9 2 7 2" xfId="14907"/>
    <cellStyle name="Normal 9 2 7 3" xfId="27270"/>
    <cellStyle name="Normal 9 2 8" xfId="3227"/>
    <cellStyle name="Normal 9 2 8 2" xfId="14908"/>
    <cellStyle name="Normal 9 2 8 3" xfId="27271"/>
    <cellStyle name="Normal 9 2 9" xfId="4093"/>
    <cellStyle name="Normal 9 2 9 2" xfId="14909"/>
    <cellStyle name="Normal 9 2 9 3" xfId="27272"/>
    <cellStyle name="Normal 9 2_LNG &amp; LPG rework" xfId="9802"/>
    <cellStyle name="Normal 9 20" xfId="1679"/>
    <cellStyle name="Normal 9 20 2" xfId="1997"/>
    <cellStyle name="Normal 9 20 2 2" xfId="2867"/>
    <cellStyle name="Normal 9 20 2 2 2" xfId="14912"/>
    <cellStyle name="Normal 9 20 2 2 3" xfId="27275"/>
    <cellStyle name="Normal 9 20 2 3" xfId="3733"/>
    <cellStyle name="Normal 9 20 2 3 2" xfId="14913"/>
    <cellStyle name="Normal 9 20 2 3 3" xfId="27276"/>
    <cellStyle name="Normal 9 20 2 4" xfId="4610"/>
    <cellStyle name="Normal 9 20 2 4 2" xfId="14914"/>
    <cellStyle name="Normal 9 20 2 4 3" xfId="27277"/>
    <cellStyle name="Normal 9 20 2 5" xfId="5875"/>
    <cellStyle name="Normal 9 20 2 5 2" xfId="14915"/>
    <cellStyle name="Normal 9 20 2 5 3" xfId="27278"/>
    <cellStyle name="Normal 9 20 2 6" xfId="14911"/>
    <cellStyle name="Normal 9 20 2 7" xfId="27274"/>
    <cellStyle name="Normal 9 20 2_LNG &amp; LPG rework" xfId="9817"/>
    <cellStyle name="Normal 9 20 3" xfId="2612"/>
    <cellStyle name="Normal 9 20 3 2" xfId="14916"/>
    <cellStyle name="Normal 9 20 3 3" xfId="27279"/>
    <cellStyle name="Normal 9 20 4" xfId="3475"/>
    <cellStyle name="Normal 9 20 4 2" xfId="14917"/>
    <cellStyle name="Normal 9 20 4 3" xfId="27280"/>
    <cellStyle name="Normal 9 20 5" xfId="4346"/>
    <cellStyle name="Normal 9 20 5 2" xfId="14918"/>
    <cellStyle name="Normal 9 20 5 3" xfId="27281"/>
    <cellStyle name="Normal 9 20 6" xfId="5610"/>
    <cellStyle name="Normal 9 20 6 2" xfId="14919"/>
    <cellStyle name="Normal 9 20 6 3" xfId="27282"/>
    <cellStyle name="Normal 9 20 7" xfId="14910"/>
    <cellStyle name="Normal 9 20 8" xfId="27273"/>
    <cellStyle name="Normal 9 20_LNG &amp; LPG rework" xfId="9816"/>
    <cellStyle name="Normal 9 21" xfId="2255"/>
    <cellStyle name="Normal 9 21 2" xfId="3124"/>
    <cellStyle name="Normal 9 21 2 2" xfId="14921"/>
    <cellStyle name="Normal 9 21 2 3" xfId="27284"/>
    <cellStyle name="Normal 9 21 3" xfId="3993"/>
    <cellStyle name="Normal 9 21 3 2" xfId="14922"/>
    <cellStyle name="Normal 9 21 3 3" xfId="27285"/>
    <cellStyle name="Normal 9 21 4" xfId="4872"/>
    <cellStyle name="Normal 9 21 4 2" xfId="14923"/>
    <cellStyle name="Normal 9 21 4 3" xfId="27286"/>
    <cellStyle name="Normal 9 21 5" xfId="6137"/>
    <cellStyle name="Normal 9 21 5 2" xfId="14924"/>
    <cellStyle name="Normal 9 21 5 3" xfId="27287"/>
    <cellStyle name="Normal 9 21 6" xfId="14920"/>
    <cellStyle name="Normal 9 21 7" xfId="27283"/>
    <cellStyle name="Normal 9 21_LNG &amp; LPG rework" xfId="9818"/>
    <cellStyle name="Normal 9 22" xfId="2270"/>
    <cellStyle name="Normal 9 22 2" xfId="3133"/>
    <cellStyle name="Normal 9 22 2 2" xfId="14926"/>
    <cellStyle name="Normal 9 22 2 3" xfId="27289"/>
    <cellStyle name="Normal 9 22 3" xfId="4001"/>
    <cellStyle name="Normal 9 22 3 2" xfId="14927"/>
    <cellStyle name="Normal 9 22 3 3" xfId="27290"/>
    <cellStyle name="Normal 9 22 4" xfId="4880"/>
    <cellStyle name="Normal 9 22 4 2" xfId="14928"/>
    <cellStyle name="Normal 9 22 4 3" xfId="27291"/>
    <cellStyle name="Normal 9 22 5" xfId="6145"/>
    <cellStyle name="Normal 9 22 5 2" xfId="14929"/>
    <cellStyle name="Normal 9 22 5 3" xfId="27292"/>
    <cellStyle name="Normal 9 22 6" xfId="14925"/>
    <cellStyle name="Normal 9 22 7" xfId="27288"/>
    <cellStyle name="Normal 9 22_LNG &amp; LPG rework" xfId="9819"/>
    <cellStyle name="Normal 9 23" xfId="2361"/>
    <cellStyle name="Normal 9 23 2" xfId="14930"/>
    <cellStyle name="Normal 9 23 3" xfId="27293"/>
    <cellStyle name="Normal 9 24" xfId="3220"/>
    <cellStyle name="Normal 9 24 2" xfId="14931"/>
    <cellStyle name="Normal 9 24 3" xfId="27294"/>
    <cellStyle name="Normal 9 25" xfId="4086"/>
    <cellStyle name="Normal 9 25 2" xfId="14932"/>
    <cellStyle name="Normal 9 25 3" xfId="27295"/>
    <cellStyle name="Normal 9 26" xfId="5231"/>
    <cellStyle name="Normal 9 26 2" xfId="14933"/>
    <cellStyle name="Normal 9 26 3" xfId="27296"/>
    <cellStyle name="Normal 9 27" xfId="5347"/>
    <cellStyle name="Normal 9 27 2" xfId="14934"/>
    <cellStyle name="Normal 9 27 3" xfId="27297"/>
    <cellStyle name="Normal 9 28" xfId="1271"/>
    <cellStyle name="Normal 9 28 2" xfId="14935"/>
    <cellStyle name="Normal 9 28 3" xfId="27298"/>
    <cellStyle name="Normal 9 29" xfId="10435"/>
    <cellStyle name="Normal 9 3" xfId="1291"/>
    <cellStyle name="Normal 9 3 10" xfId="5358"/>
    <cellStyle name="Normal 9 3 10 2" xfId="14936"/>
    <cellStyle name="Normal 9 3 10 3" xfId="27300"/>
    <cellStyle name="Normal 9 3 11" xfId="10444"/>
    <cellStyle name="Normal 9 3 12" xfId="27299"/>
    <cellStyle name="Normal 9 3 2" xfId="1575"/>
    <cellStyle name="Normal 9 3 2 10" xfId="27301"/>
    <cellStyle name="Normal 9 3 2 2" xfId="1914"/>
    <cellStyle name="Normal 9 3 2 2 2" xfId="2804"/>
    <cellStyle name="Normal 9 3 2 2 2 2" xfId="14937"/>
    <cellStyle name="Normal 9 3 2 2 2 3" xfId="27303"/>
    <cellStyle name="Normal 9 3 2 2 3" xfId="3668"/>
    <cellStyle name="Normal 9 3 2 2 3 2" xfId="14938"/>
    <cellStyle name="Normal 9 3 2 2 3 3" xfId="27304"/>
    <cellStyle name="Normal 9 3 2 2 4" xfId="4543"/>
    <cellStyle name="Normal 9 3 2 2 4 2" xfId="14939"/>
    <cellStyle name="Normal 9 3 2 2 4 3" xfId="27305"/>
    <cellStyle name="Normal 9 3 2 2 5" xfId="5242"/>
    <cellStyle name="Normal 9 3 2 2 5 2" xfId="14940"/>
    <cellStyle name="Normal 9 3 2 2 5 3" xfId="27306"/>
    <cellStyle name="Normal 9 3 2 2 6" xfId="5808"/>
    <cellStyle name="Normal 9 3 2 2 6 2" xfId="14941"/>
    <cellStyle name="Normal 9 3 2 2 6 3" xfId="27307"/>
    <cellStyle name="Normal 9 3 2 2 7" xfId="10446"/>
    <cellStyle name="Normal 9 3 2 2 8" xfId="27302"/>
    <cellStyle name="Normal 9 3 2 2_LNG &amp; LPG rework" xfId="9822"/>
    <cellStyle name="Normal 9 3 2 3" xfId="2189"/>
    <cellStyle name="Normal 9 3 2 3 2" xfId="3059"/>
    <cellStyle name="Normal 9 3 2 3 2 2" xfId="14943"/>
    <cellStyle name="Normal 9 3 2 3 2 3" xfId="27309"/>
    <cellStyle name="Normal 9 3 2 3 3" xfId="3929"/>
    <cellStyle name="Normal 9 3 2 3 3 2" xfId="14944"/>
    <cellStyle name="Normal 9 3 2 3 3 3" xfId="27310"/>
    <cellStyle name="Normal 9 3 2 3 4" xfId="4807"/>
    <cellStyle name="Normal 9 3 2 3 4 2" xfId="14945"/>
    <cellStyle name="Normal 9 3 2 3 4 3" xfId="27311"/>
    <cellStyle name="Normal 9 3 2 3 5" xfId="6072"/>
    <cellStyle name="Normal 9 3 2 3 5 2" xfId="14946"/>
    <cellStyle name="Normal 9 3 2 3 5 3" xfId="27312"/>
    <cellStyle name="Normal 9 3 2 3 6" xfId="14942"/>
    <cellStyle name="Normal 9 3 2 3 7" xfId="27308"/>
    <cellStyle name="Normal 9 3 2 3_LNG &amp; LPG rework" xfId="9823"/>
    <cellStyle name="Normal 9 3 2 4" xfId="2554"/>
    <cellStyle name="Normal 9 3 2 4 2" xfId="14947"/>
    <cellStyle name="Normal 9 3 2 4 3" xfId="27313"/>
    <cellStyle name="Normal 9 3 2 5" xfId="3417"/>
    <cellStyle name="Normal 9 3 2 5 2" xfId="14948"/>
    <cellStyle name="Normal 9 3 2 5 3" xfId="27314"/>
    <cellStyle name="Normal 9 3 2 6" xfId="4285"/>
    <cellStyle name="Normal 9 3 2 6 2" xfId="14949"/>
    <cellStyle name="Normal 9 3 2 6 3" xfId="27315"/>
    <cellStyle name="Normal 9 3 2 7" xfId="5241"/>
    <cellStyle name="Normal 9 3 2 7 2" xfId="14950"/>
    <cellStyle name="Normal 9 3 2 7 3" xfId="27316"/>
    <cellStyle name="Normal 9 3 2 8" xfId="5547"/>
    <cellStyle name="Normal 9 3 2 8 2" xfId="14951"/>
    <cellStyle name="Normal 9 3 2 8 3" xfId="27317"/>
    <cellStyle name="Normal 9 3 2 9" xfId="10445"/>
    <cellStyle name="Normal 9 3 2_LNG &amp; LPG rework" xfId="9821"/>
    <cellStyle name="Normal 9 3 3" xfId="1698"/>
    <cellStyle name="Normal 9 3 3 2" xfId="2623"/>
    <cellStyle name="Normal 9 3 3 2 2" xfId="14952"/>
    <cellStyle name="Normal 9 3 3 2 3" xfId="27319"/>
    <cellStyle name="Normal 9 3 3 3" xfId="3486"/>
    <cellStyle name="Normal 9 3 3 3 2" xfId="14953"/>
    <cellStyle name="Normal 9 3 3 3 3" xfId="27320"/>
    <cellStyle name="Normal 9 3 3 4" xfId="4357"/>
    <cellStyle name="Normal 9 3 3 4 2" xfId="14954"/>
    <cellStyle name="Normal 9 3 3 4 3" xfId="27321"/>
    <cellStyle name="Normal 9 3 3 5" xfId="5243"/>
    <cellStyle name="Normal 9 3 3 5 2" xfId="14955"/>
    <cellStyle name="Normal 9 3 3 5 3" xfId="27322"/>
    <cellStyle name="Normal 9 3 3 6" xfId="5621"/>
    <cellStyle name="Normal 9 3 3 6 2" xfId="14956"/>
    <cellStyle name="Normal 9 3 3 6 3" xfId="27323"/>
    <cellStyle name="Normal 9 3 3 7" xfId="10447"/>
    <cellStyle name="Normal 9 3 3 8" xfId="27318"/>
    <cellStyle name="Normal 9 3 3_LNG &amp; LPG rework" xfId="9824"/>
    <cellStyle name="Normal 9 3 4" xfId="2008"/>
    <cellStyle name="Normal 9 3 4 2" xfId="2878"/>
    <cellStyle name="Normal 9 3 4 2 2" xfId="14958"/>
    <cellStyle name="Normal 9 3 4 2 3" xfId="27325"/>
    <cellStyle name="Normal 9 3 4 3" xfId="3744"/>
    <cellStyle name="Normal 9 3 4 3 2" xfId="14959"/>
    <cellStyle name="Normal 9 3 4 3 3" xfId="27326"/>
    <cellStyle name="Normal 9 3 4 4" xfId="4621"/>
    <cellStyle name="Normal 9 3 4 4 2" xfId="14960"/>
    <cellStyle name="Normal 9 3 4 4 3" xfId="27327"/>
    <cellStyle name="Normal 9 3 4 5" xfId="5886"/>
    <cellStyle name="Normal 9 3 4 5 2" xfId="14961"/>
    <cellStyle name="Normal 9 3 4 5 3" xfId="27328"/>
    <cellStyle name="Normal 9 3 4 6" xfId="14957"/>
    <cellStyle name="Normal 9 3 4 7" xfId="27324"/>
    <cellStyle name="Normal 9 3 4_LNG &amp; LPG rework" xfId="9825"/>
    <cellStyle name="Normal 9 3 5" xfId="2325"/>
    <cellStyle name="Normal 9 3 5 2" xfId="3184"/>
    <cellStyle name="Normal 9 3 5 2 2" xfId="14963"/>
    <cellStyle name="Normal 9 3 5 2 3" xfId="27330"/>
    <cellStyle name="Normal 9 3 5 3" xfId="4050"/>
    <cellStyle name="Normal 9 3 5 3 2" xfId="14964"/>
    <cellStyle name="Normal 9 3 5 3 3" xfId="27331"/>
    <cellStyle name="Normal 9 3 5 4" xfId="4929"/>
    <cellStyle name="Normal 9 3 5 4 2" xfId="14965"/>
    <cellStyle name="Normal 9 3 5 4 3" xfId="27332"/>
    <cellStyle name="Normal 9 3 5 5" xfId="6194"/>
    <cellStyle name="Normal 9 3 5 5 2" xfId="14966"/>
    <cellStyle name="Normal 9 3 5 5 3" xfId="27333"/>
    <cellStyle name="Normal 9 3 5 6" xfId="14962"/>
    <cellStyle name="Normal 9 3 5 7" xfId="27329"/>
    <cellStyle name="Normal 9 3 5_LNG &amp; LPG rework" xfId="9826"/>
    <cellStyle name="Normal 9 3 6" xfId="2372"/>
    <cellStyle name="Normal 9 3 6 2" xfId="14967"/>
    <cellStyle name="Normal 9 3 6 3" xfId="27334"/>
    <cellStyle name="Normal 9 3 7" xfId="3231"/>
    <cellStyle name="Normal 9 3 7 2" xfId="14968"/>
    <cellStyle name="Normal 9 3 7 3" xfId="27335"/>
    <cellStyle name="Normal 9 3 8" xfId="4097"/>
    <cellStyle name="Normal 9 3 8 2" xfId="14969"/>
    <cellStyle name="Normal 9 3 8 3" xfId="27336"/>
    <cellStyle name="Normal 9 3 9" xfId="5240"/>
    <cellStyle name="Normal 9 3 9 2" xfId="14970"/>
    <cellStyle name="Normal 9 3 9 3" xfId="27337"/>
    <cellStyle name="Normal 9 3_LNG &amp; LPG rework" xfId="9820"/>
    <cellStyle name="Normal 9 30" xfId="22588"/>
    <cellStyle name="Normal 9 31" xfId="44573"/>
    <cellStyle name="Normal 9 4" xfId="1298"/>
    <cellStyle name="Normal 9 4 10" xfId="27338"/>
    <cellStyle name="Normal 9 4 2" xfId="1705"/>
    <cellStyle name="Normal 9 4 2 2" xfId="2627"/>
    <cellStyle name="Normal 9 4 2 2 2" xfId="14971"/>
    <cellStyle name="Normal 9 4 2 2 3" xfId="27340"/>
    <cellStyle name="Normal 9 4 2 3" xfId="3490"/>
    <cellStyle name="Normal 9 4 2 3 2" xfId="14972"/>
    <cellStyle name="Normal 9 4 2 3 3" xfId="27341"/>
    <cellStyle name="Normal 9 4 2 4" xfId="4361"/>
    <cellStyle name="Normal 9 4 2 4 2" xfId="14973"/>
    <cellStyle name="Normal 9 4 2 4 3" xfId="27342"/>
    <cellStyle name="Normal 9 4 2 5" xfId="5245"/>
    <cellStyle name="Normal 9 4 2 5 2" xfId="14974"/>
    <cellStyle name="Normal 9 4 2 5 3" xfId="27343"/>
    <cellStyle name="Normal 9 4 2 6" xfId="5625"/>
    <cellStyle name="Normal 9 4 2 6 2" xfId="14975"/>
    <cellStyle name="Normal 9 4 2 6 3" xfId="27344"/>
    <cellStyle name="Normal 9 4 2 7" xfId="10449"/>
    <cellStyle name="Normal 9 4 2 8" xfId="27339"/>
    <cellStyle name="Normal 9 4 2_LNG &amp; LPG rework" xfId="9828"/>
    <cellStyle name="Normal 9 4 3" xfId="2012"/>
    <cellStyle name="Normal 9 4 3 2" xfId="2882"/>
    <cellStyle name="Normal 9 4 3 2 2" xfId="14977"/>
    <cellStyle name="Normal 9 4 3 2 3" xfId="27346"/>
    <cellStyle name="Normal 9 4 3 3" xfId="3748"/>
    <cellStyle name="Normal 9 4 3 3 2" xfId="14978"/>
    <cellStyle name="Normal 9 4 3 3 3" xfId="27347"/>
    <cellStyle name="Normal 9 4 3 4" xfId="4625"/>
    <cellStyle name="Normal 9 4 3 4 2" xfId="14979"/>
    <cellStyle name="Normal 9 4 3 4 3" xfId="27348"/>
    <cellStyle name="Normal 9 4 3 5" xfId="5890"/>
    <cellStyle name="Normal 9 4 3 5 2" xfId="14980"/>
    <cellStyle name="Normal 9 4 3 5 3" xfId="27349"/>
    <cellStyle name="Normal 9 4 3 6" xfId="14976"/>
    <cellStyle name="Normal 9 4 3 7" xfId="27345"/>
    <cellStyle name="Normal 9 4 3_LNG &amp; LPG rework" xfId="9829"/>
    <cellStyle name="Normal 9 4 4" xfId="2376"/>
    <cellStyle name="Normal 9 4 4 2" xfId="14981"/>
    <cellStyle name="Normal 9 4 4 3" xfId="27350"/>
    <cellStyle name="Normal 9 4 5" xfId="3235"/>
    <cellStyle name="Normal 9 4 5 2" xfId="14982"/>
    <cellStyle name="Normal 9 4 5 3" xfId="27351"/>
    <cellStyle name="Normal 9 4 6" xfId="4101"/>
    <cellStyle name="Normal 9 4 6 2" xfId="14983"/>
    <cellStyle name="Normal 9 4 6 3" xfId="27352"/>
    <cellStyle name="Normal 9 4 7" xfId="5244"/>
    <cellStyle name="Normal 9 4 7 2" xfId="14984"/>
    <cellStyle name="Normal 9 4 7 3" xfId="27353"/>
    <cellStyle name="Normal 9 4 8" xfId="5362"/>
    <cellStyle name="Normal 9 4 8 2" xfId="14985"/>
    <cellStyle name="Normal 9 4 8 3" xfId="27354"/>
    <cellStyle name="Normal 9 4 9" xfId="10448"/>
    <cellStyle name="Normal 9 4_LNG &amp; LPG rework" xfId="9827"/>
    <cellStyle name="Normal 9 5" xfId="1306"/>
    <cellStyle name="Normal 9 5 10" xfId="27355"/>
    <cellStyle name="Normal 9 5 2" xfId="1712"/>
    <cellStyle name="Normal 9 5 2 2" xfId="2631"/>
    <cellStyle name="Normal 9 5 2 2 2" xfId="14987"/>
    <cellStyle name="Normal 9 5 2 2 3" xfId="27357"/>
    <cellStyle name="Normal 9 5 2 3" xfId="3494"/>
    <cellStyle name="Normal 9 5 2 3 2" xfId="14988"/>
    <cellStyle name="Normal 9 5 2 3 3" xfId="27358"/>
    <cellStyle name="Normal 9 5 2 4" xfId="4365"/>
    <cellStyle name="Normal 9 5 2 4 2" xfId="14989"/>
    <cellStyle name="Normal 9 5 2 4 3" xfId="27359"/>
    <cellStyle name="Normal 9 5 2 5" xfId="5629"/>
    <cellStyle name="Normal 9 5 2 5 2" xfId="14990"/>
    <cellStyle name="Normal 9 5 2 5 3" xfId="27360"/>
    <cellStyle name="Normal 9 5 2 6" xfId="14986"/>
    <cellStyle name="Normal 9 5 2 7" xfId="27356"/>
    <cellStyle name="Normal 9 5 2_LNG &amp; LPG rework" xfId="9831"/>
    <cellStyle name="Normal 9 5 3" xfId="2016"/>
    <cellStyle name="Normal 9 5 3 2" xfId="2886"/>
    <cellStyle name="Normal 9 5 3 2 2" xfId="14992"/>
    <cellStyle name="Normal 9 5 3 2 3" xfId="27362"/>
    <cellStyle name="Normal 9 5 3 3" xfId="3752"/>
    <cellStyle name="Normal 9 5 3 3 2" xfId="14993"/>
    <cellStyle name="Normal 9 5 3 3 3" xfId="27363"/>
    <cellStyle name="Normal 9 5 3 4" xfId="4629"/>
    <cellStyle name="Normal 9 5 3 4 2" xfId="14994"/>
    <cellStyle name="Normal 9 5 3 4 3" xfId="27364"/>
    <cellStyle name="Normal 9 5 3 5" xfId="5894"/>
    <cellStyle name="Normal 9 5 3 5 2" xfId="14995"/>
    <cellStyle name="Normal 9 5 3 5 3" xfId="27365"/>
    <cellStyle name="Normal 9 5 3 6" xfId="14991"/>
    <cellStyle name="Normal 9 5 3 7" xfId="27361"/>
    <cellStyle name="Normal 9 5 3_LNG &amp; LPG rework" xfId="9832"/>
    <cellStyle name="Normal 9 5 4" xfId="2380"/>
    <cellStyle name="Normal 9 5 4 2" xfId="14996"/>
    <cellStyle name="Normal 9 5 4 3" xfId="27366"/>
    <cellStyle name="Normal 9 5 5" xfId="3239"/>
    <cellStyle name="Normal 9 5 5 2" xfId="14997"/>
    <cellStyle name="Normal 9 5 5 3" xfId="27367"/>
    <cellStyle name="Normal 9 5 6" xfId="4105"/>
    <cellStyle name="Normal 9 5 6 2" xfId="14998"/>
    <cellStyle name="Normal 9 5 6 3" xfId="27368"/>
    <cellStyle name="Normal 9 5 7" xfId="5246"/>
    <cellStyle name="Normal 9 5 7 2" xfId="14999"/>
    <cellStyle name="Normal 9 5 7 3" xfId="27369"/>
    <cellStyle name="Normal 9 5 8" xfId="5366"/>
    <cellStyle name="Normal 9 5 8 2" xfId="15000"/>
    <cellStyle name="Normal 9 5 8 3" xfId="27370"/>
    <cellStyle name="Normal 9 5 9" xfId="10450"/>
    <cellStyle name="Normal 9 5_LNG &amp; LPG rework" xfId="9830"/>
    <cellStyle name="Normal 9 6" xfId="1317"/>
    <cellStyle name="Normal 9 7" xfId="1350"/>
    <cellStyle name="Normal 9 7 2" xfId="1721"/>
    <cellStyle name="Normal 9 7 2 2" xfId="2635"/>
    <cellStyle name="Normal 9 7 2 2 2" xfId="15003"/>
    <cellStyle name="Normal 9 7 2 2 3" xfId="27373"/>
    <cellStyle name="Normal 9 7 2 3" xfId="3498"/>
    <cellStyle name="Normal 9 7 2 3 2" xfId="15004"/>
    <cellStyle name="Normal 9 7 2 3 3" xfId="27374"/>
    <cellStyle name="Normal 9 7 2 4" xfId="4370"/>
    <cellStyle name="Normal 9 7 2 4 2" xfId="15005"/>
    <cellStyle name="Normal 9 7 2 4 3" xfId="27375"/>
    <cellStyle name="Normal 9 7 2 5" xfId="5635"/>
    <cellStyle name="Normal 9 7 2 5 2" xfId="15006"/>
    <cellStyle name="Normal 9 7 2 5 3" xfId="27376"/>
    <cellStyle name="Normal 9 7 2 6" xfId="15002"/>
    <cellStyle name="Normal 9 7 2 7" xfId="27372"/>
    <cellStyle name="Normal 9 7 2_LNG &amp; LPG rework" xfId="9834"/>
    <cellStyle name="Normal 9 7 3" xfId="2020"/>
    <cellStyle name="Normal 9 7 3 2" xfId="2890"/>
    <cellStyle name="Normal 9 7 3 2 2" xfId="15008"/>
    <cellStyle name="Normal 9 7 3 2 3" xfId="27378"/>
    <cellStyle name="Normal 9 7 3 3" xfId="3756"/>
    <cellStyle name="Normal 9 7 3 3 2" xfId="15009"/>
    <cellStyle name="Normal 9 7 3 3 3" xfId="27379"/>
    <cellStyle name="Normal 9 7 3 4" xfId="4634"/>
    <cellStyle name="Normal 9 7 3 4 2" xfId="15010"/>
    <cellStyle name="Normal 9 7 3 4 3" xfId="27380"/>
    <cellStyle name="Normal 9 7 3 5" xfId="5899"/>
    <cellStyle name="Normal 9 7 3 5 2" xfId="15011"/>
    <cellStyle name="Normal 9 7 3 5 3" xfId="27381"/>
    <cellStyle name="Normal 9 7 3 6" xfId="15007"/>
    <cellStyle name="Normal 9 7 3 7" xfId="27377"/>
    <cellStyle name="Normal 9 7 3_LNG &amp; LPG rework" xfId="9835"/>
    <cellStyle name="Normal 9 7 4" xfId="2384"/>
    <cellStyle name="Normal 9 7 4 2" xfId="15012"/>
    <cellStyle name="Normal 9 7 4 3" xfId="27382"/>
    <cellStyle name="Normal 9 7 5" xfId="3243"/>
    <cellStyle name="Normal 9 7 5 2" xfId="15013"/>
    <cellStyle name="Normal 9 7 5 3" xfId="27383"/>
    <cellStyle name="Normal 9 7 6" xfId="4109"/>
    <cellStyle name="Normal 9 7 6 2" xfId="15014"/>
    <cellStyle name="Normal 9 7 6 3" xfId="27384"/>
    <cellStyle name="Normal 9 7 7" xfId="5371"/>
    <cellStyle name="Normal 9 7 7 2" xfId="15015"/>
    <cellStyle name="Normal 9 7 7 3" xfId="27385"/>
    <cellStyle name="Normal 9 7 8" xfId="15001"/>
    <cellStyle name="Normal 9 7 9" xfId="27371"/>
    <cellStyle name="Normal 9 7_LNG &amp; LPG rework" xfId="9833"/>
    <cellStyle name="Normal 9 8" xfId="1357"/>
    <cellStyle name="Normal 9 8 2" xfId="1728"/>
    <cellStyle name="Normal 9 8 2 2" xfId="2639"/>
    <cellStyle name="Normal 9 8 2 2 2" xfId="15018"/>
    <cellStyle name="Normal 9 8 2 2 3" xfId="27388"/>
    <cellStyle name="Normal 9 8 2 3" xfId="3503"/>
    <cellStyle name="Normal 9 8 2 3 2" xfId="15019"/>
    <cellStyle name="Normal 9 8 2 3 3" xfId="27389"/>
    <cellStyle name="Normal 9 8 2 4" xfId="4375"/>
    <cellStyle name="Normal 9 8 2 4 2" xfId="15020"/>
    <cellStyle name="Normal 9 8 2 4 3" xfId="27390"/>
    <cellStyle name="Normal 9 8 2 5" xfId="5640"/>
    <cellStyle name="Normal 9 8 2 5 2" xfId="15021"/>
    <cellStyle name="Normal 9 8 2 5 3" xfId="27391"/>
    <cellStyle name="Normal 9 8 2 6" xfId="15017"/>
    <cellStyle name="Normal 9 8 2 7" xfId="27387"/>
    <cellStyle name="Normal 9 8 2_LNG &amp; LPG rework" xfId="9837"/>
    <cellStyle name="Normal 9 8 3" xfId="2024"/>
    <cellStyle name="Normal 9 8 3 2" xfId="2894"/>
    <cellStyle name="Normal 9 8 3 2 2" xfId="15023"/>
    <cellStyle name="Normal 9 8 3 2 3" xfId="27393"/>
    <cellStyle name="Normal 9 8 3 3" xfId="3761"/>
    <cellStyle name="Normal 9 8 3 3 2" xfId="15024"/>
    <cellStyle name="Normal 9 8 3 3 3" xfId="27394"/>
    <cellStyle name="Normal 9 8 3 4" xfId="4639"/>
    <cellStyle name="Normal 9 8 3 4 2" xfId="15025"/>
    <cellStyle name="Normal 9 8 3 4 3" xfId="27395"/>
    <cellStyle name="Normal 9 8 3 5" xfId="5904"/>
    <cellStyle name="Normal 9 8 3 5 2" xfId="15026"/>
    <cellStyle name="Normal 9 8 3 5 3" xfId="27396"/>
    <cellStyle name="Normal 9 8 3 6" xfId="15022"/>
    <cellStyle name="Normal 9 8 3 7" xfId="27392"/>
    <cellStyle name="Normal 9 8 3_LNG &amp; LPG rework" xfId="9838"/>
    <cellStyle name="Normal 9 8 4" xfId="2388"/>
    <cellStyle name="Normal 9 8 4 2" xfId="15027"/>
    <cellStyle name="Normal 9 8 4 3" xfId="27397"/>
    <cellStyle name="Normal 9 8 5" xfId="3247"/>
    <cellStyle name="Normal 9 8 5 2" xfId="15028"/>
    <cellStyle name="Normal 9 8 5 3" xfId="27398"/>
    <cellStyle name="Normal 9 8 6" xfId="4115"/>
    <cellStyle name="Normal 9 8 6 2" xfId="15029"/>
    <cellStyle name="Normal 9 8 6 3" xfId="27399"/>
    <cellStyle name="Normal 9 8 7" xfId="5377"/>
    <cellStyle name="Normal 9 8 7 2" xfId="15030"/>
    <cellStyle name="Normal 9 8 7 3" xfId="27400"/>
    <cellStyle name="Normal 9 8 8" xfId="15016"/>
    <cellStyle name="Normal 9 8 9" xfId="27386"/>
    <cellStyle name="Normal 9 8_LNG &amp; LPG rework" xfId="9836"/>
    <cellStyle name="Normal 9 9" xfId="1372"/>
    <cellStyle name="Normal 9 9 2" xfId="1743"/>
    <cellStyle name="Normal 9 9 2 2" xfId="2646"/>
    <cellStyle name="Normal 9 9 2 2 2" xfId="15033"/>
    <cellStyle name="Normal 9 9 2 2 3" xfId="27403"/>
    <cellStyle name="Normal 9 9 2 3" xfId="3510"/>
    <cellStyle name="Normal 9 9 2 3 2" xfId="15034"/>
    <cellStyle name="Normal 9 9 2 3 3" xfId="27404"/>
    <cellStyle name="Normal 9 9 2 4" xfId="4382"/>
    <cellStyle name="Normal 9 9 2 4 2" xfId="15035"/>
    <cellStyle name="Normal 9 9 2 4 3" xfId="27405"/>
    <cellStyle name="Normal 9 9 2 5" xfId="5647"/>
    <cellStyle name="Normal 9 9 2 5 2" xfId="15036"/>
    <cellStyle name="Normal 9 9 2 5 3" xfId="27406"/>
    <cellStyle name="Normal 9 9 2 6" xfId="15032"/>
    <cellStyle name="Normal 9 9 2 7" xfId="27402"/>
    <cellStyle name="Normal 9 9 2_LNG &amp; LPG rework" xfId="9840"/>
    <cellStyle name="Normal 9 9 3" xfId="2031"/>
    <cellStyle name="Normal 9 9 3 2" xfId="2901"/>
    <cellStyle name="Normal 9 9 3 2 2" xfId="15038"/>
    <cellStyle name="Normal 9 9 3 2 3" xfId="27408"/>
    <cellStyle name="Normal 9 9 3 3" xfId="3768"/>
    <cellStyle name="Normal 9 9 3 3 2" xfId="15039"/>
    <cellStyle name="Normal 9 9 3 3 3" xfId="27409"/>
    <cellStyle name="Normal 9 9 3 4" xfId="4646"/>
    <cellStyle name="Normal 9 9 3 4 2" xfId="15040"/>
    <cellStyle name="Normal 9 9 3 4 3" xfId="27410"/>
    <cellStyle name="Normal 9 9 3 5" xfId="5911"/>
    <cellStyle name="Normal 9 9 3 5 2" xfId="15041"/>
    <cellStyle name="Normal 9 9 3 5 3" xfId="27411"/>
    <cellStyle name="Normal 9 9 3 6" xfId="15037"/>
    <cellStyle name="Normal 9 9 3 7" xfId="27407"/>
    <cellStyle name="Normal 9 9 3_LNG &amp; LPG rework" xfId="9841"/>
    <cellStyle name="Normal 9 9 4" xfId="2395"/>
    <cellStyle name="Normal 9 9 4 2" xfId="15042"/>
    <cellStyle name="Normal 9 9 4 3" xfId="27412"/>
    <cellStyle name="Normal 9 9 5" xfId="3254"/>
    <cellStyle name="Normal 9 9 5 2" xfId="15043"/>
    <cellStyle name="Normal 9 9 5 3" xfId="27413"/>
    <cellStyle name="Normal 9 9 6" xfId="4122"/>
    <cellStyle name="Normal 9 9 6 2" xfId="15044"/>
    <cellStyle name="Normal 9 9 6 3" xfId="27414"/>
    <cellStyle name="Normal 9 9 7" xfId="5384"/>
    <cellStyle name="Normal 9 9 7 2" xfId="15045"/>
    <cellStyle name="Normal 9 9 7 3" xfId="27415"/>
    <cellStyle name="Normal 9 9 8" xfId="15031"/>
    <cellStyle name="Normal 9 9 9" xfId="27401"/>
    <cellStyle name="Normal 9 9_LNG &amp; LPG rework" xfId="9839"/>
    <cellStyle name="Normal 9_2015  Data" xfId="5247"/>
    <cellStyle name="Normal 90" xfId="831"/>
    <cellStyle name="Normal 90 2" xfId="3128"/>
    <cellStyle name="Normal 90 3" xfId="2260"/>
    <cellStyle name="Normal 90_LNG &amp; LPG rework" xfId="9842"/>
    <cellStyle name="Normal 91" xfId="832"/>
    <cellStyle name="Normal 91 2" xfId="3134"/>
    <cellStyle name="Normal 91 3" xfId="2272"/>
    <cellStyle name="Normal 91_LNG &amp; LPG rework" xfId="9843"/>
    <cellStyle name="Normal 92" xfId="833"/>
    <cellStyle name="Normal 92 2" xfId="3137"/>
    <cellStyle name="Normal 92 3" xfId="2277"/>
    <cellStyle name="Normal 92_LNG &amp; LPG rework" xfId="9844"/>
    <cellStyle name="Normal 93" xfId="834"/>
    <cellStyle name="Normal 93 2" xfId="4965"/>
    <cellStyle name="Normal 93_LNG &amp; LPG rework" xfId="9845"/>
    <cellStyle name="Normal 94" xfId="835"/>
    <cellStyle name="Normal 94 2" xfId="6232"/>
    <cellStyle name="Normal 94_LNG &amp; LPG rework" xfId="9846"/>
    <cellStyle name="Normal 95" xfId="836"/>
    <cellStyle name="Normal 95 2" xfId="6231"/>
    <cellStyle name="Normal 95_LNG &amp; LPG rework" xfId="9847"/>
    <cellStyle name="Normal 96" xfId="837"/>
    <cellStyle name="Normal 96 2" xfId="6241"/>
    <cellStyle name="Normal 96 2 2" xfId="15046"/>
    <cellStyle name="Normal 96 2 3" xfId="27416"/>
    <cellStyle name="Normal 96_LNG &amp; LPG rework" xfId="9848"/>
    <cellStyle name="Normal 97" xfId="838"/>
    <cellStyle name="Normal 97 2" xfId="6242"/>
    <cellStyle name="Normal 97 2 2" xfId="15047"/>
    <cellStyle name="Normal 97 2 3" xfId="27417"/>
    <cellStyle name="Normal 97_LNG &amp; LPG rework" xfId="9849"/>
    <cellStyle name="Normal 98" xfId="2"/>
    <cellStyle name="Normal 98 2" xfId="6245"/>
    <cellStyle name="Normal 98 2 2" xfId="15048"/>
    <cellStyle name="Normal 98 2 3" xfId="27418"/>
    <cellStyle name="Normal 98_LNG &amp; LPG rework" xfId="9850"/>
    <cellStyle name="Normal 99" xfId="3"/>
    <cellStyle name="Normal 99 2" xfId="6246"/>
    <cellStyle name="Normal 99 2 2" xfId="15049"/>
    <cellStyle name="Normal 99 2 3" xfId="27419"/>
    <cellStyle name="Normal 99_LNG &amp; LPG rework" xfId="9851"/>
    <cellStyle name="Normal_Offshore hours" xfId="20314"/>
    <cellStyle name="Normal_Offshore hours_1" xfId="20315"/>
    <cellStyle name="Normal_Sheet1_1" xfId="20313"/>
    <cellStyle name="Note" xfId="172" builtinId="10" customBuiltin="1"/>
    <cellStyle name="Note 10" xfId="6441"/>
    <cellStyle name="Note 10 2" xfId="15954"/>
    <cellStyle name="Note 10 3" xfId="28379"/>
    <cellStyle name="Note 11" xfId="6442"/>
    <cellStyle name="Note 11 2" xfId="15967"/>
    <cellStyle name="Note 11 3" xfId="28392"/>
    <cellStyle name="Note 12" xfId="6511"/>
    <cellStyle name="Note 12 2" xfId="8771"/>
    <cellStyle name="Note 13" xfId="8806"/>
    <cellStyle name="Note 13 2" xfId="28408"/>
    <cellStyle name="Note 14" xfId="10058"/>
    <cellStyle name="Note 15" xfId="15985"/>
    <cellStyle name="Note 16" xfId="28407"/>
    <cellStyle name="Note 17" xfId="28440"/>
    <cellStyle name="Note 18" xfId="28482"/>
    <cellStyle name="Note 19" xfId="44618"/>
    <cellStyle name="Note 2" xfId="6243"/>
    <cellStyle name="Note 2 2" xfId="6443"/>
    <cellStyle name="Note 2 2 2" xfId="15933"/>
    <cellStyle name="Note 2 2 3" xfId="22619"/>
    <cellStyle name="Note 2 3" xfId="10075"/>
    <cellStyle name="Note 2 4" xfId="22519"/>
    <cellStyle name="Note 2_LNG &amp; LPG rework" xfId="9852"/>
    <cellStyle name="Note 3" xfId="6286"/>
    <cellStyle name="Note 3 2" xfId="6444"/>
    <cellStyle name="Note 3 2 2" xfId="10143"/>
    <cellStyle name="Note 3 2 3" xfId="22632"/>
    <cellStyle name="Note 3 3" xfId="10089"/>
    <cellStyle name="Note 3 4" xfId="22533"/>
    <cellStyle name="Note 3_LNG &amp; LPG rework" xfId="9853"/>
    <cellStyle name="Note 4" xfId="6287"/>
    <cellStyle name="Note 4 2" xfId="10158"/>
    <cellStyle name="Note 4 3" xfId="22548"/>
    <cellStyle name="Note 5" xfId="6445"/>
    <cellStyle name="Note 5 2" xfId="10172"/>
    <cellStyle name="Note 5 3" xfId="22562"/>
    <cellStyle name="Note 6" xfId="6446"/>
    <cellStyle name="Note 6 2" xfId="15906"/>
    <cellStyle name="Note 6 3" xfId="22575"/>
    <cellStyle name="Note 7" xfId="6447"/>
    <cellStyle name="Note 7 2" xfId="15907"/>
    <cellStyle name="Note 7 3" xfId="22589"/>
    <cellStyle name="Note 8" xfId="6448"/>
    <cellStyle name="Note 8 2" xfId="15920"/>
    <cellStyle name="Note 8 3" xfId="22606"/>
    <cellStyle name="Note 9" xfId="6449"/>
    <cellStyle name="Note 9 2" xfId="15934"/>
    <cellStyle name="Note 9 3" xfId="22647"/>
    <cellStyle name="Output" xfId="167" builtinId="21" customBuiltin="1"/>
    <cellStyle name="Output 2" xfId="6522"/>
    <cellStyle name="Output 3" xfId="44613"/>
    <cellStyle name="Percent" xfId="131" builtinId="5"/>
    <cellStyle name="Percent 10" xfId="10071"/>
    <cellStyle name="Percent 11" xfId="7668"/>
    <cellStyle name="Percent 12" xfId="28435"/>
    <cellStyle name="Percent 13" xfId="28454"/>
    <cellStyle name="Percent 14" xfId="28457"/>
    <cellStyle name="Percent 15" xfId="28460"/>
    <cellStyle name="Percent 16" xfId="28462"/>
    <cellStyle name="Percent 17" xfId="28465"/>
    <cellStyle name="Percent 2" xfId="1312"/>
    <cellStyle name="Percent 2 10" xfId="10049"/>
    <cellStyle name="Percent 2 2" xfId="1366"/>
    <cellStyle name="Percent 2 2 10" xfId="2391"/>
    <cellStyle name="Percent 2 2 10 2" xfId="15050"/>
    <cellStyle name="Percent 2 2 10 3" xfId="27420"/>
    <cellStyle name="Percent 2 2 11" xfId="3250"/>
    <cellStyle name="Percent 2 2 11 2" xfId="15051"/>
    <cellStyle name="Percent 2 2 11 3" xfId="27421"/>
    <cellStyle name="Percent 2 2 12" xfId="4118"/>
    <cellStyle name="Percent 2 2 12 2" xfId="15052"/>
    <cellStyle name="Percent 2 2 12 3" xfId="27422"/>
    <cellStyle name="Percent 2 2 13" xfId="5248"/>
    <cellStyle name="Percent 2 2 13 2" xfId="15053"/>
    <cellStyle name="Percent 2 2 13 3" xfId="27423"/>
    <cellStyle name="Percent 2 2 14" xfId="5380"/>
    <cellStyle name="Percent 2 2 14 2" xfId="15054"/>
    <cellStyle name="Percent 2 2 14 3" xfId="27424"/>
    <cellStyle name="Percent 2 2 15" xfId="6570"/>
    <cellStyle name="Percent 2 2 2" xfId="1576"/>
    <cellStyle name="Percent 2 2 2 10" xfId="4286"/>
    <cellStyle name="Percent 2 2 2 10 2" xfId="15055"/>
    <cellStyle name="Percent 2 2 2 10 3" xfId="27426"/>
    <cellStyle name="Percent 2 2 2 11" xfId="5249"/>
    <cellStyle name="Percent 2 2 2 11 2" xfId="15056"/>
    <cellStyle name="Percent 2 2 2 11 3" xfId="27427"/>
    <cellStyle name="Percent 2 2 2 12" xfId="5548"/>
    <cellStyle name="Percent 2 2 2 12 2" xfId="15057"/>
    <cellStyle name="Percent 2 2 2 12 3" xfId="27428"/>
    <cellStyle name="Percent 2 2 2 13" xfId="10452"/>
    <cellStyle name="Percent 2 2 2 14" xfId="27425"/>
    <cellStyle name="Percent 2 2 2 2" xfId="1577"/>
    <cellStyle name="Percent 2 2 2 2 10" xfId="5250"/>
    <cellStyle name="Percent 2 2 2 2 10 2" xfId="15058"/>
    <cellStyle name="Percent 2 2 2 2 10 3" xfId="27430"/>
    <cellStyle name="Percent 2 2 2 2 11" xfId="5549"/>
    <cellStyle name="Percent 2 2 2 2 11 2" xfId="15059"/>
    <cellStyle name="Percent 2 2 2 2 11 3" xfId="27431"/>
    <cellStyle name="Percent 2 2 2 2 12" xfId="10453"/>
    <cellStyle name="Percent 2 2 2 2 13" xfId="27429"/>
    <cellStyle name="Percent 2 2 2 2 2" xfId="1578"/>
    <cellStyle name="Percent 2 2 2 2 2 10" xfId="5550"/>
    <cellStyle name="Percent 2 2 2 2 2 10 2" xfId="15060"/>
    <cellStyle name="Percent 2 2 2 2 2 10 3" xfId="27433"/>
    <cellStyle name="Percent 2 2 2 2 2 11" xfId="10454"/>
    <cellStyle name="Percent 2 2 2 2 2 12" xfId="27432"/>
    <cellStyle name="Percent 2 2 2 2 2 2" xfId="1579"/>
    <cellStyle name="Percent 2 2 2 2 2 2 10" xfId="27434"/>
    <cellStyle name="Percent 2 2 2 2 2 2 2" xfId="1918"/>
    <cellStyle name="Percent 2 2 2 2 2 2 2 2" xfId="2808"/>
    <cellStyle name="Percent 2 2 2 2 2 2 2 2 2" xfId="15061"/>
    <cellStyle name="Percent 2 2 2 2 2 2 2 2 3" xfId="27436"/>
    <cellStyle name="Percent 2 2 2 2 2 2 2 3" xfId="3672"/>
    <cellStyle name="Percent 2 2 2 2 2 2 2 3 2" xfId="15062"/>
    <cellStyle name="Percent 2 2 2 2 2 2 2 3 3" xfId="27437"/>
    <cellStyle name="Percent 2 2 2 2 2 2 2 4" xfId="4547"/>
    <cellStyle name="Percent 2 2 2 2 2 2 2 4 2" xfId="15063"/>
    <cellStyle name="Percent 2 2 2 2 2 2 2 4 3" xfId="27438"/>
    <cellStyle name="Percent 2 2 2 2 2 2 2 5" xfId="5253"/>
    <cellStyle name="Percent 2 2 2 2 2 2 2 5 2" xfId="15064"/>
    <cellStyle name="Percent 2 2 2 2 2 2 2 5 3" xfId="27439"/>
    <cellStyle name="Percent 2 2 2 2 2 2 2 6" xfId="5812"/>
    <cellStyle name="Percent 2 2 2 2 2 2 2 6 2" xfId="15065"/>
    <cellStyle name="Percent 2 2 2 2 2 2 2 6 3" xfId="27440"/>
    <cellStyle name="Percent 2 2 2 2 2 2 2 7" xfId="10456"/>
    <cellStyle name="Percent 2 2 2 2 2 2 2 8" xfId="27435"/>
    <cellStyle name="Percent 2 2 2 2 2 2 2_LNG &amp; LPG rework" xfId="9860"/>
    <cellStyle name="Percent 2 2 2 2 2 2 3" xfId="2193"/>
    <cellStyle name="Percent 2 2 2 2 2 2 3 2" xfId="3063"/>
    <cellStyle name="Percent 2 2 2 2 2 2 3 2 2" xfId="15067"/>
    <cellStyle name="Percent 2 2 2 2 2 2 3 2 3" xfId="27442"/>
    <cellStyle name="Percent 2 2 2 2 2 2 3 3" xfId="3933"/>
    <cellStyle name="Percent 2 2 2 2 2 2 3 3 2" xfId="15068"/>
    <cellStyle name="Percent 2 2 2 2 2 2 3 3 3" xfId="27443"/>
    <cellStyle name="Percent 2 2 2 2 2 2 3 4" xfId="4811"/>
    <cellStyle name="Percent 2 2 2 2 2 2 3 4 2" xfId="15069"/>
    <cellStyle name="Percent 2 2 2 2 2 2 3 4 3" xfId="27444"/>
    <cellStyle name="Percent 2 2 2 2 2 2 3 5" xfId="6076"/>
    <cellStyle name="Percent 2 2 2 2 2 2 3 5 2" xfId="15070"/>
    <cellStyle name="Percent 2 2 2 2 2 2 3 5 3" xfId="27445"/>
    <cellStyle name="Percent 2 2 2 2 2 2 3 6" xfId="15066"/>
    <cellStyle name="Percent 2 2 2 2 2 2 3 7" xfId="27441"/>
    <cellStyle name="Percent 2 2 2 2 2 2 3_LNG &amp; LPG rework" xfId="9861"/>
    <cellStyle name="Percent 2 2 2 2 2 2 4" xfId="2558"/>
    <cellStyle name="Percent 2 2 2 2 2 2 4 2" xfId="15071"/>
    <cellStyle name="Percent 2 2 2 2 2 2 4 3" xfId="27446"/>
    <cellStyle name="Percent 2 2 2 2 2 2 5" xfId="3421"/>
    <cellStyle name="Percent 2 2 2 2 2 2 5 2" xfId="15072"/>
    <cellStyle name="Percent 2 2 2 2 2 2 5 3" xfId="27447"/>
    <cellStyle name="Percent 2 2 2 2 2 2 6" xfId="4289"/>
    <cellStyle name="Percent 2 2 2 2 2 2 6 2" xfId="15073"/>
    <cellStyle name="Percent 2 2 2 2 2 2 6 3" xfId="27448"/>
    <cellStyle name="Percent 2 2 2 2 2 2 7" xfId="5252"/>
    <cellStyle name="Percent 2 2 2 2 2 2 7 2" xfId="15074"/>
    <cellStyle name="Percent 2 2 2 2 2 2 7 3" xfId="27449"/>
    <cellStyle name="Percent 2 2 2 2 2 2 8" xfId="5551"/>
    <cellStyle name="Percent 2 2 2 2 2 2 8 2" xfId="15075"/>
    <cellStyle name="Percent 2 2 2 2 2 2 8 3" xfId="27450"/>
    <cellStyle name="Percent 2 2 2 2 2 2 9" xfId="10455"/>
    <cellStyle name="Percent 2 2 2 2 2 2_LNG &amp; LPG rework" xfId="9859"/>
    <cellStyle name="Percent 2 2 2 2 2 3" xfId="1917"/>
    <cellStyle name="Percent 2 2 2 2 2 3 2" xfId="2807"/>
    <cellStyle name="Percent 2 2 2 2 2 3 2 2" xfId="15076"/>
    <cellStyle name="Percent 2 2 2 2 2 3 2 3" xfId="27452"/>
    <cellStyle name="Percent 2 2 2 2 2 3 3" xfId="3671"/>
    <cellStyle name="Percent 2 2 2 2 2 3 3 2" xfId="15077"/>
    <cellStyle name="Percent 2 2 2 2 2 3 3 3" xfId="27453"/>
    <cellStyle name="Percent 2 2 2 2 2 3 4" xfId="4546"/>
    <cellStyle name="Percent 2 2 2 2 2 3 4 2" xfId="15078"/>
    <cellStyle name="Percent 2 2 2 2 2 3 4 3" xfId="27454"/>
    <cellStyle name="Percent 2 2 2 2 2 3 5" xfId="5254"/>
    <cellStyle name="Percent 2 2 2 2 2 3 5 2" xfId="15079"/>
    <cellStyle name="Percent 2 2 2 2 2 3 5 3" xfId="27455"/>
    <cellStyle name="Percent 2 2 2 2 2 3 6" xfId="5811"/>
    <cellStyle name="Percent 2 2 2 2 2 3 6 2" xfId="15080"/>
    <cellStyle name="Percent 2 2 2 2 2 3 6 3" xfId="27456"/>
    <cellStyle name="Percent 2 2 2 2 2 3 7" xfId="10457"/>
    <cellStyle name="Percent 2 2 2 2 2 3 8" xfId="27451"/>
    <cellStyle name="Percent 2 2 2 2 2 3_LNG &amp; LPG rework" xfId="9862"/>
    <cellStyle name="Percent 2 2 2 2 2 4" xfId="2192"/>
    <cellStyle name="Percent 2 2 2 2 2 4 2" xfId="3062"/>
    <cellStyle name="Percent 2 2 2 2 2 4 2 2" xfId="15082"/>
    <cellStyle name="Percent 2 2 2 2 2 4 2 3" xfId="27458"/>
    <cellStyle name="Percent 2 2 2 2 2 4 3" xfId="3932"/>
    <cellStyle name="Percent 2 2 2 2 2 4 3 2" xfId="15083"/>
    <cellStyle name="Percent 2 2 2 2 2 4 3 3" xfId="27459"/>
    <cellStyle name="Percent 2 2 2 2 2 4 4" xfId="4810"/>
    <cellStyle name="Percent 2 2 2 2 2 4 4 2" xfId="15084"/>
    <cellStyle name="Percent 2 2 2 2 2 4 4 3" xfId="27460"/>
    <cellStyle name="Percent 2 2 2 2 2 4 5" xfId="6075"/>
    <cellStyle name="Percent 2 2 2 2 2 4 5 2" xfId="15085"/>
    <cellStyle name="Percent 2 2 2 2 2 4 5 3" xfId="27461"/>
    <cellStyle name="Percent 2 2 2 2 2 4 6" xfId="15081"/>
    <cellStyle name="Percent 2 2 2 2 2 4 7" xfId="27457"/>
    <cellStyle name="Percent 2 2 2 2 2 4_LNG &amp; LPG rework" xfId="9863"/>
    <cellStyle name="Percent 2 2 2 2 2 5" xfId="2351"/>
    <cellStyle name="Percent 2 2 2 2 2 5 2" xfId="3210"/>
    <cellStyle name="Percent 2 2 2 2 2 5 2 2" xfId="15087"/>
    <cellStyle name="Percent 2 2 2 2 2 5 2 3" xfId="27463"/>
    <cellStyle name="Percent 2 2 2 2 2 5 3" xfId="4076"/>
    <cellStyle name="Percent 2 2 2 2 2 5 3 2" xfId="15088"/>
    <cellStyle name="Percent 2 2 2 2 2 5 3 3" xfId="27464"/>
    <cellStyle name="Percent 2 2 2 2 2 5 4" xfId="4955"/>
    <cellStyle name="Percent 2 2 2 2 2 5 4 2" xfId="15089"/>
    <cellStyle name="Percent 2 2 2 2 2 5 4 3" xfId="27465"/>
    <cellStyle name="Percent 2 2 2 2 2 5 5" xfId="6220"/>
    <cellStyle name="Percent 2 2 2 2 2 5 5 2" xfId="15090"/>
    <cellStyle name="Percent 2 2 2 2 2 5 5 3" xfId="27466"/>
    <cellStyle name="Percent 2 2 2 2 2 5 6" xfId="15086"/>
    <cellStyle name="Percent 2 2 2 2 2 5 7" xfId="27462"/>
    <cellStyle name="Percent 2 2 2 2 2 5_LNG &amp; LPG rework" xfId="9864"/>
    <cellStyle name="Percent 2 2 2 2 2 6" xfId="2557"/>
    <cellStyle name="Percent 2 2 2 2 2 6 2" xfId="15091"/>
    <cellStyle name="Percent 2 2 2 2 2 6 3" xfId="27467"/>
    <cellStyle name="Percent 2 2 2 2 2 7" xfId="3420"/>
    <cellStyle name="Percent 2 2 2 2 2 7 2" xfId="15092"/>
    <cellStyle name="Percent 2 2 2 2 2 7 3" xfId="27468"/>
    <cellStyle name="Percent 2 2 2 2 2 8" xfId="4288"/>
    <cellStyle name="Percent 2 2 2 2 2 8 2" xfId="15093"/>
    <cellStyle name="Percent 2 2 2 2 2 8 3" xfId="27469"/>
    <cellStyle name="Percent 2 2 2 2 2 9" xfId="5251"/>
    <cellStyle name="Percent 2 2 2 2 2 9 2" xfId="15094"/>
    <cellStyle name="Percent 2 2 2 2 2 9 3" xfId="27470"/>
    <cellStyle name="Percent 2 2 2 2 2_LNG &amp; LPG rework" xfId="9858"/>
    <cellStyle name="Percent 2 2 2 2 3" xfId="1580"/>
    <cellStyle name="Percent 2 2 2 2 3 10" xfId="27471"/>
    <cellStyle name="Percent 2 2 2 2 3 2" xfId="1919"/>
    <cellStyle name="Percent 2 2 2 2 3 2 2" xfId="2809"/>
    <cellStyle name="Percent 2 2 2 2 3 2 2 2" xfId="15095"/>
    <cellStyle name="Percent 2 2 2 2 3 2 2 3" xfId="27473"/>
    <cellStyle name="Percent 2 2 2 2 3 2 3" xfId="3673"/>
    <cellStyle name="Percent 2 2 2 2 3 2 3 2" xfId="15096"/>
    <cellStyle name="Percent 2 2 2 2 3 2 3 3" xfId="27474"/>
    <cellStyle name="Percent 2 2 2 2 3 2 4" xfId="4548"/>
    <cellStyle name="Percent 2 2 2 2 3 2 4 2" xfId="15097"/>
    <cellStyle name="Percent 2 2 2 2 3 2 4 3" xfId="27475"/>
    <cellStyle name="Percent 2 2 2 2 3 2 5" xfId="5256"/>
    <cellStyle name="Percent 2 2 2 2 3 2 5 2" xfId="15098"/>
    <cellStyle name="Percent 2 2 2 2 3 2 5 3" xfId="27476"/>
    <cellStyle name="Percent 2 2 2 2 3 2 6" xfId="5813"/>
    <cellStyle name="Percent 2 2 2 2 3 2 6 2" xfId="15099"/>
    <cellStyle name="Percent 2 2 2 2 3 2 6 3" xfId="27477"/>
    <cellStyle name="Percent 2 2 2 2 3 2 7" xfId="10459"/>
    <cellStyle name="Percent 2 2 2 2 3 2 8" xfId="27472"/>
    <cellStyle name="Percent 2 2 2 2 3 2_LNG &amp; LPG rework" xfId="9866"/>
    <cellStyle name="Percent 2 2 2 2 3 3" xfId="2194"/>
    <cellStyle name="Percent 2 2 2 2 3 3 2" xfId="3064"/>
    <cellStyle name="Percent 2 2 2 2 3 3 2 2" xfId="15101"/>
    <cellStyle name="Percent 2 2 2 2 3 3 2 3" xfId="27479"/>
    <cellStyle name="Percent 2 2 2 2 3 3 3" xfId="3934"/>
    <cellStyle name="Percent 2 2 2 2 3 3 3 2" xfId="15102"/>
    <cellStyle name="Percent 2 2 2 2 3 3 3 3" xfId="27480"/>
    <cellStyle name="Percent 2 2 2 2 3 3 4" xfId="4812"/>
    <cellStyle name="Percent 2 2 2 2 3 3 4 2" xfId="15103"/>
    <cellStyle name="Percent 2 2 2 2 3 3 4 3" xfId="27481"/>
    <cellStyle name="Percent 2 2 2 2 3 3 5" xfId="6077"/>
    <cellStyle name="Percent 2 2 2 2 3 3 5 2" xfId="15104"/>
    <cellStyle name="Percent 2 2 2 2 3 3 5 3" xfId="27482"/>
    <cellStyle name="Percent 2 2 2 2 3 3 6" xfId="15100"/>
    <cellStyle name="Percent 2 2 2 2 3 3 7" xfId="27478"/>
    <cellStyle name="Percent 2 2 2 2 3 3_LNG &amp; LPG rework" xfId="9867"/>
    <cellStyle name="Percent 2 2 2 2 3 4" xfId="2559"/>
    <cellStyle name="Percent 2 2 2 2 3 4 2" xfId="15105"/>
    <cellStyle name="Percent 2 2 2 2 3 4 3" xfId="27483"/>
    <cellStyle name="Percent 2 2 2 2 3 5" xfId="3422"/>
    <cellStyle name="Percent 2 2 2 2 3 5 2" xfId="15106"/>
    <cellStyle name="Percent 2 2 2 2 3 5 3" xfId="27484"/>
    <cellStyle name="Percent 2 2 2 2 3 6" xfId="4290"/>
    <cellStyle name="Percent 2 2 2 2 3 6 2" xfId="15107"/>
    <cellStyle name="Percent 2 2 2 2 3 6 3" xfId="27485"/>
    <cellStyle name="Percent 2 2 2 2 3 7" xfId="5255"/>
    <cellStyle name="Percent 2 2 2 2 3 7 2" xfId="15108"/>
    <cellStyle name="Percent 2 2 2 2 3 7 3" xfId="27486"/>
    <cellStyle name="Percent 2 2 2 2 3 8" xfId="5552"/>
    <cellStyle name="Percent 2 2 2 2 3 8 2" xfId="15109"/>
    <cellStyle name="Percent 2 2 2 2 3 8 3" xfId="27487"/>
    <cellStyle name="Percent 2 2 2 2 3 9" xfId="10458"/>
    <cellStyle name="Percent 2 2 2 2 3_LNG &amp; LPG rework" xfId="9865"/>
    <cellStyle name="Percent 2 2 2 2 4" xfId="1916"/>
    <cellStyle name="Percent 2 2 2 2 4 2" xfId="2806"/>
    <cellStyle name="Percent 2 2 2 2 4 2 2" xfId="15110"/>
    <cellStyle name="Percent 2 2 2 2 4 2 3" xfId="27489"/>
    <cellStyle name="Percent 2 2 2 2 4 3" xfId="3670"/>
    <cellStyle name="Percent 2 2 2 2 4 3 2" xfId="15111"/>
    <cellStyle name="Percent 2 2 2 2 4 3 3" xfId="27490"/>
    <cellStyle name="Percent 2 2 2 2 4 4" xfId="4545"/>
    <cellStyle name="Percent 2 2 2 2 4 4 2" xfId="15112"/>
    <cellStyle name="Percent 2 2 2 2 4 4 3" xfId="27491"/>
    <cellStyle name="Percent 2 2 2 2 4 5" xfId="5257"/>
    <cellStyle name="Percent 2 2 2 2 4 5 2" xfId="15113"/>
    <cellStyle name="Percent 2 2 2 2 4 5 3" xfId="27492"/>
    <cellStyle name="Percent 2 2 2 2 4 6" xfId="5810"/>
    <cellStyle name="Percent 2 2 2 2 4 6 2" xfId="15114"/>
    <cellStyle name="Percent 2 2 2 2 4 6 3" xfId="27493"/>
    <cellStyle name="Percent 2 2 2 2 4 7" xfId="10460"/>
    <cellStyle name="Percent 2 2 2 2 4 8" xfId="27488"/>
    <cellStyle name="Percent 2 2 2 2 4_LNG &amp; LPG rework" xfId="9868"/>
    <cellStyle name="Percent 2 2 2 2 5" xfId="2191"/>
    <cellStyle name="Percent 2 2 2 2 5 2" xfId="3061"/>
    <cellStyle name="Percent 2 2 2 2 5 2 2" xfId="15116"/>
    <cellStyle name="Percent 2 2 2 2 5 2 3" xfId="27495"/>
    <cellStyle name="Percent 2 2 2 2 5 3" xfId="3931"/>
    <cellStyle name="Percent 2 2 2 2 5 3 2" xfId="15117"/>
    <cellStyle name="Percent 2 2 2 2 5 3 3" xfId="27496"/>
    <cellStyle name="Percent 2 2 2 2 5 4" xfId="4809"/>
    <cellStyle name="Percent 2 2 2 2 5 4 2" xfId="15118"/>
    <cellStyle name="Percent 2 2 2 2 5 4 3" xfId="27497"/>
    <cellStyle name="Percent 2 2 2 2 5 5" xfId="6074"/>
    <cellStyle name="Percent 2 2 2 2 5 5 2" xfId="15119"/>
    <cellStyle name="Percent 2 2 2 2 5 5 3" xfId="27498"/>
    <cellStyle name="Percent 2 2 2 2 5 6" xfId="15115"/>
    <cellStyle name="Percent 2 2 2 2 5 7" xfId="27494"/>
    <cellStyle name="Percent 2 2 2 2 5_LNG &amp; LPG rework" xfId="9869"/>
    <cellStyle name="Percent 2 2 2 2 6" xfId="2307"/>
    <cellStyle name="Percent 2 2 2 2 6 2" xfId="3166"/>
    <cellStyle name="Percent 2 2 2 2 6 2 2" xfId="15121"/>
    <cellStyle name="Percent 2 2 2 2 6 2 3" xfId="27500"/>
    <cellStyle name="Percent 2 2 2 2 6 3" xfId="4032"/>
    <cellStyle name="Percent 2 2 2 2 6 3 2" xfId="15122"/>
    <cellStyle name="Percent 2 2 2 2 6 3 3" xfId="27501"/>
    <cellStyle name="Percent 2 2 2 2 6 4" xfId="4911"/>
    <cellStyle name="Percent 2 2 2 2 6 4 2" xfId="15123"/>
    <cellStyle name="Percent 2 2 2 2 6 4 3" xfId="27502"/>
    <cellStyle name="Percent 2 2 2 2 6 5" xfId="6176"/>
    <cellStyle name="Percent 2 2 2 2 6 5 2" xfId="15124"/>
    <cellStyle name="Percent 2 2 2 2 6 5 3" xfId="27503"/>
    <cellStyle name="Percent 2 2 2 2 6 6" xfId="15120"/>
    <cellStyle name="Percent 2 2 2 2 6 7" xfId="27499"/>
    <cellStyle name="Percent 2 2 2 2 6_LNG &amp; LPG rework" xfId="9870"/>
    <cellStyle name="Percent 2 2 2 2 7" xfId="2556"/>
    <cellStyle name="Percent 2 2 2 2 7 2" xfId="15125"/>
    <cellStyle name="Percent 2 2 2 2 7 3" xfId="27504"/>
    <cellStyle name="Percent 2 2 2 2 8" xfId="3419"/>
    <cellStyle name="Percent 2 2 2 2 8 2" xfId="15126"/>
    <cellStyle name="Percent 2 2 2 2 8 3" xfId="27505"/>
    <cellStyle name="Percent 2 2 2 2 9" xfId="4287"/>
    <cellStyle name="Percent 2 2 2 2 9 2" xfId="15127"/>
    <cellStyle name="Percent 2 2 2 2 9 3" xfId="27506"/>
    <cellStyle name="Percent 2 2 2 2_LNG &amp; LPG rework" xfId="9857"/>
    <cellStyle name="Percent 2 2 2 3" xfId="1581"/>
    <cellStyle name="Percent 2 2 2 3 10" xfId="5553"/>
    <cellStyle name="Percent 2 2 2 3 10 2" xfId="15128"/>
    <cellStyle name="Percent 2 2 2 3 10 3" xfId="27508"/>
    <cellStyle name="Percent 2 2 2 3 11" xfId="10461"/>
    <cellStyle name="Percent 2 2 2 3 12" xfId="27507"/>
    <cellStyle name="Percent 2 2 2 3 2" xfId="1582"/>
    <cellStyle name="Percent 2 2 2 3 2 10" xfId="27509"/>
    <cellStyle name="Percent 2 2 2 3 2 2" xfId="1921"/>
    <cellStyle name="Percent 2 2 2 3 2 2 2" xfId="2811"/>
    <cellStyle name="Percent 2 2 2 3 2 2 2 2" xfId="15129"/>
    <cellStyle name="Percent 2 2 2 3 2 2 2 3" xfId="27511"/>
    <cellStyle name="Percent 2 2 2 3 2 2 3" xfId="3675"/>
    <cellStyle name="Percent 2 2 2 3 2 2 3 2" xfId="15130"/>
    <cellStyle name="Percent 2 2 2 3 2 2 3 3" xfId="27512"/>
    <cellStyle name="Percent 2 2 2 3 2 2 4" xfId="4550"/>
    <cellStyle name="Percent 2 2 2 3 2 2 4 2" xfId="15131"/>
    <cellStyle name="Percent 2 2 2 3 2 2 4 3" xfId="27513"/>
    <cellStyle name="Percent 2 2 2 3 2 2 5" xfId="5260"/>
    <cellStyle name="Percent 2 2 2 3 2 2 5 2" xfId="15132"/>
    <cellStyle name="Percent 2 2 2 3 2 2 5 3" xfId="27514"/>
    <cellStyle name="Percent 2 2 2 3 2 2 6" xfId="5815"/>
    <cellStyle name="Percent 2 2 2 3 2 2 6 2" xfId="15133"/>
    <cellStyle name="Percent 2 2 2 3 2 2 6 3" xfId="27515"/>
    <cellStyle name="Percent 2 2 2 3 2 2 7" xfId="10463"/>
    <cellStyle name="Percent 2 2 2 3 2 2 8" xfId="27510"/>
    <cellStyle name="Percent 2 2 2 3 2 2_LNG &amp; LPG rework" xfId="9873"/>
    <cellStyle name="Percent 2 2 2 3 2 3" xfId="2196"/>
    <cellStyle name="Percent 2 2 2 3 2 3 2" xfId="3066"/>
    <cellStyle name="Percent 2 2 2 3 2 3 2 2" xfId="15135"/>
    <cellStyle name="Percent 2 2 2 3 2 3 2 3" xfId="27517"/>
    <cellStyle name="Percent 2 2 2 3 2 3 3" xfId="3936"/>
    <cellStyle name="Percent 2 2 2 3 2 3 3 2" xfId="15136"/>
    <cellStyle name="Percent 2 2 2 3 2 3 3 3" xfId="27518"/>
    <cellStyle name="Percent 2 2 2 3 2 3 4" xfId="4814"/>
    <cellStyle name="Percent 2 2 2 3 2 3 4 2" xfId="15137"/>
    <cellStyle name="Percent 2 2 2 3 2 3 4 3" xfId="27519"/>
    <cellStyle name="Percent 2 2 2 3 2 3 5" xfId="6079"/>
    <cellStyle name="Percent 2 2 2 3 2 3 5 2" xfId="15138"/>
    <cellStyle name="Percent 2 2 2 3 2 3 5 3" xfId="27520"/>
    <cellStyle name="Percent 2 2 2 3 2 3 6" xfId="15134"/>
    <cellStyle name="Percent 2 2 2 3 2 3 7" xfId="27516"/>
    <cellStyle name="Percent 2 2 2 3 2 3_LNG &amp; LPG rework" xfId="9874"/>
    <cellStyle name="Percent 2 2 2 3 2 4" xfId="2561"/>
    <cellStyle name="Percent 2 2 2 3 2 4 2" xfId="15139"/>
    <cellStyle name="Percent 2 2 2 3 2 4 3" xfId="27521"/>
    <cellStyle name="Percent 2 2 2 3 2 5" xfId="3424"/>
    <cellStyle name="Percent 2 2 2 3 2 5 2" xfId="15140"/>
    <cellStyle name="Percent 2 2 2 3 2 5 3" xfId="27522"/>
    <cellStyle name="Percent 2 2 2 3 2 6" xfId="4292"/>
    <cellStyle name="Percent 2 2 2 3 2 6 2" xfId="15141"/>
    <cellStyle name="Percent 2 2 2 3 2 6 3" xfId="27523"/>
    <cellStyle name="Percent 2 2 2 3 2 7" xfId="5259"/>
    <cellStyle name="Percent 2 2 2 3 2 7 2" xfId="15142"/>
    <cellStyle name="Percent 2 2 2 3 2 7 3" xfId="27524"/>
    <cellStyle name="Percent 2 2 2 3 2 8" xfId="5554"/>
    <cellStyle name="Percent 2 2 2 3 2 8 2" xfId="15143"/>
    <cellStyle name="Percent 2 2 2 3 2 8 3" xfId="27525"/>
    <cellStyle name="Percent 2 2 2 3 2 9" xfId="10462"/>
    <cellStyle name="Percent 2 2 2 3 2_LNG &amp; LPG rework" xfId="9872"/>
    <cellStyle name="Percent 2 2 2 3 3" xfId="1920"/>
    <cellStyle name="Percent 2 2 2 3 3 2" xfId="2810"/>
    <cellStyle name="Percent 2 2 2 3 3 2 2" xfId="15144"/>
    <cellStyle name="Percent 2 2 2 3 3 2 3" xfId="27527"/>
    <cellStyle name="Percent 2 2 2 3 3 3" xfId="3674"/>
    <cellStyle name="Percent 2 2 2 3 3 3 2" xfId="15145"/>
    <cellStyle name="Percent 2 2 2 3 3 3 3" xfId="27528"/>
    <cellStyle name="Percent 2 2 2 3 3 4" xfId="4549"/>
    <cellStyle name="Percent 2 2 2 3 3 4 2" xfId="15146"/>
    <cellStyle name="Percent 2 2 2 3 3 4 3" xfId="27529"/>
    <cellStyle name="Percent 2 2 2 3 3 5" xfId="5261"/>
    <cellStyle name="Percent 2 2 2 3 3 5 2" xfId="15147"/>
    <cellStyle name="Percent 2 2 2 3 3 5 3" xfId="27530"/>
    <cellStyle name="Percent 2 2 2 3 3 6" xfId="5814"/>
    <cellStyle name="Percent 2 2 2 3 3 6 2" xfId="15148"/>
    <cellStyle name="Percent 2 2 2 3 3 6 3" xfId="27531"/>
    <cellStyle name="Percent 2 2 2 3 3 7" xfId="10464"/>
    <cellStyle name="Percent 2 2 2 3 3 8" xfId="27526"/>
    <cellStyle name="Percent 2 2 2 3 3_LNG &amp; LPG rework" xfId="9875"/>
    <cellStyle name="Percent 2 2 2 3 4" xfId="2195"/>
    <cellStyle name="Percent 2 2 2 3 4 2" xfId="3065"/>
    <cellStyle name="Percent 2 2 2 3 4 2 2" xfId="15150"/>
    <cellStyle name="Percent 2 2 2 3 4 2 3" xfId="27533"/>
    <cellStyle name="Percent 2 2 2 3 4 3" xfId="3935"/>
    <cellStyle name="Percent 2 2 2 3 4 3 2" xfId="15151"/>
    <cellStyle name="Percent 2 2 2 3 4 3 3" xfId="27534"/>
    <cellStyle name="Percent 2 2 2 3 4 4" xfId="4813"/>
    <cellStyle name="Percent 2 2 2 3 4 4 2" xfId="15152"/>
    <cellStyle name="Percent 2 2 2 3 4 4 3" xfId="27535"/>
    <cellStyle name="Percent 2 2 2 3 4 5" xfId="6078"/>
    <cellStyle name="Percent 2 2 2 3 4 5 2" xfId="15153"/>
    <cellStyle name="Percent 2 2 2 3 4 5 3" xfId="27536"/>
    <cellStyle name="Percent 2 2 2 3 4 6" xfId="15149"/>
    <cellStyle name="Percent 2 2 2 3 4 7" xfId="27532"/>
    <cellStyle name="Percent 2 2 2 3 4_LNG &amp; LPG rework" xfId="9876"/>
    <cellStyle name="Percent 2 2 2 3 5" xfId="2329"/>
    <cellStyle name="Percent 2 2 2 3 5 2" xfId="3188"/>
    <cellStyle name="Percent 2 2 2 3 5 2 2" xfId="15155"/>
    <cellStyle name="Percent 2 2 2 3 5 2 3" xfId="27538"/>
    <cellStyle name="Percent 2 2 2 3 5 3" xfId="4054"/>
    <cellStyle name="Percent 2 2 2 3 5 3 2" xfId="15156"/>
    <cellStyle name="Percent 2 2 2 3 5 3 3" xfId="27539"/>
    <cellStyle name="Percent 2 2 2 3 5 4" xfId="4933"/>
    <cellStyle name="Percent 2 2 2 3 5 4 2" xfId="15157"/>
    <cellStyle name="Percent 2 2 2 3 5 4 3" xfId="27540"/>
    <cellStyle name="Percent 2 2 2 3 5 5" xfId="6198"/>
    <cellStyle name="Percent 2 2 2 3 5 5 2" xfId="15158"/>
    <cellStyle name="Percent 2 2 2 3 5 5 3" xfId="27541"/>
    <cellStyle name="Percent 2 2 2 3 5 6" xfId="15154"/>
    <cellStyle name="Percent 2 2 2 3 5 7" xfId="27537"/>
    <cellStyle name="Percent 2 2 2 3 5_LNG &amp; LPG rework" xfId="9877"/>
    <cellStyle name="Percent 2 2 2 3 6" xfId="2560"/>
    <cellStyle name="Percent 2 2 2 3 6 2" xfId="15159"/>
    <cellStyle name="Percent 2 2 2 3 6 3" xfId="27542"/>
    <cellStyle name="Percent 2 2 2 3 7" xfId="3423"/>
    <cellStyle name="Percent 2 2 2 3 7 2" xfId="15160"/>
    <cellStyle name="Percent 2 2 2 3 7 3" xfId="27543"/>
    <cellStyle name="Percent 2 2 2 3 8" xfId="4291"/>
    <cellStyle name="Percent 2 2 2 3 8 2" xfId="15161"/>
    <cellStyle name="Percent 2 2 2 3 8 3" xfId="27544"/>
    <cellStyle name="Percent 2 2 2 3 9" xfId="5258"/>
    <cellStyle name="Percent 2 2 2 3 9 2" xfId="15162"/>
    <cellStyle name="Percent 2 2 2 3 9 3" xfId="27545"/>
    <cellStyle name="Percent 2 2 2 3_LNG &amp; LPG rework" xfId="9871"/>
    <cellStyle name="Percent 2 2 2 4" xfId="1583"/>
    <cellStyle name="Percent 2 2 2 4 10" xfId="27546"/>
    <cellStyle name="Percent 2 2 2 4 2" xfId="1922"/>
    <cellStyle name="Percent 2 2 2 4 2 2" xfId="2812"/>
    <cellStyle name="Percent 2 2 2 4 2 2 2" xfId="15163"/>
    <cellStyle name="Percent 2 2 2 4 2 2 3" xfId="27548"/>
    <cellStyle name="Percent 2 2 2 4 2 3" xfId="3676"/>
    <cellStyle name="Percent 2 2 2 4 2 3 2" xfId="15164"/>
    <cellStyle name="Percent 2 2 2 4 2 3 3" xfId="27549"/>
    <cellStyle name="Percent 2 2 2 4 2 4" xfId="4551"/>
    <cellStyle name="Percent 2 2 2 4 2 4 2" xfId="15165"/>
    <cellStyle name="Percent 2 2 2 4 2 4 3" xfId="27550"/>
    <cellStyle name="Percent 2 2 2 4 2 5" xfId="5263"/>
    <cellStyle name="Percent 2 2 2 4 2 5 2" xfId="15166"/>
    <cellStyle name="Percent 2 2 2 4 2 5 3" xfId="27551"/>
    <cellStyle name="Percent 2 2 2 4 2 6" xfId="5816"/>
    <cellStyle name="Percent 2 2 2 4 2 6 2" xfId="15167"/>
    <cellStyle name="Percent 2 2 2 4 2 6 3" xfId="27552"/>
    <cellStyle name="Percent 2 2 2 4 2 7" xfId="10466"/>
    <cellStyle name="Percent 2 2 2 4 2 8" xfId="27547"/>
    <cellStyle name="Percent 2 2 2 4 2_LNG &amp; LPG rework" xfId="9879"/>
    <cellStyle name="Percent 2 2 2 4 3" xfId="2197"/>
    <cellStyle name="Percent 2 2 2 4 3 2" xfId="3067"/>
    <cellStyle name="Percent 2 2 2 4 3 2 2" xfId="15169"/>
    <cellStyle name="Percent 2 2 2 4 3 2 3" xfId="27554"/>
    <cellStyle name="Percent 2 2 2 4 3 3" xfId="3937"/>
    <cellStyle name="Percent 2 2 2 4 3 3 2" xfId="15170"/>
    <cellStyle name="Percent 2 2 2 4 3 3 3" xfId="27555"/>
    <cellStyle name="Percent 2 2 2 4 3 4" xfId="4815"/>
    <cellStyle name="Percent 2 2 2 4 3 4 2" xfId="15171"/>
    <cellStyle name="Percent 2 2 2 4 3 4 3" xfId="27556"/>
    <cellStyle name="Percent 2 2 2 4 3 5" xfId="6080"/>
    <cellStyle name="Percent 2 2 2 4 3 5 2" xfId="15172"/>
    <cellStyle name="Percent 2 2 2 4 3 5 3" xfId="27557"/>
    <cellStyle name="Percent 2 2 2 4 3 6" xfId="15168"/>
    <cellStyle name="Percent 2 2 2 4 3 7" xfId="27553"/>
    <cellStyle name="Percent 2 2 2 4 3_LNG &amp; LPG rework" xfId="9880"/>
    <cellStyle name="Percent 2 2 2 4 4" xfId="2562"/>
    <cellStyle name="Percent 2 2 2 4 4 2" xfId="15173"/>
    <cellStyle name="Percent 2 2 2 4 4 3" xfId="27558"/>
    <cellStyle name="Percent 2 2 2 4 5" xfId="3425"/>
    <cellStyle name="Percent 2 2 2 4 5 2" xfId="15174"/>
    <cellStyle name="Percent 2 2 2 4 5 3" xfId="27559"/>
    <cellStyle name="Percent 2 2 2 4 6" xfId="4293"/>
    <cellStyle name="Percent 2 2 2 4 6 2" xfId="15175"/>
    <cellStyle name="Percent 2 2 2 4 6 3" xfId="27560"/>
    <cellStyle name="Percent 2 2 2 4 7" xfId="5262"/>
    <cellStyle name="Percent 2 2 2 4 7 2" xfId="15176"/>
    <cellStyle name="Percent 2 2 2 4 7 3" xfId="27561"/>
    <cellStyle name="Percent 2 2 2 4 8" xfId="5555"/>
    <cellStyle name="Percent 2 2 2 4 8 2" xfId="15177"/>
    <cellStyle name="Percent 2 2 2 4 8 3" xfId="27562"/>
    <cellStyle name="Percent 2 2 2 4 9" xfId="10465"/>
    <cellStyle name="Percent 2 2 2 4_LNG &amp; LPG rework" xfId="9878"/>
    <cellStyle name="Percent 2 2 2 5" xfId="1915"/>
    <cellStyle name="Percent 2 2 2 5 2" xfId="2805"/>
    <cellStyle name="Percent 2 2 2 5 2 2" xfId="15178"/>
    <cellStyle name="Percent 2 2 2 5 2 3" xfId="27564"/>
    <cellStyle name="Percent 2 2 2 5 3" xfId="3669"/>
    <cellStyle name="Percent 2 2 2 5 3 2" xfId="15179"/>
    <cellStyle name="Percent 2 2 2 5 3 3" xfId="27565"/>
    <cellStyle name="Percent 2 2 2 5 4" xfId="4544"/>
    <cellStyle name="Percent 2 2 2 5 4 2" xfId="15180"/>
    <cellStyle name="Percent 2 2 2 5 4 3" xfId="27566"/>
    <cellStyle name="Percent 2 2 2 5 5" xfId="5264"/>
    <cellStyle name="Percent 2 2 2 5 5 2" xfId="15181"/>
    <cellStyle name="Percent 2 2 2 5 5 3" xfId="27567"/>
    <cellStyle name="Percent 2 2 2 5 6" xfId="5809"/>
    <cellStyle name="Percent 2 2 2 5 6 2" xfId="15182"/>
    <cellStyle name="Percent 2 2 2 5 6 3" xfId="27568"/>
    <cellStyle name="Percent 2 2 2 5 7" xfId="10467"/>
    <cellStyle name="Percent 2 2 2 5 8" xfId="27563"/>
    <cellStyle name="Percent 2 2 2 5_LNG &amp; LPG rework" xfId="9881"/>
    <cellStyle name="Percent 2 2 2 6" xfId="2190"/>
    <cellStyle name="Percent 2 2 2 6 2" xfId="3060"/>
    <cellStyle name="Percent 2 2 2 6 2 2" xfId="15184"/>
    <cellStyle name="Percent 2 2 2 6 2 3" xfId="27570"/>
    <cellStyle name="Percent 2 2 2 6 3" xfId="3930"/>
    <cellStyle name="Percent 2 2 2 6 3 2" xfId="15185"/>
    <cellStyle name="Percent 2 2 2 6 3 3" xfId="27571"/>
    <cellStyle name="Percent 2 2 2 6 4" xfId="4808"/>
    <cellStyle name="Percent 2 2 2 6 4 2" xfId="15186"/>
    <cellStyle name="Percent 2 2 2 6 4 3" xfId="27572"/>
    <cellStyle name="Percent 2 2 2 6 5" xfId="6073"/>
    <cellStyle name="Percent 2 2 2 6 5 2" xfId="15187"/>
    <cellStyle name="Percent 2 2 2 6 5 3" xfId="27573"/>
    <cellStyle name="Percent 2 2 2 6 6" xfId="15183"/>
    <cellStyle name="Percent 2 2 2 6 7" xfId="27569"/>
    <cellStyle name="Percent 2 2 2 6_LNG &amp; LPG rework" xfId="9882"/>
    <cellStyle name="Percent 2 2 2 7" xfId="2285"/>
    <cellStyle name="Percent 2 2 2 7 2" xfId="3144"/>
    <cellStyle name="Percent 2 2 2 7 2 2" xfId="15189"/>
    <cellStyle name="Percent 2 2 2 7 2 3" xfId="27575"/>
    <cellStyle name="Percent 2 2 2 7 3" xfId="4010"/>
    <cellStyle name="Percent 2 2 2 7 3 2" xfId="15190"/>
    <cellStyle name="Percent 2 2 2 7 3 3" xfId="27576"/>
    <cellStyle name="Percent 2 2 2 7 4" xfId="4889"/>
    <cellStyle name="Percent 2 2 2 7 4 2" xfId="15191"/>
    <cellStyle name="Percent 2 2 2 7 4 3" xfId="27577"/>
    <cellStyle name="Percent 2 2 2 7 5" xfId="6154"/>
    <cellStyle name="Percent 2 2 2 7 5 2" xfId="15192"/>
    <cellStyle name="Percent 2 2 2 7 5 3" xfId="27578"/>
    <cellStyle name="Percent 2 2 2 7 6" xfId="15188"/>
    <cellStyle name="Percent 2 2 2 7 7" xfId="27574"/>
    <cellStyle name="Percent 2 2 2 7_LNG &amp; LPG rework" xfId="9883"/>
    <cellStyle name="Percent 2 2 2 8" xfId="2555"/>
    <cellStyle name="Percent 2 2 2 8 2" xfId="15193"/>
    <cellStyle name="Percent 2 2 2 8 3" xfId="27579"/>
    <cellStyle name="Percent 2 2 2 9" xfId="3418"/>
    <cellStyle name="Percent 2 2 2 9 2" xfId="15194"/>
    <cellStyle name="Percent 2 2 2 9 3" xfId="27580"/>
    <cellStyle name="Percent 2 2 2_LNG &amp; LPG rework" xfId="9856"/>
    <cellStyle name="Percent 2 2 3" xfId="1584"/>
    <cellStyle name="Percent 2 2 3 10" xfId="5265"/>
    <cellStyle name="Percent 2 2 3 10 2" xfId="15195"/>
    <cellStyle name="Percent 2 2 3 10 3" xfId="27582"/>
    <cellStyle name="Percent 2 2 3 11" xfId="5556"/>
    <cellStyle name="Percent 2 2 3 11 2" xfId="15196"/>
    <cellStyle name="Percent 2 2 3 11 3" xfId="27583"/>
    <cellStyle name="Percent 2 2 3 12" xfId="10468"/>
    <cellStyle name="Percent 2 2 3 13" xfId="27581"/>
    <cellStyle name="Percent 2 2 3 2" xfId="1585"/>
    <cellStyle name="Percent 2 2 3 2 10" xfId="5557"/>
    <cellStyle name="Percent 2 2 3 2 10 2" xfId="15197"/>
    <cellStyle name="Percent 2 2 3 2 10 3" xfId="27585"/>
    <cellStyle name="Percent 2 2 3 2 11" xfId="10469"/>
    <cellStyle name="Percent 2 2 3 2 12" xfId="27584"/>
    <cellStyle name="Percent 2 2 3 2 2" xfId="1586"/>
    <cellStyle name="Percent 2 2 3 2 2 10" xfId="27586"/>
    <cellStyle name="Percent 2 2 3 2 2 2" xfId="1925"/>
    <cellStyle name="Percent 2 2 3 2 2 2 2" xfId="2815"/>
    <cellStyle name="Percent 2 2 3 2 2 2 2 2" xfId="15198"/>
    <cellStyle name="Percent 2 2 3 2 2 2 2 3" xfId="27588"/>
    <cellStyle name="Percent 2 2 3 2 2 2 3" xfId="3679"/>
    <cellStyle name="Percent 2 2 3 2 2 2 3 2" xfId="15199"/>
    <cellStyle name="Percent 2 2 3 2 2 2 3 3" xfId="27589"/>
    <cellStyle name="Percent 2 2 3 2 2 2 4" xfId="4554"/>
    <cellStyle name="Percent 2 2 3 2 2 2 4 2" xfId="15200"/>
    <cellStyle name="Percent 2 2 3 2 2 2 4 3" xfId="27590"/>
    <cellStyle name="Percent 2 2 3 2 2 2 5" xfId="5268"/>
    <cellStyle name="Percent 2 2 3 2 2 2 5 2" xfId="15201"/>
    <cellStyle name="Percent 2 2 3 2 2 2 5 3" xfId="27591"/>
    <cellStyle name="Percent 2 2 3 2 2 2 6" xfId="5819"/>
    <cellStyle name="Percent 2 2 3 2 2 2 6 2" xfId="15202"/>
    <cellStyle name="Percent 2 2 3 2 2 2 6 3" xfId="27592"/>
    <cellStyle name="Percent 2 2 3 2 2 2 7" xfId="10471"/>
    <cellStyle name="Percent 2 2 3 2 2 2 8" xfId="27587"/>
    <cellStyle name="Percent 2 2 3 2 2 2_LNG &amp; LPG rework" xfId="9887"/>
    <cellStyle name="Percent 2 2 3 2 2 3" xfId="2200"/>
    <cellStyle name="Percent 2 2 3 2 2 3 2" xfId="3070"/>
    <cellStyle name="Percent 2 2 3 2 2 3 2 2" xfId="15204"/>
    <cellStyle name="Percent 2 2 3 2 2 3 2 3" xfId="27594"/>
    <cellStyle name="Percent 2 2 3 2 2 3 3" xfId="3940"/>
    <cellStyle name="Percent 2 2 3 2 2 3 3 2" xfId="15205"/>
    <cellStyle name="Percent 2 2 3 2 2 3 3 3" xfId="27595"/>
    <cellStyle name="Percent 2 2 3 2 2 3 4" xfId="4818"/>
    <cellStyle name="Percent 2 2 3 2 2 3 4 2" xfId="15206"/>
    <cellStyle name="Percent 2 2 3 2 2 3 4 3" xfId="27596"/>
    <cellStyle name="Percent 2 2 3 2 2 3 5" xfId="6083"/>
    <cellStyle name="Percent 2 2 3 2 2 3 5 2" xfId="15207"/>
    <cellStyle name="Percent 2 2 3 2 2 3 5 3" xfId="27597"/>
    <cellStyle name="Percent 2 2 3 2 2 3 6" xfId="15203"/>
    <cellStyle name="Percent 2 2 3 2 2 3 7" xfId="27593"/>
    <cellStyle name="Percent 2 2 3 2 2 3_LNG &amp; LPG rework" xfId="9888"/>
    <cellStyle name="Percent 2 2 3 2 2 4" xfId="2565"/>
    <cellStyle name="Percent 2 2 3 2 2 4 2" xfId="15208"/>
    <cellStyle name="Percent 2 2 3 2 2 4 3" xfId="27598"/>
    <cellStyle name="Percent 2 2 3 2 2 5" xfId="3428"/>
    <cellStyle name="Percent 2 2 3 2 2 5 2" xfId="15209"/>
    <cellStyle name="Percent 2 2 3 2 2 5 3" xfId="27599"/>
    <cellStyle name="Percent 2 2 3 2 2 6" xfId="4296"/>
    <cellStyle name="Percent 2 2 3 2 2 6 2" xfId="15210"/>
    <cellStyle name="Percent 2 2 3 2 2 6 3" xfId="27600"/>
    <cellStyle name="Percent 2 2 3 2 2 7" xfId="5267"/>
    <cellStyle name="Percent 2 2 3 2 2 7 2" xfId="15211"/>
    <cellStyle name="Percent 2 2 3 2 2 7 3" xfId="27601"/>
    <cellStyle name="Percent 2 2 3 2 2 8" xfId="5558"/>
    <cellStyle name="Percent 2 2 3 2 2 8 2" xfId="15212"/>
    <cellStyle name="Percent 2 2 3 2 2 8 3" xfId="27602"/>
    <cellStyle name="Percent 2 2 3 2 2 9" xfId="10470"/>
    <cellStyle name="Percent 2 2 3 2 2_LNG &amp; LPG rework" xfId="9886"/>
    <cellStyle name="Percent 2 2 3 2 3" xfId="1924"/>
    <cellStyle name="Percent 2 2 3 2 3 2" xfId="2814"/>
    <cellStyle name="Percent 2 2 3 2 3 2 2" xfId="15213"/>
    <cellStyle name="Percent 2 2 3 2 3 2 3" xfId="27604"/>
    <cellStyle name="Percent 2 2 3 2 3 3" xfId="3678"/>
    <cellStyle name="Percent 2 2 3 2 3 3 2" xfId="15214"/>
    <cellStyle name="Percent 2 2 3 2 3 3 3" xfId="27605"/>
    <cellStyle name="Percent 2 2 3 2 3 4" xfId="4553"/>
    <cellStyle name="Percent 2 2 3 2 3 4 2" xfId="15215"/>
    <cellStyle name="Percent 2 2 3 2 3 4 3" xfId="27606"/>
    <cellStyle name="Percent 2 2 3 2 3 5" xfId="5269"/>
    <cellStyle name="Percent 2 2 3 2 3 5 2" xfId="15216"/>
    <cellStyle name="Percent 2 2 3 2 3 5 3" xfId="27607"/>
    <cellStyle name="Percent 2 2 3 2 3 6" xfId="5818"/>
    <cellStyle name="Percent 2 2 3 2 3 6 2" xfId="15217"/>
    <cellStyle name="Percent 2 2 3 2 3 6 3" xfId="27608"/>
    <cellStyle name="Percent 2 2 3 2 3 7" xfId="10472"/>
    <cellStyle name="Percent 2 2 3 2 3 8" xfId="27603"/>
    <cellStyle name="Percent 2 2 3 2 3_LNG &amp; LPG rework" xfId="9889"/>
    <cellStyle name="Percent 2 2 3 2 4" xfId="2199"/>
    <cellStyle name="Percent 2 2 3 2 4 2" xfId="3069"/>
    <cellStyle name="Percent 2 2 3 2 4 2 2" xfId="15219"/>
    <cellStyle name="Percent 2 2 3 2 4 2 3" xfId="27610"/>
    <cellStyle name="Percent 2 2 3 2 4 3" xfId="3939"/>
    <cellStyle name="Percent 2 2 3 2 4 3 2" xfId="15220"/>
    <cellStyle name="Percent 2 2 3 2 4 3 3" xfId="27611"/>
    <cellStyle name="Percent 2 2 3 2 4 4" xfId="4817"/>
    <cellStyle name="Percent 2 2 3 2 4 4 2" xfId="15221"/>
    <cellStyle name="Percent 2 2 3 2 4 4 3" xfId="27612"/>
    <cellStyle name="Percent 2 2 3 2 4 5" xfId="6082"/>
    <cellStyle name="Percent 2 2 3 2 4 5 2" xfId="15222"/>
    <cellStyle name="Percent 2 2 3 2 4 5 3" xfId="27613"/>
    <cellStyle name="Percent 2 2 3 2 4 6" xfId="15218"/>
    <cellStyle name="Percent 2 2 3 2 4 7" xfId="27609"/>
    <cellStyle name="Percent 2 2 3 2 4_LNG &amp; LPG rework" xfId="9890"/>
    <cellStyle name="Percent 2 2 3 2 5" xfId="2338"/>
    <cellStyle name="Percent 2 2 3 2 5 2" xfId="3197"/>
    <cellStyle name="Percent 2 2 3 2 5 2 2" xfId="15224"/>
    <cellStyle name="Percent 2 2 3 2 5 2 3" xfId="27615"/>
    <cellStyle name="Percent 2 2 3 2 5 3" xfId="4063"/>
    <cellStyle name="Percent 2 2 3 2 5 3 2" xfId="15225"/>
    <cellStyle name="Percent 2 2 3 2 5 3 3" xfId="27616"/>
    <cellStyle name="Percent 2 2 3 2 5 4" xfId="4942"/>
    <cellStyle name="Percent 2 2 3 2 5 4 2" xfId="15226"/>
    <cellStyle name="Percent 2 2 3 2 5 4 3" xfId="27617"/>
    <cellStyle name="Percent 2 2 3 2 5 5" xfId="6207"/>
    <cellStyle name="Percent 2 2 3 2 5 5 2" xfId="15227"/>
    <cellStyle name="Percent 2 2 3 2 5 5 3" xfId="27618"/>
    <cellStyle name="Percent 2 2 3 2 5 6" xfId="15223"/>
    <cellStyle name="Percent 2 2 3 2 5 7" xfId="27614"/>
    <cellStyle name="Percent 2 2 3 2 5_LNG &amp; LPG rework" xfId="9891"/>
    <cellStyle name="Percent 2 2 3 2 6" xfId="2564"/>
    <cellStyle name="Percent 2 2 3 2 6 2" xfId="15228"/>
    <cellStyle name="Percent 2 2 3 2 6 3" xfId="27619"/>
    <cellStyle name="Percent 2 2 3 2 7" xfId="3427"/>
    <cellStyle name="Percent 2 2 3 2 7 2" xfId="15229"/>
    <cellStyle name="Percent 2 2 3 2 7 3" xfId="27620"/>
    <cellStyle name="Percent 2 2 3 2 8" xfId="4295"/>
    <cellStyle name="Percent 2 2 3 2 8 2" xfId="15230"/>
    <cellStyle name="Percent 2 2 3 2 8 3" xfId="27621"/>
    <cellStyle name="Percent 2 2 3 2 9" xfId="5266"/>
    <cellStyle name="Percent 2 2 3 2 9 2" xfId="15231"/>
    <cellStyle name="Percent 2 2 3 2 9 3" xfId="27622"/>
    <cellStyle name="Percent 2 2 3 2_LNG &amp; LPG rework" xfId="9885"/>
    <cellStyle name="Percent 2 2 3 3" xfId="1587"/>
    <cellStyle name="Percent 2 2 3 3 10" xfId="27623"/>
    <cellStyle name="Percent 2 2 3 3 2" xfId="1926"/>
    <cellStyle name="Percent 2 2 3 3 2 2" xfId="2816"/>
    <cellStyle name="Percent 2 2 3 3 2 2 2" xfId="15232"/>
    <cellStyle name="Percent 2 2 3 3 2 2 3" xfId="27625"/>
    <cellStyle name="Percent 2 2 3 3 2 3" xfId="3680"/>
    <cellStyle name="Percent 2 2 3 3 2 3 2" xfId="15233"/>
    <cellStyle name="Percent 2 2 3 3 2 3 3" xfId="27626"/>
    <cellStyle name="Percent 2 2 3 3 2 4" xfId="4555"/>
    <cellStyle name="Percent 2 2 3 3 2 4 2" xfId="15234"/>
    <cellStyle name="Percent 2 2 3 3 2 4 3" xfId="27627"/>
    <cellStyle name="Percent 2 2 3 3 2 5" xfId="5271"/>
    <cellStyle name="Percent 2 2 3 3 2 5 2" xfId="15235"/>
    <cellStyle name="Percent 2 2 3 3 2 5 3" xfId="27628"/>
    <cellStyle name="Percent 2 2 3 3 2 6" xfId="5820"/>
    <cellStyle name="Percent 2 2 3 3 2 6 2" xfId="15236"/>
    <cellStyle name="Percent 2 2 3 3 2 6 3" xfId="27629"/>
    <cellStyle name="Percent 2 2 3 3 2 7" xfId="10474"/>
    <cellStyle name="Percent 2 2 3 3 2 8" xfId="27624"/>
    <cellStyle name="Percent 2 2 3 3 2_LNG &amp; LPG rework" xfId="9893"/>
    <cellStyle name="Percent 2 2 3 3 3" xfId="2201"/>
    <cellStyle name="Percent 2 2 3 3 3 2" xfId="3071"/>
    <cellStyle name="Percent 2 2 3 3 3 2 2" xfId="15238"/>
    <cellStyle name="Percent 2 2 3 3 3 2 3" xfId="27631"/>
    <cellStyle name="Percent 2 2 3 3 3 3" xfId="3941"/>
    <cellStyle name="Percent 2 2 3 3 3 3 2" xfId="15239"/>
    <cellStyle name="Percent 2 2 3 3 3 3 3" xfId="27632"/>
    <cellStyle name="Percent 2 2 3 3 3 4" xfId="4819"/>
    <cellStyle name="Percent 2 2 3 3 3 4 2" xfId="15240"/>
    <cellStyle name="Percent 2 2 3 3 3 4 3" xfId="27633"/>
    <cellStyle name="Percent 2 2 3 3 3 5" xfId="6084"/>
    <cellStyle name="Percent 2 2 3 3 3 5 2" xfId="15241"/>
    <cellStyle name="Percent 2 2 3 3 3 5 3" xfId="27634"/>
    <cellStyle name="Percent 2 2 3 3 3 6" xfId="15237"/>
    <cellStyle name="Percent 2 2 3 3 3 7" xfId="27630"/>
    <cellStyle name="Percent 2 2 3 3 3_LNG &amp; LPG rework" xfId="9894"/>
    <cellStyle name="Percent 2 2 3 3 4" xfId="2566"/>
    <cellStyle name="Percent 2 2 3 3 4 2" xfId="15242"/>
    <cellStyle name="Percent 2 2 3 3 4 3" xfId="27635"/>
    <cellStyle name="Percent 2 2 3 3 5" xfId="3429"/>
    <cellStyle name="Percent 2 2 3 3 5 2" xfId="15243"/>
    <cellStyle name="Percent 2 2 3 3 5 3" xfId="27636"/>
    <cellStyle name="Percent 2 2 3 3 6" xfId="4297"/>
    <cellStyle name="Percent 2 2 3 3 6 2" xfId="15244"/>
    <cellStyle name="Percent 2 2 3 3 6 3" xfId="27637"/>
    <cellStyle name="Percent 2 2 3 3 7" xfId="5270"/>
    <cellStyle name="Percent 2 2 3 3 7 2" xfId="15245"/>
    <cellStyle name="Percent 2 2 3 3 7 3" xfId="27638"/>
    <cellStyle name="Percent 2 2 3 3 8" xfId="5559"/>
    <cellStyle name="Percent 2 2 3 3 8 2" xfId="15246"/>
    <cellStyle name="Percent 2 2 3 3 8 3" xfId="27639"/>
    <cellStyle name="Percent 2 2 3 3 9" xfId="10473"/>
    <cellStyle name="Percent 2 2 3 3_LNG &amp; LPG rework" xfId="9892"/>
    <cellStyle name="Percent 2 2 3 4" xfId="1923"/>
    <cellStyle name="Percent 2 2 3 4 2" xfId="2813"/>
    <cellStyle name="Percent 2 2 3 4 2 2" xfId="15247"/>
    <cellStyle name="Percent 2 2 3 4 2 3" xfId="27641"/>
    <cellStyle name="Percent 2 2 3 4 3" xfId="3677"/>
    <cellStyle name="Percent 2 2 3 4 3 2" xfId="15248"/>
    <cellStyle name="Percent 2 2 3 4 3 3" xfId="27642"/>
    <cellStyle name="Percent 2 2 3 4 4" xfId="4552"/>
    <cellStyle name="Percent 2 2 3 4 4 2" xfId="15249"/>
    <cellStyle name="Percent 2 2 3 4 4 3" xfId="27643"/>
    <cellStyle name="Percent 2 2 3 4 5" xfId="5272"/>
    <cellStyle name="Percent 2 2 3 4 5 2" xfId="15250"/>
    <cellStyle name="Percent 2 2 3 4 5 3" xfId="27644"/>
    <cellStyle name="Percent 2 2 3 4 6" xfId="5817"/>
    <cellStyle name="Percent 2 2 3 4 6 2" xfId="15251"/>
    <cellStyle name="Percent 2 2 3 4 6 3" xfId="27645"/>
    <cellStyle name="Percent 2 2 3 4 7" xfId="10475"/>
    <cellStyle name="Percent 2 2 3 4 8" xfId="27640"/>
    <cellStyle name="Percent 2 2 3 4_LNG &amp; LPG rework" xfId="9895"/>
    <cellStyle name="Percent 2 2 3 5" xfId="2198"/>
    <cellStyle name="Percent 2 2 3 5 2" xfId="3068"/>
    <cellStyle name="Percent 2 2 3 5 2 2" xfId="15253"/>
    <cellStyle name="Percent 2 2 3 5 2 3" xfId="27647"/>
    <cellStyle name="Percent 2 2 3 5 3" xfId="3938"/>
    <cellStyle name="Percent 2 2 3 5 3 2" xfId="15254"/>
    <cellStyle name="Percent 2 2 3 5 3 3" xfId="27648"/>
    <cellStyle name="Percent 2 2 3 5 4" xfId="4816"/>
    <cellStyle name="Percent 2 2 3 5 4 2" xfId="15255"/>
    <cellStyle name="Percent 2 2 3 5 4 3" xfId="27649"/>
    <cellStyle name="Percent 2 2 3 5 5" xfId="6081"/>
    <cellStyle name="Percent 2 2 3 5 5 2" xfId="15256"/>
    <cellStyle name="Percent 2 2 3 5 5 3" xfId="27650"/>
    <cellStyle name="Percent 2 2 3 5 6" xfId="15252"/>
    <cellStyle name="Percent 2 2 3 5 7" xfId="27646"/>
    <cellStyle name="Percent 2 2 3 5_LNG &amp; LPG rework" xfId="9896"/>
    <cellStyle name="Percent 2 2 3 6" xfId="2294"/>
    <cellStyle name="Percent 2 2 3 6 2" xfId="3153"/>
    <cellStyle name="Percent 2 2 3 6 2 2" xfId="15258"/>
    <cellStyle name="Percent 2 2 3 6 2 3" xfId="27652"/>
    <cellStyle name="Percent 2 2 3 6 3" xfId="4019"/>
    <cellStyle name="Percent 2 2 3 6 3 2" xfId="15259"/>
    <cellStyle name="Percent 2 2 3 6 3 3" xfId="27653"/>
    <cellStyle name="Percent 2 2 3 6 4" xfId="4898"/>
    <cellStyle name="Percent 2 2 3 6 4 2" xfId="15260"/>
    <cellStyle name="Percent 2 2 3 6 4 3" xfId="27654"/>
    <cellStyle name="Percent 2 2 3 6 5" xfId="6163"/>
    <cellStyle name="Percent 2 2 3 6 5 2" xfId="15261"/>
    <cellStyle name="Percent 2 2 3 6 5 3" xfId="27655"/>
    <cellStyle name="Percent 2 2 3 6 6" xfId="15257"/>
    <cellStyle name="Percent 2 2 3 6 7" xfId="27651"/>
    <cellStyle name="Percent 2 2 3 6_LNG &amp; LPG rework" xfId="9897"/>
    <cellStyle name="Percent 2 2 3 7" xfId="2563"/>
    <cellStyle name="Percent 2 2 3 7 2" xfId="15262"/>
    <cellStyle name="Percent 2 2 3 7 3" xfId="27656"/>
    <cellStyle name="Percent 2 2 3 8" xfId="3426"/>
    <cellStyle name="Percent 2 2 3 8 2" xfId="15263"/>
    <cellStyle name="Percent 2 2 3 8 3" xfId="27657"/>
    <cellStyle name="Percent 2 2 3 9" xfId="4294"/>
    <cellStyle name="Percent 2 2 3 9 2" xfId="15264"/>
    <cellStyle name="Percent 2 2 3 9 3" xfId="27658"/>
    <cellStyle name="Percent 2 2 3_LNG &amp; LPG rework" xfId="9884"/>
    <cellStyle name="Percent 2 2 4" xfId="1588"/>
    <cellStyle name="Percent 2 2 4 10" xfId="5560"/>
    <cellStyle name="Percent 2 2 4 10 2" xfId="15265"/>
    <cellStyle name="Percent 2 2 4 10 3" xfId="27660"/>
    <cellStyle name="Percent 2 2 4 11" xfId="10476"/>
    <cellStyle name="Percent 2 2 4 12" xfId="27659"/>
    <cellStyle name="Percent 2 2 4 2" xfId="1589"/>
    <cellStyle name="Percent 2 2 4 2 10" xfId="27661"/>
    <cellStyle name="Percent 2 2 4 2 2" xfId="1928"/>
    <cellStyle name="Percent 2 2 4 2 2 2" xfId="2818"/>
    <cellStyle name="Percent 2 2 4 2 2 2 2" xfId="15266"/>
    <cellStyle name="Percent 2 2 4 2 2 2 3" xfId="27663"/>
    <cellStyle name="Percent 2 2 4 2 2 3" xfId="3682"/>
    <cellStyle name="Percent 2 2 4 2 2 3 2" xfId="15267"/>
    <cellStyle name="Percent 2 2 4 2 2 3 3" xfId="27664"/>
    <cellStyle name="Percent 2 2 4 2 2 4" xfId="4557"/>
    <cellStyle name="Percent 2 2 4 2 2 4 2" xfId="15268"/>
    <cellStyle name="Percent 2 2 4 2 2 4 3" xfId="27665"/>
    <cellStyle name="Percent 2 2 4 2 2 5" xfId="5275"/>
    <cellStyle name="Percent 2 2 4 2 2 5 2" xfId="15269"/>
    <cellStyle name="Percent 2 2 4 2 2 5 3" xfId="27666"/>
    <cellStyle name="Percent 2 2 4 2 2 6" xfId="5822"/>
    <cellStyle name="Percent 2 2 4 2 2 6 2" xfId="15270"/>
    <cellStyle name="Percent 2 2 4 2 2 6 3" xfId="27667"/>
    <cellStyle name="Percent 2 2 4 2 2 7" xfId="10478"/>
    <cellStyle name="Percent 2 2 4 2 2 8" xfId="27662"/>
    <cellStyle name="Percent 2 2 4 2 2_LNG &amp; LPG rework" xfId="9900"/>
    <cellStyle name="Percent 2 2 4 2 3" xfId="2203"/>
    <cellStyle name="Percent 2 2 4 2 3 2" xfId="3073"/>
    <cellStyle name="Percent 2 2 4 2 3 2 2" xfId="15272"/>
    <cellStyle name="Percent 2 2 4 2 3 2 3" xfId="27669"/>
    <cellStyle name="Percent 2 2 4 2 3 3" xfId="3943"/>
    <cellStyle name="Percent 2 2 4 2 3 3 2" xfId="15273"/>
    <cellStyle name="Percent 2 2 4 2 3 3 3" xfId="27670"/>
    <cellStyle name="Percent 2 2 4 2 3 4" xfId="4821"/>
    <cellStyle name="Percent 2 2 4 2 3 4 2" xfId="15274"/>
    <cellStyle name="Percent 2 2 4 2 3 4 3" xfId="27671"/>
    <cellStyle name="Percent 2 2 4 2 3 5" xfId="6086"/>
    <cellStyle name="Percent 2 2 4 2 3 5 2" xfId="15275"/>
    <cellStyle name="Percent 2 2 4 2 3 5 3" xfId="27672"/>
    <cellStyle name="Percent 2 2 4 2 3 6" xfId="15271"/>
    <cellStyle name="Percent 2 2 4 2 3 7" xfId="27668"/>
    <cellStyle name="Percent 2 2 4 2 3_LNG &amp; LPG rework" xfId="9901"/>
    <cellStyle name="Percent 2 2 4 2 4" xfId="2568"/>
    <cellStyle name="Percent 2 2 4 2 4 2" xfId="15276"/>
    <cellStyle name="Percent 2 2 4 2 4 3" xfId="27673"/>
    <cellStyle name="Percent 2 2 4 2 5" xfId="3431"/>
    <cellStyle name="Percent 2 2 4 2 5 2" xfId="15277"/>
    <cellStyle name="Percent 2 2 4 2 5 3" xfId="27674"/>
    <cellStyle name="Percent 2 2 4 2 6" xfId="4299"/>
    <cellStyle name="Percent 2 2 4 2 6 2" xfId="15278"/>
    <cellStyle name="Percent 2 2 4 2 6 3" xfId="27675"/>
    <cellStyle name="Percent 2 2 4 2 7" xfId="5274"/>
    <cellStyle name="Percent 2 2 4 2 7 2" xfId="15279"/>
    <cellStyle name="Percent 2 2 4 2 7 3" xfId="27676"/>
    <cellStyle name="Percent 2 2 4 2 8" xfId="5561"/>
    <cellStyle name="Percent 2 2 4 2 8 2" xfId="15280"/>
    <cellStyle name="Percent 2 2 4 2 8 3" xfId="27677"/>
    <cellStyle name="Percent 2 2 4 2 9" xfId="10477"/>
    <cellStyle name="Percent 2 2 4 2_LNG &amp; LPG rework" xfId="9899"/>
    <cellStyle name="Percent 2 2 4 3" xfId="1927"/>
    <cellStyle name="Percent 2 2 4 3 2" xfId="2817"/>
    <cellStyle name="Percent 2 2 4 3 2 2" xfId="15281"/>
    <cellStyle name="Percent 2 2 4 3 2 3" xfId="27679"/>
    <cellStyle name="Percent 2 2 4 3 3" xfId="3681"/>
    <cellStyle name="Percent 2 2 4 3 3 2" xfId="15282"/>
    <cellStyle name="Percent 2 2 4 3 3 3" xfId="27680"/>
    <cellStyle name="Percent 2 2 4 3 4" xfId="4556"/>
    <cellStyle name="Percent 2 2 4 3 4 2" xfId="15283"/>
    <cellStyle name="Percent 2 2 4 3 4 3" xfId="27681"/>
    <cellStyle name="Percent 2 2 4 3 5" xfId="5276"/>
    <cellStyle name="Percent 2 2 4 3 5 2" xfId="15284"/>
    <cellStyle name="Percent 2 2 4 3 5 3" xfId="27682"/>
    <cellStyle name="Percent 2 2 4 3 6" xfId="5821"/>
    <cellStyle name="Percent 2 2 4 3 6 2" xfId="15285"/>
    <cellStyle name="Percent 2 2 4 3 6 3" xfId="27683"/>
    <cellStyle name="Percent 2 2 4 3 7" xfId="10479"/>
    <cellStyle name="Percent 2 2 4 3 8" xfId="27678"/>
    <cellStyle name="Percent 2 2 4 3_LNG &amp; LPG rework" xfId="9902"/>
    <cellStyle name="Percent 2 2 4 4" xfId="2202"/>
    <cellStyle name="Percent 2 2 4 4 2" xfId="3072"/>
    <cellStyle name="Percent 2 2 4 4 2 2" xfId="15287"/>
    <cellStyle name="Percent 2 2 4 4 2 3" xfId="27685"/>
    <cellStyle name="Percent 2 2 4 4 3" xfId="3942"/>
    <cellStyle name="Percent 2 2 4 4 3 2" xfId="15288"/>
    <cellStyle name="Percent 2 2 4 4 3 3" xfId="27686"/>
    <cellStyle name="Percent 2 2 4 4 4" xfId="4820"/>
    <cellStyle name="Percent 2 2 4 4 4 2" xfId="15289"/>
    <cellStyle name="Percent 2 2 4 4 4 3" xfId="27687"/>
    <cellStyle name="Percent 2 2 4 4 5" xfId="6085"/>
    <cellStyle name="Percent 2 2 4 4 5 2" xfId="15290"/>
    <cellStyle name="Percent 2 2 4 4 5 3" xfId="27688"/>
    <cellStyle name="Percent 2 2 4 4 6" xfId="15286"/>
    <cellStyle name="Percent 2 2 4 4 7" xfId="27684"/>
    <cellStyle name="Percent 2 2 4 4_LNG &amp; LPG rework" xfId="9903"/>
    <cellStyle name="Percent 2 2 4 5" xfId="2316"/>
    <cellStyle name="Percent 2 2 4 5 2" xfId="3175"/>
    <cellStyle name="Percent 2 2 4 5 2 2" xfId="15292"/>
    <cellStyle name="Percent 2 2 4 5 2 3" xfId="27690"/>
    <cellStyle name="Percent 2 2 4 5 3" xfId="4041"/>
    <cellStyle name="Percent 2 2 4 5 3 2" xfId="15293"/>
    <cellStyle name="Percent 2 2 4 5 3 3" xfId="27691"/>
    <cellStyle name="Percent 2 2 4 5 4" xfId="4920"/>
    <cellStyle name="Percent 2 2 4 5 4 2" xfId="15294"/>
    <cellStyle name="Percent 2 2 4 5 4 3" xfId="27692"/>
    <cellStyle name="Percent 2 2 4 5 5" xfId="6185"/>
    <cellStyle name="Percent 2 2 4 5 5 2" xfId="15295"/>
    <cellStyle name="Percent 2 2 4 5 5 3" xfId="27693"/>
    <cellStyle name="Percent 2 2 4 5 6" xfId="15291"/>
    <cellStyle name="Percent 2 2 4 5 7" xfId="27689"/>
    <cellStyle name="Percent 2 2 4 5_LNG &amp; LPG rework" xfId="9904"/>
    <cellStyle name="Percent 2 2 4 6" xfId="2567"/>
    <cellStyle name="Percent 2 2 4 6 2" xfId="15296"/>
    <cellStyle name="Percent 2 2 4 6 3" xfId="27694"/>
    <cellStyle name="Percent 2 2 4 7" xfId="3430"/>
    <cellStyle name="Percent 2 2 4 7 2" xfId="15297"/>
    <cellStyle name="Percent 2 2 4 7 3" xfId="27695"/>
    <cellStyle name="Percent 2 2 4 8" xfId="4298"/>
    <cellStyle name="Percent 2 2 4 8 2" xfId="15298"/>
    <cellStyle name="Percent 2 2 4 8 3" xfId="27696"/>
    <cellStyle name="Percent 2 2 4 9" xfId="5273"/>
    <cellStyle name="Percent 2 2 4 9 2" xfId="15299"/>
    <cellStyle name="Percent 2 2 4 9 3" xfId="27697"/>
    <cellStyle name="Percent 2 2 4_LNG &amp; LPG rework" xfId="9898"/>
    <cellStyle name="Percent 2 2 5" xfId="1590"/>
    <cellStyle name="Percent 2 2 5 10" xfId="27698"/>
    <cellStyle name="Percent 2 2 5 2" xfId="1929"/>
    <cellStyle name="Percent 2 2 5 2 2" xfId="2819"/>
    <cellStyle name="Percent 2 2 5 2 2 2" xfId="15300"/>
    <cellStyle name="Percent 2 2 5 2 2 3" xfId="27700"/>
    <cellStyle name="Percent 2 2 5 2 3" xfId="3683"/>
    <cellStyle name="Percent 2 2 5 2 3 2" xfId="15301"/>
    <cellStyle name="Percent 2 2 5 2 3 3" xfId="27701"/>
    <cellStyle name="Percent 2 2 5 2 4" xfId="4558"/>
    <cellStyle name="Percent 2 2 5 2 4 2" xfId="15302"/>
    <cellStyle name="Percent 2 2 5 2 4 3" xfId="27702"/>
    <cellStyle name="Percent 2 2 5 2 5" xfId="5278"/>
    <cellStyle name="Percent 2 2 5 2 5 2" xfId="15303"/>
    <cellStyle name="Percent 2 2 5 2 5 3" xfId="27703"/>
    <cellStyle name="Percent 2 2 5 2 6" xfId="5823"/>
    <cellStyle name="Percent 2 2 5 2 6 2" xfId="15304"/>
    <cellStyle name="Percent 2 2 5 2 6 3" xfId="27704"/>
    <cellStyle name="Percent 2 2 5 2 7" xfId="10481"/>
    <cellStyle name="Percent 2 2 5 2 8" xfId="27699"/>
    <cellStyle name="Percent 2 2 5 2_LNG &amp; LPG rework" xfId="9906"/>
    <cellStyle name="Percent 2 2 5 3" xfId="2204"/>
    <cellStyle name="Percent 2 2 5 3 2" xfId="3074"/>
    <cellStyle name="Percent 2 2 5 3 2 2" xfId="15306"/>
    <cellStyle name="Percent 2 2 5 3 2 3" xfId="27706"/>
    <cellStyle name="Percent 2 2 5 3 3" xfId="3944"/>
    <cellStyle name="Percent 2 2 5 3 3 2" xfId="15307"/>
    <cellStyle name="Percent 2 2 5 3 3 3" xfId="27707"/>
    <cellStyle name="Percent 2 2 5 3 4" xfId="4822"/>
    <cellStyle name="Percent 2 2 5 3 4 2" xfId="15308"/>
    <cellStyle name="Percent 2 2 5 3 4 3" xfId="27708"/>
    <cellStyle name="Percent 2 2 5 3 5" xfId="6087"/>
    <cellStyle name="Percent 2 2 5 3 5 2" xfId="15309"/>
    <cellStyle name="Percent 2 2 5 3 5 3" xfId="27709"/>
    <cellStyle name="Percent 2 2 5 3 6" xfId="15305"/>
    <cellStyle name="Percent 2 2 5 3 7" xfId="27705"/>
    <cellStyle name="Percent 2 2 5 3_LNG &amp; LPG rework" xfId="9907"/>
    <cellStyle name="Percent 2 2 5 4" xfId="2569"/>
    <cellStyle name="Percent 2 2 5 4 2" xfId="15310"/>
    <cellStyle name="Percent 2 2 5 4 3" xfId="27710"/>
    <cellStyle name="Percent 2 2 5 5" xfId="3432"/>
    <cellStyle name="Percent 2 2 5 5 2" xfId="15311"/>
    <cellStyle name="Percent 2 2 5 5 3" xfId="27711"/>
    <cellStyle name="Percent 2 2 5 6" xfId="4300"/>
    <cellStyle name="Percent 2 2 5 6 2" xfId="15312"/>
    <cellStyle name="Percent 2 2 5 6 3" xfId="27712"/>
    <cellStyle name="Percent 2 2 5 7" xfId="5277"/>
    <cellStyle name="Percent 2 2 5 7 2" xfId="15313"/>
    <cellStyle name="Percent 2 2 5 7 3" xfId="27713"/>
    <cellStyle name="Percent 2 2 5 8" xfId="5562"/>
    <cellStyle name="Percent 2 2 5 8 2" xfId="15314"/>
    <cellStyle name="Percent 2 2 5 8 3" xfId="27714"/>
    <cellStyle name="Percent 2 2 5 9" xfId="10480"/>
    <cellStyle name="Percent 2 2 5_LNG &amp; LPG rework" xfId="9905"/>
    <cellStyle name="Percent 2 2 6" xfId="1979"/>
    <cellStyle name="Percent 2 2 6 2" xfId="5279"/>
    <cellStyle name="Percent 2 2 6 2 2" xfId="15315"/>
    <cellStyle name="Percent 2 2 6 2 3" xfId="27716"/>
    <cellStyle name="Percent 2 2 6 3" xfId="6230"/>
    <cellStyle name="Percent 2 2 6 3 2" xfId="15316"/>
    <cellStyle name="Percent 2 2 6 3 3" xfId="27717"/>
    <cellStyle name="Percent 2 2 6 4" xfId="10482"/>
    <cellStyle name="Percent 2 2 6 5" xfId="27715"/>
    <cellStyle name="Percent 2 2 6_LNG &amp; LPG rework" xfId="9908"/>
    <cellStyle name="Percent 2 2 7" xfId="1737"/>
    <cellStyle name="Percent 2 2 7 2" xfId="2642"/>
    <cellStyle name="Percent 2 2 7 2 2" xfId="15317"/>
    <cellStyle name="Percent 2 2 7 2 3" xfId="27719"/>
    <cellStyle name="Percent 2 2 7 3" xfId="3506"/>
    <cellStyle name="Percent 2 2 7 3 2" xfId="15318"/>
    <cellStyle name="Percent 2 2 7 3 3" xfId="27720"/>
    <cellStyle name="Percent 2 2 7 4" xfId="4378"/>
    <cellStyle name="Percent 2 2 7 4 2" xfId="15319"/>
    <cellStyle name="Percent 2 2 7 4 3" xfId="27721"/>
    <cellStyle name="Percent 2 2 7 5" xfId="5643"/>
    <cellStyle name="Percent 2 2 7 5 2" xfId="15320"/>
    <cellStyle name="Percent 2 2 7 5 3" xfId="27722"/>
    <cellStyle name="Percent 2 2 7 6" xfId="10451"/>
    <cellStyle name="Percent 2 2 7 7" xfId="27718"/>
    <cellStyle name="Percent 2 2 7_LNG &amp; LPG rework" xfId="9909"/>
    <cellStyle name="Percent 2 2 8" xfId="2027"/>
    <cellStyle name="Percent 2 2 8 2" xfId="2897"/>
    <cellStyle name="Percent 2 2 8 2 2" xfId="15322"/>
    <cellStyle name="Percent 2 2 8 2 3" xfId="27724"/>
    <cellStyle name="Percent 2 2 8 3" xfId="3764"/>
    <cellStyle name="Percent 2 2 8 3 2" xfId="15323"/>
    <cellStyle name="Percent 2 2 8 3 3" xfId="27725"/>
    <cellStyle name="Percent 2 2 8 4" xfId="4642"/>
    <cellStyle name="Percent 2 2 8 4 2" xfId="15324"/>
    <cellStyle name="Percent 2 2 8 4 3" xfId="27726"/>
    <cellStyle name="Percent 2 2 8 5" xfId="5907"/>
    <cellStyle name="Percent 2 2 8 5 2" xfId="15325"/>
    <cellStyle name="Percent 2 2 8 5 3" xfId="27727"/>
    <cellStyle name="Percent 2 2 8 6" xfId="15321"/>
    <cellStyle name="Percent 2 2 8 7" xfId="27723"/>
    <cellStyle name="Percent 2 2 8_LNG &amp; LPG rework" xfId="9910"/>
    <cellStyle name="Percent 2 2 9" xfId="2261"/>
    <cellStyle name="Percent 2 2 9 2" xfId="3129"/>
    <cellStyle name="Percent 2 2 9 2 2" xfId="15327"/>
    <cellStyle name="Percent 2 2 9 2 3" xfId="27729"/>
    <cellStyle name="Percent 2 2 9 3" xfId="3997"/>
    <cellStyle name="Percent 2 2 9 3 2" xfId="15328"/>
    <cellStyle name="Percent 2 2 9 3 3" xfId="27730"/>
    <cellStyle name="Percent 2 2 9 4" xfId="4876"/>
    <cellStyle name="Percent 2 2 9 4 2" xfId="15329"/>
    <cellStyle name="Percent 2 2 9 4 3" xfId="27731"/>
    <cellStyle name="Percent 2 2 9 5" xfId="6141"/>
    <cellStyle name="Percent 2 2 9 5 2" xfId="15330"/>
    <cellStyle name="Percent 2 2 9 5 3" xfId="27732"/>
    <cellStyle name="Percent 2 2 9 6" xfId="15326"/>
    <cellStyle name="Percent 2 2 9 7" xfId="27728"/>
    <cellStyle name="Percent 2 2 9_LNG &amp; LPG rework" xfId="9911"/>
    <cellStyle name="Percent 2 2_LNG &amp; LPG rework" xfId="9855"/>
    <cellStyle name="Percent 2 3" xfId="1591"/>
    <cellStyle name="Percent 2 3 10" xfId="3433"/>
    <cellStyle name="Percent 2 3 10 2" xfId="15331"/>
    <cellStyle name="Percent 2 3 10 3" xfId="27734"/>
    <cellStyle name="Percent 2 3 11" xfId="4301"/>
    <cellStyle name="Percent 2 3 11 2" xfId="15332"/>
    <cellStyle name="Percent 2 3 11 3" xfId="27735"/>
    <cellStyle name="Percent 2 3 12" xfId="5280"/>
    <cellStyle name="Percent 2 3 12 2" xfId="15333"/>
    <cellStyle name="Percent 2 3 12 3" xfId="27736"/>
    <cellStyle name="Percent 2 3 13" xfId="5563"/>
    <cellStyle name="Percent 2 3 13 2" xfId="15334"/>
    <cellStyle name="Percent 2 3 13 3" xfId="27737"/>
    <cellStyle name="Percent 2 3 14" xfId="10483"/>
    <cellStyle name="Percent 2 3 15" xfId="27733"/>
    <cellStyle name="Percent 2 3 2" xfId="1592"/>
    <cellStyle name="Percent 2 3 2 10" xfId="4302"/>
    <cellStyle name="Percent 2 3 2 10 2" xfId="15335"/>
    <cellStyle name="Percent 2 3 2 10 3" xfId="27739"/>
    <cellStyle name="Percent 2 3 2 11" xfId="5281"/>
    <cellStyle name="Percent 2 3 2 11 2" xfId="15336"/>
    <cellStyle name="Percent 2 3 2 11 3" xfId="27740"/>
    <cellStyle name="Percent 2 3 2 12" xfId="5564"/>
    <cellStyle name="Percent 2 3 2 12 2" xfId="15337"/>
    <cellStyle name="Percent 2 3 2 12 3" xfId="27741"/>
    <cellStyle name="Percent 2 3 2 13" xfId="10484"/>
    <cellStyle name="Percent 2 3 2 14" xfId="27738"/>
    <cellStyle name="Percent 2 3 2 2" xfId="1593"/>
    <cellStyle name="Percent 2 3 2 2 10" xfId="5282"/>
    <cellStyle name="Percent 2 3 2 2 10 2" xfId="15338"/>
    <cellStyle name="Percent 2 3 2 2 10 3" xfId="27743"/>
    <cellStyle name="Percent 2 3 2 2 11" xfId="5565"/>
    <cellStyle name="Percent 2 3 2 2 11 2" xfId="15339"/>
    <cellStyle name="Percent 2 3 2 2 11 3" xfId="27744"/>
    <cellStyle name="Percent 2 3 2 2 12" xfId="10485"/>
    <cellStyle name="Percent 2 3 2 2 13" xfId="27742"/>
    <cellStyle name="Percent 2 3 2 2 2" xfId="1594"/>
    <cellStyle name="Percent 2 3 2 2 2 10" xfId="5566"/>
    <cellStyle name="Percent 2 3 2 2 2 10 2" xfId="15340"/>
    <cellStyle name="Percent 2 3 2 2 2 10 3" xfId="27746"/>
    <cellStyle name="Percent 2 3 2 2 2 11" xfId="10486"/>
    <cellStyle name="Percent 2 3 2 2 2 12" xfId="27745"/>
    <cellStyle name="Percent 2 3 2 2 2 2" xfId="1595"/>
    <cellStyle name="Percent 2 3 2 2 2 2 10" xfId="27747"/>
    <cellStyle name="Percent 2 3 2 2 2 2 2" xfId="1934"/>
    <cellStyle name="Percent 2 3 2 2 2 2 2 2" xfId="2824"/>
    <cellStyle name="Percent 2 3 2 2 2 2 2 2 2" xfId="15341"/>
    <cellStyle name="Percent 2 3 2 2 2 2 2 2 3" xfId="27749"/>
    <cellStyle name="Percent 2 3 2 2 2 2 2 3" xfId="3688"/>
    <cellStyle name="Percent 2 3 2 2 2 2 2 3 2" xfId="15342"/>
    <cellStyle name="Percent 2 3 2 2 2 2 2 3 3" xfId="27750"/>
    <cellStyle name="Percent 2 3 2 2 2 2 2 4" xfId="4563"/>
    <cellStyle name="Percent 2 3 2 2 2 2 2 4 2" xfId="15343"/>
    <cellStyle name="Percent 2 3 2 2 2 2 2 4 3" xfId="27751"/>
    <cellStyle name="Percent 2 3 2 2 2 2 2 5" xfId="5285"/>
    <cellStyle name="Percent 2 3 2 2 2 2 2 5 2" xfId="15344"/>
    <cellStyle name="Percent 2 3 2 2 2 2 2 5 3" xfId="27752"/>
    <cellStyle name="Percent 2 3 2 2 2 2 2 6" xfId="5828"/>
    <cellStyle name="Percent 2 3 2 2 2 2 2 6 2" xfId="15345"/>
    <cellStyle name="Percent 2 3 2 2 2 2 2 6 3" xfId="27753"/>
    <cellStyle name="Percent 2 3 2 2 2 2 2 7" xfId="10488"/>
    <cellStyle name="Percent 2 3 2 2 2 2 2 8" xfId="27748"/>
    <cellStyle name="Percent 2 3 2 2 2 2 2_LNG &amp; LPG rework" xfId="9917"/>
    <cellStyle name="Percent 2 3 2 2 2 2 3" xfId="2209"/>
    <cellStyle name="Percent 2 3 2 2 2 2 3 2" xfId="3079"/>
    <cellStyle name="Percent 2 3 2 2 2 2 3 2 2" xfId="15347"/>
    <cellStyle name="Percent 2 3 2 2 2 2 3 2 3" xfId="27755"/>
    <cellStyle name="Percent 2 3 2 2 2 2 3 3" xfId="3949"/>
    <cellStyle name="Percent 2 3 2 2 2 2 3 3 2" xfId="15348"/>
    <cellStyle name="Percent 2 3 2 2 2 2 3 3 3" xfId="27756"/>
    <cellStyle name="Percent 2 3 2 2 2 2 3 4" xfId="4827"/>
    <cellStyle name="Percent 2 3 2 2 2 2 3 4 2" xfId="15349"/>
    <cellStyle name="Percent 2 3 2 2 2 2 3 4 3" xfId="27757"/>
    <cellStyle name="Percent 2 3 2 2 2 2 3 5" xfId="6092"/>
    <cellStyle name="Percent 2 3 2 2 2 2 3 5 2" xfId="15350"/>
    <cellStyle name="Percent 2 3 2 2 2 2 3 5 3" xfId="27758"/>
    <cellStyle name="Percent 2 3 2 2 2 2 3 6" xfId="15346"/>
    <cellStyle name="Percent 2 3 2 2 2 2 3 7" xfId="27754"/>
    <cellStyle name="Percent 2 3 2 2 2 2 3_LNG &amp; LPG rework" xfId="9918"/>
    <cellStyle name="Percent 2 3 2 2 2 2 4" xfId="2574"/>
    <cellStyle name="Percent 2 3 2 2 2 2 4 2" xfId="15351"/>
    <cellStyle name="Percent 2 3 2 2 2 2 4 3" xfId="27759"/>
    <cellStyle name="Percent 2 3 2 2 2 2 5" xfId="3437"/>
    <cellStyle name="Percent 2 3 2 2 2 2 5 2" xfId="15352"/>
    <cellStyle name="Percent 2 3 2 2 2 2 5 3" xfId="27760"/>
    <cellStyle name="Percent 2 3 2 2 2 2 6" xfId="4305"/>
    <cellStyle name="Percent 2 3 2 2 2 2 6 2" xfId="15353"/>
    <cellStyle name="Percent 2 3 2 2 2 2 6 3" xfId="27761"/>
    <cellStyle name="Percent 2 3 2 2 2 2 7" xfId="5284"/>
    <cellStyle name="Percent 2 3 2 2 2 2 7 2" xfId="15354"/>
    <cellStyle name="Percent 2 3 2 2 2 2 7 3" xfId="27762"/>
    <cellStyle name="Percent 2 3 2 2 2 2 8" xfId="5567"/>
    <cellStyle name="Percent 2 3 2 2 2 2 8 2" xfId="15355"/>
    <cellStyle name="Percent 2 3 2 2 2 2 8 3" xfId="27763"/>
    <cellStyle name="Percent 2 3 2 2 2 2 9" xfId="10487"/>
    <cellStyle name="Percent 2 3 2 2 2 2_LNG &amp; LPG rework" xfId="9916"/>
    <cellStyle name="Percent 2 3 2 2 2 3" xfId="1933"/>
    <cellStyle name="Percent 2 3 2 2 2 3 2" xfId="2823"/>
    <cellStyle name="Percent 2 3 2 2 2 3 2 2" xfId="15356"/>
    <cellStyle name="Percent 2 3 2 2 2 3 2 3" xfId="27765"/>
    <cellStyle name="Percent 2 3 2 2 2 3 3" xfId="3687"/>
    <cellStyle name="Percent 2 3 2 2 2 3 3 2" xfId="15357"/>
    <cellStyle name="Percent 2 3 2 2 2 3 3 3" xfId="27766"/>
    <cellStyle name="Percent 2 3 2 2 2 3 4" xfId="4562"/>
    <cellStyle name="Percent 2 3 2 2 2 3 4 2" xfId="15358"/>
    <cellStyle name="Percent 2 3 2 2 2 3 4 3" xfId="27767"/>
    <cellStyle name="Percent 2 3 2 2 2 3 5" xfId="5286"/>
    <cellStyle name="Percent 2 3 2 2 2 3 5 2" xfId="15359"/>
    <cellStyle name="Percent 2 3 2 2 2 3 5 3" xfId="27768"/>
    <cellStyle name="Percent 2 3 2 2 2 3 6" xfId="5827"/>
    <cellStyle name="Percent 2 3 2 2 2 3 6 2" xfId="15360"/>
    <cellStyle name="Percent 2 3 2 2 2 3 6 3" xfId="27769"/>
    <cellStyle name="Percent 2 3 2 2 2 3 7" xfId="10489"/>
    <cellStyle name="Percent 2 3 2 2 2 3 8" xfId="27764"/>
    <cellStyle name="Percent 2 3 2 2 2 3_LNG &amp; LPG rework" xfId="9919"/>
    <cellStyle name="Percent 2 3 2 2 2 4" xfId="2208"/>
    <cellStyle name="Percent 2 3 2 2 2 4 2" xfId="3078"/>
    <cellStyle name="Percent 2 3 2 2 2 4 2 2" xfId="15362"/>
    <cellStyle name="Percent 2 3 2 2 2 4 2 3" xfId="27771"/>
    <cellStyle name="Percent 2 3 2 2 2 4 3" xfId="3948"/>
    <cellStyle name="Percent 2 3 2 2 2 4 3 2" xfId="15363"/>
    <cellStyle name="Percent 2 3 2 2 2 4 3 3" xfId="27772"/>
    <cellStyle name="Percent 2 3 2 2 2 4 4" xfId="4826"/>
    <cellStyle name="Percent 2 3 2 2 2 4 4 2" xfId="15364"/>
    <cellStyle name="Percent 2 3 2 2 2 4 4 3" xfId="27773"/>
    <cellStyle name="Percent 2 3 2 2 2 4 5" xfId="6091"/>
    <cellStyle name="Percent 2 3 2 2 2 4 5 2" xfId="15365"/>
    <cellStyle name="Percent 2 3 2 2 2 4 5 3" xfId="27774"/>
    <cellStyle name="Percent 2 3 2 2 2 4 6" xfId="15361"/>
    <cellStyle name="Percent 2 3 2 2 2 4 7" xfId="27770"/>
    <cellStyle name="Percent 2 3 2 2 2 4_LNG &amp; LPG rework" xfId="9920"/>
    <cellStyle name="Percent 2 3 2 2 2 5" xfId="2354"/>
    <cellStyle name="Percent 2 3 2 2 2 5 2" xfId="3213"/>
    <cellStyle name="Percent 2 3 2 2 2 5 2 2" xfId="15367"/>
    <cellStyle name="Percent 2 3 2 2 2 5 2 3" xfId="27776"/>
    <cellStyle name="Percent 2 3 2 2 2 5 3" xfId="4079"/>
    <cellStyle name="Percent 2 3 2 2 2 5 3 2" xfId="15368"/>
    <cellStyle name="Percent 2 3 2 2 2 5 3 3" xfId="27777"/>
    <cellStyle name="Percent 2 3 2 2 2 5 4" xfId="4958"/>
    <cellStyle name="Percent 2 3 2 2 2 5 4 2" xfId="15369"/>
    <cellStyle name="Percent 2 3 2 2 2 5 4 3" xfId="27778"/>
    <cellStyle name="Percent 2 3 2 2 2 5 5" xfId="6223"/>
    <cellStyle name="Percent 2 3 2 2 2 5 5 2" xfId="15370"/>
    <cellStyle name="Percent 2 3 2 2 2 5 5 3" xfId="27779"/>
    <cellStyle name="Percent 2 3 2 2 2 5 6" xfId="15366"/>
    <cellStyle name="Percent 2 3 2 2 2 5 7" xfId="27775"/>
    <cellStyle name="Percent 2 3 2 2 2 5_LNG &amp; LPG rework" xfId="9921"/>
    <cellStyle name="Percent 2 3 2 2 2 6" xfId="2573"/>
    <cellStyle name="Percent 2 3 2 2 2 6 2" xfId="15371"/>
    <cellStyle name="Percent 2 3 2 2 2 6 3" xfId="27780"/>
    <cellStyle name="Percent 2 3 2 2 2 7" xfId="3436"/>
    <cellStyle name="Percent 2 3 2 2 2 7 2" xfId="15372"/>
    <cellStyle name="Percent 2 3 2 2 2 7 3" xfId="27781"/>
    <cellStyle name="Percent 2 3 2 2 2 8" xfId="4304"/>
    <cellStyle name="Percent 2 3 2 2 2 8 2" xfId="15373"/>
    <cellStyle name="Percent 2 3 2 2 2 8 3" xfId="27782"/>
    <cellStyle name="Percent 2 3 2 2 2 9" xfId="5283"/>
    <cellStyle name="Percent 2 3 2 2 2 9 2" xfId="15374"/>
    <cellStyle name="Percent 2 3 2 2 2 9 3" xfId="27783"/>
    <cellStyle name="Percent 2 3 2 2 2_LNG &amp; LPG rework" xfId="9915"/>
    <cellStyle name="Percent 2 3 2 2 3" xfId="1596"/>
    <cellStyle name="Percent 2 3 2 2 3 10" xfId="27784"/>
    <cellStyle name="Percent 2 3 2 2 3 2" xfId="1935"/>
    <cellStyle name="Percent 2 3 2 2 3 2 2" xfId="2825"/>
    <cellStyle name="Percent 2 3 2 2 3 2 2 2" xfId="15375"/>
    <cellStyle name="Percent 2 3 2 2 3 2 2 3" xfId="27786"/>
    <cellStyle name="Percent 2 3 2 2 3 2 3" xfId="3689"/>
    <cellStyle name="Percent 2 3 2 2 3 2 3 2" xfId="15376"/>
    <cellStyle name="Percent 2 3 2 2 3 2 3 3" xfId="27787"/>
    <cellStyle name="Percent 2 3 2 2 3 2 4" xfId="4564"/>
    <cellStyle name="Percent 2 3 2 2 3 2 4 2" xfId="15377"/>
    <cellStyle name="Percent 2 3 2 2 3 2 4 3" xfId="27788"/>
    <cellStyle name="Percent 2 3 2 2 3 2 5" xfId="5288"/>
    <cellStyle name="Percent 2 3 2 2 3 2 5 2" xfId="15378"/>
    <cellStyle name="Percent 2 3 2 2 3 2 5 3" xfId="27789"/>
    <cellStyle name="Percent 2 3 2 2 3 2 6" xfId="5829"/>
    <cellStyle name="Percent 2 3 2 2 3 2 6 2" xfId="15379"/>
    <cellStyle name="Percent 2 3 2 2 3 2 6 3" xfId="27790"/>
    <cellStyle name="Percent 2 3 2 2 3 2 7" xfId="10491"/>
    <cellStyle name="Percent 2 3 2 2 3 2 8" xfId="27785"/>
    <cellStyle name="Percent 2 3 2 2 3 2_LNG &amp; LPG rework" xfId="9923"/>
    <cellStyle name="Percent 2 3 2 2 3 3" xfId="2210"/>
    <cellStyle name="Percent 2 3 2 2 3 3 2" xfId="3080"/>
    <cellStyle name="Percent 2 3 2 2 3 3 2 2" xfId="15381"/>
    <cellStyle name="Percent 2 3 2 2 3 3 2 3" xfId="27792"/>
    <cellStyle name="Percent 2 3 2 2 3 3 3" xfId="3950"/>
    <cellStyle name="Percent 2 3 2 2 3 3 3 2" xfId="15382"/>
    <cellStyle name="Percent 2 3 2 2 3 3 3 3" xfId="27793"/>
    <cellStyle name="Percent 2 3 2 2 3 3 4" xfId="4828"/>
    <cellStyle name="Percent 2 3 2 2 3 3 4 2" xfId="15383"/>
    <cellStyle name="Percent 2 3 2 2 3 3 4 3" xfId="27794"/>
    <cellStyle name="Percent 2 3 2 2 3 3 5" xfId="6093"/>
    <cellStyle name="Percent 2 3 2 2 3 3 5 2" xfId="15384"/>
    <cellStyle name="Percent 2 3 2 2 3 3 5 3" xfId="27795"/>
    <cellStyle name="Percent 2 3 2 2 3 3 6" xfId="15380"/>
    <cellStyle name="Percent 2 3 2 2 3 3 7" xfId="27791"/>
    <cellStyle name="Percent 2 3 2 2 3 3_LNG &amp; LPG rework" xfId="9924"/>
    <cellStyle name="Percent 2 3 2 2 3 4" xfId="2575"/>
    <cellStyle name="Percent 2 3 2 2 3 4 2" xfId="15385"/>
    <cellStyle name="Percent 2 3 2 2 3 4 3" xfId="27796"/>
    <cellStyle name="Percent 2 3 2 2 3 5" xfId="3438"/>
    <cellStyle name="Percent 2 3 2 2 3 5 2" xfId="15386"/>
    <cellStyle name="Percent 2 3 2 2 3 5 3" xfId="27797"/>
    <cellStyle name="Percent 2 3 2 2 3 6" xfId="4306"/>
    <cellStyle name="Percent 2 3 2 2 3 6 2" xfId="15387"/>
    <cellStyle name="Percent 2 3 2 2 3 6 3" xfId="27798"/>
    <cellStyle name="Percent 2 3 2 2 3 7" xfId="5287"/>
    <cellStyle name="Percent 2 3 2 2 3 7 2" xfId="15388"/>
    <cellStyle name="Percent 2 3 2 2 3 7 3" xfId="27799"/>
    <cellStyle name="Percent 2 3 2 2 3 8" xfId="5568"/>
    <cellStyle name="Percent 2 3 2 2 3 8 2" xfId="15389"/>
    <cellStyle name="Percent 2 3 2 2 3 8 3" xfId="27800"/>
    <cellStyle name="Percent 2 3 2 2 3 9" xfId="10490"/>
    <cellStyle name="Percent 2 3 2 2 3_LNG &amp; LPG rework" xfId="9922"/>
    <cellStyle name="Percent 2 3 2 2 4" xfId="1932"/>
    <cellStyle name="Percent 2 3 2 2 4 2" xfId="2822"/>
    <cellStyle name="Percent 2 3 2 2 4 2 2" xfId="15390"/>
    <cellStyle name="Percent 2 3 2 2 4 2 3" xfId="27802"/>
    <cellStyle name="Percent 2 3 2 2 4 3" xfId="3686"/>
    <cellStyle name="Percent 2 3 2 2 4 3 2" xfId="15391"/>
    <cellStyle name="Percent 2 3 2 2 4 3 3" xfId="27803"/>
    <cellStyle name="Percent 2 3 2 2 4 4" xfId="4561"/>
    <cellStyle name="Percent 2 3 2 2 4 4 2" xfId="15392"/>
    <cellStyle name="Percent 2 3 2 2 4 4 3" xfId="27804"/>
    <cellStyle name="Percent 2 3 2 2 4 5" xfId="5289"/>
    <cellStyle name="Percent 2 3 2 2 4 5 2" xfId="15393"/>
    <cellStyle name="Percent 2 3 2 2 4 5 3" xfId="27805"/>
    <cellStyle name="Percent 2 3 2 2 4 6" xfId="5826"/>
    <cellStyle name="Percent 2 3 2 2 4 6 2" xfId="15394"/>
    <cellStyle name="Percent 2 3 2 2 4 6 3" xfId="27806"/>
    <cellStyle name="Percent 2 3 2 2 4 7" xfId="10492"/>
    <cellStyle name="Percent 2 3 2 2 4 8" xfId="27801"/>
    <cellStyle name="Percent 2 3 2 2 4_LNG &amp; LPG rework" xfId="9925"/>
    <cellStyle name="Percent 2 3 2 2 5" xfId="2207"/>
    <cellStyle name="Percent 2 3 2 2 5 2" xfId="3077"/>
    <cellStyle name="Percent 2 3 2 2 5 2 2" xfId="15396"/>
    <cellStyle name="Percent 2 3 2 2 5 2 3" xfId="27808"/>
    <cellStyle name="Percent 2 3 2 2 5 3" xfId="3947"/>
    <cellStyle name="Percent 2 3 2 2 5 3 2" xfId="15397"/>
    <cellStyle name="Percent 2 3 2 2 5 3 3" xfId="27809"/>
    <cellStyle name="Percent 2 3 2 2 5 4" xfId="4825"/>
    <cellStyle name="Percent 2 3 2 2 5 4 2" xfId="15398"/>
    <cellStyle name="Percent 2 3 2 2 5 4 3" xfId="27810"/>
    <cellStyle name="Percent 2 3 2 2 5 5" xfId="6090"/>
    <cellStyle name="Percent 2 3 2 2 5 5 2" xfId="15399"/>
    <cellStyle name="Percent 2 3 2 2 5 5 3" xfId="27811"/>
    <cellStyle name="Percent 2 3 2 2 5 6" xfId="15395"/>
    <cellStyle name="Percent 2 3 2 2 5 7" xfId="27807"/>
    <cellStyle name="Percent 2 3 2 2 5_LNG &amp; LPG rework" xfId="9926"/>
    <cellStyle name="Percent 2 3 2 2 6" xfId="2310"/>
    <cellStyle name="Percent 2 3 2 2 6 2" xfId="3169"/>
    <cellStyle name="Percent 2 3 2 2 6 2 2" xfId="15401"/>
    <cellStyle name="Percent 2 3 2 2 6 2 3" xfId="27813"/>
    <cellStyle name="Percent 2 3 2 2 6 3" xfId="4035"/>
    <cellStyle name="Percent 2 3 2 2 6 3 2" xfId="15402"/>
    <cellStyle name="Percent 2 3 2 2 6 3 3" xfId="27814"/>
    <cellStyle name="Percent 2 3 2 2 6 4" xfId="4914"/>
    <cellStyle name="Percent 2 3 2 2 6 4 2" xfId="15403"/>
    <cellStyle name="Percent 2 3 2 2 6 4 3" xfId="27815"/>
    <cellStyle name="Percent 2 3 2 2 6 5" xfId="6179"/>
    <cellStyle name="Percent 2 3 2 2 6 5 2" xfId="15404"/>
    <cellStyle name="Percent 2 3 2 2 6 5 3" xfId="27816"/>
    <cellStyle name="Percent 2 3 2 2 6 6" xfId="15400"/>
    <cellStyle name="Percent 2 3 2 2 6 7" xfId="27812"/>
    <cellStyle name="Percent 2 3 2 2 6_LNG &amp; LPG rework" xfId="9927"/>
    <cellStyle name="Percent 2 3 2 2 7" xfId="2572"/>
    <cellStyle name="Percent 2 3 2 2 7 2" xfId="15405"/>
    <cellStyle name="Percent 2 3 2 2 7 3" xfId="27817"/>
    <cellStyle name="Percent 2 3 2 2 8" xfId="3435"/>
    <cellStyle name="Percent 2 3 2 2 8 2" xfId="15406"/>
    <cellStyle name="Percent 2 3 2 2 8 3" xfId="27818"/>
    <cellStyle name="Percent 2 3 2 2 9" xfId="4303"/>
    <cellStyle name="Percent 2 3 2 2 9 2" xfId="15407"/>
    <cellStyle name="Percent 2 3 2 2 9 3" xfId="27819"/>
    <cellStyle name="Percent 2 3 2 2_LNG &amp; LPG rework" xfId="9914"/>
    <cellStyle name="Percent 2 3 2 3" xfId="1597"/>
    <cellStyle name="Percent 2 3 2 3 10" xfId="5569"/>
    <cellStyle name="Percent 2 3 2 3 10 2" xfId="15408"/>
    <cellStyle name="Percent 2 3 2 3 10 3" xfId="27821"/>
    <cellStyle name="Percent 2 3 2 3 11" xfId="10493"/>
    <cellStyle name="Percent 2 3 2 3 12" xfId="27820"/>
    <cellStyle name="Percent 2 3 2 3 2" xfId="1598"/>
    <cellStyle name="Percent 2 3 2 3 2 10" xfId="27822"/>
    <cellStyle name="Percent 2 3 2 3 2 2" xfId="1937"/>
    <cellStyle name="Percent 2 3 2 3 2 2 2" xfId="2827"/>
    <cellStyle name="Percent 2 3 2 3 2 2 2 2" xfId="15409"/>
    <cellStyle name="Percent 2 3 2 3 2 2 2 3" xfId="27824"/>
    <cellStyle name="Percent 2 3 2 3 2 2 3" xfId="3691"/>
    <cellStyle name="Percent 2 3 2 3 2 2 3 2" xfId="15410"/>
    <cellStyle name="Percent 2 3 2 3 2 2 3 3" xfId="27825"/>
    <cellStyle name="Percent 2 3 2 3 2 2 4" xfId="4566"/>
    <cellStyle name="Percent 2 3 2 3 2 2 4 2" xfId="15411"/>
    <cellStyle name="Percent 2 3 2 3 2 2 4 3" xfId="27826"/>
    <cellStyle name="Percent 2 3 2 3 2 2 5" xfId="5292"/>
    <cellStyle name="Percent 2 3 2 3 2 2 5 2" xfId="15412"/>
    <cellStyle name="Percent 2 3 2 3 2 2 5 3" xfId="27827"/>
    <cellStyle name="Percent 2 3 2 3 2 2 6" xfId="5831"/>
    <cellStyle name="Percent 2 3 2 3 2 2 6 2" xfId="15413"/>
    <cellStyle name="Percent 2 3 2 3 2 2 6 3" xfId="27828"/>
    <cellStyle name="Percent 2 3 2 3 2 2 7" xfId="10495"/>
    <cellStyle name="Percent 2 3 2 3 2 2 8" xfId="27823"/>
    <cellStyle name="Percent 2 3 2 3 2 2_LNG &amp; LPG rework" xfId="9930"/>
    <cellStyle name="Percent 2 3 2 3 2 3" xfId="2212"/>
    <cellStyle name="Percent 2 3 2 3 2 3 2" xfId="3082"/>
    <cellStyle name="Percent 2 3 2 3 2 3 2 2" xfId="15415"/>
    <cellStyle name="Percent 2 3 2 3 2 3 2 3" xfId="27830"/>
    <cellStyle name="Percent 2 3 2 3 2 3 3" xfId="3952"/>
    <cellStyle name="Percent 2 3 2 3 2 3 3 2" xfId="15416"/>
    <cellStyle name="Percent 2 3 2 3 2 3 3 3" xfId="27831"/>
    <cellStyle name="Percent 2 3 2 3 2 3 4" xfId="4830"/>
    <cellStyle name="Percent 2 3 2 3 2 3 4 2" xfId="15417"/>
    <cellStyle name="Percent 2 3 2 3 2 3 4 3" xfId="27832"/>
    <cellStyle name="Percent 2 3 2 3 2 3 5" xfId="6095"/>
    <cellStyle name="Percent 2 3 2 3 2 3 5 2" xfId="15418"/>
    <cellStyle name="Percent 2 3 2 3 2 3 5 3" xfId="27833"/>
    <cellStyle name="Percent 2 3 2 3 2 3 6" xfId="15414"/>
    <cellStyle name="Percent 2 3 2 3 2 3 7" xfId="27829"/>
    <cellStyle name="Percent 2 3 2 3 2 3_LNG &amp; LPG rework" xfId="9931"/>
    <cellStyle name="Percent 2 3 2 3 2 4" xfId="2577"/>
    <cellStyle name="Percent 2 3 2 3 2 4 2" xfId="15419"/>
    <cellStyle name="Percent 2 3 2 3 2 4 3" xfId="27834"/>
    <cellStyle name="Percent 2 3 2 3 2 5" xfId="3440"/>
    <cellStyle name="Percent 2 3 2 3 2 5 2" xfId="15420"/>
    <cellStyle name="Percent 2 3 2 3 2 5 3" xfId="27835"/>
    <cellStyle name="Percent 2 3 2 3 2 6" xfId="4308"/>
    <cellStyle name="Percent 2 3 2 3 2 6 2" xfId="15421"/>
    <cellStyle name="Percent 2 3 2 3 2 6 3" xfId="27836"/>
    <cellStyle name="Percent 2 3 2 3 2 7" xfId="5291"/>
    <cellStyle name="Percent 2 3 2 3 2 7 2" xfId="15422"/>
    <cellStyle name="Percent 2 3 2 3 2 7 3" xfId="27837"/>
    <cellStyle name="Percent 2 3 2 3 2 8" xfId="5570"/>
    <cellStyle name="Percent 2 3 2 3 2 8 2" xfId="15423"/>
    <cellStyle name="Percent 2 3 2 3 2 8 3" xfId="27838"/>
    <cellStyle name="Percent 2 3 2 3 2 9" xfId="10494"/>
    <cellStyle name="Percent 2 3 2 3 2_LNG &amp; LPG rework" xfId="9929"/>
    <cellStyle name="Percent 2 3 2 3 3" xfId="1936"/>
    <cellStyle name="Percent 2 3 2 3 3 2" xfId="2826"/>
    <cellStyle name="Percent 2 3 2 3 3 2 2" xfId="15424"/>
    <cellStyle name="Percent 2 3 2 3 3 2 3" xfId="27840"/>
    <cellStyle name="Percent 2 3 2 3 3 3" xfId="3690"/>
    <cellStyle name="Percent 2 3 2 3 3 3 2" xfId="15425"/>
    <cellStyle name="Percent 2 3 2 3 3 3 3" xfId="27841"/>
    <cellStyle name="Percent 2 3 2 3 3 4" xfId="4565"/>
    <cellStyle name="Percent 2 3 2 3 3 4 2" xfId="15426"/>
    <cellStyle name="Percent 2 3 2 3 3 4 3" xfId="27842"/>
    <cellStyle name="Percent 2 3 2 3 3 5" xfId="5293"/>
    <cellStyle name="Percent 2 3 2 3 3 5 2" xfId="15427"/>
    <cellStyle name="Percent 2 3 2 3 3 5 3" xfId="27843"/>
    <cellStyle name="Percent 2 3 2 3 3 6" xfId="5830"/>
    <cellStyle name="Percent 2 3 2 3 3 6 2" xfId="15428"/>
    <cellStyle name="Percent 2 3 2 3 3 6 3" xfId="27844"/>
    <cellStyle name="Percent 2 3 2 3 3 7" xfId="10496"/>
    <cellStyle name="Percent 2 3 2 3 3 8" xfId="27839"/>
    <cellStyle name="Percent 2 3 2 3 3_LNG &amp; LPG rework" xfId="9932"/>
    <cellStyle name="Percent 2 3 2 3 4" xfId="2211"/>
    <cellStyle name="Percent 2 3 2 3 4 2" xfId="3081"/>
    <cellStyle name="Percent 2 3 2 3 4 2 2" xfId="15430"/>
    <cellStyle name="Percent 2 3 2 3 4 2 3" xfId="27846"/>
    <cellStyle name="Percent 2 3 2 3 4 3" xfId="3951"/>
    <cellStyle name="Percent 2 3 2 3 4 3 2" xfId="15431"/>
    <cellStyle name="Percent 2 3 2 3 4 3 3" xfId="27847"/>
    <cellStyle name="Percent 2 3 2 3 4 4" xfId="4829"/>
    <cellStyle name="Percent 2 3 2 3 4 4 2" xfId="15432"/>
    <cellStyle name="Percent 2 3 2 3 4 4 3" xfId="27848"/>
    <cellStyle name="Percent 2 3 2 3 4 5" xfId="6094"/>
    <cellStyle name="Percent 2 3 2 3 4 5 2" xfId="15433"/>
    <cellStyle name="Percent 2 3 2 3 4 5 3" xfId="27849"/>
    <cellStyle name="Percent 2 3 2 3 4 6" xfId="15429"/>
    <cellStyle name="Percent 2 3 2 3 4 7" xfId="27845"/>
    <cellStyle name="Percent 2 3 2 3 4_LNG &amp; LPG rework" xfId="9933"/>
    <cellStyle name="Percent 2 3 2 3 5" xfId="2332"/>
    <cellStyle name="Percent 2 3 2 3 5 2" xfId="3191"/>
    <cellStyle name="Percent 2 3 2 3 5 2 2" xfId="15435"/>
    <cellStyle name="Percent 2 3 2 3 5 2 3" xfId="27851"/>
    <cellStyle name="Percent 2 3 2 3 5 3" xfId="4057"/>
    <cellStyle name="Percent 2 3 2 3 5 3 2" xfId="15436"/>
    <cellStyle name="Percent 2 3 2 3 5 3 3" xfId="27852"/>
    <cellStyle name="Percent 2 3 2 3 5 4" xfId="4936"/>
    <cellStyle name="Percent 2 3 2 3 5 4 2" xfId="15437"/>
    <cellStyle name="Percent 2 3 2 3 5 4 3" xfId="27853"/>
    <cellStyle name="Percent 2 3 2 3 5 5" xfId="6201"/>
    <cellStyle name="Percent 2 3 2 3 5 5 2" xfId="15438"/>
    <cellStyle name="Percent 2 3 2 3 5 5 3" xfId="27854"/>
    <cellStyle name="Percent 2 3 2 3 5 6" xfId="15434"/>
    <cellStyle name="Percent 2 3 2 3 5 7" xfId="27850"/>
    <cellStyle name="Percent 2 3 2 3 5_LNG &amp; LPG rework" xfId="9934"/>
    <cellStyle name="Percent 2 3 2 3 6" xfId="2576"/>
    <cellStyle name="Percent 2 3 2 3 6 2" xfId="15439"/>
    <cellStyle name="Percent 2 3 2 3 6 3" xfId="27855"/>
    <cellStyle name="Percent 2 3 2 3 7" xfId="3439"/>
    <cellStyle name="Percent 2 3 2 3 7 2" xfId="15440"/>
    <cellStyle name="Percent 2 3 2 3 7 3" xfId="27856"/>
    <cellStyle name="Percent 2 3 2 3 8" xfId="4307"/>
    <cellStyle name="Percent 2 3 2 3 8 2" xfId="15441"/>
    <cellStyle name="Percent 2 3 2 3 8 3" xfId="27857"/>
    <cellStyle name="Percent 2 3 2 3 9" xfId="5290"/>
    <cellStyle name="Percent 2 3 2 3 9 2" xfId="15442"/>
    <cellStyle name="Percent 2 3 2 3 9 3" xfId="27858"/>
    <cellStyle name="Percent 2 3 2 3_LNG &amp; LPG rework" xfId="9928"/>
    <cellStyle name="Percent 2 3 2 4" xfId="1599"/>
    <cellStyle name="Percent 2 3 2 4 10" xfId="27859"/>
    <cellStyle name="Percent 2 3 2 4 2" xfId="1938"/>
    <cellStyle name="Percent 2 3 2 4 2 2" xfId="2828"/>
    <cellStyle name="Percent 2 3 2 4 2 2 2" xfId="15443"/>
    <cellStyle name="Percent 2 3 2 4 2 2 3" xfId="27861"/>
    <cellStyle name="Percent 2 3 2 4 2 3" xfId="3692"/>
    <cellStyle name="Percent 2 3 2 4 2 3 2" xfId="15444"/>
    <cellStyle name="Percent 2 3 2 4 2 3 3" xfId="27862"/>
    <cellStyle name="Percent 2 3 2 4 2 4" xfId="4567"/>
    <cellStyle name="Percent 2 3 2 4 2 4 2" xfId="15445"/>
    <cellStyle name="Percent 2 3 2 4 2 4 3" xfId="27863"/>
    <cellStyle name="Percent 2 3 2 4 2 5" xfId="5295"/>
    <cellStyle name="Percent 2 3 2 4 2 5 2" xfId="15446"/>
    <cellStyle name="Percent 2 3 2 4 2 5 3" xfId="27864"/>
    <cellStyle name="Percent 2 3 2 4 2 6" xfId="5832"/>
    <cellStyle name="Percent 2 3 2 4 2 6 2" xfId="15447"/>
    <cellStyle name="Percent 2 3 2 4 2 6 3" xfId="27865"/>
    <cellStyle name="Percent 2 3 2 4 2 7" xfId="10498"/>
    <cellStyle name="Percent 2 3 2 4 2 8" xfId="27860"/>
    <cellStyle name="Percent 2 3 2 4 2_LNG &amp; LPG rework" xfId="9936"/>
    <cellStyle name="Percent 2 3 2 4 3" xfId="2213"/>
    <cellStyle name="Percent 2 3 2 4 3 2" xfId="3083"/>
    <cellStyle name="Percent 2 3 2 4 3 2 2" xfId="15449"/>
    <cellStyle name="Percent 2 3 2 4 3 2 3" xfId="27867"/>
    <cellStyle name="Percent 2 3 2 4 3 3" xfId="3953"/>
    <cellStyle name="Percent 2 3 2 4 3 3 2" xfId="15450"/>
    <cellStyle name="Percent 2 3 2 4 3 3 3" xfId="27868"/>
    <cellStyle name="Percent 2 3 2 4 3 4" xfId="4831"/>
    <cellStyle name="Percent 2 3 2 4 3 4 2" xfId="15451"/>
    <cellStyle name="Percent 2 3 2 4 3 4 3" xfId="27869"/>
    <cellStyle name="Percent 2 3 2 4 3 5" xfId="6096"/>
    <cellStyle name="Percent 2 3 2 4 3 5 2" xfId="15452"/>
    <cellStyle name="Percent 2 3 2 4 3 5 3" xfId="27870"/>
    <cellStyle name="Percent 2 3 2 4 3 6" xfId="15448"/>
    <cellStyle name="Percent 2 3 2 4 3 7" xfId="27866"/>
    <cellStyle name="Percent 2 3 2 4 3_LNG &amp; LPG rework" xfId="9937"/>
    <cellStyle name="Percent 2 3 2 4 4" xfId="2578"/>
    <cellStyle name="Percent 2 3 2 4 4 2" xfId="15453"/>
    <cellStyle name="Percent 2 3 2 4 4 3" xfId="27871"/>
    <cellStyle name="Percent 2 3 2 4 5" xfId="3441"/>
    <cellStyle name="Percent 2 3 2 4 5 2" xfId="15454"/>
    <cellStyle name="Percent 2 3 2 4 5 3" xfId="27872"/>
    <cellStyle name="Percent 2 3 2 4 6" xfId="4309"/>
    <cellStyle name="Percent 2 3 2 4 6 2" xfId="15455"/>
    <cellStyle name="Percent 2 3 2 4 6 3" xfId="27873"/>
    <cellStyle name="Percent 2 3 2 4 7" xfId="5294"/>
    <cellStyle name="Percent 2 3 2 4 7 2" xfId="15456"/>
    <cellStyle name="Percent 2 3 2 4 7 3" xfId="27874"/>
    <cellStyle name="Percent 2 3 2 4 8" xfId="5571"/>
    <cellStyle name="Percent 2 3 2 4 8 2" xfId="15457"/>
    <cellStyle name="Percent 2 3 2 4 8 3" xfId="27875"/>
    <cellStyle name="Percent 2 3 2 4 9" xfId="10497"/>
    <cellStyle name="Percent 2 3 2 4_LNG &amp; LPG rework" xfId="9935"/>
    <cellStyle name="Percent 2 3 2 5" xfId="1931"/>
    <cellStyle name="Percent 2 3 2 5 2" xfId="2821"/>
    <cellStyle name="Percent 2 3 2 5 2 2" xfId="15458"/>
    <cellStyle name="Percent 2 3 2 5 2 3" xfId="27877"/>
    <cellStyle name="Percent 2 3 2 5 3" xfId="3685"/>
    <cellStyle name="Percent 2 3 2 5 3 2" xfId="15459"/>
    <cellStyle name="Percent 2 3 2 5 3 3" xfId="27878"/>
    <cellStyle name="Percent 2 3 2 5 4" xfId="4560"/>
    <cellStyle name="Percent 2 3 2 5 4 2" xfId="15460"/>
    <cellStyle name="Percent 2 3 2 5 4 3" xfId="27879"/>
    <cellStyle name="Percent 2 3 2 5 5" xfId="5296"/>
    <cellStyle name="Percent 2 3 2 5 5 2" xfId="15461"/>
    <cellStyle name="Percent 2 3 2 5 5 3" xfId="27880"/>
    <cellStyle name="Percent 2 3 2 5 6" xfId="5825"/>
    <cellStyle name="Percent 2 3 2 5 6 2" xfId="15462"/>
    <cellStyle name="Percent 2 3 2 5 6 3" xfId="27881"/>
    <cellStyle name="Percent 2 3 2 5 7" xfId="10499"/>
    <cellStyle name="Percent 2 3 2 5 8" xfId="27876"/>
    <cellStyle name="Percent 2 3 2 5_LNG &amp; LPG rework" xfId="9938"/>
    <cellStyle name="Percent 2 3 2 6" xfId="2206"/>
    <cellStyle name="Percent 2 3 2 6 2" xfId="3076"/>
    <cellStyle name="Percent 2 3 2 6 2 2" xfId="15464"/>
    <cellStyle name="Percent 2 3 2 6 2 3" xfId="27883"/>
    <cellStyle name="Percent 2 3 2 6 3" xfId="3946"/>
    <cellStyle name="Percent 2 3 2 6 3 2" xfId="15465"/>
    <cellStyle name="Percent 2 3 2 6 3 3" xfId="27884"/>
    <cellStyle name="Percent 2 3 2 6 4" xfId="4824"/>
    <cellStyle name="Percent 2 3 2 6 4 2" xfId="15466"/>
    <cellStyle name="Percent 2 3 2 6 4 3" xfId="27885"/>
    <cellStyle name="Percent 2 3 2 6 5" xfId="6089"/>
    <cellStyle name="Percent 2 3 2 6 5 2" xfId="15467"/>
    <cellStyle name="Percent 2 3 2 6 5 3" xfId="27886"/>
    <cellStyle name="Percent 2 3 2 6 6" xfId="15463"/>
    <cellStyle name="Percent 2 3 2 6 7" xfId="27882"/>
    <cellStyle name="Percent 2 3 2 6_LNG &amp; LPG rework" xfId="9939"/>
    <cellStyle name="Percent 2 3 2 7" xfId="2288"/>
    <cellStyle name="Percent 2 3 2 7 2" xfId="3147"/>
    <cellStyle name="Percent 2 3 2 7 2 2" xfId="15469"/>
    <cellStyle name="Percent 2 3 2 7 2 3" xfId="27888"/>
    <cellStyle name="Percent 2 3 2 7 3" xfId="4013"/>
    <cellStyle name="Percent 2 3 2 7 3 2" xfId="15470"/>
    <cellStyle name="Percent 2 3 2 7 3 3" xfId="27889"/>
    <cellStyle name="Percent 2 3 2 7 4" xfId="4892"/>
    <cellStyle name="Percent 2 3 2 7 4 2" xfId="15471"/>
    <cellStyle name="Percent 2 3 2 7 4 3" xfId="27890"/>
    <cellStyle name="Percent 2 3 2 7 5" xfId="6157"/>
    <cellStyle name="Percent 2 3 2 7 5 2" xfId="15472"/>
    <cellStyle name="Percent 2 3 2 7 5 3" xfId="27891"/>
    <cellStyle name="Percent 2 3 2 7 6" xfId="15468"/>
    <cellStyle name="Percent 2 3 2 7 7" xfId="27887"/>
    <cellStyle name="Percent 2 3 2 7_LNG &amp; LPG rework" xfId="9940"/>
    <cellStyle name="Percent 2 3 2 8" xfId="2571"/>
    <cellStyle name="Percent 2 3 2 8 2" xfId="15473"/>
    <cellStyle name="Percent 2 3 2 8 3" xfId="27892"/>
    <cellStyle name="Percent 2 3 2 9" xfId="3434"/>
    <cellStyle name="Percent 2 3 2 9 2" xfId="15474"/>
    <cellStyle name="Percent 2 3 2 9 3" xfId="27893"/>
    <cellStyle name="Percent 2 3 2_LNG &amp; LPG rework" xfId="9913"/>
    <cellStyle name="Percent 2 3 3" xfId="1600"/>
    <cellStyle name="Percent 2 3 3 10" xfId="5297"/>
    <cellStyle name="Percent 2 3 3 10 2" xfId="15475"/>
    <cellStyle name="Percent 2 3 3 10 3" xfId="27895"/>
    <cellStyle name="Percent 2 3 3 11" xfId="5572"/>
    <cellStyle name="Percent 2 3 3 11 2" xfId="15476"/>
    <cellStyle name="Percent 2 3 3 11 3" xfId="27896"/>
    <cellStyle name="Percent 2 3 3 12" xfId="10500"/>
    <cellStyle name="Percent 2 3 3 13" xfId="27894"/>
    <cellStyle name="Percent 2 3 3 2" xfId="1601"/>
    <cellStyle name="Percent 2 3 3 2 10" xfId="5573"/>
    <cellStyle name="Percent 2 3 3 2 10 2" xfId="15477"/>
    <cellStyle name="Percent 2 3 3 2 10 3" xfId="27898"/>
    <cellStyle name="Percent 2 3 3 2 11" xfId="10501"/>
    <cellStyle name="Percent 2 3 3 2 12" xfId="27897"/>
    <cellStyle name="Percent 2 3 3 2 2" xfId="1602"/>
    <cellStyle name="Percent 2 3 3 2 2 10" xfId="27899"/>
    <cellStyle name="Percent 2 3 3 2 2 2" xfId="1941"/>
    <cellStyle name="Percent 2 3 3 2 2 2 2" xfId="2831"/>
    <cellStyle name="Percent 2 3 3 2 2 2 2 2" xfId="15478"/>
    <cellStyle name="Percent 2 3 3 2 2 2 2 3" xfId="27901"/>
    <cellStyle name="Percent 2 3 3 2 2 2 3" xfId="3695"/>
    <cellStyle name="Percent 2 3 3 2 2 2 3 2" xfId="15479"/>
    <cellStyle name="Percent 2 3 3 2 2 2 3 3" xfId="27902"/>
    <cellStyle name="Percent 2 3 3 2 2 2 4" xfId="4570"/>
    <cellStyle name="Percent 2 3 3 2 2 2 4 2" xfId="15480"/>
    <cellStyle name="Percent 2 3 3 2 2 2 4 3" xfId="27903"/>
    <cellStyle name="Percent 2 3 3 2 2 2 5" xfId="5300"/>
    <cellStyle name="Percent 2 3 3 2 2 2 5 2" xfId="15481"/>
    <cellStyle name="Percent 2 3 3 2 2 2 5 3" xfId="27904"/>
    <cellStyle name="Percent 2 3 3 2 2 2 6" xfId="5835"/>
    <cellStyle name="Percent 2 3 3 2 2 2 6 2" xfId="15482"/>
    <cellStyle name="Percent 2 3 3 2 2 2 6 3" xfId="27905"/>
    <cellStyle name="Percent 2 3 3 2 2 2 7" xfId="10503"/>
    <cellStyle name="Percent 2 3 3 2 2 2 8" xfId="27900"/>
    <cellStyle name="Percent 2 3 3 2 2 2_LNG &amp; LPG rework" xfId="9944"/>
    <cellStyle name="Percent 2 3 3 2 2 3" xfId="2216"/>
    <cellStyle name="Percent 2 3 3 2 2 3 2" xfId="3086"/>
    <cellStyle name="Percent 2 3 3 2 2 3 2 2" xfId="15484"/>
    <cellStyle name="Percent 2 3 3 2 2 3 2 3" xfId="27907"/>
    <cellStyle name="Percent 2 3 3 2 2 3 3" xfId="3956"/>
    <cellStyle name="Percent 2 3 3 2 2 3 3 2" xfId="15485"/>
    <cellStyle name="Percent 2 3 3 2 2 3 3 3" xfId="27908"/>
    <cellStyle name="Percent 2 3 3 2 2 3 4" xfId="4834"/>
    <cellStyle name="Percent 2 3 3 2 2 3 4 2" xfId="15486"/>
    <cellStyle name="Percent 2 3 3 2 2 3 4 3" xfId="27909"/>
    <cellStyle name="Percent 2 3 3 2 2 3 5" xfId="6099"/>
    <cellStyle name="Percent 2 3 3 2 2 3 5 2" xfId="15487"/>
    <cellStyle name="Percent 2 3 3 2 2 3 5 3" xfId="27910"/>
    <cellStyle name="Percent 2 3 3 2 2 3 6" xfId="15483"/>
    <cellStyle name="Percent 2 3 3 2 2 3 7" xfId="27906"/>
    <cellStyle name="Percent 2 3 3 2 2 3_LNG &amp; LPG rework" xfId="9945"/>
    <cellStyle name="Percent 2 3 3 2 2 4" xfId="2581"/>
    <cellStyle name="Percent 2 3 3 2 2 4 2" xfId="15488"/>
    <cellStyle name="Percent 2 3 3 2 2 4 3" xfId="27911"/>
    <cellStyle name="Percent 2 3 3 2 2 5" xfId="3444"/>
    <cellStyle name="Percent 2 3 3 2 2 5 2" xfId="15489"/>
    <cellStyle name="Percent 2 3 3 2 2 5 3" xfId="27912"/>
    <cellStyle name="Percent 2 3 3 2 2 6" xfId="4312"/>
    <cellStyle name="Percent 2 3 3 2 2 6 2" xfId="15490"/>
    <cellStyle name="Percent 2 3 3 2 2 6 3" xfId="27913"/>
    <cellStyle name="Percent 2 3 3 2 2 7" xfId="5299"/>
    <cellStyle name="Percent 2 3 3 2 2 7 2" xfId="15491"/>
    <cellStyle name="Percent 2 3 3 2 2 7 3" xfId="27914"/>
    <cellStyle name="Percent 2 3 3 2 2 8" xfId="5574"/>
    <cellStyle name="Percent 2 3 3 2 2 8 2" xfId="15492"/>
    <cellStyle name="Percent 2 3 3 2 2 8 3" xfId="27915"/>
    <cellStyle name="Percent 2 3 3 2 2 9" xfId="10502"/>
    <cellStyle name="Percent 2 3 3 2 2_LNG &amp; LPG rework" xfId="9943"/>
    <cellStyle name="Percent 2 3 3 2 3" xfId="1940"/>
    <cellStyle name="Percent 2 3 3 2 3 2" xfId="2830"/>
    <cellStyle name="Percent 2 3 3 2 3 2 2" xfId="15493"/>
    <cellStyle name="Percent 2 3 3 2 3 2 3" xfId="27917"/>
    <cellStyle name="Percent 2 3 3 2 3 3" xfId="3694"/>
    <cellStyle name="Percent 2 3 3 2 3 3 2" xfId="15494"/>
    <cellStyle name="Percent 2 3 3 2 3 3 3" xfId="27918"/>
    <cellStyle name="Percent 2 3 3 2 3 4" xfId="4569"/>
    <cellStyle name="Percent 2 3 3 2 3 4 2" xfId="15495"/>
    <cellStyle name="Percent 2 3 3 2 3 4 3" xfId="27919"/>
    <cellStyle name="Percent 2 3 3 2 3 5" xfId="5301"/>
    <cellStyle name="Percent 2 3 3 2 3 5 2" xfId="15496"/>
    <cellStyle name="Percent 2 3 3 2 3 5 3" xfId="27920"/>
    <cellStyle name="Percent 2 3 3 2 3 6" xfId="5834"/>
    <cellStyle name="Percent 2 3 3 2 3 6 2" xfId="15497"/>
    <cellStyle name="Percent 2 3 3 2 3 6 3" xfId="27921"/>
    <cellStyle name="Percent 2 3 3 2 3 7" xfId="10504"/>
    <cellStyle name="Percent 2 3 3 2 3 8" xfId="27916"/>
    <cellStyle name="Percent 2 3 3 2 3_LNG &amp; LPG rework" xfId="9946"/>
    <cellStyle name="Percent 2 3 3 2 4" xfId="2215"/>
    <cellStyle name="Percent 2 3 3 2 4 2" xfId="3085"/>
    <cellStyle name="Percent 2 3 3 2 4 2 2" xfId="15499"/>
    <cellStyle name="Percent 2 3 3 2 4 2 3" xfId="27923"/>
    <cellStyle name="Percent 2 3 3 2 4 3" xfId="3955"/>
    <cellStyle name="Percent 2 3 3 2 4 3 2" xfId="15500"/>
    <cellStyle name="Percent 2 3 3 2 4 3 3" xfId="27924"/>
    <cellStyle name="Percent 2 3 3 2 4 4" xfId="4833"/>
    <cellStyle name="Percent 2 3 3 2 4 4 2" xfId="15501"/>
    <cellStyle name="Percent 2 3 3 2 4 4 3" xfId="27925"/>
    <cellStyle name="Percent 2 3 3 2 4 5" xfId="6098"/>
    <cellStyle name="Percent 2 3 3 2 4 5 2" xfId="15502"/>
    <cellStyle name="Percent 2 3 3 2 4 5 3" xfId="27926"/>
    <cellStyle name="Percent 2 3 3 2 4 6" xfId="15498"/>
    <cellStyle name="Percent 2 3 3 2 4 7" xfId="27922"/>
    <cellStyle name="Percent 2 3 3 2 4_LNG &amp; LPG rework" xfId="9947"/>
    <cellStyle name="Percent 2 3 3 2 5" xfId="2341"/>
    <cellStyle name="Percent 2 3 3 2 5 2" xfId="3200"/>
    <cellStyle name="Percent 2 3 3 2 5 2 2" xfId="15504"/>
    <cellStyle name="Percent 2 3 3 2 5 2 3" xfId="27928"/>
    <cellStyle name="Percent 2 3 3 2 5 3" xfId="4066"/>
    <cellStyle name="Percent 2 3 3 2 5 3 2" xfId="15505"/>
    <cellStyle name="Percent 2 3 3 2 5 3 3" xfId="27929"/>
    <cellStyle name="Percent 2 3 3 2 5 4" xfId="4945"/>
    <cellStyle name="Percent 2 3 3 2 5 4 2" xfId="15506"/>
    <cellStyle name="Percent 2 3 3 2 5 4 3" xfId="27930"/>
    <cellStyle name="Percent 2 3 3 2 5 5" xfId="6210"/>
    <cellStyle name="Percent 2 3 3 2 5 5 2" xfId="15507"/>
    <cellStyle name="Percent 2 3 3 2 5 5 3" xfId="27931"/>
    <cellStyle name="Percent 2 3 3 2 5 6" xfId="15503"/>
    <cellStyle name="Percent 2 3 3 2 5 7" xfId="27927"/>
    <cellStyle name="Percent 2 3 3 2 5_LNG &amp; LPG rework" xfId="9948"/>
    <cellStyle name="Percent 2 3 3 2 6" xfId="2580"/>
    <cellStyle name="Percent 2 3 3 2 6 2" xfId="15508"/>
    <cellStyle name="Percent 2 3 3 2 6 3" xfId="27932"/>
    <cellStyle name="Percent 2 3 3 2 7" xfId="3443"/>
    <cellStyle name="Percent 2 3 3 2 7 2" xfId="15509"/>
    <cellStyle name="Percent 2 3 3 2 7 3" xfId="27933"/>
    <cellStyle name="Percent 2 3 3 2 8" xfId="4311"/>
    <cellStyle name="Percent 2 3 3 2 8 2" xfId="15510"/>
    <cellStyle name="Percent 2 3 3 2 8 3" xfId="27934"/>
    <cellStyle name="Percent 2 3 3 2 9" xfId="5298"/>
    <cellStyle name="Percent 2 3 3 2 9 2" xfId="15511"/>
    <cellStyle name="Percent 2 3 3 2 9 3" xfId="27935"/>
    <cellStyle name="Percent 2 3 3 2_LNG &amp; LPG rework" xfId="9942"/>
    <cellStyle name="Percent 2 3 3 3" xfId="1603"/>
    <cellStyle name="Percent 2 3 3 3 10" xfId="27936"/>
    <cellStyle name="Percent 2 3 3 3 2" xfId="1942"/>
    <cellStyle name="Percent 2 3 3 3 2 2" xfId="2832"/>
    <cellStyle name="Percent 2 3 3 3 2 2 2" xfId="15512"/>
    <cellStyle name="Percent 2 3 3 3 2 2 3" xfId="27938"/>
    <cellStyle name="Percent 2 3 3 3 2 3" xfId="3696"/>
    <cellStyle name="Percent 2 3 3 3 2 3 2" xfId="15513"/>
    <cellStyle name="Percent 2 3 3 3 2 3 3" xfId="27939"/>
    <cellStyle name="Percent 2 3 3 3 2 4" xfId="4571"/>
    <cellStyle name="Percent 2 3 3 3 2 4 2" xfId="15514"/>
    <cellStyle name="Percent 2 3 3 3 2 4 3" xfId="27940"/>
    <cellStyle name="Percent 2 3 3 3 2 5" xfId="5303"/>
    <cellStyle name="Percent 2 3 3 3 2 5 2" xfId="15515"/>
    <cellStyle name="Percent 2 3 3 3 2 5 3" xfId="27941"/>
    <cellStyle name="Percent 2 3 3 3 2 6" xfId="5836"/>
    <cellStyle name="Percent 2 3 3 3 2 6 2" xfId="15516"/>
    <cellStyle name="Percent 2 3 3 3 2 6 3" xfId="27942"/>
    <cellStyle name="Percent 2 3 3 3 2 7" xfId="10506"/>
    <cellStyle name="Percent 2 3 3 3 2 8" xfId="27937"/>
    <cellStyle name="Percent 2 3 3 3 2_LNG &amp; LPG rework" xfId="9950"/>
    <cellStyle name="Percent 2 3 3 3 3" xfId="2217"/>
    <cellStyle name="Percent 2 3 3 3 3 2" xfId="3087"/>
    <cellStyle name="Percent 2 3 3 3 3 2 2" xfId="15518"/>
    <cellStyle name="Percent 2 3 3 3 3 2 3" xfId="27944"/>
    <cellStyle name="Percent 2 3 3 3 3 3" xfId="3957"/>
    <cellStyle name="Percent 2 3 3 3 3 3 2" xfId="15519"/>
    <cellStyle name="Percent 2 3 3 3 3 3 3" xfId="27945"/>
    <cellStyle name="Percent 2 3 3 3 3 4" xfId="4835"/>
    <cellStyle name="Percent 2 3 3 3 3 4 2" xfId="15520"/>
    <cellStyle name="Percent 2 3 3 3 3 4 3" xfId="27946"/>
    <cellStyle name="Percent 2 3 3 3 3 5" xfId="6100"/>
    <cellStyle name="Percent 2 3 3 3 3 5 2" xfId="15521"/>
    <cellStyle name="Percent 2 3 3 3 3 5 3" xfId="27947"/>
    <cellStyle name="Percent 2 3 3 3 3 6" xfId="15517"/>
    <cellStyle name="Percent 2 3 3 3 3 7" xfId="27943"/>
    <cellStyle name="Percent 2 3 3 3 3_LNG &amp; LPG rework" xfId="9951"/>
    <cellStyle name="Percent 2 3 3 3 4" xfId="2582"/>
    <cellStyle name="Percent 2 3 3 3 4 2" xfId="15522"/>
    <cellStyle name="Percent 2 3 3 3 4 3" xfId="27948"/>
    <cellStyle name="Percent 2 3 3 3 5" xfId="3445"/>
    <cellStyle name="Percent 2 3 3 3 5 2" xfId="15523"/>
    <cellStyle name="Percent 2 3 3 3 5 3" xfId="27949"/>
    <cellStyle name="Percent 2 3 3 3 6" xfId="4313"/>
    <cellStyle name="Percent 2 3 3 3 6 2" xfId="15524"/>
    <cellStyle name="Percent 2 3 3 3 6 3" xfId="27950"/>
    <cellStyle name="Percent 2 3 3 3 7" xfId="5302"/>
    <cellStyle name="Percent 2 3 3 3 7 2" xfId="15525"/>
    <cellStyle name="Percent 2 3 3 3 7 3" xfId="27951"/>
    <cellStyle name="Percent 2 3 3 3 8" xfId="5575"/>
    <cellStyle name="Percent 2 3 3 3 8 2" xfId="15526"/>
    <cellStyle name="Percent 2 3 3 3 8 3" xfId="27952"/>
    <cellStyle name="Percent 2 3 3 3 9" xfId="10505"/>
    <cellStyle name="Percent 2 3 3 3_LNG &amp; LPG rework" xfId="9949"/>
    <cellStyle name="Percent 2 3 3 4" xfId="1939"/>
    <cellStyle name="Percent 2 3 3 4 2" xfId="2829"/>
    <cellStyle name="Percent 2 3 3 4 2 2" xfId="15527"/>
    <cellStyle name="Percent 2 3 3 4 2 3" xfId="27954"/>
    <cellStyle name="Percent 2 3 3 4 3" xfId="3693"/>
    <cellStyle name="Percent 2 3 3 4 3 2" xfId="15528"/>
    <cellStyle name="Percent 2 3 3 4 3 3" xfId="27955"/>
    <cellStyle name="Percent 2 3 3 4 4" xfId="4568"/>
    <cellStyle name="Percent 2 3 3 4 4 2" xfId="15529"/>
    <cellStyle name="Percent 2 3 3 4 4 3" xfId="27956"/>
    <cellStyle name="Percent 2 3 3 4 5" xfId="5304"/>
    <cellStyle name="Percent 2 3 3 4 5 2" xfId="15530"/>
    <cellStyle name="Percent 2 3 3 4 5 3" xfId="27957"/>
    <cellStyle name="Percent 2 3 3 4 6" xfId="5833"/>
    <cellStyle name="Percent 2 3 3 4 6 2" xfId="15531"/>
    <cellStyle name="Percent 2 3 3 4 6 3" xfId="27958"/>
    <cellStyle name="Percent 2 3 3 4 7" xfId="10507"/>
    <cellStyle name="Percent 2 3 3 4 8" xfId="27953"/>
    <cellStyle name="Percent 2 3 3 4_LNG &amp; LPG rework" xfId="9952"/>
    <cellStyle name="Percent 2 3 3 5" xfId="2214"/>
    <cellStyle name="Percent 2 3 3 5 2" xfId="3084"/>
    <cellStyle name="Percent 2 3 3 5 2 2" xfId="15533"/>
    <cellStyle name="Percent 2 3 3 5 2 3" xfId="27960"/>
    <cellStyle name="Percent 2 3 3 5 3" xfId="3954"/>
    <cellStyle name="Percent 2 3 3 5 3 2" xfId="15534"/>
    <cellStyle name="Percent 2 3 3 5 3 3" xfId="27961"/>
    <cellStyle name="Percent 2 3 3 5 4" xfId="4832"/>
    <cellStyle name="Percent 2 3 3 5 4 2" xfId="15535"/>
    <cellStyle name="Percent 2 3 3 5 4 3" xfId="27962"/>
    <cellStyle name="Percent 2 3 3 5 5" xfId="6097"/>
    <cellStyle name="Percent 2 3 3 5 5 2" xfId="15536"/>
    <cellStyle name="Percent 2 3 3 5 5 3" xfId="27963"/>
    <cellStyle name="Percent 2 3 3 5 6" xfId="15532"/>
    <cellStyle name="Percent 2 3 3 5 7" xfId="27959"/>
    <cellStyle name="Percent 2 3 3 5_LNG &amp; LPG rework" xfId="9953"/>
    <cellStyle name="Percent 2 3 3 6" xfId="2297"/>
    <cellStyle name="Percent 2 3 3 6 2" xfId="3156"/>
    <cellStyle name="Percent 2 3 3 6 2 2" xfId="15538"/>
    <cellStyle name="Percent 2 3 3 6 2 3" xfId="27965"/>
    <cellStyle name="Percent 2 3 3 6 3" xfId="4022"/>
    <cellStyle name="Percent 2 3 3 6 3 2" xfId="15539"/>
    <cellStyle name="Percent 2 3 3 6 3 3" xfId="27966"/>
    <cellStyle name="Percent 2 3 3 6 4" xfId="4901"/>
    <cellStyle name="Percent 2 3 3 6 4 2" xfId="15540"/>
    <cellStyle name="Percent 2 3 3 6 4 3" xfId="27967"/>
    <cellStyle name="Percent 2 3 3 6 5" xfId="6166"/>
    <cellStyle name="Percent 2 3 3 6 5 2" xfId="15541"/>
    <cellStyle name="Percent 2 3 3 6 5 3" xfId="27968"/>
    <cellStyle name="Percent 2 3 3 6 6" xfId="15537"/>
    <cellStyle name="Percent 2 3 3 6 7" xfId="27964"/>
    <cellStyle name="Percent 2 3 3 6_LNG &amp; LPG rework" xfId="9954"/>
    <cellStyle name="Percent 2 3 3 7" xfId="2579"/>
    <cellStyle name="Percent 2 3 3 7 2" xfId="15542"/>
    <cellStyle name="Percent 2 3 3 7 3" xfId="27969"/>
    <cellStyle name="Percent 2 3 3 8" xfId="3442"/>
    <cellStyle name="Percent 2 3 3 8 2" xfId="15543"/>
    <cellStyle name="Percent 2 3 3 8 3" xfId="27970"/>
    <cellStyle name="Percent 2 3 3 9" xfId="4310"/>
    <cellStyle name="Percent 2 3 3 9 2" xfId="15544"/>
    <cellStyle name="Percent 2 3 3 9 3" xfId="27971"/>
    <cellStyle name="Percent 2 3 3_LNG &amp; LPG rework" xfId="9941"/>
    <cellStyle name="Percent 2 3 4" xfId="1604"/>
    <cellStyle name="Percent 2 3 4 10" xfId="5576"/>
    <cellStyle name="Percent 2 3 4 10 2" xfId="15545"/>
    <cellStyle name="Percent 2 3 4 10 3" xfId="27973"/>
    <cellStyle name="Percent 2 3 4 11" xfId="10508"/>
    <cellStyle name="Percent 2 3 4 12" xfId="27972"/>
    <cellStyle name="Percent 2 3 4 2" xfId="1605"/>
    <cellStyle name="Percent 2 3 4 2 10" xfId="27974"/>
    <cellStyle name="Percent 2 3 4 2 2" xfId="1944"/>
    <cellStyle name="Percent 2 3 4 2 2 2" xfId="2834"/>
    <cellStyle name="Percent 2 3 4 2 2 2 2" xfId="15546"/>
    <cellStyle name="Percent 2 3 4 2 2 2 3" xfId="27976"/>
    <cellStyle name="Percent 2 3 4 2 2 3" xfId="3698"/>
    <cellStyle name="Percent 2 3 4 2 2 3 2" xfId="15547"/>
    <cellStyle name="Percent 2 3 4 2 2 3 3" xfId="27977"/>
    <cellStyle name="Percent 2 3 4 2 2 4" xfId="4573"/>
    <cellStyle name="Percent 2 3 4 2 2 4 2" xfId="15548"/>
    <cellStyle name="Percent 2 3 4 2 2 4 3" xfId="27978"/>
    <cellStyle name="Percent 2 3 4 2 2 5" xfId="5307"/>
    <cellStyle name="Percent 2 3 4 2 2 5 2" xfId="15549"/>
    <cellStyle name="Percent 2 3 4 2 2 5 3" xfId="27979"/>
    <cellStyle name="Percent 2 3 4 2 2 6" xfId="5838"/>
    <cellStyle name="Percent 2 3 4 2 2 6 2" xfId="15550"/>
    <cellStyle name="Percent 2 3 4 2 2 6 3" xfId="27980"/>
    <cellStyle name="Percent 2 3 4 2 2 7" xfId="10510"/>
    <cellStyle name="Percent 2 3 4 2 2 8" xfId="27975"/>
    <cellStyle name="Percent 2 3 4 2 2_LNG &amp; LPG rework" xfId="9957"/>
    <cellStyle name="Percent 2 3 4 2 3" xfId="2219"/>
    <cellStyle name="Percent 2 3 4 2 3 2" xfId="3089"/>
    <cellStyle name="Percent 2 3 4 2 3 2 2" xfId="15552"/>
    <cellStyle name="Percent 2 3 4 2 3 2 3" xfId="27982"/>
    <cellStyle name="Percent 2 3 4 2 3 3" xfId="3959"/>
    <cellStyle name="Percent 2 3 4 2 3 3 2" xfId="15553"/>
    <cellStyle name="Percent 2 3 4 2 3 3 3" xfId="27983"/>
    <cellStyle name="Percent 2 3 4 2 3 4" xfId="4837"/>
    <cellStyle name="Percent 2 3 4 2 3 4 2" xfId="15554"/>
    <cellStyle name="Percent 2 3 4 2 3 4 3" xfId="27984"/>
    <cellStyle name="Percent 2 3 4 2 3 5" xfId="6102"/>
    <cellStyle name="Percent 2 3 4 2 3 5 2" xfId="15555"/>
    <cellStyle name="Percent 2 3 4 2 3 5 3" xfId="27985"/>
    <cellStyle name="Percent 2 3 4 2 3 6" xfId="15551"/>
    <cellStyle name="Percent 2 3 4 2 3 7" xfId="27981"/>
    <cellStyle name="Percent 2 3 4 2 3_LNG &amp; LPG rework" xfId="9958"/>
    <cellStyle name="Percent 2 3 4 2 4" xfId="2584"/>
    <cellStyle name="Percent 2 3 4 2 4 2" xfId="15556"/>
    <cellStyle name="Percent 2 3 4 2 4 3" xfId="27986"/>
    <cellStyle name="Percent 2 3 4 2 5" xfId="3447"/>
    <cellStyle name="Percent 2 3 4 2 5 2" xfId="15557"/>
    <cellStyle name="Percent 2 3 4 2 5 3" xfId="27987"/>
    <cellStyle name="Percent 2 3 4 2 6" xfId="4315"/>
    <cellStyle name="Percent 2 3 4 2 6 2" xfId="15558"/>
    <cellStyle name="Percent 2 3 4 2 6 3" xfId="27988"/>
    <cellStyle name="Percent 2 3 4 2 7" xfId="5306"/>
    <cellStyle name="Percent 2 3 4 2 7 2" xfId="15559"/>
    <cellStyle name="Percent 2 3 4 2 7 3" xfId="27989"/>
    <cellStyle name="Percent 2 3 4 2 8" xfId="5577"/>
    <cellStyle name="Percent 2 3 4 2 8 2" xfId="15560"/>
    <cellStyle name="Percent 2 3 4 2 8 3" xfId="27990"/>
    <cellStyle name="Percent 2 3 4 2 9" xfId="10509"/>
    <cellStyle name="Percent 2 3 4 2_LNG &amp; LPG rework" xfId="9956"/>
    <cellStyle name="Percent 2 3 4 3" xfId="1943"/>
    <cellStyle name="Percent 2 3 4 3 2" xfId="2833"/>
    <cellStyle name="Percent 2 3 4 3 2 2" xfId="15561"/>
    <cellStyle name="Percent 2 3 4 3 2 3" xfId="27992"/>
    <cellStyle name="Percent 2 3 4 3 3" xfId="3697"/>
    <cellStyle name="Percent 2 3 4 3 3 2" xfId="15562"/>
    <cellStyle name="Percent 2 3 4 3 3 3" xfId="27993"/>
    <cellStyle name="Percent 2 3 4 3 4" xfId="4572"/>
    <cellStyle name="Percent 2 3 4 3 4 2" xfId="15563"/>
    <cellStyle name="Percent 2 3 4 3 4 3" xfId="27994"/>
    <cellStyle name="Percent 2 3 4 3 5" xfId="5308"/>
    <cellStyle name="Percent 2 3 4 3 5 2" xfId="15564"/>
    <cellStyle name="Percent 2 3 4 3 5 3" xfId="27995"/>
    <cellStyle name="Percent 2 3 4 3 6" xfId="5837"/>
    <cellStyle name="Percent 2 3 4 3 6 2" xfId="15565"/>
    <cellStyle name="Percent 2 3 4 3 6 3" xfId="27996"/>
    <cellStyle name="Percent 2 3 4 3 7" xfId="10511"/>
    <cellStyle name="Percent 2 3 4 3 8" xfId="27991"/>
    <cellStyle name="Percent 2 3 4 3_LNG &amp; LPG rework" xfId="9959"/>
    <cellStyle name="Percent 2 3 4 4" xfId="2218"/>
    <cellStyle name="Percent 2 3 4 4 2" xfId="3088"/>
    <cellStyle name="Percent 2 3 4 4 2 2" xfId="15567"/>
    <cellStyle name="Percent 2 3 4 4 2 3" xfId="27998"/>
    <cellStyle name="Percent 2 3 4 4 3" xfId="3958"/>
    <cellStyle name="Percent 2 3 4 4 3 2" xfId="15568"/>
    <cellStyle name="Percent 2 3 4 4 3 3" xfId="27999"/>
    <cellStyle name="Percent 2 3 4 4 4" xfId="4836"/>
    <cellStyle name="Percent 2 3 4 4 4 2" xfId="15569"/>
    <cellStyle name="Percent 2 3 4 4 4 3" xfId="28000"/>
    <cellStyle name="Percent 2 3 4 4 5" xfId="6101"/>
    <cellStyle name="Percent 2 3 4 4 5 2" xfId="15570"/>
    <cellStyle name="Percent 2 3 4 4 5 3" xfId="28001"/>
    <cellStyle name="Percent 2 3 4 4 6" xfId="15566"/>
    <cellStyle name="Percent 2 3 4 4 7" xfId="27997"/>
    <cellStyle name="Percent 2 3 4 4_LNG &amp; LPG rework" xfId="9960"/>
    <cellStyle name="Percent 2 3 4 5" xfId="2319"/>
    <cellStyle name="Percent 2 3 4 5 2" xfId="3178"/>
    <cellStyle name="Percent 2 3 4 5 2 2" xfId="15572"/>
    <cellStyle name="Percent 2 3 4 5 2 3" xfId="28003"/>
    <cellStyle name="Percent 2 3 4 5 3" xfId="4044"/>
    <cellStyle name="Percent 2 3 4 5 3 2" xfId="15573"/>
    <cellStyle name="Percent 2 3 4 5 3 3" xfId="28004"/>
    <cellStyle name="Percent 2 3 4 5 4" xfId="4923"/>
    <cellStyle name="Percent 2 3 4 5 4 2" xfId="15574"/>
    <cellStyle name="Percent 2 3 4 5 4 3" xfId="28005"/>
    <cellStyle name="Percent 2 3 4 5 5" xfId="6188"/>
    <cellStyle name="Percent 2 3 4 5 5 2" xfId="15575"/>
    <cellStyle name="Percent 2 3 4 5 5 3" xfId="28006"/>
    <cellStyle name="Percent 2 3 4 5 6" xfId="15571"/>
    <cellStyle name="Percent 2 3 4 5 7" xfId="28002"/>
    <cellStyle name="Percent 2 3 4 5_LNG &amp; LPG rework" xfId="9961"/>
    <cellStyle name="Percent 2 3 4 6" xfId="2583"/>
    <cellStyle name="Percent 2 3 4 6 2" xfId="15576"/>
    <cellStyle name="Percent 2 3 4 6 3" xfId="28007"/>
    <cellStyle name="Percent 2 3 4 7" xfId="3446"/>
    <cellStyle name="Percent 2 3 4 7 2" xfId="15577"/>
    <cellStyle name="Percent 2 3 4 7 3" xfId="28008"/>
    <cellStyle name="Percent 2 3 4 8" xfId="4314"/>
    <cellStyle name="Percent 2 3 4 8 2" xfId="15578"/>
    <cellStyle name="Percent 2 3 4 8 3" xfId="28009"/>
    <cellStyle name="Percent 2 3 4 9" xfId="5305"/>
    <cellStyle name="Percent 2 3 4 9 2" xfId="15579"/>
    <cellStyle name="Percent 2 3 4 9 3" xfId="28010"/>
    <cellStyle name="Percent 2 3 4_LNG &amp; LPG rework" xfId="9955"/>
    <cellStyle name="Percent 2 3 5" xfId="1606"/>
    <cellStyle name="Percent 2 3 5 10" xfId="28011"/>
    <cellStyle name="Percent 2 3 5 2" xfId="1945"/>
    <cellStyle name="Percent 2 3 5 2 2" xfId="2835"/>
    <cellStyle name="Percent 2 3 5 2 2 2" xfId="15580"/>
    <cellStyle name="Percent 2 3 5 2 2 3" xfId="28013"/>
    <cellStyle name="Percent 2 3 5 2 3" xfId="3699"/>
    <cellStyle name="Percent 2 3 5 2 3 2" xfId="15581"/>
    <cellStyle name="Percent 2 3 5 2 3 3" xfId="28014"/>
    <cellStyle name="Percent 2 3 5 2 4" xfId="4574"/>
    <cellStyle name="Percent 2 3 5 2 4 2" xfId="15582"/>
    <cellStyle name="Percent 2 3 5 2 4 3" xfId="28015"/>
    <cellStyle name="Percent 2 3 5 2 5" xfId="5310"/>
    <cellStyle name="Percent 2 3 5 2 5 2" xfId="15583"/>
    <cellStyle name="Percent 2 3 5 2 5 3" xfId="28016"/>
    <cellStyle name="Percent 2 3 5 2 6" xfId="5839"/>
    <cellStyle name="Percent 2 3 5 2 6 2" xfId="15584"/>
    <cellStyle name="Percent 2 3 5 2 6 3" xfId="28017"/>
    <cellStyle name="Percent 2 3 5 2 7" xfId="10513"/>
    <cellStyle name="Percent 2 3 5 2 8" xfId="28012"/>
    <cellStyle name="Percent 2 3 5 2_LNG &amp; LPG rework" xfId="9963"/>
    <cellStyle name="Percent 2 3 5 3" xfId="2220"/>
    <cellStyle name="Percent 2 3 5 3 2" xfId="3090"/>
    <cellStyle name="Percent 2 3 5 3 2 2" xfId="15586"/>
    <cellStyle name="Percent 2 3 5 3 2 3" xfId="28019"/>
    <cellStyle name="Percent 2 3 5 3 3" xfId="3960"/>
    <cellStyle name="Percent 2 3 5 3 3 2" xfId="15587"/>
    <cellStyle name="Percent 2 3 5 3 3 3" xfId="28020"/>
    <cellStyle name="Percent 2 3 5 3 4" xfId="4838"/>
    <cellStyle name="Percent 2 3 5 3 4 2" xfId="15588"/>
    <cellStyle name="Percent 2 3 5 3 4 3" xfId="28021"/>
    <cellStyle name="Percent 2 3 5 3 5" xfId="6103"/>
    <cellStyle name="Percent 2 3 5 3 5 2" xfId="15589"/>
    <cellStyle name="Percent 2 3 5 3 5 3" xfId="28022"/>
    <cellStyle name="Percent 2 3 5 3 6" xfId="15585"/>
    <cellStyle name="Percent 2 3 5 3 7" xfId="28018"/>
    <cellStyle name="Percent 2 3 5 3_LNG &amp; LPG rework" xfId="9964"/>
    <cellStyle name="Percent 2 3 5 4" xfId="2585"/>
    <cellStyle name="Percent 2 3 5 4 2" xfId="15590"/>
    <cellStyle name="Percent 2 3 5 4 3" xfId="28023"/>
    <cellStyle name="Percent 2 3 5 5" xfId="3448"/>
    <cellStyle name="Percent 2 3 5 5 2" xfId="15591"/>
    <cellStyle name="Percent 2 3 5 5 3" xfId="28024"/>
    <cellStyle name="Percent 2 3 5 6" xfId="4316"/>
    <cellStyle name="Percent 2 3 5 6 2" xfId="15592"/>
    <cellStyle name="Percent 2 3 5 6 3" xfId="28025"/>
    <cellStyle name="Percent 2 3 5 7" xfId="5309"/>
    <cellStyle name="Percent 2 3 5 7 2" xfId="15593"/>
    <cellStyle name="Percent 2 3 5 7 3" xfId="28026"/>
    <cellStyle name="Percent 2 3 5 8" xfId="5578"/>
    <cellStyle name="Percent 2 3 5 8 2" xfId="15594"/>
    <cellStyle name="Percent 2 3 5 8 3" xfId="28027"/>
    <cellStyle name="Percent 2 3 5 9" xfId="10512"/>
    <cellStyle name="Percent 2 3 5_LNG &amp; LPG rework" xfId="9962"/>
    <cellStyle name="Percent 2 3 6" xfId="1930"/>
    <cellStyle name="Percent 2 3 6 2" xfId="2820"/>
    <cellStyle name="Percent 2 3 6 2 2" xfId="15595"/>
    <cellStyle name="Percent 2 3 6 2 3" xfId="28029"/>
    <cellStyle name="Percent 2 3 6 3" xfId="3684"/>
    <cellStyle name="Percent 2 3 6 3 2" xfId="15596"/>
    <cellStyle name="Percent 2 3 6 3 3" xfId="28030"/>
    <cellStyle name="Percent 2 3 6 4" xfId="4559"/>
    <cellStyle name="Percent 2 3 6 4 2" xfId="15597"/>
    <cellStyle name="Percent 2 3 6 4 3" xfId="28031"/>
    <cellStyle name="Percent 2 3 6 5" xfId="5311"/>
    <cellStyle name="Percent 2 3 6 5 2" xfId="15598"/>
    <cellStyle name="Percent 2 3 6 5 3" xfId="28032"/>
    <cellStyle name="Percent 2 3 6 6" xfId="5824"/>
    <cellStyle name="Percent 2 3 6 6 2" xfId="15599"/>
    <cellStyle name="Percent 2 3 6 6 3" xfId="28033"/>
    <cellStyle name="Percent 2 3 6 7" xfId="10514"/>
    <cellStyle name="Percent 2 3 6 8" xfId="28028"/>
    <cellStyle name="Percent 2 3 6_LNG &amp; LPG rework" xfId="9965"/>
    <cellStyle name="Percent 2 3 7" xfId="2205"/>
    <cellStyle name="Percent 2 3 7 2" xfId="3075"/>
    <cellStyle name="Percent 2 3 7 2 2" xfId="15601"/>
    <cellStyle name="Percent 2 3 7 2 3" xfId="28035"/>
    <cellStyle name="Percent 2 3 7 3" xfId="3945"/>
    <cellStyle name="Percent 2 3 7 3 2" xfId="15602"/>
    <cellStyle name="Percent 2 3 7 3 3" xfId="28036"/>
    <cellStyle name="Percent 2 3 7 4" xfId="4823"/>
    <cellStyle name="Percent 2 3 7 4 2" xfId="15603"/>
    <cellStyle name="Percent 2 3 7 4 3" xfId="28037"/>
    <cellStyle name="Percent 2 3 7 5" xfId="6088"/>
    <cellStyle name="Percent 2 3 7 5 2" xfId="15604"/>
    <cellStyle name="Percent 2 3 7 5 3" xfId="28038"/>
    <cellStyle name="Percent 2 3 7 6" xfId="15600"/>
    <cellStyle name="Percent 2 3 7 7" xfId="28034"/>
    <cellStyle name="Percent 2 3 7_LNG &amp; LPG rework" xfId="9966"/>
    <cellStyle name="Percent 2 3 8" xfId="2279"/>
    <cellStyle name="Percent 2 3 8 2" xfId="3138"/>
    <cellStyle name="Percent 2 3 8 2 2" xfId="15606"/>
    <cellStyle name="Percent 2 3 8 2 3" xfId="28040"/>
    <cellStyle name="Percent 2 3 8 3" xfId="4004"/>
    <cellStyle name="Percent 2 3 8 3 2" xfId="15607"/>
    <cellStyle name="Percent 2 3 8 3 3" xfId="28041"/>
    <cellStyle name="Percent 2 3 8 4" xfId="4883"/>
    <cellStyle name="Percent 2 3 8 4 2" xfId="15608"/>
    <cellStyle name="Percent 2 3 8 4 3" xfId="28042"/>
    <cellStyle name="Percent 2 3 8 5" xfId="6148"/>
    <cellStyle name="Percent 2 3 8 5 2" xfId="15609"/>
    <cellStyle name="Percent 2 3 8 5 3" xfId="28043"/>
    <cellStyle name="Percent 2 3 8 6" xfId="15605"/>
    <cellStyle name="Percent 2 3 8 7" xfId="28039"/>
    <cellStyle name="Percent 2 3 8_LNG &amp; LPG rework" xfId="9967"/>
    <cellStyle name="Percent 2 3 9" xfId="2570"/>
    <cellStyle name="Percent 2 3 9 2" xfId="15610"/>
    <cellStyle name="Percent 2 3 9 3" xfId="28044"/>
    <cellStyle name="Percent 2 3_LNG &amp; LPG rework" xfId="9912"/>
    <cellStyle name="Percent 2 4" xfId="1607"/>
    <cellStyle name="Percent 2 4 10" xfId="3449"/>
    <cellStyle name="Percent 2 4 10 2" xfId="15611"/>
    <cellStyle name="Percent 2 4 10 3" xfId="28046"/>
    <cellStyle name="Percent 2 4 11" xfId="4317"/>
    <cellStyle name="Percent 2 4 11 2" xfId="15612"/>
    <cellStyle name="Percent 2 4 11 3" xfId="28047"/>
    <cellStyle name="Percent 2 4 12" xfId="5312"/>
    <cellStyle name="Percent 2 4 12 2" xfId="15613"/>
    <cellStyle name="Percent 2 4 12 3" xfId="28048"/>
    <cellStyle name="Percent 2 4 13" xfId="5579"/>
    <cellStyle name="Percent 2 4 13 2" xfId="15614"/>
    <cellStyle name="Percent 2 4 13 3" xfId="28049"/>
    <cellStyle name="Percent 2 4 14" xfId="10515"/>
    <cellStyle name="Percent 2 4 15" xfId="28045"/>
    <cellStyle name="Percent 2 4 2" xfId="1608"/>
    <cellStyle name="Percent 2 4 2 10" xfId="4318"/>
    <cellStyle name="Percent 2 4 2 10 2" xfId="15615"/>
    <cellStyle name="Percent 2 4 2 10 3" xfId="28051"/>
    <cellStyle name="Percent 2 4 2 11" xfId="5313"/>
    <cellStyle name="Percent 2 4 2 11 2" xfId="15616"/>
    <cellStyle name="Percent 2 4 2 11 3" xfId="28052"/>
    <cellStyle name="Percent 2 4 2 12" xfId="5580"/>
    <cellStyle name="Percent 2 4 2 12 2" xfId="15617"/>
    <cellStyle name="Percent 2 4 2 12 3" xfId="28053"/>
    <cellStyle name="Percent 2 4 2 13" xfId="10516"/>
    <cellStyle name="Percent 2 4 2 14" xfId="28050"/>
    <cellStyle name="Percent 2 4 2 2" xfId="1609"/>
    <cellStyle name="Percent 2 4 2 2 10" xfId="5314"/>
    <cellStyle name="Percent 2 4 2 2 10 2" xfId="15618"/>
    <cellStyle name="Percent 2 4 2 2 10 3" xfId="28055"/>
    <cellStyle name="Percent 2 4 2 2 11" xfId="5581"/>
    <cellStyle name="Percent 2 4 2 2 11 2" xfId="15619"/>
    <cellStyle name="Percent 2 4 2 2 11 3" xfId="28056"/>
    <cellStyle name="Percent 2 4 2 2 12" xfId="10517"/>
    <cellStyle name="Percent 2 4 2 2 13" xfId="28054"/>
    <cellStyle name="Percent 2 4 2 2 2" xfId="1610"/>
    <cellStyle name="Percent 2 4 2 2 2 10" xfId="5582"/>
    <cellStyle name="Percent 2 4 2 2 2 10 2" xfId="15620"/>
    <cellStyle name="Percent 2 4 2 2 2 10 3" xfId="28058"/>
    <cellStyle name="Percent 2 4 2 2 2 11" xfId="10518"/>
    <cellStyle name="Percent 2 4 2 2 2 12" xfId="28057"/>
    <cellStyle name="Percent 2 4 2 2 2 2" xfId="1611"/>
    <cellStyle name="Percent 2 4 2 2 2 2 10" xfId="28059"/>
    <cellStyle name="Percent 2 4 2 2 2 2 2" xfId="1950"/>
    <cellStyle name="Percent 2 4 2 2 2 2 2 2" xfId="2840"/>
    <cellStyle name="Percent 2 4 2 2 2 2 2 2 2" xfId="15621"/>
    <cellStyle name="Percent 2 4 2 2 2 2 2 2 3" xfId="28061"/>
    <cellStyle name="Percent 2 4 2 2 2 2 2 3" xfId="3704"/>
    <cellStyle name="Percent 2 4 2 2 2 2 2 3 2" xfId="15622"/>
    <cellStyle name="Percent 2 4 2 2 2 2 2 3 3" xfId="28062"/>
    <cellStyle name="Percent 2 4 2 2 2 2 2 4" xfId="4579"/>
    <cellStyle name="Percent 2 4 2 2 2 2 2 4 2" xfId="15623"/>
    <cellStyle name="Percent 2 4 2 2 2 2 2 4 3" xfId="28063"/>
    <cellStyle name="Percent 2 4 2 2 2 2 2 5" xfId="5317"/>
    <cellStyle name="Percent 2 4 2 2 2 2 2 5 2" xfId="15624"/>
    <cellStyle name="Percent 2 4 2 2 2 2 2 5 3" xfId="28064"/>
    <cellStyle name="Percent 2 4 2 2 2 2 2 6" xfId="5844"/>
    <cellStyle name="Percent 2 4 2 2 2 2 2 6 2" xfId="15625"/>
    <cellStyle name="Percent 2 4 2 2 2 2 2 6 3" xfId="28065"/>
    <cellStyle name="Percent 2 4 2 2 2 2 2 7" xfId="10520"/>
    <cellStyle name="Percent 2 4 2 2 2 2 2 8" xfId="28060"/>
    <cellStyle name="Percent 2 4 2 2 2 2 2_LNG &amp; LPG rework" xfId="9973"/>
    <cellStyle name="Percent 2 4 2 2 2 2 3" xfId="2225"/>
    <cellStyle name="Percent 2 4 2 2 2 2 3 2" xfId="3095"/>
    <cellStyle name="Percent 2 4 2 2 2 2 3 2 2" xfId="15627"/>
    <cellStyle name="Percent 2 4 2 2 2 2 3 2 3" xfId="28067"/>
    <cellStyle name="Percent 2 4 2 2 2 2 3 3" xfId="3965"/>
    <cellStyle name="Percent 2 4 2 2 2 2 3 3 2" xfId="15628"/>
    <cellStyle name="Percent 2 4 2 2 2 2 3 3 3" xfId="28068"/>
    <cellStyle name="Percent 2 4 2 2 2 2 3 4" xfId="4843"/>
    <cellStyle name="Percent 2 4 2 2 2 2 3 4 2" xfId="15629"/>
    <cellStyle name="Percent 2 4 2 2 2 2 3 4 3" xfId="28069"/>
    <cellStyle name="Percent 2 4 2 2 2 2 3 5" xfId="6108"/>
    <cellStyle name="Percent 2 4 2 2 2 2 3 5 2" xfId="15630"/>
    <cellStyle name="Percent 2 4 2 2 2 2 3 5 3" xfId="28070"/>
    <cellStyle name="Percent 2 4 2 2 2 2 3 6" xfId="15626"/>
    <cellStyle name="Percent 2 4 2 2 2 2 3 7" xfId="28066"/>
    <cellStyle name="Percent 2 4 2 2 2 2 3_LNG &amp; LPG rework" xfId="9974"/>
    <cellStyle name="Percent 2 4 2 2 2 2 4" xfId="2590"/>
    <cellStyle name="Percent 2 4 2 2 2 2 4 2" xfId="15631"/>
    <cellStyle name="Percent 2 4 2 2 2 2 4 3" xfId="28071"/>
    <cellStyle name="Percent 2 4 2 2 2 2 5" xfId="3453"/>
    <cellStyle name="Percent 2 4 2 2 2 2 5 2" xfId="15632"/>
    <cellStyle name="Percent 2 4 2 2 2 2 5 3" xfId="28072"/>
    <cellStyle name="Percent 2 4 2 2 2 2 6" xfId="4321"/>
    <cellStyle name="Percent 2 4 2 2 2 2 6 2" xfId="15633"/>
    <cellStyle name="Percent 2 4 2 2 2 2 6 3" xfId="28073"/>
    <cellStyle name="Percent 2 4 2 2 2 2 7" xfId="5316"/>
    <cellStyle name="Percent 2 4 2 2 2 2 7 2" xfId="15634"/>
    <cellStyle name="Percent 2 4 2 2 2 2 7 3" xfId="28074"/>
    <cellStyle name="Percent 2 4 2 2 2 2 8" xfId="5583"/>
    <cellStyle name="Percent 2 4 2 2 2 2 8 2" xfId="15635"/>
    <cellStyle name="Percent 2 4 2 2 2 2 8 3" xfId="28075"/>
    <cellStyle name="Percent 2 4 2 2 2 2 9" xfId="10519"/>
    <cellStyle name="Percent 2 4 2 2 2 2_LNG &amp; LPG rework" xfId="9972"/>
    <cellStyle name="Percent 2 4 2 2 2 3" xfId="1949"/>
    <cellStyle name="Percent 2 4 2 2 2 3 2" xfId="2839"/>
    <cellStyle name="Percent 2 4 2 2 2 3 2 2" xfId="15636"/>
    <cellStyle name="Percent 2 4 2 2 2 3 2 3" xfId="28077"/>
    <cellStyle name="Percent 2 4 2 2 2 3 3" xfId="3703"/>
    <cellStyle name="Percent 2 4 2 2 2 3 3 2" xfId="15637"/>
    <cellStyle name="Percent 2 4 2 2 2 3 3 3" xfId="28078"/>
    <cellStyle name="Percent 2 4 2 2 2 3 4" xfId="4578"/>
    <cellStyle name="Percent 2 4 2 2 2 3 4 2" xfId="15638"/>
    <cellStyle name="Percent 2 4 2 2 2 3 4 3" xfId="28079"/>
    <cellStyle name="Percent 2 4 2 2 2 3 5" xfId="5318"/>
    <cellStyle name="Percent 2 4 2 2 2 3 5 2" xfId="15639"/>
    <cellStyle name="Percent 2 4 2 2 2 3 5 3" xfId="28080"/>
    <cellStyle name="Percent 2 4 2 2 2 3 6" xfId="5843"/>
    <cellStyle name="Percent 2 4 2 2 2 3 6 2" xfId="15640"/>
    <cellStyle name="Percent 2 4 2 2 2 3 6 3" xfId="28081"/>
    <cellStyle name="Percent 2 4 2 2 2 3 7" xfId="10521"/>
    <cellStyle name="Percent 2 4 2 2 2 3 8" xfId="28076"/>
    <cellStyle name="Percent 2 4 2 2 2 3_LNG &amp; LPG rework" xfId="9975"/>
    <cellStyle name="Percent 2 4 2 2 2 4" xfId="2224"/>
    <cellStyle name="Percent 2 4 2 2 2 4 2" xfId="3094"/>
    <cellStyle name="Percent 2 4 2 2 2 4 2 2" xfId="15642"/>
    <cellStyle name="Percent 2 4 2 2 2 4 2 3" xfId="28083"/>
    <cellStyle name="Percent 2 4 2 2 2 4 3" xfId="3964"/>
    <cellStyle name="Percent 2 4 2 2 2 4 3 2" xfId="15643"/>
    <cellStyle name="Percent 2 4 2 2 2 4 3 3" xfId="28084"/>
    <cellStyle name="Percent 2 4 2 2 2 4 4" xfId="4842"/>
    <cellStyle name="Percent 2 4 2 2 2 4 4 2" xfId="15644"/>
    <cellStyle name="Percent 2 4 2 2 2 4 4 3" xfId="28085"/>
    <cellStyle name="Percent 2 4 2 2 2 4 5" xfId="6107"/>
    <cellStyle name="Percent 2 4 2 2 2 4 5 2" xfId="15645"/>
    <cellStyle name="Percent 2 4 2 2 2 4 5 3" xfId="28086"/>
    <cellStyle name="Percent 2 4 2 2 2 4 6" xfId="15641"/>
    <cellStyle name="Percent 2 4 2 2 2 4 7" xfId="28082"/>
    <cellStyle name="Percent 2 4 2 2 2 4_LNG &amp; LPG rework" xfId="9976"/>
    <cellStyle name="Percent 2 4 2 2 2 5" xfId="2359"/>
    <cellStyle name="Percent 2 4 2 2 2 5 2" xfId="3218"/>
    <cellStyle name="Percent 2 4 2 2 2 5 2 2" xfId="15647"/>
    <cellStyle name="Percent 2 4 2 2 2 5 2 3" xfId="28088"/>
    <cellStyle name="Percent 2 4 2 2 2 5 3" xfId="4084"/>
    <cellStyle name="Percent 2 4 2 2 2 5 3 2" xfId="15648"/>
    <cellStyle name="Percent 2 4 2 2 2 5 3 3" xfId="28089"/>
    <cellStyle name="Percent 2 4 2 2 2 5 4" xfId="4963"/>
    <cellStyle name="Percent 2 4 2 2 2 5 4 2" xfId="15649"/>
    <cellStyle name="Percent 2 4 2 2 2 5 4 3" xfId="28090"/>
    <cellStyle name="Percent 2 4 2 2 2 5 5" xfId="6228"/>
    <cellStyle name="Percent 2 4 2 2 2 5 5 2" xfId="15650"/>
    <cellStyle name="Percent 2 4 2 2 2 5 5 3" xfId="28091"/>
    <cellStyle name="Percent 2 4 2 2 2 5 6" xfId="15646"/>
    <cellStyle name="Percent 2 4 2 2 2 5 7" xfId="28087"/>
    <cellStyle name="Percent 2 4 2 2 2 5_LNG &amp; LPG rework" xfId="9977"/>
    <cellStyle name="Percent 2 4 2 2 2 6" xfId="2589"/>
    <cellStyle name="Percent 2 4 2 2 2 6 2" xfId="15651"/>
    <cellStyle name="Percent 2 4 2 2 2 6 3" xfId="28092"/>
    <cellStyle name="Percent 2 4 2 2 2 7" xfId="3452"/>
    <cellStyle name="Percent 2 4 2 2 2 7 2" xfId="15652"/>
    <cellStyle name="Percent 2 4 2 2 2 7 3" xfId="28093"/>
    <cellStyle name="Percent 2 4 2 2 2 8" xfId="4320"/>
    <cellStyle name="Percent 2 4 2 2 2 8 2" xfId="15653"/>
    <cellStyle name="Percent 2 4 2 2 2 8 3" xfId="28094"/>
    <cellStyle name="Percent 2 4 2 2 2 9" xfId="5315"/>
    <cellStyle name="Percent 2 4 2 2 2 9 2" xfId="15654"/>
    <cellStyle name="Percent 2 4 2 2 2 9 3" xfId="28095"/>
    <cellStyle name="Percent 2 4 2 2 2_LNG &amp; LPG rework" xfId="9971"/>
    <cellStyle name="Percent 2 4 2 2 3" xfId="1612"/>
    <cellStyle name="Percent 2 4 2 2 3 10" xfId="28096"/>
    <cellStyle name="Percent 2 4 2 2 3 2" xfId="1951"/>
    <cellStyle name="Percent 2 4 2 2 3 2 2" xfId="2841"/>
    <cellStyle name="Percent 2 4 2 2 3 2 2 2" xfId="15655"/>
    <cellStyle name="Percent 2 4 2 2 3 2 2 3" xfId="28098"/>
    <cellStyle name="Percent 2 4 2 2 3 2 3" xfId="3705"/>
    <cellStyle name="Percent 2 4 2 2 3 2 3 2" xfId="15656"/>
    <cellStyle name="Percent 2 4 2 2 3 2 3 3" xfId="28099"/>
    <cellStyle name="Percent 2 4 2 2 3 2 4" xfId="4580"/>
    <cellStyle name="Percent 2 4 2 2 3 2 4 2" xfId="15657"/>
    <cellStyle name="Percent 2 4 2 2 3 2 4 3" xfId="28100"/>
    <cellStyle name="Percent 2 4 2 2 3 2 5" xfId="5320"/>
    <cellStyle name="Percent 2 4 2 2 3 2 5 2" xfId="15658"/>
    <cellStyle name="Percent 2 4 2 2 3 2 5 3" xfId="28101"/>
    <cellStyle name="Percent 2 4 2 2 3 2 6" xfId="5845"/>
    <cellStyle name="Percent 2 4 2 2 3 2 6 2" xfId="15659"/>
    <cellStyle name="Percent 2 4 2 2 3 2 6 3" xfId="28102"/>
    <cellStyle name="Percent 2 4 2 2 3 2 7" xfId="10523"/>
    <cellStyle name="Percent 2 4 2 2 3 2 8" xfId="28097"/>
    <cellStyle name="Percent 2 4 2 2 3 2_LNG &amp; LPG rework" xfId="9979"/>
    <cellStyle name="Percent 2 4 2 2 3 3" xfId="2226"/>
    <cellStyle name="Percent 2 4 2 2 3 3 2" xfId="3096"/>
    <cellStyle name="Percent 2 4 2 2 3 3 2 2" xfId="15661"/>
    <cellStyle name="Percent 2 4 2 2 3 3 2 3" xfId="28104"/>
    <cellStyle name="Percent 2 4 2 2 3 3 3" xfId="3966"/>
    <cellStyle name="Percent 2 4 2 2 3 3 3 2" xfId="15662"/>
    <cellStyle name="Percent 2 4 2 2 3 3 3 3" xfId="28105"/>
    <cellStyle name="Percent 2 4 2 2 3 3 4" xfId="4844"/>
    <cellStyle name="Percent 2 4 2 2 3 3 4 2" xfId="15663"/>
    <cellStyle name="Percent 2 4 2 2 3 3 4 3" xfId="28106"/>
    <cellStyle name="Percent 2 4 2 2 3 3 5" xfId="6109"/>
    <cellStyle name="Percent 2 4 2 2 3 3 5 2" xfId="15664"/>
    <cellStyle name="Percent 2 4 2 2 3 3 5 3" xfId="28107"/>
    <cellStyle name="Percent 2 4 2 2 3 3 6" xfId="15660"/>
    <cellStyle name="Percent 2 4 2 2 3 3 7" xfId="28103"/>
    <cellStyle name="Percent 2 4 2 2 3 3_LNG &amp; LPG rework" xfId="9980"/>
    <cellStyle name="Percent 2 4 2 2 3 4" xfId="2591"/>
    <cellStyle name="Percent 2 4 2 2 3 4 2" xfId="15665"/>
    <cellStyle name="Percent 2 4 2 2 3 4 3" xfId="28108"/>
    <cellStyle name="Percent 2 4 2 2 3 5" xfId="3454"/>
    <cellStyle name="Percent 2 4 2 2 3 5 2" xfId="15666"/>
    <cellStyle name="Percent 2 4 2 2 3 5 3" xfId="28109"/>
    <cellStyle name="Percent 2 4 2 2 3 6" xfId="4322"/>
    <cellStyle name="Percent 2 4 2 2 3 6 2" xfId="15667"/>
    <cellStyle name="Percent 2 4 2 2 3 6 3" xfId="28110"/>
    <cellStyle name="Percent 2 4 2 2 3 7" xfId="5319"/>
    <cellStyle name="Percent 2 4 2 2 3 7 2" xfId="15668"/>
    <cellStyle name="Percent 2 4 2 2 3 7 3" xfId="28111"/>
    <cellStyle name="Percent 2 4 2 2 3 8" xfId="5584"/>
    <cellStyle name="Percent 2 4 2 2 3 8 2" xfId="15669"/>
    <cellStyle name="Percent 2 4 2 2 3 8 3" xfId="28112"/>
    <cellStyle name="Percent 2 4 2 2 3 9" xfId="10522"/>
    <cellStyle name="Percent 2 4 2 2 3_LNG &amp; LPG rework" xfId="9978"/>
    <cellStyle name="Percent 2 4 2 2 4" xfId="1948"/>
    <cellStyle name="Percent 2 4 2 2 4 2" xfId="2838"/>
    <cellStyle name="Percent 2 4 2 2 4 2 2" xfId="15670"/>
    <cellStyle name="Percent 2 4 2 2 4 2 3" xfId="28114"/>
    <cellStyle name="Percent 2 4 2 2 4 3" xfId="3702"/>
    <cellStyle name="Percent 2 4 2 2 4 3 2" xfId="15671"/>
    <cellStyle name="Percent 2 4 2 2 4 3 3" xfId="28115"/>
    <cellStyle name="Percent 2 4 2 2 4 4" xfId="4577"/>
    <cellStyle name="Percent 2 4 2 2 4 4 2" xfId="15672"/>
    <cellStyle name="Percent 2 4 2 2 4 4 3" xfId="28116"/>
    <cellStyle name="Percent 2 4 2 2 4 5" xfId="5321"/>
    <cellStyle name="Percent 2 4 2 2 4 5 2" xfId="15673"/>
    <cellStyle name="Percent 2 4 2 2 4 5 3" xfId="28117"/>
    <cellStyle name="Percent 2 4 2 2 4 6" xfId="5842"/>
    <cellStyle name="Percent 2 4 2 2 4 6 2" xfId="15674"/>
    <cellStyle name="Percent 2 4 2 2 4 6 3" xfId="28118"/>
    <cellStyle name="Percent 2 4 2 2 4 7" xfId="10524"/>
    <cellStyle name="Percent 2 4 2 2 4 8" xfId="28113"/>
    <cellStyle name="Percent 2 4 2 2 4_LNG &amp; LPG rework" xfId="9981"/>
    <cellStyle name="Percent 2 4 2 2 5" xfId="2223"/>
    <cellStyle name="Percent 2 4 2 2 5 2" xfId="3093"/>
    <cellStyle name="Percent 2 4 2 2 5 2 2" xfId="15676"/>
    <cellStyle name="Percent 2 4 2 2 5 2 3" xfId="28120"/>
    <cellStyle name="Percent 2 4 2 2 5 3" xfId="3963"/>
    <cellStyle name="Percent 2 4 2 2 5 3 2" xfId="15677"/>
    <cellStyle name="Percent 2 4 2 2 5 3 3" xfId="28121"/>
    <cellStyle name="Percent 2 4 2 2 5 4" xfId="4841"/>
    <cellStyle name="Percent 2 4 2 2 5 4 2" xfId="15678"/>
    <cellStyle name="Percent 2 4 2 2 5 4 3" xfId="28122"/>
    <cellStyle name="Percent 2 4 2 2 5 5" xfId="6106"/>
    <cellStyle name="Percent 2 4 2 2 5 5 2" xfId="15679"/>
    <cellStyle name="Percent 2 4 2 2 5 5 3" xfId="28123"/>
    <cellStyle name="Percent 2 4 2 2 5 6" xfId="15675"/>
    <cellStyle name="Percent 2 4 2 2 5 7" xfId="28119"/>
    <cellStyle name="Percent 2 4 2 2 5_LNG &amp; LPG rework" xfId="9982"/>
    <cellStyle name="Percent 2 4 2 2 6" xfId="2315"/>
    <cellStyle name="Percent 2 4 2 2 6 2" xfId="3174"/>
    <cellStyle name="Percent 2 4 2 2 6 2 2" xfId="15681"/>
    <cellStyle name="Percent 2 4 2 2 6 2 3" xfId="28125"/>
    <cellStyle name="Percent 2 4 2 2 6 3" xfId="4040"/>
    <cellStyle name="Percent 2 4 2 2 6 3 2" xfId="15682"/>
    <cellStyle name="Percent 2 4 2 2 6 3 3" xfId="28126"/>
    <cellStyle name="Percent 2 4 2 2 6 4" xfId="4919"/>
    <cellStyle name="Percent 2 4 2 2 6 4 2" xfId="15683"/>
    <cellStyle name="Percent 2 4 2 2 6 4 3" xfId="28127"/>
    <cellStyle name="Percent 2 4 2 2 6 5" xfId="6184"/>
    <cellStyle name="Percent 2 4 2 2 6 5 2" xfId="15684"/>
    <cellStyle name="Percent 2 4 2 2 6 5 3" xfId="28128"/>
    <cellStyle name="Percent 2 4 2 2 6 6" xfId="15680"/>
    <cellStyle name="Percent 2 4 2 2 6 7" xfId="28124"/>
    <cellStyle name="Percent 2 4 2 2 6_LNG &amp; LPG rework" xfId="9983"/>
    <cellStyle name="Percent 2 4 2 2 7" xfId="2588"/>
    <cellStyle name="Percent 2 4 2 2 7 2" xfId="15685"/>
    <cellStyle name="Percent 2 4 2 2 7 3" xfId="28129"/>
    <cellStyle name="Percent 2 4 2 2 8" xfId="3451"/>
    <cellStyle name="Percent 2 4 2 2 8 2" xfId="15686"/>
    <cellStyle name="Percent 2 4 2 2 8 3" xfId="28130"/>
    <cellStyle name="Percent 2 4 2 2 9" xfId="4319"/>
    <cellStyle name="Percent 2 4 2 2 9 2" xfId="15687"/>
    <cellStyle name="Percent 2 4 2 2 9 3" xfId="28131"/>
    <cellStyle name="Percent 2 4 2 2_LNG &amp; LPG rework" xfId="9970"/>
    <cellStyle name="Percent 2 4 2 3" xfId="1613"/>
    <cellStyle name="Percent 2 4 2 3 10" xfId="5585"/>
    <cellStyle name="Percent 2 4 2 3 10 2" xfId="15688"/>
    <cellStyle name="Percent 2 4 2 3 10 3" xfId="28133"/>
    <cellStyle name="Percent 2 4 2 3 11" xfId="10525"/>
    <cellStyle name="Percent 2 4 2 3 12" xfId="28132"/>
    <cellStyle name="Percent 2 4 2 3 2" xfId="1614"/>
    <cellStyle name="Percent 2 4 2 3 2 10" xfId="28134"/>
    <cellStyle name="Percent 2 4 2 3 2 2" xfId="1953"/>
    <cellStyle name="Percent 2 4 2 3 2 2 2" xfId="2843"/>
    <cellStyle name="Percent 2 4 2 3 2 2 2 2" xfId="15689"/>
    <cellStyle name="Percent 2 4 2 3 2 2 2 3" xfId="28136"/>
    <cellStyle name="Percent 2 4 2 3 2 2 3" xfId="3707"/>
    <cellStyle name="Percent 2 4 2 3 2 2 3 2" xfId="15690"/>
    <cellStyle name="Percent 2 4 2 3 2 2 3 3" xfId="28137"/>
    <cellStyle name="Percent 2 4 2 3 2 2 4" xfId="4582"/>
    <cellStyle name="Percent 2 4 2 3 2 2 4 2" xfId="15691"/>
    <cellStyle name="Percent 2 4 2 3 2 2 4 3" xfId="28138"/>
    <cellStyle name="Percent 2 4 2 3 2 2 5" xfId="5324"/>
    <cellStyle name="Percent 2 4 2 3 2 2 5 2" xfId="15692"/>
    <cellStyle name="Percent 2 4 2 3 2 2 5 3" xfId="28139"/>
    <cellStyle name="Percent 2 4 2 3 2 2 6" xfId="5847"/>
    <cellStyle name="Percent 2 4 2 3 2 2 6 2" xfId="15693"/>
    <cellStyle name="Percent 2 4 2 3 2 2 6 3" xfId="28140"/>
    <cellStyle name="Percent 2 4 2 3 2 2 7" xfId="10527"/>
    <cellStyle name="Percent 2 4 2 3 2 2 8" xfId="28135"/>
    <cellStyle name="Percent 2 4 2 3 2 2_LNG &amp; LPG rework" xfId="9986"/>
    <cellStyle name="Percent 2 4 2 3 2 3" xfId="2228"/>
    <cellStyle name="Percent 2 4 2 3 2 3 2" xfId="3098"/>
    <cellStyle name="Percent 2 4 2 3 2 3 2 2" xfId="15695"/>
    <cellStyle name="Percent 2 4 2 3 2 3 2 3" xfId="28142"/>
    <cellStyle name="Percent 2 4 2 3 2 3 3" xfId="3968"/>
    <cellStyle name="Percent 2 4 2 3 2 3 3 2" xfId="15696"/>
    <cellStyle name="Percent 2 4 2 3 2 3 3 3" xfId="28143"/>
    <cellStyle name="Percent 2 4 2 3 2 3 4" xfId="4846"/>
    <cellStyle name="Percent 2 4 2 3 2 3 4 2" xfId="15697"/>
    <cellStyle name="Percent 2 4 2 3 2 3 4 3" xfId="28144"/>
    <cellStyle name="Percent 2 4 2 3 2 3 5" xfId="6111"/>
    <cellStyle name="Percent 2 4 2 3 2 3 5 2" xfId="15698"/>
    <cellStyle name="Percent 2 4 2 3 2 3 5 3" xfId="28145"/>
    <cellStyle name="Percent 2 4 2 3 2 3 6" xfId="15694"/>
    <cellStyle name="Percent 2 4 2 3 2 3 7" xfId="28141"/>
    <cellStyle name="Percent 2 4 2 3 2 3_LNG &amp; LPG rework" xfId="9987"/>
    <cellStyle name="Percent 2 4 2 3 2 4" xfId="2593"/>
    <cellStyle name="Percent 2 4 2 3 2 4 2" xfId="15699"/>
    <cellStyle name="Percent 2 4 2 3 2 4 3" xfId="28146"/>
    <cellStyle name="Percent 2 4 2 3 2 5" xfId="3456"/>
    <cellStyle name="Percent 2 4 2 3 2 5 2" xfId="15700"/>
    <cellStyle name="Percent 2 4 2 3 2 5 3" xfId="28147"/>
    <cellStyle name="Percent 2 4 2 3 2 6" xfId="4324"/>
    <cellStyle name="Percent 2 4 2 3 2 6 2" xfId="15701"/>
    <cellStyle name="Percent 2 4 2 3 2 6 3" xfId="28148"/>
    <cellStyle name="Percent 2 4 2 3 2 7" xfId="5323"/>
    <cellStyle name="Percent 2 4 2 3 2 7 2" xfId="15702"/>
    <cellStyle name="Percent 2 4 2 3 2 7 3" xfId="28149"/>
    <cellStyle name="Percent 2 4 2 3 2 8" xfId="5586"/>
    <cellStyle name="Percent 2 4 2 3 2 8 2" xfId="15703"/>
    <cellStyle name="Percent 2 4 2 3 2 8 3" xfId="28150"/>
    <cellStyle name="Percent 2 4 2 3 2 9" xfId="10526"/>
    <cellStyle name="Percent 2 4 2 3 2_LNG &amp; LPG rework" xfId="9985"/>
    <cellStyle name="Percent 2 4 2 3 3" xfId="1952"/>
    <cellStyle name="Percent 2 4 2 3 3 2" xfId="2842"/>
    <cellStyle name="Percent 2 4 2 3 3 2 2" xfId="15704"/>
    <cellStyle name="Percent 2 4 2 3 3 2 3" xfId="28152"/>
    <cellStyle name="Percent 2 4 2 3 3 3" xfId="3706"/>
    <cellStyle name="Percent 2 4 2 3 3 3 2" xfId="15705"/>
    <cellStyle name="Percent 2 4 2 3 3 3 3" xfId="28153"/>
    <cellStyle name="Percent 2 4 2 3 3 4" xfId="4581"/>
    <cellStyle name="Percent 2 4 2 3 3 4 2" xfId="15706"/>
    <cellStyle name="Percent 2 4 2 3 3 4 3" xfId="28154"/>
    <cellStyle name="Percent 2 4 2 3 3 5" xfId="5325"/>
    <cellStyle name="Percent 2 4 2 3 3 5 2" xfId="15707"/>
    <cellStyle name="Percent 2 4 2 3 3 5 3" xfId="28155"/>
    <cellStyle name="Percent 2 4 2 3 3 6" xfId="5846"/>
    <cellStyle name="Percent 2 4 2 3 3 6 2" xfId="15708"/>
    <cellStyle name="Percent 2 4 2 3 3 6 3" xfId="28156"/>
    <cellStyle name="Percent 2 4 2 3 3 7" xfId="10528"/>
    <cellStyle name="Percent 2 4 2 3 3 8" xfId="28151"/>
    <cellStyle name="Percent 2 4 2 3 3_LNG &amp; LPG rework" xfId="9988"/>
    <cellStyle name="Percent 2 4 2 3 4" xfId="2227"/>
    <cellStyle name="Percent 2 4 2 3 4 2" xfId="3097"/>
    <cellStyle name="Percent 2 4 2 3 4 2 2" xfId="15710"/>
    <cellStyle name="Percent 2 4 2 3 4 2 3" xfId="28158"/>
    <cellStyle name="Percent 2 4 2 3 4 3" xfId="3967"/>
    <cellStyle name="Percent 2 4 2 3 4 3 2" xfId="15711"/>
    <cellStyle name="Percent 2 4 2 3 4 3 3" xfId="28159"/>
    <cellStyle name="Percent 2 4 2 3 4 4" xfId="4845"/>
    <cellStyle name="Percent 2 4 2 3 4 4 2" xfId="15712"/>
    <cellStyle name="Percent 2 4 2 3 4 4 3" xfId="28160"/>
    <cellStyle name="Percent 2 4 2 3 4 5" xfId="6110"/>
    <cellStyle name="Percent 2 4 2 3 4 5 2" xfId="15713"/>
    <cellStyle name="Percent 2 4 2 3 4 5 3" xfId="28161"/>
    <cellStyle name="Percent 2 4 2 3 4 6" xfId="15709"/>
    <cellStyle name="Percent 2 4 2 3 4 7" xfId="28157"/>
    <cellStyle name="Percent 2 4 2 3 4_LNG &amp; LPG rework" xfId="9989"/>
    <cellStyle name="Percent 2 4 2 3 5" xfId="2337"/>
    <cellStyle name="Percent 2 4 2 3 5 2" xfId="3196"/>
    <cellStyle name="Percent 2 4 2 3 5 2 2" xfId="15715"/>
    <cellStyle name="Percent 2 4 2 3 5 2 3" xfId="28163"/>
    <cellStyle name="Percent 2 4 2 3 5 3" xfId="4062"/>
    <cellStyle name="Percent 2 4 2 3 5 3 2" xfId="15716"/>
    <cellStyle name="Percent 2 4 2 3 5 3 3" xfId="28164"/>
    <cellStyle name="Percent 2 4 2 3 5 4" xfId="4941"/>
    <cellStyle name="Percent 2 4 2 3 5 4 2" xfId="15717"/>
    <cellStyle name="Percent 2 4 2 3 5 4 3" xfId="28165"/>
    <cellStyle name="Percent 2 4 2 3 5 5" xfId="6206"/>
    <cellStyle name="Percent 2 4 2 3 5 5 2" xfId="15718"/>
    <cellStyle name="Percent 2 4 2 3 5 5 3" xfId="28166"/>
    <cellStyle name="Percent 2 4 2 3 5 6" xfId="15714"/>
    <cellStyle name="Percent 2 4 2 3 5 7" xfId="28162"/>
    <cellStyle name="Percent 2 4 2 3 5_LNG &amp; LPG rework" xfId="9990"/>
    <cellStyle name="Percent 2 4 2 3 6" xfId="2592"/>
    <cellStyle name="Percent 2 4 2 3 6 2" xfId="15719"/>
    <cellStyle name="Percent 2 4 2 3 6 3" xfId="28167"/>
    <cellStyle name="Percent 2 4 2 3 7" xfId="3455"/>
    <cellStyle name="Percent 2 4 2 3 7 2" xfId="15720"/>
    <cellStyle name="Percent 2 4 2 3 7 3" xfId="28168"/>
    <cellStyle name="Percent 2 4 2 3 8" xfId="4323"/>
    <cellStyle name="Percent 2 4 2 3 8 2" xfId="15721"/>
    <cellStyle name="Percent 2 4 2 3 8 3" xfId="28169"/>
    <cellStyle name="Percent 2 4 2 3 9" xfId="5322"/>
    <cellStyle name="Percent 2 4 2 3 9 2" xfId="15722"/>
    <cellStyle name="Percent 2 4 2 3 9 3" xfId="28170"/>
    <cellStyle name="Percent 2 4 2 3_LNG &amp; LPG rework" xfId="9984"/>
    <cellStyle name="Percent 2 4 2 4" xfId="1615"/>
    <cellStyle name="Percent 2 4 2 4 10" xfId="28171"/>
    <cellStyle name="Percent 2 4 2 4 2" xfId="1954"/>
    <cellStyle name="Percent 2 4 2 4 2 2" xfId="2844"/>
    <cellStyle name="Percent 2 4 2 4 2 2 2" xfId="15723"/>
    <cellStyle name="Percent 2 4 2 4 2 2 3" xfId="28173"/>
    <cellStyle name="Percent 2 4 2 4 2 3" xfId="3708"/>
    <cellStyle name="Percent 2 4 2 4 2 3 2" xfId="15724"/>
    <cellStyle name="Percent 2 4 2 4 2 3 3" xfId="28174"/>
    <cellStyle name="Percent 2 4 2 4 2 4" xfId="4583"/>
    <cellStyle name="Percent 2 4 2 4 2 4 2" xfId="15725"/>
    <cellStyle name="Percent 2 4 2 4 2 4 3" xfId="28175"/>
    <cellStyle name="Percent 2 4 2 4 2 5" xfId="5327"/>
    <cellStyle name="Percent 2 4 2 4 2 5 2" xfId="15726"/>
    <cellStyle name="Percent 2 4 2 4 2 5 3" xfId="28176"/>
    <cellStyle name="Percent 2 4 2 4 2 6" xfId="5848"/>
    <cellStyle name="Percent 2 4 2 4 2 6 2" xfId="15727"/>
    <cellStyle name="Percent 2 4 2 4 2 6 3" xfId="28177"/>
    <cellStyle name="Percent 2 4 2 4 2 7" xfId="10530"/>
    <cellStyle name="Percent 2 4 2 4 2 8" xfId="28172"/>
    <cellStyle name="Percent 2 4 2 4 2_LNG &amp; LPG rework" xfId="9992"/>
    <cellStyle name="Percent 2 4 2 4 3" xfId="2229"/>
    <cellStyle name="Percent 2 4 2 4 3 2" xfId="3099"/>
    <cellStyle name="Percent 2 4 2 4 3 2 2" xfId="15729"/>
    <cellStyle name="Percent 2 4 2 4 3 2 3" xfId="28179"/>
    <cellStyle name="Percent 2 4 2 4 3 3" xfId="3969"/>
    <cellStyle name="Percent 2 4 2 4 3 3 2" xfId="15730"/>
    <cellStyle name="Percent 2 4 2 4 3 3 3" xfId="28180"/>
    <cellStyle name="Percent 2 4 2 4 3 4" xfId="4847"/>
    <cellStyle name="Percent 2 4 2 4 3 4 2" xfId="15731"/>
    <cellStyle name="Percent 2 4 2 4 3 4 3" xfId="28181"/>
    <cellStyle name="Percent 2 4 2 4 3 5" xfId="6112"/>
    <cellStyle name="Percent 2 4 2 4 3 5 2" xfId="15732"/>
    <cellStyle name="Percent 2 4 2 4 3 5 3" xfId="28182"/>
    <cellStyle name="Percent 2 4 2 4 3 6" xfId="15728"/>
    <cellStyle name="Percent 2 4 2 4 3 7" xfId="28178"/>
    <cellStyle name="Percent 2 4 2 4 3_LNG &amp; LPG rework" xfId="9993"/>
    <cellStyle name="Percent 2 4 2 4 4" xfId="2594"/>
    <cellStyle name="Percent 2 4 2 4 4 2" xfId="15733"/>
    <cellStyle name="Percent 2 4 2 4 4 3" xfId="28183"/>
    <cellStyle name="Percent 2 4 2 4 5" xfId="3457"/>
    <cellStyle name="Percent 2 4 2 4 5 2" xfId="15734"/>
    <cellStyle name="Percent 2 4 2 4 5 3" xfId="28184"/>
    <cellStyle name="Percent 2 4 2 4 6" xfId="4325"/>
    <cellStyle name="Percent 2 4 2 4 6 2" xfId="15735"/>
    <cellStyle name="Percent 2 4 2 4 6 3" xfId="28185"/>
    <cellStyle name="Percent 2 4 2 4 7" xfId="5326"/>
    <cellStyle name="Percent 2 4 2 4 7 2" xfId="15736"/>
    <cellStyle name="Percent 2 4 2 4 7 3" xfId="28186"/>
    <cellStyle name="Percent 2 4 2 4 8" xfId="5587"/>
    <cellStyle name="Percent 2 4 2 4 8 2" xfId="15737"/>
    <cellStyle name="Percent 2 4 2 4 8 3" xfId="28187"/>
    <cellStyle name="Percent 2 4 2 4 9" xfId="10529"/>
    <cellStyle name="Percent 2 4 2 4_LNG &amp; LPG rework" xfId="9991"/>
    <cellStyle name="Percent 2 4 2 5" xfId="1947"/>
    <cellStyle name="Percent 2 4 2 5 2" xfId="2837"/>
    <cellStyle name="Percent 2 4 2 5 2 2" xfId="15738"/>
    <cellStyle name="Percent 2 4 2 5 2 3" xfId="28189"/>
    <cellStyle name="Percent 2 4 2 5 3" xfId="3701"/>
    <cellStyle name="Percent 2 4 2 5 3 2" xfId="15739"/>
    <cellStyle name="Percent 2 4 2 5 3 3" xfId="28190"/>
    <cellStyle name="Percent 2 4 2 5 4" xfId="4576"/>
    <cellStyle name="Percent 2 4 2 5 4 2" xfId="15740"/>
    <cellStyle name="Percent 2 4 2 5 4 3" xfId="28191"/>
    <cellStyle name="Percent 2 4 2 5 5" xfId="5328"/>
    <cellStyle name="Percent 2 4 2 5 5 2" xfId="15741"/>
    <cellStyle name="Percent 2 4 2 5 5 3" xfId="28192"/>
    <cellStyle name="Percent 2 4 2 5 6" xfId="5841"/>
    <cellStyle name="Percent 2 4 2 5 6 2" xfId="15742"/>
    <cellStyle name="Percent 2 4 2 5 6 3" xfId="28193"/>
    <cellStyle name="Percent 2 4 2 5 7" xfId="10531"/>
    <cellStyle name="Percent 2 4 2 5 8" xfId="28188"/>
    <cellStyle name="Percent 2 4 2 5_LNG &amp; LPG rework" xfId="9994"/>
    <cellStyle name="Percent 2 4 2 6" xfId="2222"/>
    <cellStyle name="Percent 2 4 2 6 2" xfId="3092"/>
    <cellStyle name="Percent 2 4 2 6 2 2" xfId="15744"/>
    <cellStyle name="Percent 2 4 2 6 2 3" xfId="28195"/>
    <cellStyle name="Percent 2 4 2 6 3" xfId="3962"/>
    <cellStyle name="Percent 2 4 2 6 3 2" xfId="15745"/>
    <cellStyle name="Percent 2 4 2 6 3 3" xfId="28196"/>
    <cellStyle name="Percent 2 4 2 6 4" xfId="4840"/>
    <cellStyle name="Percent 2 4 2 6 4 2" xfId="15746"/>
    <cellStyle name="Percent 2 4 2 6 4 3" xfId="28197"/>
    <cellStyle name="Percent 2 4 2 6 5" xfId="6105"/>
    <cellStyle name="Percent 2 4 2 6 5 2" xfId="15747"/>
    <cellStyle name="Percent 2 4 2 6 5 3" xfId="28198"/>
    <cellStyle name="Percent 2 4 2 6 6" xfId="15743"/>
    <cellStyle name="Percent 2 4 2 6 7" xfId="28194"/>
    <cellStyle name="Percent 2 4 2 6_LNG &amp; LPG rework" xfId="9995"/>
    <cellStyle name="Percent 2 4 2 7" xfId="2293"/>
    <cellStyle name="Percent 2 4 2 7 2" xfId="3152"/>
    <cellStyle name="Percent 2 4 2 7 2 2" xfId="15749"/>
    <cellStyle name="Percent 2 4 2 7 2 3" xfId="28200"/>
    <cellStyle name="Percent 2 4 2 7 3" xfId="4018"/>
    <cellStyle name="Percent 2 4 2 7 3 2" xfId="15750"/>
    <cellStyle name="Percent 2 4 2 7 3 3" xfId="28201"/>
    <cellStyle name="Percent 2 4 2 7 4" xfId="4897"/>
    <cellStyle name="Percent 2 4 2 7 4 2" xfId="15751"/>
    <cellStyle name="Percent 2 4 2 7 4 3" xfId="28202"/>
    <cellStyle name="Percent 2 4 2 7 5" xfId="6162"/>
    <cellStyle name="Percent 2 4 2 7 5 2" xfId="15752"/>
    <cellStyle name="Percent 2 4 2 7 5 3" xfId="28203"/>
    <cellStyle name="Percent 2 4 2 7 6" xfId="15748"/>
    <cellStyle name="Percent 2 4 2 7 7" xfId="28199"/>
    <cellStyle name="Percent 2 4 2 7_LNG &amp; LPG rework" xfId="9996"/>
    <cellStyle name="Percent 2 4 2 8" xfId="2587"/>
    <cellStyle name="Percent 2 4 2 8 2" xfId="15753"/>
    <cellStyle name="Percent 2 4 2 8 3" xfId="28204"/>
    <cellStyle name="Percent 2 4 2 9" xfId="3450"/>
    <cellStyle name="Percent 2 4 2 9 2" xfId="15754"/>
    <cellStyle name="Percent 2 4 2 9 3" xfId="28205"/>
    <cellStyle name="Percent 2 4 2_LNG &amp; LPG rework" xfId="9969"/>
    <cellStyle name="Percent 2 4 3" xfId="1616"/>
    <cellStyle name="Percent 2 4 3 10" xfId="5329"/>
    <cellStyle name="Percent 2 4 3 10 2" xfId="15755"/>
    <cellStyle name="Percent 2 4 3 10 3" xfId="28207"/>
    <cellStyle name="Percent 2 4 3 11" xfId="5588"/>
    <cellStyle name="Percent 2 4 3 11 2" xfId="15756"/>
    <cellStyle name="Percent 2 4 3 11 3" xfId="28208"/>
    <cellStyle name="Percent 2 4 3 12" xfId="10532"/>
    <cellStyle name="Percent 2 4 3 13" xfId="28206"/>
    <cellStyle name="Percent 2 4 3 2" xfId="1617"/>
    <cellStyle name="Percent 2 4 3 2 10" xfId="5589"/>
    <cellStyle name="Percent 2 4 3 2 10 2" xfId="15757"/>
    <cellStyle name="Percent 2 4 3 2 10 3" xfId="28210"/>
    <cellStyle name="Percent 2 4 3 2 11" xfId="10533"/>
    <cellStyle name="Percent 2 4 3 2 12" xfId="28209"/>
    <cellStyle name="Percent 2 4 3 2 2" xfId="1618"/>
    <cellStyle name="Percent 2 4 3 2 2 10" xfId="28211"/>
    <cellStyle name="Percent 2 4 3 2 2 2" xfId="1957"/>
    <cellStyle name="Percent 2 4 3 2 2 2 2" xfId="2847"/>
    <cellStyle name="Percent 2 4 3 2 2 2 2 2" xfId="15758"/>
    <cellStyle name="Percent 2 4 3 2 2 2 2 3" xfId="28213"/>
    <cellStyle name="Percent 2 4 3 2 2 2 3" xfId="3711"/>
    <cellStyle name="Percent 2 4 3 2 2 2 3 2" xfId="15759"/>
    <cellStyle name="Percent 2 4 3 2 2 2 3 3" xfId="28214"/>
    <cellStyle name="Percent 2 4 3 2 2 2 4" xfId="4586"/>
    <cellStyle name="Percent 2 4 3 2 2 2 4 2" xfId="15760"/>
    <cellStyle name="Percent 2 4 3 2 2 2 4 3" xfId="28215"/>
    <cellStyle name="Percent 2 4 3 2 2 2 5" xfId="5332"/>
    <cellStyle name="Percent 2 4 3 2 2 2 5 2" xfId="15761"/>
    <cellStyle name="Percent 2 4 3 2 2 2 5 3" xfId="28216"/>
    <cellStyle name="Percent 2 4 3 2 2 2 6" xfId="5851"/>
    <cellStyle name="Percent 2 4 3 2 2 2 6 2" xfId="15762"/>
    <cellStyle name="Percent 2 4 3 2 2 2 6 3" xfId="28217"/>
    <cellStyle name="Percent 2 4 3 2 2 2 7" xfId="10535"/>
    <cellStyle name="Percent 2 4 3 2 2 2 8" xfId="28212"/>
    <cellStyle name="Percent 2 4 3 2 2 2_LNG &amp; LPG rework" xfId="10000"/>
    <cellStyle name="Percent 2 4 3 2 2 3" xfId="2232"/>
    <cellStyle name="Percent 2 4 3 2 2 3 2" xfId="3102"/>
    <cellStyle name="Percent 2 4 3 2 2 3 2 2" xfId="15764"/>
    <cellStyle name="Percent 2 4 3 2 2 3 2 3" xfId="28219"/>
    <cellStyle name="Percent 2 4 3 2 2 3 3" xfId="3972"/>
    <cellStyle name="Percent 2 4 3 2 2 3 3 2" xfId="15765"/>
    <cellStyle name="Percent 2 4 3 2 2 3 3 3" xfId="28220"/>
    <cellStyle name="Percent 2 4 3 2 2 3 4" xfId="4850"/>
    <cellStyle name="Percent 2 4 3 2 2 3 4 2" xfId="15766"/>
    <cellStyle name="Percent 2 4 3 2 2 3 4 3" xfId="28221"/>
    <cellStyle name="Percent 2 4 3 2 2 3 5" xfId="6115"/>
    <cellStyle name="Percent 2 4 3 2 2 3 5 2" xfId="15767"/>
    <cellStyle name="Percent 2 4 3 2 2 3 5 3" xfId="28222"/>
    <cellStyle name="Percent 2 4 3 2 2 3 6" xfId="15763"/>
    <cellStyle name="Percent 2 4 3 2 2 3 7" xfId="28218"/>
    <cellStyle name="Percent 2 4 3 2 2 3_LNG &amp; LPG rework" xfId="10001"/>
    <cellStyle name="Percent 2 4 3 2 2 4" xfId="2597"/>
    <cellStyle name="Percent 2 4 3 2 2 4 2" xfId="15768"/>
    <cellStyle name="Percent 2 4 3 2 2 4 3" xfId="28223"/>
    <cellStyle name="Percent 2 4 3 2 2 5" xfId="3460"/>
    <cellStyle name="Percent 2 4 3 2 2 5 2" xfId="15769"/>
    <cellStyle name="Percent 2 4 3 2 2 5 3" xfId="28224"/>
    <cellStyle name="Percent 2 4 3 2 2 6" xfId="4328"/>
    <cellStyle name="Percent 2 4 3 2 2 6 2" xfId="15770"/>
    <cellStyle name="Percent 2 4 3 2 2 6 3" xfId="28225"/>
    <cellStyle name="Percent 2 4 3 2 2 7" xfId="5331"/>
    <cellStyle name="Percent 2 4 3 2 2 7 2" xfId="15771"/>
    <cellStyle name="Percent 2 4 3 2 2 7 3" xfId="28226"/>
    <cellStyle name="Percent 2 4 3 2 2 8" xfId="5590"/>
    <cellStyle name="Percent 2 4 3 2 2 8 2" xfId="15772"/>
    <cellStyle name="Percent 2 4 3 2 2 8 3" xfId="28227"/>
    <cellStyle name="Percent 2 4 3 2 2 9" xfId="10534"/>
    <cellStyle name="Percent 2 4 3 2 2_LNG &amp; LPG rework" xfId="9999"/>
    <cellStyle name="Percent 2 4 3 2 3" xfId="1956"/>
    <cellStyle name="Percent 2 4 3 2 3 2" xfId="2846"/>
    <cellStyle name="Percent 2 4 3 2 3 2 2" xfId="15773"/>
    <cellStyle name="Percent 2 4 3 2 3 2 3" xfId="28229"/>
    <cellStyle name="Percent 2 4 3 2 3 3" xfId="3710"/>
    <cellStyle name="Percent 2 4 3 2 3 3 2" xfId="15774"/>
    <cellStyle name="Percent 2 4 3 2 3 3 3" xfId="28230"/>
    <cellStyle name="Percent 2 4 3 2 3 4" xfId="4585"/>
    <cellStyle name="Percent 2 4 3 2 3 4 2" xfId="15775"/>
    <cellStyle name="Percent 2 4 3 2 3 4 3" xfId="28231"/>
    <cellStyle name="Percent 2 4 3 2 3 5" xfId="5333"/>
    <cellStyle name="Percent 2 4 3 2 3 5 2" xfId="15776"/>
    <cellStyle name="Percent 2 4 3 2 3 5 3" xfId="28232"/>
    <cellStyle name="Percent 2 4 3 2 3 6" xfId="5850"/>
    <cellStyle name="Percent 2 4 3 2 3 6 2" xfId="15777"/>
    <cellStyle name="Percent 2 4 3 2 3 6 3" xfId="28233"/>
    <cellStyle name="Percent 2 4 3 2 3 7" xfId="10536"/>
    <cellStyle name="Percent 2 4 3 2 3 8" xfId="28228"/>
    <cellStyle name="Percent 2 4 3 2 3_LNG &amp; LPG rework" xfId="10002"/>
    <cellStyle name="Percent 2 4 3 2 4" xfId="2231"/>
    <cellStyle name="Percent 2 4 3 2 4 2" xfId="3101"/>
    <cellStyle name="Percent 2 4 3 2 4 2 2" xfId="15779"/>
    <cellStyle name="Percent 2 4 3 2 4 2 3" xfId="28235"/>
    <cellStyle name="Percent 2 4 3 2 4 3" xfId="3971"/>
    <cellStyle name="Percent 2 4 3 2 4 3 2" xfId="15780"/>
    <cellStyle name="Percent 2 4 3 2 4 3 3" xfId="28236"/>
    <cellStyle name="Percent 2 4 3 2 4 4" xfId="4849"/>
    <cellStyle name="Percent 2 4 3 2 4 4 2" xfId="15781"/>
    <cellStyle name="Percent 2 4 3 2 4 4 3" xfId="28237"/>
    <cellStyle name="Percent 2 4 3 2 4 5" xfId="6114"/>
    <cellStyle name="Percent 2 4 3 2 4 5 2" xfId="15782"/>
    <cellStyle name="Percent 2 4 3 2 4 5 3" xfId="28238"/>
    <cellStyle name="Percent 2 4 3 2 4 6" xfId="15778"/>
    <cellStyle name="Percent 2 4 3 2 4 7" xfId="28234"/>
    <cellStyle name="Percent 2 4 3 2 4_LNG &amp; LPG rework" xfId="10003"/>
    <cellStyle name="Percent 2 4 3 2 5" xfId="2346"/>
    <cellStyle name="Percent 2 4 3 2 5 2" xfId="3205"/>
    <cellStyle name="Percent 2 4 3 2 5 2 2" xfId="15784"/>
    <cellStyle name="Percent 2 4 3 2 5 2 3" xfId="28240"/>
    <cellStyle name="Percent 2 4 3 2 5 3" xfId="4071"/>
    <cellStyle name="Percent 2 4 3 2 5 3 2" xfId="15785"/>
    <cellStyle name="Percent 2 4 3 2 5 3 3" xfId="28241"/>
    <cellStyle name="Percent 2 4 3 2 5 4" xfId="4950"/>
    <cellStyle name="Percent 2 4 3 2 5 4 2" xfId="15786"/>
    <cellStyle name="Percent 2 4 3 2 5 4 3" xfId="28242"/>
    <cellStyle name="Percent 2 4 3 2 5 5" xfId="6215"/>
    <cellStyle name="Percent 2 4 3 2 5 5 2" xfId="15787"/>
    <cellStyle name="Percent 2 4 3 2 5 5 3" xfId="28243"/>
    <cellStyle name="Percent 2 4 3 2 5 6" xfId="15783"/>
    <cellStyle name="Percent 2 4 3 2 5 7" xfId="28239"/>
    <cellStyle name="Percent 2 4 3 2 5_LNG &amp; LPG rework" xfId="10004"/>
    <cellStyle name="Percent 2 4 3 2 6" xfId="2596"/>
    <cellStyle name="Percent 2 4 3 2 6 2" xfId="15788"/>
    <cellStyle name="Percent 2 4 3 2 6 3" xfId="28244"/>
    <cellStyle name="Percent 2 4 3 2 7" xfId="3459"/>
    <cellStyle name="Percent 2 4 3 2 7 2" xfId="15789"/>
    <cellStyle name="Percent 2 4 3 2 7 3" xfId="28245"/>
    <cellStyle name="Percent 2 4 3 2 8" xfId="4327"/>
    <cellStyle name="Percent 2 4 3 2 8 2" xfId="15790"/>
    <cellStyle name="Percent 2 4 3 2 8 3" xfId="28246"/>
    <cellStyle name="Percent 2 4 3 2 9" xfId="5330"/>
    <cellStyle name="Percent 2 4 3 2 9 2" xfId="15791"/>
    <cellStyle name="Percent 2 4 3 2 9 3" xfId="28247"/>
    <cellStyle name="Percent 2 4 3 2_LNG &amp; LPG rework" xfId="9998"/>
    <cellStyle name="Percent 2 4 3 3" xfId="1619"/>
    <cellStyle name="Percent 2 4 3 3 10" xfId="28248"/>
    <cellStyle name="Percent 2 4 3 3 2" xfId="1958"/>
    <cellStyle name="Percent 2 4 3 3 2 2" xfId="2848"/>
    <cellStyle name="Percent 2 4 3 3 2 2 2" xfId="15792"/>
    <cellStyle name="Percent 2 4 3 3 2 2 3" xfId="28250"/>
    <cellStyle name="Percent 2 4 3 3 2 3" xfId="3712"/>
    <cellStyle name="Percent 2 4 3 3 2 3 2" xfId="15793"/>
    <cellStyle name="Percent 2 4 3 3 2 3 3" xfId="28251"/>
    <cellStyle name="Percent 2 4 3 3 2 4" xfId="4587"/>
    <cellStyle name="Percent 2 4 3 3 2 4 2" xfId="15794"/>
    <cellStyle name="Percent 2 4 3 3 2 4 3" xfId="28252"/>
    <cellStyle name="Percent 2 4 3 3 2 5" xfId="5335"/>
    <cellStyle name="Percent 2 4 3 3 2 5 2" xfId="15795"/>
    <cellStyle name="Percent 2 4 3 3 2 5 3" xfId="28253"/>
    <cellStyle name="Percent 2 4 3 3 2 6" xfId="5852"/>
    <cellStyle name="Percent 2 4 3 3 2 6 2" xfId="15796"/>
    <cellStyle name="Percent 2 4 3 3 2 6 3" xfId="28254"/>
    <cellStyle name="Percent 2 4 3 3 2 7" xfId="10538"/>
    <cellStyle name="Percent 2 4 3 3 2 8" xfId="28249"/>
    <cellStyle name="Percent 2 4 3 3 2_LNG &amp; LPG rework" xfId="10006"/>
    <cellStyle name="Percent 2 4 3 3 3" xfId="2233"/>
    <cellStyle name="Percent 2 4 3 3 3 2" xfId="3103"/>
    <cellStyle name="Percent 2 4 3 3 3 2 2" xfId="15798"/>
    <cellStyle name="Percent 2 4 3 3 3 2 3" xfId="28256"/>
    <cellStyle name="Percent 2 4 3 3 3 3" xfId="3973"/>
    <cellStyle name="Percent 2 4 3 3 3 3 2" xfId="15799"/>
    <cellStyle name="Percent 2 4 3 3 3 3 3" xfId="28257"/>
    <cellStyle name="Percent 2 4 3 3 3 4" xfId="4851"/>
    <cellStyle name="Percent 2 4 3 3 3 4 2" xfId="15800"/>
    <cellStyle name="Percent 2 4 3 3 3 4 3" xfId="28258"/>
    <cellStyle name="Percent 2 4 3 3 3 5" xfId="6116"/>
    <cellStyle name="Percent 2 4 3 3 3 5 2" xfId="15801"/>
    <cellStyle name="Percent 2 4 3 3 3 5 3" xfId="28259"/>
    <cellStyle name="Percent 2 4 3 3 3 6" xfId="15797"/>
    <cellStyle name="Percent 2 4 3 3 3 7" xfId="28255"/>
    <cellStyle name="Percent 2 4 3 3 3_LNG &amp; LPG rework" xfId="10007"/>
    <cellStyle name="Percent 2 4 3 3 4" xfId="2598"/>
    <cellStyle name="Percent 2 4 3 3 4 2" xfId="15802"/>
    <cellStyle name="Percent 2 4 3 3 4 3" xfId="28260"/>
    <cellStyle name="Percent 2 4 3 3 5" xfId="3461"/>
    <cellStyle name="Percent 2 4 3 3 5 2" xfId="15803"/>
    <cellStyle name="Percent 2 4 3 3 5 3" xfId="28261"/>
    <cellStyle name="Percent 2 4 3 3 6" xfId="4329"/>
    <cellStyle name="Percent 2 4 3 3 6 2" xfId="15804"/>
    <cellStyle name="Percent 2 4 3 3 6 3" xfId="28262"/>
    <cellStyle name="Percent 2 4 3 3 7" xfId="5334"/>
    <cellStyle name="Percent 2 4 3 3 7 2" xfId="15805"/>
    <cellStyle name="Percent 2 4 3 3 7 3" xfId="28263"/>
    <cellStyle name="Percent 2 4 3 3 8" xfId="5591"/>
    <cellStyle name="Percent 2 4 3 3 8 2" xfId="15806"/>
    <cellStyle name="Percent 2 4 3 3 8 3" xfId="28264"/>
    <cellStyle name="Percent 2 4 3 3 9" xfId="10537"/>
    <cellStyle name="Percent 2 4 3 3_LNG &amp; LPG rework" xfId="10005"/>
    <cellStyle name="Percent 2 4 3 4" xfId="1955"/>
    <cellStyle name="Percent 2 4 3 4 2" xfId="2845"/>
    <cellStyle name="Percent 2 4 3 4 2 2" xfId="15807"/>
    <cellStyle name="Percent 2 4 3 4 2 3" xfId="28266"/>
    <cellStyle name="Percent 2 4 3 4 3" xfId="3709"/>
    <cellStyle name="Percent 2 4 3 4 3 2" xfId="15808"/>
    <cellStyle name="Percent 2 4 3 4 3 3" xfId="28267"/>
    <cellStyle name="Percent 2 4 3 4 4" xfId="4584"/>
    <cellStyle name="Percent 2 4 3 4 4 2" xfId="15809"/>
    <cellStyle name="Percent 2 4 3 4 4 3" xfId="28268"/>
    <cellStyle name="Percent 2 4 3 4 5" xfId="5336"/>
    <cellStyle name="Percent 2 4 3 4 5 2" xfId="15810"/>
    <cellStyle name="Percent 2 4 3 4 5 3" xfId="28269"/>
    <cellStyle name="Percent 2 4 3 4 6" xfId="5849"/>
    <cellStyle name="Percent 2 4 3 4 6 2" xfId="15811"/>
    <cellStyle name="Percent 2 4 3 4 6 3" xfId="28270"/>
    <cellStyle name="Percent 2 4 3 4 7" xfId="10539"/>
    <cellStyle name="Percent 2 4 3 4 8" xfId="28265"/>
    <cellStyle name="Percent 2 4 3 4_LNG &amp; LPG rework" xfId="10008"/>
    <cellStyle name="Percent 2 4 3 5" xfId="2230"/>
    <cellStyle name="Percent 2 4 3 5 2" xfId="3100"/>
    <cellStyle name="Percent 2 4 3 5 2 2" xfId="15813"/>
    <cellStyle name="Percent 2 4 3 5 2 3" xfId="28272"/>
    <cellStyle name="Percent 2 4 3 5 3" xfId="3970"/>
    <cellStyle name="Percent 2 4 3 5 3 2" xfId="15814"/>
    <cellStyle name="Percent 2 4 3 5 3 3" xfId="28273"/>
    <cellStyle name="Percent 2 4 3 5 4" xfId="4848"/>
    <cellStyle name="Percent 2 4 3 5 4 2" xfId="15815"/>
    <cellStyle name="Percent 2 4 3 5 4 3" xfId="28274"/>
    <cellStyle name="Percent 2 4 3 5 5" xfId="6113"/>
    <cellStyle name="Percent 2 4 3 5 5 2" xfId="15816"/>
    <cellStyle name="Percent 2 4 3 5 5 3" xfId="28275"/>
    <cellStyle name="Percent 2 4 3 5 6" xfId="15812"/>
    <cellStyle name="Percent 2 4 3 5 7" xfId="28271"/>
    <cellStyle name="Percent 2 4 3 5_LNG &amp; LPG rework" xfId="10009"/>
    <cellStyle name="Percent 2 4 3 6" xfId="2302"/>
    <cellStyle name="Percent 2 4 3 6 2" xfId="3161"/>
    <cellStyle name="Percent 2 4 3 6 2 2" xfId="15818"/>
    <cellStyle name="Percent 2 4 3 6 2 3" xfId="28277"/>
    <cellStyle name="Percent 2 4 3 6 3" xfId="4027"/>
    <cellStyle name="Percent 2 4 3 6 3 2" xfId="15819"/>
    <cellStyle name="Percent 2 4 3 6 3 3" xfId="28278"/>
    <cellStyle name="Percent 2 4 3 6 4" xfId="4906"/>
    <cellStyle name="Percent 2 4 3 6 4 2" xfId="15820"/>
    <cellStyle name="Percent 2 4 3 6 4 3" xfId="28279"/>
    <cellStyle name="Percent 2 4 3 6 5" xfId="6171"/>
    <cellStyle name="Percent 2 4 3 6 5 2" xfId="15821"/>
    <cellStyle name="Percent 2 4 3 6 5 3" xfId="28280"/>
    <cellStyle name="Percent 2 4 3 6 6" xfId="15817"/>
    <cellStyle name="Percent 2 4 3 6 7" xfId="28276"/>
    <cellStyle name="Percent 2 4 3 6_LNG &amp; LPG rework" xfId="10010"/>
    <cellStyle name="Percent 2 4 3 7" xfId="2595"/>
    <cellStyle name="Percent 2 4 3 7 2" xfId="15822"/>
    <cellStyle name="Percent 2 4 3 7 3" xfId="28281"/>
    <cellStyle name="Percent 2 4 3 8" xfId="3458"/>
    <cellStyle name="Percent 2 4 3 8 2" xfId="15823"/>
    <cellStyle name="Percent 2 4 3 8 3" xfId="28282"/>
    <cellStyle name="Percent 2 4 3 9" xfId="4326"/>
    <cellStyle name="Percent 2 4 3 9 2" xfId="15824"/>
    <cellStyle name="Percent 2 4 3 9 3" xfId="28283"/>
    <cellStyle name="Percent 2 4 3_LNG &amp; LPG rework" xfId="9997"/>
    <cellStyle name="Percent 2 4 4" xfId="1620"/>
    <cellStyle name="Percent 2 4 4 10" xfId="5592"/>
    <cellStyle name="Percent 2 4 4 10 2" xfId="15825"/>
    <cellStyle name="Percent 2 4 4 10 3" xfId="28285"/>
    <cellStyle name="Percent 2 4 4 11" xfId="10540"/>
    <cellStyle name="Percent 2 4 4 12" xfId="28284"/>
    <cellStyle name="Percent 2 4 4 2" xfId="1621"/>
    <cellStyle name="Percent 2 4 4 2 10" xfId="28286"/>
    <cellStyle name="Percent 2 4 4 2 2" xfId="1960"/>
    <cellStyle name="Percent 2 4 4 2 2 2" xfId="2850"/>
    <cellStyle name="Percent 2 4 4 2 2 2 2" xfId="15826"/>
    <cellStyle name="Percent 2 4 4 2 2 2 3" xfId="28288"/>
    <cellStyle name="Percent 2 4 4 2 2 3" xfId="3714"/>
    <cellStyle name="Percent 2 4 4 2 2 3 2" xfId="15827"/>
    <cellStyle name="Percent 2 4 4 2 2 3 3" xfId="28289"/>
    <cellStyle name="Percent 2 4 4 2 2 4" xfId="4589"/>
    <cellStyle name="Percent 2 4 4 2 2 4 2" xfId="15828"/>
    <cellStyle name="Percent 2 4 4 2 2 4 3" xfId="28290"/>
    <cellStyle name="Percent 2 4 4 2 2 5" xfId="5339"/>
    <cellStyle name="Percent 2 4 4 2 2 5 2" xfId="15829"/>
    <cellStyle name="Percent 2 4 4 2 2 5 3" xfId="28291"/>
    <cellStyle name="Percent 2 4 4 2 2 6" xfId="5854"/>
    <cellStyle name="Percent 2 4 4 2 2 6 2" xfId="15830"/>
    <cellStyle name="Percent 2 4 4 2 2 6 3" xfId="28292"/>
    <cellStyle name="Percent 2 4 4 2 2 7" xfId="10542"/>
    <cellStyle name="Percent 2 4 4 2 2 8" xfId="28287"/>
    <cellStyle name="Percent 2 4 4 2 2_LNG &amp; LPG rework" xfId="10013"/>
    <cellStyle name="Percent 2 4 4 2 3" xfId="2235"/>
    <cellStyle name="Percent 2 4 4 2 3 2" xfId="3105"/>
    <cellStyle name="Percent 2 4 4 2 3 2 2" xfId="15832"/>
    <cellStyle name="Percent 2 4 4 2 3 2 3" xfId="28294"/>
    <cellStyle name="Percent 2 4 4 2 3 3" xfId="3975"/>
    <cellStyle name="Percent 2 4 4 2 3 3 2" xfId="15833"/>
    <cellStyle name="Percent 2 4 4 2 3 3 3" xfId="28295"/>
    <cellStyle name="Percent 2 4 4 2 3 4" xfId="4853"/>
    <cellStyle name="Percent 2 4 4 2 3 4 2" xfId="15834"/>
    <cellStyle name="Percent 2 4 4 2 3 4 3" xfId="28296"/>
    <cellStyle name="Percent 2 4 4 2 3 5" xfId="6118"/>
    <cellStyle name="Percent 2 4 4 2 3 5 2" xfId="15835"/>
    <cellStyle name="Percent 2 4 4 2 3 5 3" xfId="28297"/>
    <cellStyle name="Percent 2 4 4 2 3 6" xfId="15831"/>
    <cellStyle name="Percent 2 4 4 2 3 7" xfId="28293"/>
    <cellStyle name="Percent 2 4 4 2 3_LNG &amp; LPG rework" xfId="10014"/>
    <cellStyle name="Percent 2 4 4 2 4" xfId="2600"/>
    <cellStyle name="Percent 2 4 4 2 4 2" xfId="15836"/>
    <cellStyle name="Percent 2 4 4 2 4 3" xfId="28298"/>
    <cellStyle name="Percent 2 4 4 2 5" xfId="3463"/>
    <cellStyle name="Percent 2 4 4 2 5 2" xfId="15837"/>
    <cellStyle name="Percent 2 4 4 2 5 3" xfId="28299"/>
    <cellStyle name="Percent 2 4 4 2 6" xfId="4331"/>
    <cellStyle name="Percent 2 4 4 2 6 2" xfId="15838"/>
    <cellStyle name="Percent 2 4 4 2 6 3" xfId="28300"/>
    <cellStyle name="Percent 2 4 4 2 7" xfId="5338"/>
    <cellStyle name="Percent 2 4 4 2 7 2" xfId="15839"/>
    <cellStyle name="Percent 2 4 4 2 7 3" xfId="28301"/>
    <cellStyle name="Percent 2 4 4 2 8" xfId="5593"/>
    <cellStyle name="Percent 2 4 4 2 8 2" xfId="15840"/>
    <cellStyle name="Percent 2 4 4 2 8 3" xfId="28302"/>
    <cellStyle name="Percent 2 4 4 2 9" xfId="10541"/>
    <cellStyle name="Percent 2 4 4 2_LNG &amp; LPG rework" xfId="10012"/>
    <cellStyle name="Percent 2 4 4 3" xfId="1959"/>
    <cellStyle name="Percent 2 4 4 3 2" xfId="2849"/>
    <cellStyle name="Percent 2 4 4 3 2 2" xfId="15841"/>
    <cellStyle name="Percent 2 4 4 3 2 3" xfId="28304"/>
    <cellStyle name="Percent 2 4 4 3 3" xfId="3713"/>
    <cellStyle name="Percent 2 4 4 3 3 2" xfId="15842"/>
    <cellStyle name="Percent 2 4 4 3 3 3" xfId="28305"/>
    <cellStyle name="Percent 2 4 4 3 4" xfId="4588"/>
    <cellStyle name="Percent 2 4 4 3 4 2" xfId="15843"/>
    <cellStyle name="Percent 2 4 4 3 4 3" xfId="28306"/>
    <cellStyle name="Percent 2 4 4 3 5" xfId="5340"/>
    <cellStyle name="Percent 2 4 4 3 5 2" xfId="15844"/>
    <cellStyle name="Percent 2 4 4 3 5 3" xfId="28307"/>
    <cellStyle name="Percent 2 4 4 3 6" xfId="5853"/>
    <cellStyle name="Percent 2 4 4 3 6 2" xfId="15845"/>
    <cellStyle name="Percent 2 4 4 3 6 3" xfId="28308"/>
    <cellStyle name="Percent 2 4 4 3 7" xfId="10543"/>
    <cellStyle name="Percent 2 4 4 3 8" xfId="28303"/>
    <cellStyle name="Percent 2 4 4 3_LNG &amp; LPG rework" xfId="10015"/>
    <cellStyle name="Percent 2 4 4 4" xfId="2234"/>
    <cellStyle name="Percent 2 4 4 4 2" xfId="3104"/>
    <cellStyle name="Percent 2 4 4 4 2 2" xfId="15847"/>
    <cellStyle name="Percent 2 4 4 4 2 3" xfId="28310"/>
    <cellStyle name="Percent 2 4 4 4 3" xfId="3974"/>
    <cellStyle name="Percent 2 4 4 4 3 2" xfId="15848"/>
    <cellStyle name="Percent 2 4 4 4 3 3" xfId="28311"/>
    <cellStyle name="Percent 2 4 4 4 4" xfId="4852"/>
    <cellStyle name="Percent 2 4 4 4 4 2" xfId="15849"/>
    <cellStyle name="Percent 2 4 4 4 4 3" xfId="28312"/>
    <cellStyle name="Percent 2 4 4 4 5" xfId="6117"/>
    <cellStyle name="Percent 2 4 4 4 5 2" xfId="15850"/>
    <cellStyle name="Percent 2 4 4 4 5 3" xfId="28313"/>
    <cellStyle name="Percent 2 4 4 4 6" xfId="15846"/>
    <cellStyle name="Percent 2 4 4 4 7" xfId="28309"/>
    <cellStyle name="Percent 2 4 4 4_LNG &amp; LPG rework" xfId="10016"/>
    <cellStyle name="Percent 2 4 4 5" xfId="2324"/>
    <cellStyle name="Percent 2 4 4 5 2" xfId="3183"/>
    <cellStyle name="Percent 2 4 4 5 2 2" xfId="15852"/>
    <cellStyle name="Percent 2 4 4 5 2 3" xfId="28315"/>
    <cellStyle name="Percent 2 4 4 5 3" xfId="4049"/>
    <cellStyle name="Percent 2 4 4 5 3 2" xfId="15853"/>
    <cellStyle name="Percent 2 4 4 5 3 3" xfId="28316"/>
    <cellStyle name="Percent 2 4 4 5 4" xfId="4928"/>
    <cellStyle name="Percent 2 4 4 5 4 2" xfId="15854"/>
    <cellStyle name="Percent 2 4 4 5 4 3" xfId="28317"/>
    <cellStyle name="Percent 2 4 4 5 5" xfId="6193"/>
    <cellStyle name="Percent 2 4 4 5 5 2" xfId="15855"/>
    <cellStyle name="Percent 2 4 4 5 5 3" xfId="28318"/>
    <cellStyle name="Percent 2 4 4 5 6" xfId="15851"/>
    <cellStyle name="Percent 2 4 4 5 7" xfId="28314"/>
    <cellStyle name="Percent 2 4 4 5_LNG &amp; LPG rework" xfId="10017"/>
    <cellStyle name="Percent 2 4 4 6" xfId="2599"/>
    <cellStyle name="Percent 2 4 4 6 2" xfId="15856"/>
    <cellStyle name="Percent 2 4 4 6 3" xfId="28319"/>
    <cellStyle name="Percent 2 4 4 7" xfId="3462"/>
    <cellStyle name="Percent 2 4 4 7 2" xfId="15857"/>
    <cellStyle name="Percent 2 4 4 7 3" xfId="28320"/>
    <cellStyle name="Percent 2 4 4 8" xfId="4330"/>
    <cellStyle name="Percent 2 4 4 8 2" xfId="15858"/>
    <cellStyle name="Percent 2 4 4 8 3" xfId="28321"/>
    <cellStyle name="Percent 2 4 4 9" xfId="5337"/>
    <cellStyle name="Percent 2 4 4 9 2" xfId="15859"/>
    <cellStyle name="Percent 2 4 4 9 3" xfId="28322"/>
    <cellStyle name="Percent 2 4 4_LNG &amp; LPG rework" xfId="10011"/>
    <cellStyle name="Percent 2 4 5" xfId="1622"/>
    <cellStyle name="Percent 2 4 5 10" xfId="28323"/>
    <cellStyle name="Percent 2 4 5 2" xfId="1961"/>
    <cellStyle name="Percent 2 4 5 2 2" xfId="2851"/>
    <cellStyle name="Percent 2 4 5 2 2 2" xfId="15860"/>
    <cellStyle name="Percent 2 4 5 2 2 3" xfId="28325"/>
    <cellStyle name="Percent 2 4 5 2 3" xfId="3715"/>
    <cellStyle name="Percent 2 4 5 2 3 2" xfId="15861"/>
    <cellStyle name="Percent 2 4 5 2 3 3" xfId="28326"/>
    <cellStyle name="Percent 2 4 5 2 4" xfId="4590"/>
    <cellStyle name="Percent 2 4 5 2 4 2" xfId="15862"/>
    <cellStyle name="Percent 2 4 5 2 4 3" xfId="28327"/>
    <cellStyle name="Percent 2 4 5 2 5" xfId="5342"/>
    <cellStyle name="Percent 2 4 5 2 5 2" xfId="15863"/>
    <cellStyle name="Percent 2 4 5 2 5 3" xfId="28328"/>
    <cellStyle name="Percent 2 4 5 2 6" xfId="5855"/>
    <cellStyle name="Percent 2 4 5 2 6 2" xfId="15864"/>
    <cellStyle name="Percent 2 4 5 2 6 3" xfId="28329"/>
    <cellStyle name="Percent 2 4 5 2 7" xfId="10545"/>
    <cellStyle name="Percent 2 4 5 2 8" xfId="28324"/>
    <cellStyle name="Percent 2 4 5 2_LNG &amp; LPG rework" xfId="10019"/>
    <cellStyle name="Percent 2 4 5 3" xfId="2236"/>
    <cellStyle name="Percent 2 4 5 3 2" xfId="3106"/>
    <cellStyle name="Percent 2 4 5 3 2 2" xfId="15866"/>
    <cellStyle name="Percent 2 4 5 3 2 3" xfId="28331"/>
    <cellStyle name="Percent 2 4 5 3 3" xfId="3976"/>
    <cellStyle name="Percent 2 4 5 3 3 2" xfId="15867"/>
    <cellStyle name="Percent 2 4 5 3 3 3" xfId="28332"/>
    <cellStyle name="Percent 2 4 5 3 4" xfId="4854"/>
    <cellStyle name="Percent 2 4 5 3 4 2" xfId="15868"/>
    <cellStyle name="Percent 2 4 5 3 4 3" xfId="28333"/>
    <cellStyle name="Percent 2 4 5 3 5" xfId="6119"/>
    <cellStyle name="Percent 2 4 5 3 5 2" xfId="15869"/>
    <cellStyle name="Percent 2 4 5 3 5 3" xfId="28334"/>
    <cellStyle name="Percent 2 4 5 3 6" xfId="15865"/>
    <cellStyle name="Percent 2 4 5 3 7" xfId="28330"/>
    <cellStyle name="Percent 2 4 5 3_LNG &amp; LPG rework" xfId="10020"/>
    <cellStyle name="Percent 2 4 5 4" xfId="2601"/>
    <cellStyle name="Percent 2 4 5 4 2" xfId="15870"/>
    <cellStyle name="Percent 2 4 5 4 3" xfId="28335"/>
    <cellStyle name="Percent 2 4 5 5" xfId="3464"/>
    <cellStyle name="Percent 2 4 5 5 2" xfId="15871"/>
    <cellStyle name="Percent 2 4 5 5 3" xfId="28336"/>
    <cellStyle name="Percent 2 4 5 6" xfId="4332"/>
    <cellStyle name="Percent 2 4 5 6 2" xfId="15872"/>
    <cellStyle name="Percent 2 4 5 6 3" xfId="28337"/>
    <cellStyle name="Percent 2 4 5 7" xfId="5341"/>
    <cellStyle name="Percent 2 4 5 7 2" xfId="15873"/>
    <cellStyle name="Percent 2 4 5 7 3" xfId="28338"/>
    <cellStyle name="Percent 2 4 5 8" xfId="5594"/>
    <cellStyle name="Percent 2 4 5 8 2" xfId="15874"/>
    <cellStyle name="Percent 2 4 5 8 3" xfId="28339"/>
    <cellStyle name="Percent 2 4 5 9" xfId="10544"/>
    <cellStyle name="Percent 2 4 5_LNG &amp; LPG rework" xfId="10018"/>
    <cellStyle name="Percent 2 4 6" xfId="1946"/>
    <cellStyle name="Percent 2 4 6 2" xfId="2836"/>
    <cellStyle name="Percent 2 4 6 2 2" xfId="15875"/>
    <cellStyle name="Percent 2 4 6 2 3" xfId="28341"/>
    <cellStyle name="Percent 2 4 6 3" xfId="3700"/>
    <cellStyle name="Percent 2 4 6 3 2" xfId="15876"/>
    <cellStyle name="Percent 2 4 6 3 3" xfId="28342"/>
    <cellStyle name="Percent 2 4 6 4" xfId="4575"/>
    <cellStyle name="Percent 2 4 6 4 2" xfId="15877"/>
    <cellStyle name="Percent 2 4 6 4 3" xfId="28343"/>
    <cellStyle name="Percent 2 4 6 5" xfId="5343"/>
    <cellStyle name="Percent 2 4 6 5 2" xfId="15878"/>
    <cellStyle name="Percent 2 4 6 5 3" xfId="28344"/>
    <cellStyle name="Percent 2 4 6 6" xfId="5840"/>
    <cellStyle name="Percent 2 4 6 6 2" xfId="15879"/>
    <cellStyle name="Percent 2 4 6 6 3" xfId="28345"/>
    <cellStyle name="Percent 2 4 6 7" xfId="10546"/>
    <cellStyle name="Percent 2 4 6 8" xfId="28340"/>
    <cellStyle name="Percent 2 4 6_LNG &amp; LPG rework" xfId="10021"/>
    <cellStyle name="Percent 2 4 7" xfId="2221"/>
    <cellStyle name="Percent 2 4 7 2" xfId="3091"/>
    <cellStyle name="Percent 2 4 7 2 2" xfId="15881"/>
    <cellStyle name="Percent 2 4 7 2 3" xfId="28347"/>
    <cellStyle name="Percent 2 4 7 3" xfId="3961"/>
    <cellStyle name="Percent 2 4 7 3 2" xfId="15882"/>
    <cellStyle name="Percent 2 4 7 3 3" xfId="28348"/>
    <cellStyle name="Percent 2 4 7 4" xfId="4839"/>
    <cellStyle name="Percent 2 4 7 4 2" xfId="15883"/>
    <cellStyle name="Percent 2 4 7 4 3" xfId="28349"/>
    <cellStyle name="Percent 2 4 7 5" xfId="6104"/>
    <cellStyle name="Percent 2 4 7 5 2" xfId="15884"/>
    <cellStyle name="Percent 2 4 7 5 3" xfId="28350"/>
    <cellStyle name="Percent 2 4 7 6" xfId="15880"/>
    <cellStyle name="Percent 2 4 7 7" xfId="28346"/>
    <cellStyle name="Percent 2 4 7_LNG &amp; LPG rework" xfId="10022"/>
    <cellStyle name="Percent 2 4 8" xfId="2284"/>
    <cellStyle name="Percent 2 4 8 2" xfId="3143"/>
    <cellStyle name="Percent 2 4 8 2 2" xfId="15886"/>
    <cellStyle name="Percent 2 4 8 2 3" xfId="28352"/>
    <cellStyle name="Percent 2 4 8 3" xfId="4009"/>
    <cellStyle name="Percent 2 4 8 3 2" xfId="15887"/>
    <cellStyle name="Percent 2 4 8 3 3" xfId="28353"/>
    <cellStyle name="Percent 2 4 8 4" xfId="4888"/>
    <cellStyle name="Percent 2 4 8 4 2" xfId="15888"/>
    <cellStyle name="Percent 2 4 8 4 3" xfId="28354"/>
    <cellStyle name="Percent 2 4 8 5" xfId="6153"/>
    <cellStyle name="Percent 2 4 8 5 2" xfId="15889"/>
    <cellStyle name="Percent 2 4 8 5 3" xfId="28355"/>
    <cellStyle name="Percent 2 4 8 6" xfId="15885"/>
    <cellStyle name="Percent 2 4 8 7" xfId="28351"/>
    <cellStyle name="Percent 2 4 8_LNG &amp; LPG rework" xfId="10023"/>
    <cellStyle name="Percent 2 4 9" xfId="2586"/>
    <cellStyle name="Percent 2 4 9 2" xfId="15890"/>
    <cellStyle name="Percent 2 4 9 3" xfId="28356"/>
    <cellStyle name="Percent 2 4_LNG &amp; LPG rework" xfId="9968"/>
    <cellStyle name="Percent 2 5" xfId="1993"/>
    <cellStyle name="Percent 2 5 2" xfId="2863"/>
    <cellStyle name="Percent 2 5 2 2" xfId="15891"/>
    <cellStyle name="Percent 2 5 2 3" xfId="28358"/>
    <cellStyle name="Percent 2 5 3" xfId="3726"/>
    <cellStyle name="Percent 2 5 3 2" xfId="15892"/>
    <cellStyle name="Percent 2 5 3 3" xfId="28359"/>
    <cellStyle name="Percent 2 5 4" xfId="4602"/>
    <cellStyle name="Percent 2 5 4 2" xfId="15893"/>
    <cellStyle name="Percent 2 5 4 3" xfId="28360"/>
    <cellStyle name="Percent 2 5 5" xfId="5867"/>
    <cellStyle name="Percent 2 5 5 2" xfId="15894"/>
    <cellStyle name="Percent 2 5 5 3" xfId="28361"/>
    <cellStyle name="Percent 2 5 6" xfId="10230"/>
    <cellStyle name="Percent 2 5 7" xfId="28357"/>
    <cellStyle name="Percent 2 5_LNG &amp; LPG rework" xfId="10024"/>
    <cellStyle name="Percent 2 6" xfId="2248"/>
    <cellStyle name="Percent 2 6 2" xfId="3117"/>
    <cellStyle name="Percent 2 6 2 2" xfId="15896"/>
    <cellStyle name="Percent 2 6 2 3" xfId="28363"/>
    <cellStyle name="Percent 2 6 3" xfId="3987"/>
    <cellStyle name="Percent 2 6 3 2" xfId="15897"/>
    <cellStyle name="Percent 2 6 3 3" xfId="28364"/>
    <cellStyle name="Percent 2 6 4" xfId="4866"/>
    <cellStyle name="Percent 2 6 4 2" xfId="15898"/>
    <cellStyle name="Percent 2 6 4 3" xfId="28365"/>
    <cellStyle name="Percent 2 6 5" xfId="6131"/>
    <cellStyle name="Percent 2 6 5 2" xfId="15899"/>
    <cellStyle name="Percent 2 6 5 3" xfId="28366"/>
    <cellStyle name="Percent 2 6 6" xfId="15895"/>
    <cellStyle name="Percent 2 6 7" xfId="28362"/>
    <cellStyle name="Percent 2 6_LNG &amp; LPG rework" xfId="10025"/>
    <cellStyle name="Percent 2 7" xfId="2258"/>
    <cellStyle name="Percent 2 7 2" xfId="3127"/>
    <cellStyle name="Percent 2 7 2 2" xfId="15901"/>
    <cellStyle name="Percent 2 7 2 3" xfId="28368"/>
    <cellStyle name="Percent 2 7 3" xfId="3996"/>
    <cellStyle name="Percent 2 7 3 2" xfId="15902"/>
    <cellStyle name="Percent 2 7 3 3" xfId="28369"/>
    <cellStyle name="Percent 2 7 4" xfId="4875"/>
    <cellStyle name="Percent 2 7 4 2" xfId="15903"/>
    <cellStyle name="Percent 2 7 4 3" xfId="28370"/>
    <cellStyle name="Percent 2 7 5" xfId="6140"/>
    <cellStyle name="Percent 2 7 5 2" xfId="15904"/>
    <cellStyle name="Percent 2 7 5 3" xfId="28371"/>
    <cellStyle name="Percent 2 7 6" xfId="15900"/>
    <cellStyle name="Percent 2 7 7" xfId="28367"/>
    <cellStyle name="Percent 2 7_LNG &amp; LPG rework" xfId="10026"/>
    <cellStyle name="Percent 2 8" xfId="2264"/>
    <cellStyle name="Percent 2 9" xfId="4968"/>
    <cellStyle name="Percent 2 9 2" xfId="15905"/>
    <cellStyle name="Percent 2 9 3" xfId="28372"/>
    <cellStyle name="Percent 2_LNG &amp; LPG rework" xfId="9854"/>
    <cellStyle name="Percent 3" xfId="1338"/>
    <cellStyle name="Percent 3 2" xfId="1980"/>
    <cellStyle name="Percent 3 3" xfId="10116"/>
    <cellStyle name="Percent 3 4" xfId="7690"/>
    <cellStyle name="Percent 3 5" xfId="6565"/>
    <cellStyle name="Percent 3 5 2" xfId="44574"/>
    <cellStyle name="Percent 3_LNG &amp; LPG rework" xfId="10027"/>
    <cellStyle name="Percent 4" xfId="1441"/>
    <cellStyle name="Percent 4 2" xfId="1983"/>
    <cellStyle name="Percent 4 3" xfId="44575"/>
    <cellStyle name="Percent 4_LNG &amp; LPG rework" xfId="10028"/>
    <cellStyle name="Percent 5" xfId="1670"/>
    <cellStyle name="Percent 5 2" xfId="1975"/>
    <cellStyle name="Percent 5_LNG &amp; LPG rework" xfId="10029"/>
    <cellStyle name="Percent 6" xfId="1204"/>
    <cellStyle name="Percent 7" xfId="6503"/>
    <cellStyle name="Percent 7 2" xfId="15950"/>
    <cellStyle name="Percent 7 3" xfId="28375"/>
    <cellStyle name="Percent 8" xfId="6506"/>
    <cellStyle name="Percent 8 2" xfId="15953"/>
    <cellStyle name="Percent 8 3" xfId="28378"/>
    <cellStyle name="Percent 9" xfId="7680"/>
    <cellStyle name="Percent 9 2" xfId="15981"/>
    <cellStyle name="Percent 9 3" xfId="8785"/>
    <cellStyle name="RowHeading" xfId="44576"/>
    <cellStyle name="SAS FM Column drillable header" xfId="44577"/>
    <cellStyle name="SAS FM Column drillable header Cashflow" xfId="44578"/>
    <cellStyle name="SAS FM Column drillable header_Cashflow - Actual - 2009" xfId="44579"/>
    <cellStyle name="SAS FM Column header" xfId="44580"/>
    <cellStyle name="SAS FM Column header Cashflow" xfId="44581"/>
    <cellStyle name="SAS FM Column header_Cashflow - Actual - 2009" xfId="44582"/>
    <cellStyle name="SAS FM Drill path" xfId="44583"/>
    <cellStyle name="SAS FM Invalid data cell" xfId="44584"/>
    <cellStyle name="SAS FM Read-only data cell (data entry table)" xfId="44585"/>
    <cellStyle name="SAS FM Read-only data cell (read-only table)" xfId="44586"/>
    <cellStyle name="SAS FM Read-only data cell (read-only table) Cashflow" xfId="44587"/>
    <cellStyle name="SAS FM Read-only data cell (read-only table)_Cashflow - Actual - 2009" xfId="44588"/>
    <cellStyle name="SAS FM Row drillable header" xfId="44589"/>
    <cellStyle name="SAS FM Row drillable header Cashflow" xfId="44590"/>
    <cellStyle name="SAS FM Row drillable header_Cashflow - Actual - 2009" xfId="44591"/>
    <cellStyle name="SAS FM Row header" xfId="44592"/>
    <cellStyle name="SAS FM Row header Cashflow" xfId="44593"/>
    <cellStyle name="SAS FM Row header_Cashflow - Actual - 2009" xfId="44594"/>
    <cellStyle name="SAS FM Slicers" xfId="44595"/>
    <cellStyle name="SAS FM Slicers Cashflow" xfId="44596"/>
    <cellStyle name="SAS FM Slicers_Cashflow - Actual - 2009" xfId="44597"/>
    <cellStyle name="SAS FM Writeable data cell" xfId="44598"/>
    <cellStyle name="Satisfaisant" xfId="1251"/>
    <cellStyle name="Sortie" xfId="1252"/>
    <cellStyle name="Style 1" xfId="34931"/>
    <cellStyle name="Style 1 2" xfId="44599"/>
    <cellStyle name="Style 26" xfId="1205"/>
    <cellStyle name="Style 26 2" xfId="1262"/>
    <cellStyle name="Style 26 2 2" xfId="1623"/>
    <cellStyle name="Style 26 2_LNG &amp; LPG rework" xfId="10031"/>
    <cellStyle name="Style 26_LNG &amp; LPG rework" xfId="10030"/>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SubHeading" xfId="44600"/>
    <cellStyle name="SubsidTitle" xfId="44601"/>
    <cellStyle name="Texte explicatif" xfId="1253"/>
    <cellStyle name="Title" xfId="158" builtinId="15" customBuiltin="1"/>
    <cellStyle name="Title 2" xfId="6510"/>
    <cellStyle name="Title 2 2" xfId="7667"/>
    <cellStyle name="Title 2 3" xfId="28437"/>
    <cellStyle name="Title 3" xfId="16007"/>
    <cellStyle name="Title 3 2" xfId="44602"/>
    <cellStyle name="Titre" xfId="1254"/>
    <cellStyle name="Titre 1" xfId="1255"/>
    <cellStyle name="Titre 2" xfId="1256"/>
    <cellStyle name="Titre 3" xfId="1257"/>
    <cellStyle name="Titre 3 2" xfId="21426"/>
    <cellStyle name="Titre 4" xfId="1258"/>
    <cellStyle name="Titre_LNG &amp; LPG rework" xfId="10032"/>
    <cellStyle name="Total" xfId="174" builtinId="25" customBuiltin="1"/>
    <cellStyle name="Total 2" xfId="1259"/>
    <cellStyle name="Total 3" xfId="6514"/>
    <cellStyle name="Total 4" xfId="44620"/>
    <cellStyle name="Totals" xfId="44603"/>
    <cellStyle name="Totals [0]" xfId="44604"/>
    <cellStyle name="Totals [2]" xfId="44605"/>
    <cellStyle name="Vérification" xfId="1260"/>
    <cellStyle name="Vérification 2" xfId="28621"/>
    <cellStyle name="Warning Text" xfId="171" builtinId="11" customBuiltin="1"/>
    <cellStyle name="Warning Text 2" xfId="6513"/>
    <cellStyle name="Warning Text 3" xfId="44617"/>
    <cellStyle name="Year" xfId="44606"/>
  </cellStyles>
  <dxfs count="16">
    <dxf>
      <font>
        <color rgb="FF9C0006"/>
      </font>
    </dxf>
    <dxf>
      <font>
        <color rgb="FF9C0006"/>
      </font>
    </dxf>
    <dxf>
      <font>
        <color rgb="FF9C0006"/>
      </font>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5"/>
    </tableStyle>
    <tableStyle name="Table Style 3" pivot="0" count="1">
      <tableStyleElement type="secondRowStripe" dxfId="14"/>
    </tableStyle>
  </tableStyles>
  <colors>
    <mruColors>
      <color rgb="FFCB7833"/>
      <color rgb="FFEFB179"/>
      <color rgb="FFE6883B"/>
      <color rgb="FF00FFFF"/>
      <color rgb="FFFFCC00"/>
      <color rgb="FF21FF85"/>
      <color rgb="FFF79646"/>
      <color rgb="FF868686"/>
      <color rgb="FFF7C699"/>
      <color rgb="FFFAC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Monthly average exchange rate
</a:t>
            </a:r>
            <a:r>
              <a:rPr lang="en-AU" sz="1100"/>
              <a:t>US$</a:t>
            </a:r>
            <a:r>
              <a:rPr lang="en-AU" sz="1100" baseline="0"/>
              <a:t> vs </a:t>
            </a:r>
            <a:r>
              <a:rPr lang="en-AU" sz="1100"/>
              <a:t>A$  </a:t>
            </a:r>
          </a:p>
        </c:rich>
      </c:tx>
      <c:overlay val="0"/>
    </c:title>
    <c:autoTitleDeleted val="0"/>
    <c:plotArea>
      <c:layout/>
      <c:lineChart>
        <c:grouping val="standard"/>
        <c:varyColors val="0"/>
        <c:ser>
          <c:idx val="36"/>
          <c:order val="0"/>
          <c:tx>
            <c:v>A$</c:v>
          </c:tx>
          <c:spPr>
            <a:ln>
              <a:solidFill>
                <a:schemeClr val="accent6"/>
              </a:solidFill>
            </a:ln>
          </c:spPr>
          <c:marker>
            <c:symbol val="none"/>
          </c:marker>
          <c:cat>
            <c:numRef>
              <c:f>'Exchange Rates'!$E$8:$E$31</c:f>
              <c:numCache>
                <c:formatCode>mmm\-yy</c:formatCode>
                <c:ptCount val="24"/>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pt idx="13">
                  <c:v>44044</c:v>
                </c:pt>
                <c:pt idx="14">
                  <c:v>44075</c:v>
                </c:pt>
                <c:pt idx="15">
                  <c:v>44105</c:v>
                </c:pt>
                <c:pt idx="16">
                  <c:v>44136</c:v>
                </c:pt>
                <c:pt idx="17">
                  <c:v>44166</c:v>
                </c:pt>
                <c:pt idx="18">
                  <c:v>44197</c:v>
                </c:pt>
                <c:pt idx="19">
                  <c:v>44228</c:v>
                </c:pt>
                <c:pt idx="20">
                  <c:v>44256</c:v>
                </c:pt>
                <c:pt idx="21">
                  <c:v>44287</c:v>
                </c:pt>
                <c:pt idx="22">
                  <c:v>44317</c:v>
                </c:pt>
                <c:pt idx="23">
                  <c:v>44348</c:v>
                </c:pt>
              </c:numCache>
            </c:numRef>
          </c:cat>
          <c:val>
            <c:numRef>
              <c:f>'Exchange Rates'!$F$8:$F$31</c:f>
              <c:numCache>
                <c:formatCode>0.00</c:formatCode>
                <c:ptCount val="24"/>
                <c:pt idx="0">
                  <c:v>0.69789999999999996</c:v>
                </c:pt>
                <c:pt idx="1">
                  <c:v>0.67669999999999997</c:v>
                </c:pt>
                <c:pt idx="2">
                  <c:v>0.68679999999999997</c:v>
                </c:pt>
                <c:pt idx="3">
                  <c:v>0.67979999999999996</c:v>
                </c:pt>
                <c:pt idx="4">
                  <c:v>0.68259999999999998</c:v>
                </c:pt>
                <c:pt idx="5">
                  <c:v>0.68889999999999996</c:v>
                </c:pt>
                <c:pt idx="6">
                  <c:v>0.68610000000000004</c:v>
                </c:pt>
                <c:pt idx="7">
                  <c:v>0.66649999999999998</c:v>
                </c:pt>
                <c:pt idx="8">
                  <c:v>0.62150000000000005</c:v>
                </c:pt>
                <c:pt idx="9">
                  <c:v>0.63109999999999999</c:v>
                </c:pt>
                <c:pt idx="10">
                  <c:v>0.65180000000000005</c:v>
                </c:pt>
                <c:pt idx="11">
                  <c:v>0.69020000000000004</c:v>
                </c:pt>
                <c:pt idx="12">
                  <c:v>0.70350000000000001</c:v>
                </c:pt>
                <c:pt idx="13">
                  <c:v>0.72009999999999996</c:v>
                </c:pt>
                <c:pt idx="14">
                  <c:v>0.72270000000000001</c:v>
                </c:pt>
                <c:pt idx="15">
                  <c:v>0.71240000000000003</c:v>
                </c:pt>
                <c:pt idx="16">
                  <c:v>0.72819999999999996</c:v>
                </c:pt>
                <c:pt idx="17">
                  <c:v>0.75380000000000003</c:v>
                </c:pt>
                <c:pt idx="18">
                  <c:v>0.77229999999999999</c:v>
                </c:pt>
                <c:pt idx="19">
                  <c:v>0.77549999999999997</c:v>
                </c:pt>
                <c:pt idx="20">
                  <c:v>0.77059999999999995</c:v>
                </c:pt>
                <c:pt idx="21">
                  <c:v>0.7702</c:v>
                </c:pt>
                <c:pt idx="22">
                  <c:v>0.77610000000000001</c:v>
                </c:pt>
                <c:pt idx="23">
                  <c:v>0.76390000000000002</c:v>
                </c:pt>
              </c:numCache>
            </c:numRef>
          </c:val>
          <c:smooth val="0"/>
          <c:extLst>
            <c:ext xmlns:c16="http://schemas.microsoft.com/office/drawing/2014/chart" uri="{C3380CC4-5D6E-409C-BE32-E72D297353CC}">
              <c16:uniqueId val="{00000000-A5C1-43B4-B7C4-0D2649D0C713}"/>
            </c:ext>
          </c:extLst>
        </c:ser>
        <c:dLbls>
          <c:showLegendKey val="0"/>
          <c:showVal val="0"/>
          <c:showCatName val="0"/>
          <c:showSerName val="0"/>
          <c:showPercent val="0"/>
          <c:showBubbleSize val="0"/>
        </c:dLbls>
        <c:marker val="1"/>
        <c:smooth val="0"/>
        <c:axId val="422090624"/>
        <c:axId val="422092800"/>
      </c:lineChart>
      <c:lineChart>
        <c:grouping val="standard"/>
        <c:varyColors val="0"/>
        <c:ser>
          <c:idx val="0"/>
          <c:order val="1"/>
          <c:tx>
            <c:v>Trade-weighted Index</c:v>
          </c:tx>
          <c:marker>
            <c:symbol val="none"/>
          </c:marker>
          <c:val>
            <c:numRef>
              <c:f>'Exchange Rates'!$G$8:$G$31</c:f>
              <c:numCache>
                <c:formatCode>0.00</c:formatCode>
                <c:ptCount val="24"/>
                <c:pt idx="0">
                  <c:v>59.5</c:v>
                </c:pt>
                <c:pt idx="1">
                  <c:v>58.9</c:v>
                </c:pt>
                <c:pt idx="2">
                  <c:v>59.2</c:v>
                </c:pt>
                <c:pt idx="3">
                  <c:v>60</c:v>
                </c:pt>
                <c:pt idx="4">
                  <c:v>59</c:v>
                </c:pt>
                <c:pt idx="5">
                  <c:v>60.3</c:v>
                </c:pt>
                <c:pt idx="6">
                  <c:v>58.1</c:v>
                </c:pt>
                <c:pt idx="7">
                  <c:v>57</c:v>
                </c:pt>
                <c:pt idx="8">
                  <c:v>54.7</c:v>
                </c:pt>
                <c:pt idx="9">
                  <c:v>57.8</c:v>
                </c:pt>
                <c:pt idx="10">
                  <c:v>58.8</c:v>
                </c:pt>
                <c:pt idx="11">
                  <c:v>60</c:v>
                </c:pt>
                <c:pt idx="12">
                  <c:v>61.9</c:v>
                </c:pt>
                <c:pt idx="13">
                  <c:v>62.6</c:v>
                </c:pt>
                <c:pt idx="14">
                  <c:v>60.7</c:v>
                </c:pt>
                <c:pt idx="15">
                  <c:v>59.5</c:v>
                </c:pt>
                <c:pt idx="16">
                  <c:v>61.5</c:v>
                </c:pt>
                <c:pt idx="17">
                  <c:v>63.4</c:v>
                </c:pt>
                <c:pt idx="18">
                  <c:v>63</c:v>
                </c:pt>
                <c:pt idx="19">
                  <c:v>64.5</c:v>
                </c:pt>
                <c:pt idx="20">
                  <c:v>63.9</c:v>
                </c:pt>
                <c:pt idx="21">
                  <c:v>64.400000000000006</c:v>
                </c:pt>
                <c:pt idx="22">
                  <c:v>63.5</c:v>
                </c:pt>
                <c:pt idx="23">
                  <c:v>62.7</c:v>
                </c:pt>
              </c:numCache>
            </c:numRef>
          </c:val>
          <c:smooth val="0"/>
          <c:extLst>
            <c:ext xmlns:c16="http://schemas.microsoft.com/office/drawing/2014/chart" uri="{C3380CC4-5D6E-409C-BE32-E72D297353CC}">
              <c16:uniqueId val="{00000000-BDFD-42A5-93F0-ED8FD928DD45}"/>
            </c:ext>
          </c:extLst>
        </c:ser>
        <c:dLbls>
          <c:showLegendKey val="0"/>
          <c:showVal val="0"/>
          <c:showCatName val="0"/>
          <c:showSerName val="0"/>
          <c:showPercent val="0"/>
          <c:showBubbleSize val="0"/>
        </c:dLbls>
        <c:marker val="1"/>
        <c:smooth val="0"/>
        <c:axId val="1117842816"/>
        <c:axId val="1117843472"/>
      </c:lineChart>
      <c:dateAx>
        <c:axId val="422090624"/>
        <c:scaling>
          <c:orientation val="minMax"/>
        </c:scaling>
        <c:delete val="0"/>
        <c:axPos val="b"/>
        <c:title>
          <c:tx>
            <c:rich>
              <a:bodyPr/>
              <a:lstStyle/>
              <a:p>
                <a:pPr>
                  <a:defRPr sz="900"/>
                </a:pPr>
                <a:r>
                  <a:rPr lang="en-AU" sz="900"/>
                  <a:t>Source: WA Treasury Corporation and Reserve Bank of Australia</a:t>
                </a:r>
                <a:endParaRPr lang="en-AU" sz="900" baseline="0"/>
              </a:p>
            </c:rich>
          </c:tx>
          <c:layout>
            <c:manualLayout>
              <c:xMode val="edge"/>
              <c:yMode val="edge"/>
              <c:x val="8.5475603258971123E-3"/>
              <c:y val="0.94880166620466433"/>
            </c:manualLayout>
          </c:layout>
          <c:overlay val="0"/>
        </c:title>
        <c:numFmt formatCode="mmm\-yy" sourceLinked="0"/>
        <c:majorTickMark val="out"/>
        <c:minorTickMark val="none"/>
        <c:tickLblPos val="nextTo"/>
        <c:spPr>
          <a:ln/>
        </c:spPr>
        <c:txPr>
          <a:bodyPr rot="-2700000" vert="horz"/>
          <a:lstStyle/>
          <a:p>
            <a:pPr>
              <a:defRPr/>
            </a:pPr>
            <a:endParaRPr lang="en-US"/>
          </a:p>
        </c:txPr>
        <c:crossAx val="422092800"/>
        <c:crosses val="autoZero"/>
        <c:auto val="0"/>
        <c:lblOffset val="100"/>
        <c:baseTimeUnit val="months"/>
        <c:majorUnit val="1"/>
        <c:majorTimeUnit val="months"/>
      </c:dateAx>
      <c:valAx>
        <c:axId val="422092800"/>
        <c:scaling>
          <c:orientation val="minMax"/>
          <c:min val="0.60000000000000009"/>
        </c:scaling>
        <c:delete val="0"/>
        <c:axPos val="l"/>
        <c:majorGridlines/>
        <c:title>
          <c:tx>
            <c:rich>
              <a:bodyPr/>
              <a:lstStyle/>
              <a:p>
                <a:pPr>
                  <a:defRPr/>
                </a:pPr>
                <a:r>
                  <a:rPr lang="en-AU"/>
                  <a:t>US$</a:t>
                </a:r>
              </a:p>
            </c:rich>
          </c:tx>
          <c:layout>
            <c:manualLayout>
              <c:xMode val="edge"/>
              <c:yMode val="edge"/>
              <c:x val="1.6235410901311392E-2"/>
              <c:y val="0.48712108411341287"/>
            </c:manualLayout>
          </c:layout>
          <c:overlay val="0"/>
        </c:title>
        <c:numFmt formatCode="0.00" sourceLinked="0"/>
        <c:majorTickMark val="none"/>
        <c:minorTickMark val="none"/>
        <c:tickLblPos val="nextTo"/>
        <c:txPr>
          <a:bodyPr rot="0" vert="horz"/>
          <a:lstStyle/>
          <a:p>
            <a:pPr>
              <a:defRPr/>
            </a:pPr>
            <a:endParaRPr lang="en-US"/>
          </a:p>
        </c:txPr>
        <c:crossAx val="422090624"/>
        <c:crosses val="autoZero"/>
        <c:crossBetween val="between"/>
      </c:valAx>
      <c:valAx>
        <c:axId val="1117843472"/>
        <c:scaling>
          <c:orientation val="minMax"/>
        </c:scaling>
        <c:delete val="0"/>
        <c:axPos val="r"/>
        <c:title>
          <c:tx>
            <c:rich>
              <a:bodyPr/>
              <a:lstStyle/>
              <a:p>
                <a:pPr>
                  <a:defRPr/>
                </a:pPr>
                <a:r>
                  <a:rPr lang="en-AU"/>
                  <a:t>Index (May 1970=100)</a:t>
                </a:r>
              </a:p>
            </c:rich>
          </c:tx>
          <c:overlay val="0"/>
        </c:title>
        <c:numFmt formatCode="0.00" sourceLinked="1"/>
        <c:majorTickMark val="out"/>
        <c:minorTickMark val="none"/>
        <c:tickLblPos val="nextTo"/>
        <c:crossAx val="1117842816"/>
        <c:crosses val="max"/>
        <c:crossBetween val="between"/>
      </c:valAx>
      <c:dateAx>
        <c:axId val="1117842816"/>
        <c:scaling>
          <c:orientation val="minMax"/>
        </c:scaling>
        <c:delete val="1"/>
        <c:axPos val="b"/>
        <c:majorTickMark val="out"/>
        <c:minorTickMark val="none"/>
        <c:tickLblPos val="nextTo"/>
        <c:crossAx val="1117843472"/>
        <c:crosses val="autoZero"/>
        <c:auto val="0"/>
        <c:lblOffset val="100"/>
        <c:baseTimeUnit val="days"/>
      </c:dateAx>
    </c:plotArea>
    <c:legend>
      <c:legendPos val="t"/>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a:t>
            </a:r>
          </a:p>
          <a:p>
            <a:pPr>
              <a:defRPr/>
            </a:pPr>
            <a:r>
              <a:rPr lang="en-AU" sz="900"/>
              <a:t>Last 10 Financial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9240458150278387"/>
          <c:w val="0.76685710402704521"/>
          <c:h val="0.47916604764027143"/>
        </c:manualLayout>
      </c:layout>
      <c:barChart>
        <c:barDir val="col"/>
        <c:grouping val="stacked"/>
        <c:varyColors val="0"/>
        <c:ser>
          <c:idx val="1"/>
          <c:order val="0"/>
          <c:tx>
            <c:v>Western Australia</c:v>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1-6E6B-444B-BD65-B0905B36009F}"/>
              </c:ext>
            </c:extLst>
          </c:dPt>
          <c:cat>
            <c:strRef>
              <c:f>'Mining Investment'!$O$8:$O$17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'Mining Investment'!$P$8:$P$17</c:f>
              <c:numCache>
                <c:formatCode>#,##0</c:formatCode>
                <c:ptCount val="10"/>
                <c:pt idx="0">
                  <c:v>45071</c:v>
                </c:pt>
                <c:pt idx="1">
                  <c:v>48200</c:v>
                </c:pt>
                <c:pt idx="2">
                  <c:v>46759</c:v>
                </c:pt>
                <c:pt idx="3">
                  <c:v>45990</c:v>
                </c:pt>
                <c:pt idx="4">
                  <c:v>35211</c:v>
                </c:pt>
                <c:pt idx="5">
                  <c:v>22230</c:v>
                </c:pt>
                <c:pt idx="6">
                  <c:v>19173</c:v>
                </c:pt>
                <c:pt idx="7">
                  <c:v>16968</c:v>
                </c:pt>
                <c:pt idx="8">
                  <c:v>18961</c:v>
                </c:pt>
                <c:pt idx="9">
                  <c:v>20584</c:v>
                </c:pt>
              </c:numCache>
            </c:numRef>
          </c:val>
          <c:extLst>
            <c:ext xmlns:c16="http://schemas.microsoft.com/office/drawing/2014/chart" uri="{C3380CC4-5D6E-409C-BE32-E72D297353CC}">
              <c16:uniqueId val="{00000002-6E6B-444B-BD65-B0905B36009F}"/>
            </c:ext>
          </c:extLst>
        </c:ser>
        <c:ser>
          <c:idx val="2"/>
          <c:order val="1"/>
          <c:tx>
            <c:v>Rest of Australia</c:v>
          </c:tx>
          <c:spPr>
            <a:solidFill>
              <a:schemeClr val="accent6">
                <a:lumMod val="60000"/>
                <a:lumOff val="40000"/>
              </a:schemeClr>
            </a:solidFill>
            <a:ln>
              <a:noFill/>
            </a:ln>
            <a:effectLst/>
          </c:spPr>
          <c:invertIfNegative val="0"/>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6E6B-444B-BD65-B0905B36009F}"/>
              </c:ext>
            </c:extLst>
          </c:dPt>
          <c:cat>
            <c:strRef>
              <c:f>'Mining Investment'!$O$8:$O$17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'Mining Investment'!$Q$8:$Q$17</c:f>
              <c:numCache>
                <c:formatCode>#,##0</c:formatCode>
                <c:ptCount val="10"/>
                <c:pt idx="0">
                  <c:v>36926</c:v>
                </c:pt>
                <c:pt idx="1">
                  <c:v>46509</c:v>
                </c:pt>
                <c:pt idx="2">
                  <c:v>43633</c:v>
                </c:pt>
                <c:pt idx="3">
                  <c:v>30127</c:v>
                </c:pt>
                <c:pt idx="4">
                  <c:v>18178</c:v>
                </c:pt>
                <c:pt idx="5">
                  <c:v>16520</c:v>
                </c:pt>
                <c:pt idx="6">
                  <c:v>17215</c:v>
                </c:pt>
                <c:pt idx="7">
                  <c:v>16386</c:v>
                </c:pt>
                <c:pt idx="8">
                  <c:v>16194</c:v>
                </c:pt>
                <c:pt idx="9">
                  <c:v>14930</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lineChart>
        <c:grouping val="standard"/>
        <c:varyColors val="0"/>
        <c:ser>
          <c:idx val="0"/>
          <c:order val="2"/>
          <c:tx>
            <c:strRef>
              <c:f>'Mining Investment'!$S$7</c:f>
              <c:strCache>
                <c:ptCount val="1"/>
                <c:pt idx="0">
                  <c:v>Western Australia Share Of Australia</c:v>
                </c:pt>
              </c:strCache>
            </c:strRef>
          </c:tx>
          <c:spPr>
            <a:ln w="28575" cap="rnd" cmpd="sng" algn="ctr">
              <a:solidFill>
                <a:srgbClr val="CB7833"/>
              </a:solidFill>
              <a:prstDash val="solid"/>
              <a:round/>
            </a:ln>
            <a:effectLst/>
          </c:spPr>
          <c:marker>
            <c:symbol val="none"/>
          </c:marker>
          <c:val>
            <c:numRef>
              <c:f>'Mining Investment'!$S$8:$S$17</c:f>
              <c:numCache>
                <c:formatCode>0%</c:formatCode>
                <c:ptCount val="10"/>
                <c:pt idx="0">
                  <c:v>0.54966645121162971</c:v>
                </c:pt>
                <c:pt idx="1">
                  <c:v>0.50892734586998067</c:v>
                </c:pt>
                <c:pt idx="2">
                  <c:v>0.51729135321709885</c:v>
                </c:pt>
                <c:pt idx="3">
                  <c:v>0.60420142675092292</c:v>
                </c:pt>
                <c:pt idx="4">
                  <c:v>0.6595178782146135</c:v>
                </c:pt>
                <c:pt idx="5">
                  <c:v>0.57367741935483874</c:v>
                </c:pt>
                <c:pt idx="6">
                  <c:v>0.52690447400241835</c:v>
                </c:pt>
                <c:pt idx="7">
                  <c:v>0.50872459075373266</c:v>
                </c:pt>
                <c:pt idx="8">
                  <c:v>0.53935428815246766</c:v>
                </c:pt>
                <c:pt idx="9">
                  <c:v>0.57960241031705806</c:v>
                </c:pt>
              </c:numCache>
            </c:numRef>
          </c:val>
          <c:smooth val="0"/>
          <c:extLst>
            <c:ext xmlns:c16="http://schemas.microsoft.com/office/drawing/2014/chart" uri="{C3380CC4-5D6E-409C-BE32-E72D297353CC}">
              <c16:uniqueId val="{00000004-F095-43DA-A73D-1370725827F7}"/>
            </c:ext>
          </c:extLst>
        </c:ser>
        <c:dLbls>
          <c:showLegendKey val="0"/>
          <c:showVal val="0"/>
          <c:showCatName val="0"/>
          <c:showSerName val="0"/>
          <c:showPercent val="0"/>
          <c:showBubbleSize val="0"/>
        </c:dLbls>
        <c:marker val="1"/>
        <c:smooth val="0"/>
        <c:axId val="1288880816"/>
        <c:axId val="1288876880"/>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10000"/>
      </c:valAx>
      <c:valAx>
        <c:axId val="1288876880"/>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88880816"/>
        <c:crosses val="max"/>
        <c:crossBetween val="between"/>
        <c:majorUnit val="0.1"/>
      </c:valAx>
      <c:catAx>
        <c:axId val="1288880816"/>
        <c:scaling>
          <c:orientation val="minMax"/>
        </c:scaling>
        <c:delete val="1"/>
        <c:axPos val="b"/>
        <c:majorTickMark val="out"/>
        <c:minorTickMark val="none"/>
        <c:tickLblPos val="nextTo"/>
        <c:crossAx val="1288876880"/>
        <c:crosses val="autoZero"/>
        <c:auto val="1"/>
        <c:lblAlgn val="ctr"/>
        <c:lblOffset val="100"/>
        <c:noMultiLvlLbl val="0"/>
      </c:catAx>
      <c:spPr>
        <a:solidFill>
          <a:schemeClr val="bg1"/>
        </a:solidFill>
        <a:ln>
          <a:noFill/>
        </a:ln>
        <a:effectLst/>
      </c:spPr>
    </c:plotArea>
    <c:legend>
      <c:legendPos val="t"/>
      <c:layout>
        <c:manualLayout>
          <c:xMode val="edge"/>
          <c:yMode val="edge"/>
          <c:x val="3.3116480027794618E-2"/>
          <c:y val="0.15042242361214281"/>
          <c:w val="0.95147734634665659"/>
          <c:h val="0.12458518156928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New Capital Expenditure</a:t>
            </a:r>
          </a:p>
          <a:p>
            <a:pPr>
              <a:defRPr/>
            </a:pPr>
            <a:r>
              <a:rPr lang="en-AU" sz="900"/>
              <a:t>Last 10 Calendar Years</a:t>
            </a:r>
          </a:p>
        </c:rich>
      </c:tx>
      <c:overlay val="0"/>
    </c:title>
    <c:autoTitleDeleted val="0"/>
    <c:plotArea>
      <c:layout>
        <c:manualLayout>
          <c:layoutTarget val="inner"/>
          <c:xMode val="edge"/>
          <c:yMode val="edge"/>
          <c:x val="0.11318688813533345"/>
          <c:y val="0.25811010465797041"/>
          <c:w val="0.82197657463359719"/>
          <c:h val="0.51059801735309407"/>
        </c:manualLayout>
      </c:layout>
      <c:barChart>
        <c:barDir val="col"/>
        <c:grouping val="stacked"/>
        <c:varyColors val="0"/>
        <c:ser>
          <c:idx val="1"/>
          <c:order val="0"/>
          <c:tx>
            <c:v>Western Australia</c:v>
          </c:tx>
          <c:spPr>
            <a:solidFill>
              <a:srgbClr val="F79646"/>
            </a:solidFill>
            <a:ln>
              <a:noFill/>
            </a:ln>
          </c:spPr>
          <c:invertIfNegative val="0"/>
          <c:cat>
            <c:numRef>
              <c:f>'New Capital Expenditure'!$I$8:$I$17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'New Capital Expenditure'!$J$8:$J$17</c:f>
              <c:numCache>
                <c:formatCode>#,##0</c:formatCode>
                <c:ptCount val="10"/>
                <c:pt idx="0">
                  <c:v>45758</c:v>
                </c:pt>
                <c:pt idx="1">
                  <c:v>63126</c:v>
                </c:pt>
                <c:pt idx="2">
                  <c:v>56987</c:v>
                </c:pt>
                <c:pt idx="3">
                  <c:v>56931</c:v>
                </c:pt>
                <c:pt idx="4">
                  <c:v>51869</c:v>
                </c:pt>
                <c:pt idx="5">
                  <c:v>34601</c:v>
                </c:pt>
                <c:pt idx="6">
                  <c:v>28807</c:v>
                </c:pt>
                <c:pt idx="7">
                  <c:v>26406</c:v>
                </c:pt>
                <c:pt idx="8">
                  <c:v>25302</c:v>
                </c:pt>
                <c:pt idx="9">
                  <c:v>27633</c:v>
                </c:pt>
              </c:numCache>
            </c:numRef>
          </c:val>
          <c:extLst>
            <c:ext xmlns:c16="http://schemas.microsoft.com/office/drawing/2014/chart" uri="{C3380CC4-5D6E-409C-BE32-E72D297353CC}">
              <c16:uniqueId val="{00000000-2AB7-403E-A46B-D52CE00FC09A}"/>
            </c:ext>
          </c:extLst>
        </c:ser>
        <c:ser>
          <c:idx val="2"/>
          <c:order val="1"/>
          <c:tx>
            <c:v>Rest of Australia</c:v>
          </c:tx>
          <c:spPr>
            <a:solidFill>
              <a:srgbClr val="FAC090"/>
            </a:solidFill>
          </c:spPr>
          <c:invertIfNegative val="0"/>
          <c:cat>
            <c:numRef>
              <c:f>'New Capital Expenditure'!$I$8:$I$17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'New Capital Expenditure'!$K$8:$K$17</c:f>
              <c:numCache>
                <c:formatCode>#,##0</c:formatCode>
                <c:ptCount val="10"/>
                <c:pt idx="0">
                  <c:v>99361</c:v>
                </c:pt>
                <c:pt idx="1">
                  <c:v>108169</c:v>
                </c:pt>
                <c:pt idx="2">
                  <c:v>110125</c:v>
                </c:pt>
                <c:pt idx="3">
                  <c:v>107413</c:v>
                </c:pt>
                <c:pt idx="4">
                  <c:v>95782</c:v>
                </c:pt>
                <c:pt idx="5">
                  <c:v>92264</c:v>
                </c:pt>
                <c:pt idx="6">
                  <c:v>97419</c:v>
                </c:pt>
                <c:pt idx="7">
                  <c:v>105380</c:v>
                </c:pt>
                <c:pt idx="8">
                  <c:v>107058</c:v>
                </c:pt>
                <c:pt idx="9">
                  <c:v>94027</c:v>
                </c:pt>
              </c:numCache>
            </c:numRef>
          </c:val>
          <c:extLst>
            <c:ext xmlns:c16="http://schemas.microsoft.com/office/drawing/2014/chart" uri="{C3380CC4-5D6E-409C-BE32-E72D297353CC}">
              <c16:uniqueId val="{00000001-2AB7-403E-A46B-D52CE00FC09A}"/>
            </c:ext>
          </c:extLst>
        </c:ser>
        <c:dLbls>
          <c:showLegendKey val="0"/>
          <c:showVal val="0"/>
          <c:showCatName val="0"/>
          <c:showSerName val="0"/>
          <c:showPercent val="0"/>
          <c:showBubbleSize val="0"/>
        </c:dLbls>
        <c:gapWidth val="150"/>
        <c:overlap val="100"/>
        <c:axId val="427449728"/>
        <c:axId val="427476480"/>
      </c:barChart>
      <c:lineChart>
        <c:grouping val="standard"/>
        <c:varyColors val="0"/>
        <c:ser>
          <c:idx val="0"/>
          <c:order val="2"/>
          <c:tx>
            <c:strRef>
              <c:f>'New Capital Expenditure'!$N$7</c:f>
              <c:strCache>
                <c:ptCount val="1"/>
                <c:pt idx="0">
                  <c:v>Western Australia Share Of Australia</c:v>
                </c:pt>
              </c:strCache>
            </c:strRef>
          </c:tx>
          <c:marker>
            <c:symbol val="none"/>
          </c:marker>
          <c:val>
            <c:numRef>
              <c:f>'New Capital Expenditure'!$N$8:$N$17</c:f>
              <c:numCache>
                <c:formatCode>0%</c:formatCode>
                <c:ptCount val="10"/>
                <c:pt idx="0">
                  <c:v>0.31531363915131722</c:v>
                </c:pt>
                <c:pt idx="1">
                  <c:v>0.3685221401675472</c:v>
                </c:pt>
                <c:pt idx="2">
                  <c:v>0.34101081909138781</c:v>
                </c:pt>
                <c:pt idx="3">
                  <c:v>0.34641362021126415</c:v>
                </c:pt>
                <c:pt idx="4">
                  <c:v>0.35129460687702757</c:v>
                </c:pt>
                <c:pt idx="5">
                  <c:v>0.27273873802861309</c:v>
                </c:pt>
                <c:pt idx="6">
                  <c:v>0.22821764137340961</c:v>
                </c:pt>
                <c:pt idx="7">
                  <c:v>0.20037029730016845</c:v>
                </c:pt>
                <c:pt idx="8">
                  <c:v>0.19116047144152312</c:v>
                </c:pt>
                <c:pt idx="9">
                  <c:v>0.2271329935886898</c:v>
                </c:pt>
              </c:numCache>
            </c:numRef>
          </c:val>
          <c:smooth val="0"/>
          <c:extLst>
            <c:ext xmlns:c16="http://schemas.microsoft.com/office/drawing/2014/chart" uri="{C3380CC4-5D6E-409C-BE32-E72D297353CC}">
              <c16:uniqueId val="{00000000-B576-482A-97A5-30BDCB2E2756}"/>
            </c:ext>
          </c:extLst>
        </c:ser>
        <c:dLbls>
          <c:showLegendKey val="0"/>
          <c:showVal val="0"/>
          <c:showCatName val="0"/>
          <c:showSerName val="0"/>
          <c:showPercent val="0"/>
          <c:showBubbleSize val="0"/>
        </c:dLbls>
        <c:marker val="1"/>
        <c:smooth val="0"/>
        <c:axId val="1116090592"/>
        <c:axId val="1121711920"/>
      </c:lineChart>
      <c:catAx>
        <c:axId val="427449728"/>
        <c:scaling>
          <c:orientation val="minMax"/>
        </c:scaling>
        <c:delete val="0"/>
        <c:axPos val="b"/>
        <c:title>
          <c:tx>
            <c:rich>
              <a:bodyPr/>
              <a:lstStyle/>
              <a:p>
                <a:pPr>
                  <a:defRPr sz="900"/>
                </a:pPr>
                <a:r>
                  <a:rPr lang="en-AU" sz="900"/>
                  <a:t>Source: ABS</a:t>
                </a:r>
              </a:p>
            </c:rich>
          </c:tx>
          <c:layout>
            <c:manualLayout>
              <c:xMode val="edge"/>
              <c:yMode val="edge"/>
              <c:x val="1.2024879736521436E-2"/>
              <c:y val="0.93230784676505596"/>
            </c:manualLayout>
          </c:layout>
          <c:overlay val="0"/>
        </c:title>
        <c:numFmt formatCode="General" sourceLinked="1"/>
        <c:majorTickMark val="out"/>
        <c:minorTickMark val="none"/>
        <c:tickLblPos val="nextTo"/>
        <c:txPr>
          <a:bodyPr rot="-2700000"/>
          <a:lstStyle/>
          <a:p>
            <a:pPr>
              <a:defRPr/>
            </a:pPr>
            <a:endParaRPr lang="en-US"/>
          </a:p>
        </c:txPr>
        <c:crossAx val="427476480"/>
        <c:crosses val="autoZero"/>
        <c:auto val="1"/>
        <c:lblAlgn val="ctr"/>
        <c:lblOffset val="100"/>
        <c:noMultiLvlLbl val="0"/>
      </c:catAx>
      <c:valAx>
        <c:axId val="427476480"/>
        <c:scaling>
          <c:orientation val="minMax"/>
          <c:max val="200000"/>
        </c:scaling>
        <c:delete val="0"/>
        <c:axPos val="l"/>
        <c:majorGridlines/>
        <c:title>
          <c:tx>
            <c:rich>
              <a:bodyPr rot="-5400000" vert="horz"/>
              <a:lstStyle/>
              <a:p>
                <a:pPr>
                  <a:defRPr/>
                </a:pPr>
                <a:r>
                  <a:rPr lang="en-AU"/>
                  <a:t>A$ millions</a:t>
                </a:r>
              </a:p>
            </c:rich>
          </c:tx>
          <c:overlay val="0"/>
        </c:title>
        <c:numFmt formatCode="0" sourceLinked="0"/>
        <c:majorTickMark val="out"/>
        <c:minorTickMark val="none"/>
        <c:tickLblPos val="nextTo"/>
        <c:crossAx val="427449728"/>
        <c:crosses val="autoZero"/>
        <c:crossBetween val="between"/>
      </c:valAx>
      <c:valAx>
        <c:axId val="1121711920"/>
        <c:scaling>
          <c:orientation val="minMax"/>
          <c:max val="1"/>
        </c:scaling>
        <c:delete val="0"/>
        <c:axPos val="r"/>
        <c:numFmt formatCode="0%" sourceLinked="0"/>
        <c:majorTickMark val="out"/>
        <c:minorTickMark val="none"/>
        <c:tickLblPos val="nextTo"/>
        <c:crossAx val="1116090592"/>
        <c:crosses val="max"/>
        <c:crossBetween val="between"/>
        <c:majorUnit val="0.1"/>
      </c:valAx>
      <c:catAx>
        <c:axId val="1116090592"/>
        <c:scaling>
          <c:orientation val="minMax"/>
        </c:scaling>
        <c:delete val="1"/>
        <c:axPos val="b"/>
        <c:majorTickMark val="out"/>
        <c:minorTickMark val="none"/>
        <c:tickLblPos val="nextTo"/>
        <c:crossAx val="112171192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aseline="0"/>
              <a:t>New Capital Expenditure</a:t>
            </a:r>
            <a:endParaRPr lang="en-AU" sz="1300"/>
          </a:p>
          <a:p>
            <a:pPr>
              <a:defRPr/>
            </a:pPr>
            <a:r>
              <a:rPr lang="en-AU" sz="900"/>
              <a:t>Last 10 Financial Years</a:t>
            </a:r>
          </a:p>
        </c:rich>
      </c:tx>
      <c:overlay val="0"/>
    </c:title>
    <c:autoTitleDeleted val="0"/>
    <c:plotArea>
      <c:layout>
        <c:manualLayout>
          <c:layoutTarget val="inner"/>
          <c:xMode val="edge"/>
          <c:yMode val="edge"/>
          <c:x val="0.1212023046668716"/>
          <c:y val="0.25388530278838756"/>
          <c:w val="0.813906820206033"/>
          <c:h val="0.48000303119924975"/>
        </c:manualLayout>
      </c:layout>
      <c:barChart>
        <c:barDir val="col"/>
        <c:grouping val="stacked"/>
        <c:varyColors val="0"/>
        <c:ser>
          <c:idx val="1"/>
          <c:order val="0"/>
          <c:tx>
            <c:v>Western Australia</c:v>
          </c:tx>
          <c:spPr>
            <a:solidFill>
              <a:srgbClr val="F79646"/>
            </a:solidFill>
          </c:spPr>
          <c:invertIfNegative val="0"/>
          <c:dPt>
            <c:idx val="9"/>
            <c:invertIfNegative val="0"/>
            <c:bubble3D val="0"/>
            <c:extLst>
              <c:ext xmlns:c16="http://schemas.microsoft.com/office/drawing/2014/chart" uri="{C3380CC4-5D6E-409C-BE32-E72D297353CC}">
                <c16:uniqueId val="{00000001-9DB2-4842-85D7-CD7754F4A275}"/>
              </c:ext>
            </c:extLst>
          </c:dPt>
          <c:cat>
            <c:strRef>
              <c:f>'New Capital Expenditure'!$P$8:$P$17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'New Capital Expenditure'!$Q$8:$Q$17</c:f>
              <c:numCache>
                <c:formatCode>#,##0</c:formatCode>
                <c:ptCount val="10"/>
                <c:pt idx="0">
                  <c:v>57079</c:v>
                </c:pt>
                <c:pt idx="1">
                  <c:v>59230</c:v>
                </c:pt>
                <c:pt idx="2">
                  <c:v>56968</c:v>
                </c:pt>
                <c:pt idx="3">
                  <c:v>56228</c:v>
                </c:pt>
                <c:pt idx="4">
                  <c:v>44142</c:v>
                </c:pt>
                <c:pt idx="5">
                  <c:v>29836</c:v>
                </c:pt>
                <c:pt idx="6">
                  <c:v>27986</c:v>
                </c:pt>
                <c:pt idx="7">
                  <c:v>25167</c:v>
                </c:pt>
                <c:pt idx="8">
                  <c:v>26864</c:v>
                </c:pt>
                <c:pt idx="9">
                  <c:v>29247</c:v>
                </c:pt>
              </c:numCache>
            </c:numRef>
          </c:val>
          <c:extLst>
            <c:ext xmlns:c16="http://schemas.microsoft.com/office/drawing/2014/chart" uri="{C3380CC4-5D6E-409C-BE32-E72D297353CC}">
              <c16:uniqueId val="{00000002-9DB2-4842-85D7-CD7754F4A275}"/>
            </c:ext>
          </c:extLst>
        </c:ser>
        <c:ser>
          <c:idx val="2"/>
          <c:order val="1"/>
          <c:tx>
            <c:v>Rest of Australia</c:v>
          </c:tx>
          <c:spPr>
            <a:solidFill>
              <a:srgbClr val="FAC090"/>
            </a:solidFill>
          </c:spPr>
          <c:invertIfNegative val="0"/>
          <c:dPt>
            <c:idx val="9"/>
            <c:invertIfNegative val="0"/>
            <c:bubble3D val="0"/>
            <c:extLst>
              <c:ext xmlns:c16="http://schemas.microsoft.com/office/drawing/2014/chart" uri="{C3380CC4-5D6E-409C-BE32-E72D297353CC}">
                <c16:uniqueId val="{00000004-9DB2-4842-85D7-CD7754F4A275}"/>
              </c:ext>
            </c:extLst>
          </c:dPt>
          <c:cat>
            <c:strRef>
              <c:f>'New Capital Expenditure'!$P$8:$P$17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'New Capital Expenditure'!$R$8:$R$17</c:f>
              <c:numCache>
                <c:formatCode>#,##0</c:formatCode>
                <c:ptCount val="10"/>
                <c:pt idx="0">
                  <c:v>105919</c:v>
                </c:pt>
                <c:pt idx="1">
                  <c:v>108873</c:v>
                </c:pt>
                <c:pt idx="2">
                  <c:v>108972</c:v>
                </c:pt>
                <c:pt idx="3">
                  <c:v>103559</c:v>
                </c:pt>
                <c:pt idx="4">
                  <c:v>92667</c:v>
                </c:pt>
                <c:pt idx="5">
                  <c:v>93955</c:v>
                </c:pt>
                <c:pt idx="6">
                  <c:v>101102</c:v>
                </c:pt>
                <c:pt idx="7">
                  <c:v>108545</c:v>
                </c:pt>
                <c:pt idx="8">
                  <c:v>100821</c:v>
                </c:pt>
                <c:pt idx="9">
                  <c:v>96477</c:v>
                </c:pt>
              </c:numCache>
            </c:numRef>
          </c:val>
          <c:extLst>
            <c:ext xmlns:c16="http://schemas.microsoft.com/office/drawing/2014/chart" uri="{C3380CC4-5D6E-409C-BE32-E72D297353CC}">
              <c16:uniqueId val="{00000005-9DB2-4842-85D7-CD7754F4A275}"/>
            </c:ext>
          </c:extLst>
        </c:ser>
        <c:dLbls>
          <c:showLegendKey val="0"/>
          <c:showVal val="0"/>
          <c:showCatName val="0"/>
          <c:showSerName val="0"/>
          <c:showPercent val="0"/>
          <c:showBubbleSize val="0"/>
        </c:dLbls>
        <c:gapWidth val="150"/>
        <c:overlap val="100"/>
        <c:axId val="428100992"/>
        <c:axId val="428107264"/>
      </c:barChart>
      <c:lineChart>
        <c:grouping val="standard"/>
        <c:varyColors val="0"/>
        <c:ser>
          <c:idx val="0"/>
          <c:order val="2"/>
          <c:tx>
            <c:strRef>
              <c:f>'New Capital Expenditure'!$U$7</c:f>
              <c:strCache>
                <c:ptCount val="1"/>
                <c:pt idx="0">
                  <c:v>Western Australia Share Of Australia</c:v>
                </c:pt>
              </c:strCache>
            </c:strRef>
          </c:tx>
          <c:marker>
            <c:symbol val="none"/>
          </c:marker>
          <c:val>
            <c:numRef>
              <c:f>'New Capital Expenditure'!$U$8:$U$17</c:f>
              <c:numCache>
                <c:formatCode>0%</c:formatCode>
                <c:ptCount val="10"/>
                <c:pt idx="0">
                  <c:v>0.35018221082467271</c:v>
                </c:pt>
                <c:pt idx="1">
                  <c:v>0.35234350368524059</c:v>
                </c:pt>
                <c:pt idx="2">
                  <c:v>0.34330480896709653</c:v>
                </c:pt>
                <c:pt idx="3">
                  <c:v>0.35189345816618373</c:v>
                </c:pt>
                <c:pt idx="4">
                  <c:v>0.32265421134574479</c:v>
                </c:pt>
                <c:pt idx="5">
                  <c:v>0.24101913709397291</c:v>
                </c:pt>
                <c:pt idx="6">
                  <c:v>0.2167978433316807</c:v>
                </c:pt>
                <c:pt idx="7">
                  <c:v>0.18821796099078617</c:v>
                </c:pt>
                <c:pt idx="8">
                  <c:v>0.21039276344128127</c:v>
                </c:pt>
                <c:pt idx="9">
                  <c:v>0.23262861506156343</c:v>
                </c:pt>
              </c:numCache>
            </c:numRef>
          </c:val>
          <c:smooth val="0"/>
          <c:extLst>
            <c:ext xmlns:c16="http://schemas.microsoft.com/office/drawing/2014/chart" uri="{C3380CC4-5D6E-409C-BE32-E72D297353CC}">
              <c16:uniqueId val="{00000002-F669-4B68-9D41-CABD9F4843CE}"/>
            </c:ext>
          </c:extLst>
        </c:ser>
        <c:dLbls>
          <c:showLegendKey val="0"/>
          <c:showVal val="0"/>
          <c:showCatName val="0"/>
          <c:showSerName val="0"/>
          <c:showPercent val="0"/>
          <c:showBubbleSize val="0"/>
        </c:dLbls>
        <c:marker val="1"/>
        <c:smooth val="0"/>
        <c:axId val="1266067824"/>
        <c:axId val="1266061920"/>
      </c:lineChart>
      <c:catAx>
        <c:axId val="428100992"/>
        <c:scaling>
          <c:orientation val="minMax"/>
        </c:scaling>
        <c:delete val="0"/>
        <c:axPos val="b"/>
        <c:title>
          <c:tx>
            <c:rich>
              <a:bodyPr/>
              <a:lstStyle/>
              <a:p>
                <a:pPr>
                  <a:defRPr sz="900"/>
                </a:pPr>
                <a:r>
                  <a:rPr lang="en-AU" sz="900"/>
                  <a:t>Source: ABS</a:t>
                </a:r>
              </a:p>
            </c:rich>
          </c:tx>
          <c:layout>
            <c:manualLayout>
              <c:xMode val="edge"/>
              <c:yMode val="edge"/>
              <c:x val="6.6556320099627198E-3"/>
              <c:y val="0.94566101719889828"/>
            </c:manualLayout>
          </c:layout>
          <c:overlay val="0"/>
        </c:title>
        <c:numFmt formatCode="General" sourceLinked="1"/>
        <c:majorTickMark val="out"/>
        <c:minorTickMark val="none"/>
        <c:tickLblPos val="nextTo"/>
        <c:txPr>
          <a:bodyPr rot="-2700000"/>
          <a:lstStyle/>
          <a:p>
            <a:pPr>
              <a:defRPr/>
            </a:pPr>
            <a:endParaRPr lang="en-US"/>
          </a:p>
        </c:txPr>
        <c:crossAx val="428107264"/>
        <c:crosses val="autoZero"/>
        <c:auto val="1"/>
        <c:lblAlgn val="ctr"/>
        <c:lblOffset val="100"/>
        <c:noMultiLvlLbl val="0"/>
      </c:catAx>
      <c:valAx>
        <c:axId val="428107264"/>
        <c:scaling>
          <c:orientation val="minMax"/>
          <c:max val="200000"/>
        </c:scaling>
        <c:delete val="0"/>
        <c:axPos val="l"/>
        <c:majorGridlines/>
        <c:title>
          <c:tx>
            <c:rich>
              <a:bodyPr rot="-5400000" vert="horz"/>
              <a:lstStyle/>
              <a:p>
                <a:pPr>
                  <a:defRPr/>
                </a:pPr>
                <a:r>
                  <a:rPr lang="en-AU"/>
                  <a:t>A$ millions</a:t>
                </a:r>
              </a:p>
            </c:rich>
          </c:tx>
          <c:layout>
            <c:manualLayout>
              <c:xMode val="edge"/>
              <c:yMode val="edge"/>
              <c:x val="8.2876577364766335E-3"/>
              <c:y val="0.33336034749331406"/>
            </c:manualLayout>
          </c:layout>
          <c:overlay val="0"/>
        </c:title>
        <c:numFmt formatCode="0" sourceLinked="0"/>
        <c:majorTickMark val="out"/>
        <c:minorTickMark val="none"/>
        <c:tickLblPos val="nextTo"/>
        <c:crossAx val="428100992"/>
        <c:crosses val="autoZero"/>
        <c:crossBetween val="between"/>
      </c:valAx>
      <c:valAx>
        <c:axId val="1266061920"/>
        <c:scaling>
          <c:orientation val="minMax"/>
          <c:max val="1"/>
        </c:scaling>
        <c:delete val="0"/>
        <c:axPos val="r"/>
        <c:numFmt formatCode="0%" sourceLinked="0"/>
        <c:majorTickMark val="out"/>
        <c:minorTickMark val="none"/>
        <c:tickLblPos val="nextTo"/>
        <c:crossAx val="1266067824"/>
        <c:crosses val="max"/>
        <c:crossBetween val="between"/>
        <c:majorUnit val="0.1"/>
      </c:valAx>
      <c:catAx>
        <c:axId val="1266067824"/>
        <c:scaling>
          <c:orientation val="minMax"/>
        </c:scaling>
        <c:delete val="1"/>
        <c:axPos val="b"/>
        <c:majorTickMark val="out"/>
        <c:minorTickMark val="none"/>
        <c:tickLblPos val="nextTo"/>
        <c:crossAx val="126606192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v>Western Australia</c:v>
          </c:tx>
          <c:spPr>
            <a:solidFill>
              <a:srgbClr val="F79646"/>
            </a:solidFill>
          </c:spPr>
          <c:invertIfNegative val="0"/>
          <c:cat>
            <c:numRef>
              <c:f>'Mineral Exploration Expenditure'!$H$8:$H$17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'Mineral Exploration Expenditure'!$I$8:$I$17</c:f>
              <c:numCache>
                <c:formatCode>0</c:formatCode>
                <c:ptCount val="10"/>
                <c:pt idx="0">
                  <c:v>1825.3000000000002</c:v>
                </c:pt>
                <c:pt idx="1">
                  <c:v>2052.6</c:v>
                </c:pt>
                <c:pt idx="2">
                  <c:v>1508.2</c:v>
                </c:pt>
                <c:pt idx="3">
                  <c:v>1045.3</c:v>
                </c:pt>
                <c:pt idx="4">
                  <c:v>843.7</c:v>
                </c:pt>
                <c:pt idx="5">
                  <c:v>927.59999999999991</c:v>
                </c:pt>
                <c:pt idx="6">
                  <c:v>1108.7</c:v>
                </c:pt>
                <c:pt idx="7">
                  <c:v>1318.1</c:v>
                </c:pt>
                <c:pt idx="8">
                  <c:v>1648.1999999999998</c:v>
                </c:pt>
                <c:pt idx="9">
                  <c:v>1757.5</c:v>
                </c:pt>
              </c:numCache>
            </c:numRef>
          </c:val>
          <c:extLst>
            <c:ext xmlns:c16="http://schemas.microsoft.com/office/drawing/2014/chart" uri="{C3380CC4-5D6E-409C-BE32-E72D297353CC}">
              <c16:uniqueId val="{00000000-44D6-4F5B-9BDC-B39192186497}"/>
            </c:ext>
          </c:extLst>
        </c:ser>
        <c:ser>
          <c:idx val="2"/>
          <c:order val="1"/>
          <c:tx>
            <c:v>Rest of Australia</c:v>
          </c:tx>
          <c:spPr>
            <a:solidFill>
              <a:srgbClr val="FAC090"/>
            </a:solidFill>
          </c:spPr>
          <c:invertIfNegative val="0"/>
          <c:cat>
            <c:numRef>
              <c:f>'Mineral Exploration Expenditure'!$H$8:$H$17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'Mineral Exploration Expenditure'!$J$8:$J$17</c:f>
              <c:numCache>
                <c:formatCode>0</c:formatCode>
                <c:ptCount val="10"/>
                <c:pt idx="0">
                  <c:v>1748</c:v>
                </c:pt>
                <c:pt idx="1">
                  <c:v>1603.1999999999998</c:v>
                </c:pt>
                <c:pt idx="2">
                  <c:v>1014.4000000000003</c:v>
                </c:pt>
                <c:pt idx="3">
                  <c:v>794.60000000000014</c:v>
                </c:pt>
                <c:pt idx="4">
                  <c:v>594.89999999999986</c:v>
                </c:pt>
                <c:pt idx="5">
                  <c:v>499.30000000000018</c:v>
                </c:pt>
                <c:pt idx="6">
                  <c:v>645.10000000000014</c:v>
                </c:pt>
                <c:pt idx="7">
                  <c:v>865.50000000000045</c:v>
                </c:pt>
                <c:pt idx="8">
                  <c:v>1000.2000000000003</c:v>
                </c:pt>
                <c:pt idx="9">
                  <c:v>1051.3000000000002</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lineChart>
        <c:grouping val="standard"/>
        <c:varyColors val="0"/>
        <c:ser>
          <c:idx val="0"/>
          <c:order val="2"/>
          <c:tx>
            <c:strRef>
              <c:f>'Mineral Exploration Expenditure'!$L$7</c:f>
              <c:strCache>
                <c:ptCount val="1"/>
                <c:pt idx="0">
                  <c:v>Western Australia Share Of Australia</c:v>
                </c:pt>
              </c:strCache>
            </c:strRef>
          </c:tx>
          <c:marker>
            <c:symbol val="none"/>
          </c:marker>
          <c:val>
            <c:numRef>
              <c:f>'Mineral Exploration Expenditure'!$L$8:$L$17</c:f>
              <c:numCache>
                <c:formatCode>0%</c:formatCode>
                <c:ptCount val="10"/>
                <c:pt idx="0">
                  <c:v>0.51081633224190526</c:v>
                </c:pt>
                <c:pt idx="1">
                  <c:v>0.56146397505333989</c:v>
                </c:pt>
                <c:pt idx="2">
                  <c:v>0.59787520811860773</c:v>
                </c:pt>
                <c:pt idx="3">
                  <c:v>0.56812870264688298</c:v>
                </c:pt>
                <c:pt idx="4">
                  <c:v>0.58647295982204928</c:v>
                </c:pt>
                <c:pt idx="5">
                  <c:v>0.65008059429532539</c:v>
                </c:pt>
                <c:pt idx="6">
                  <c:v>0.63217014482837264</c:v>
                </c:pt>
                <c:pt idx="7">
                  <c:v>0.60363619710569683</c:v>
                </c:pt>
                <c:pt idx="8">
                  <c:v>0.6223380154055278</c:v>
                </c:pt>
                <c:pt idx="9">
                  <c:v>0.62571204784961543</c:v>
                </c:pt>
              </c:numCache>
            </c:numRef>
          </c:val>
          <c:smooth val="0"/>
          <c:extLst>
            <c:ext xmlns:c16="http://schemas.microsoft.com/office/drawing/2014/chart" uri="{C3380CC4-5D6E-409C-BE32-E72D297353CC}">
              <c16:uniqueId val="{00000000-8FA2-4150-85F1-40E57B3A554F}"/>
            </c:ext>
          </c:extLst>
        </c:ser>
        <c:dLbls>
          <c:showLegendKey val="0"/>
          <c:showVal val="0"/>
          <c:showCatName val="0"/>
          <c:showSerName val="0"/>
          <c:showPercent val="0"/>
          <c:showBubbleSize val="0"/>
        </c:dLbls>
        <c:marker val="1"/>
        <c:smooth val="0"/>
        <c:axId val="1219056520"/>
        <c:axId val="1219055864"/>
      </c:lineChart>
      <c:catAx>
        <c:axId val="428149760"/>
        <c:scaling>
          <c:orientation val="minMax"/>
        </c:scaling>
        <c:delete val="0"/>
        <c:axPos val="b"/>
        <c:title>
          <c:tx>
            <c:rich>
              <a:bodyPr/>
              <a:lstStyle/>
              <a:p>
                <a:pPr>
                  <a:defRPr sz="900"/>
                </a:pPr>
                <a:r>
                  <a:rPr lang="en-AU" sz="900"/>
                  <a:t>Source: ABS</a:t>
                </a:r>
              </a:p>
            </c:rich>
          </c:tx>
          <c:layout>
            <c:manualLayout>
              <c:xMode val="edge"/>
              <c:yMode val="edge"/>
              <c:x val="1.4153294129373068E-2"/>
              <c:y val="0.93863727629029403"/>
            </c:manualLayout>
          </c:layout>
          <c:overlay val="0"/>
        </c:title>
        <c:numFmt formatCode="General" sourceLinked="1"/>
        <c:majorTickMark val="out"/>
        <c:minorTickMark val="none"/>
        <c:tickLblPos val="nextTo"/>
        <c:txPr>
          <a:bodyPr rot="-2700000"/>
          <a:lstStyle/>
          <a:p>
            <a:pPr>
              <a:defRPr/>
            </a:pPr>
            <a:endParaRPr lang="en-US"/>
          </a:p>
        </c:txPr>
        <c:crossAx val="428151936"/>
        <c:crosses val="autoZero"/>
        <c:auto val="1"/>
        <c:lblAlgn val="ctr"/>
        <c:lblOffset val="100"/>
        <c:noMultiLvlLbl val="0"/>
      </c:catAx>
      <c:valAx>
        <c:axId val="428151936"/>
        <c:scaling>
          <c:orientation val="minMax"/>
          <c:max val="5000"/>
        </c:scaling>
        <c:delete val="0"/>
        <c:axPos val="l"/>
        <c:majorGridlines/>
        <c:title>
          <c:tx>
            <c:rich>
              <a:bodyPr rot="-5400000" vert="horz"/>
              <a:lstStyle/>
              <a:p>
                <a:pPr>
                  <a:defRPr/>
                </a:pPr>
                <a:r>
                  <a:rPr lang="en-AU"/>
                  <a:t>A$ millions</a:t>
                </a:r>
              </a:p>
            </c:rich>
          </c:tx>
          <c:layout>
            <c:manualLayout>
              <c:xMode val="edge"/>
              <c:yMode val="edge"/>
              <c:x val="1.5989340439706862E-2"/>
              <c:y val="0.48196064190685073"/>
            </c:manualLayout>
          </c:layout>
          <c:overlay val="0"/>
        </c:title>
        <c:numFmt formatCode="0" sourceLinked="1"/>
        <c:majorTickMark val="out"/>
        <c:minorTickMark val="none"/>
        <c:tickLblPos val="nextTo"/>
        <c:crossAx val="428149760"/>
        <c:crosses val="autoZero"/>
        <c:crossBetween val="between"/>
      </c:valAx>
      <c:valAx>
        <c:axId val="1219055864"/>
        <c:scaling>
          <c:orientation val="minMax"/>
          <c:max val="1"/>
        </c:scaling>
        <c:delete val="0"/>
        <c:axPos val="r"/>
        <c:numFmt formatCode="0%" sourceLinked="0"/>
        <c:majorTickMark val="out"/>
        <c:minorTickMark val="none"/>
        <c:tickLblPos val="nextTo"/>
        <c:crossAx val="1219056520"/>
        <c:crosses val="max"/>
        <c:crossBetween val="between"/>
        <c:majorUnit val="0.1"/>
      </c:valAx>
      <c:catAx>
        <c:axId val="1219056520"/>
        <c:scaling>
          <c:orientation val="minMax"/>
        </c:scaling>
        <c:delete val="1"/>
        <c:axPos val="b"/>
        <c:majorTickMark val="out"/>
        <c:minorTickMark val="none"/>
        <c:tickLblPos val="nextTo"/>
        <c:crossAx val="12190558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Mineral Exploration Expenditure</a:t>
            </a:r>
          </a:p>
          <a:p>
            <a:pPr>
              <a:defRPr/>
            </a:pPr>
            <a:r>
              <a:rPr lang="en-AU" sz="900"/>
              <a:t>Last 10 Financial Years</a:t>
            </a:r>
          </a:p>
        </c:rich>
      </c:tx>
      <c:layout>
        <c:manualLayout>
          <c:xMode val="edge"/>
          <c:yMode val="edge"/>
          <c:x val="0.27756718721848078"/>
          <c:y val="3.2432334847033006E-2"/>
        </c:manualLayout>
      </c:layout>
      <c:overlay val="0"/>
    </c:title>
    <c:autoTitleDeleted val="0"/>
    <c:plotArea>
      <c:layout/>
      <c:barChart>
        <c:barDir val="col"/>
        <c:grouping val="stacked"/>
        <c:varyColors val="0"/>
        <c:ser>
          <c:idx val="1"/>
          <c:order val="0"/>
          <c:tx>
            <c:v>Western Australia</c:v>
          </c:tx>
          <c:spPr>
            <a:solidFill>
              <a:srgbClr val="F79646"/>
            </a:solidFill>
          </c:spPr>
          <c:invertIfNegative val="0"/>
          <c:cat>
            <c:strRef>
              <c:f>'Mineral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'Mineral Exploration Expenditure'!$O$8:$O$17</c:f>
              <c:numCache>
                <c:formatCode>0</c:formatCode>
                <c:ptCount val="10"/>
                <c:pt idx="0">
                  <c:v>2106.8000000000002</c:v>
                </c:pt>
                <c:pt idx="1">
                  <c:v>1763.4</c:v>
                </c:pt>
                <c:pt idx="2">
                  <c:v>1220</c:v>
                </c:pt>
                <c:pt idx="3">
                  <c:v>917.4</c:v>
                </c:pt>
                <c:pt idx="4">
                  <c:v>871</c:v>
                </c:pt>
                <c:pt idx="5">
                  <c:v>1028.3</c:v>
                </c:pt>
                <c:pt idx="6">
                  <c:v>1203.5</c:v>
                </c:pt>
                <c:pt idx="7">
                  <c:v>1441.9</c:v>
                </c:pt>
                <c:pt idx="8">
                  <c:v>1693.1000000000001</c:v>
                </c:pt>
                <c:pt idx="9">
                  <c:v>2052.1</c:v>
                </c:pt>
              </c:numCache>
            </c:numRef>
          </c:val>
          <c:extLst>
            <c:ext xmlns:c16="http://schemas.microsoft.com/office/drawing/2014/chart" uri="{C3380CC4-5D6E-409C-BE32-E72D297353CC}">
              <c16:uniqueId val="{00000000-5A9B-4906-95F2-59E99F9433E8}"/>
            </c:ext>
          </c:extLst>
        </c:ser>
        <c:ser>
          <c:idx val="2"/>
          <c:order val="1"/>
          <c:tx>
            <c:v>Rest of Australia</c:v>
          </c:tx>
          <c:spPr>
            <a:solidFill>
              <a:srgbClr val="FAC090"/>
            </a:solidFill>
          </c:spPr>
          <c:invertIfNegative val="0"/>
          <c:cat>
            <c:strRef>
              <c:f>'Mineral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'Mineral Exploration Expenditure'!$P$8:$P$17</c:f>
              <c:numCache>
                <c:formatCode>0</c:formatCode>
                <c:ptCount val="10"/>
                <c:pt idx="0">
                  <c:v>1846.1999999999998</c:v>
                </c:pt>
                <c:pt idx="1">
                  <c:v>1292.0000000000005</c:v>
                </c:pt>
                <c:pt idx="2">
                  <c:v>888.80000000000018</c:v>
                </c:pt>
                <c:pt idx="3">
                  <c:v>661.30000000000007</c:v>
                </c:pt>
                <c:pt idx="4">
                  <c:v>550.09999999999991</c:v>
                </c:pt>
                <c:pt idx="5">
                  <c:v>536.79999999999995</c:v>
                </c:pt>
                <c:pt idx="6">
                  <c:v>774.3</c:v>
                </c:pt>
                <c:pt idx="7">
                  <c:v>905.69999999999982</c:v>
                </c:pt>
                <c:pt idx="8">
                  <c:v>1078.7</c:v>
                </c:pt>
                <c:pt idx="9">
                  <c:v>1109.6000000000004</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lineChart>
        <c:grouping val="standard"/>
        <c:varyColors val="0"/>
        <c:ser>
          <c:idx val="0"/>
          <c:order val="2"/>
          <c:tx>
            <c:strRef>
              <c:f>'Mineral Exploration Expenditure'!$R$7</c:f>
              <c:strCache>
                <c:ptCount val="1"/>
                <c:pt idx="0">
                  <c:v>Western Australia Share Of Australia</c:v>
                </c:pt>
              </c:strCache>
            </c:strRef>
          </c:tx>
          <c:marker>
            <c:symbol val="none"/>
          </c:marker>
          <c:val>
            <c:numRef>
              <c:f>'Mineral Exploration Expenditure'!$R$8:$R$17</c:f>
              <c:numCache>
                <c:formatCode>0%</c:formatCode>
                <c:ptCount val="10"/>
                <c:pt idx="0">
                  <c:v>0.53296230710852521</c:v>
                </c:pt>
                <c:pt idx="1">
                  <c:v>0.57714210905282448</c:v>
                </c:pt>
                <c:pt idx="2">
                  <c:v>0.57852807283763275</c:v>
                </c:pt>
                <c:pt idx="3">
                  <c:v>0.58111104072971431</c:v>
                </c:pt>
                <c:pt idx="4">
                  <c:v>0.61290549574273456</c:v>
                </c:pt>
                <c:pt idx="5">
                  <c:v>0.6570187208485081</c:v>
                </c:pt>
                <c:pt idx="6">
                  <c:v>0.60850439882697949</c:v>
                </c:pt>
                <c:pt idx="7">
                  <c:v>0.61420173794513555</c:v>
                </c:pt>
                <c:pt idx="8">
                  <c:v>0.61083050725160548</c:v>
                </c:pt>
                <c:pt idx="9">
                  <c:v>0.64904956194452346</c:v>
                </c:pt>
              </c:numCache>
            </c:numRef>
          </c:val>
          <c:smooth val="0"/>
          <c:extLst>
            <c:ext xmlns:c16="http://schemas.microsoft.com/office/drawing/2014/chart" uri="{C3380CC4-5D6E-409C-BE32-E72D297353CC}">
              <c16:uniqueId val="{00000000-9B4D-4EAE-9950-11804E0BCC6D}"/>
            </c:ext>
          </c:extLst>
        </c:ser>
        <c:dLbls>
          <c:showLegendKey val="0"/>
          <c:showVal val="0"/>
          <c:showCatName val="0"/>
          <c:showSerName val="0"/>
          <c:showPercent val="0"/>
          <c:showBubbleSize val="0"/>
        </c:dLbls>
        <c:marker val="1"/>
        <c:smooth val="0"/>
        <c:axId val="1289495656"/>
        <c:axId val="1289500248"/>
      </c:lineChart>
      <c:catAx>
        <c:axId val="428198144"/>
        <c:scaling>
          <c:orientation val="minMax"/>
        </c:scaling>
        <c:delete val="0"/>
        <c:axPos val="b"/>
        <c:title>
          <c:tx>
            <c:rich>
              <a:bodyPr/>
              <a:lstStyle/>
              <a:p>
                <a:pPr>
                  <a:defRPr sz="900"/>
                </a:pPr>
                <a:r>
                  <a:rPr lang="en-AU" sz="900"/>
                  <a:t>Source: ABS</a:t>
                </a:r>
              </a:p>
            </c:rich>
          </c:tx>
          <c:layout>
            <c:manualLayout>
              <c:xMode val="edge"/>
              <c:yMode val="edge"/>
              <c:x val="1.6818184202657547E-2"/>
              <c:y val="0.93855323640100541"/>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max val="5000"/>
        </c:scaling>
        <c:delete val="0"/>
        <c:axPos val="l"/>
        <c:majorGridlines/>
        <c:title>
          <c:tx>
            <c:rich>
              <a:bodyPr rot="-5400000" vert="horz"/>
              <a:lstStyle/>
              <a:p>
                <a:pPr>
                  <a:defRPr/>
                </a:pPr>
                <a:r>
                  <a:rPr lang="en-AU"/>
                  <a:t>A$ millions</a:t>
                </a:r>
              </a:p>
            </c:rich>
          </c:tx>
          <c:layout>
            <c:manualLayout>
              <c:xMode val="edge"/>
              <c:yMode val="edge"/>
              <c:x val="2.1319120586275817E-2"/>
              <c:y val="0.43391437181463427"/>
            </c:manualLayout>
          </c:layout>
          <c:overlay val="0"/>
        </c:title>
        <c:numFmt formatCode="0" sourceLinked="1"/>
        <c:majorTickMark val="out"/>
        <c:minorTickMark val="none"/>
        <c:tickLblPos val="nextTo"/>
        <c:crossAx val="428198144"/>
        <c:crosses val="autoZero"/>
        <c:crossBetween val="between"/>
      </c:valAx>
      <c:valAx>
        <c:axId val="1289500248"/>
        <c:scaling>
          <c:orientation val="minMax"/>
          <c:max val="1"/>
        </c:scaling>
        <c:delete val="0"/>
        <c:axPos val="r"/>
        <c:numFmt formatCode="0%" sourceLinked="0"/>
        <c:majorTickMark val="out"/>
        <c:minorTickMark val="none"/>
        <c:tickLblPos val="nextTo"/>
        <c:crossAx val="1289495656"/>
        <c:crosses val="max"/>
        <c:crossBetween val="between"/>
      </c:valAx>
      <c:catAx>
        <c:axId val="1289495656"/>
        <c:scaling>
          <c:orientation val="minMax"/>
        </c:scaling>
        <c:delete val="1"/>
        <c:axPos val="b"/>
        <c:majorTickMark val="out"/>
        <c:minorTickMark val="none"/>
        <c:tickLblPos val="nextTo"/>
        <c:crossAx val="12895002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Western Australia</a:t>
            </a:r>
            <a:r>
              <a:rPr lang="en-AU" baseline="0"/>
              <a:t> </a:t>
            </a:r>
            <a:r>
              <a:rPr lang="en-AU"/>
              <a:t>mineral exploration expenditure</a:t>
            </a:r>
            <a:r>
              <a:rPr lang="en-AU" baseline="0"/>
              <a:t> </a:t>
            </a:r>
            <a:endParaRPr lang="en-AU"/>
          </a:p>
        </c:rich>
      </c:tx>
      <c:overlay val="0"/>
    </c:title>
    <c:autoTitleDeleted val="0"/>
    <c:plotArea>
      <c:layout/>
      <c:barChart>
        <c:barDir val="col"/>
        <c:grouping val="clustered"/>
        <c:varyColors val="0"/>
        <c:ser>
          <c:idx val="0"/>
          <c:order val="0"/>
          <c:tx>
            <c:v>Western Australia</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 Expenditure'!$B$12:$B$139</c:f>
              <c:numCache>
                <c:formatCode>mmm\-yyyy</c:formatCode>
                <c:ptCount val="128"/>
                <c:pt idx="0">
                  <c:v>32752</c:v>
                </c:pt>
                <c:pt idx="1">
                  <c:v>32843</c:v>
                </c:pt>
                <c:pt idx="2">
                  <c:v>32933</c:v>
                </c:pt>
                <c:pt idx="3">
                  <c:v>33025</c:v>
                </c:pt>
                <c:pt idx="4">
                  <c:v>33117</c:v>
                </c:pt>
                <c:pt idx="5">
                  <c:v>33208</c:v>
                </c:pt>
                <c:pt idx="6">
                  <c:v>33298</c:v>
                </c:pt>
                <c:pt idx="7">
                  <c:v>33390</c:v>
                </c:pt>
                <c:pt idx="8">
                  <c:v>33482</c:v>
                </c:pt>
                <c:pt idx="9">
                  <c:v>33573</c:v>
                </c:pt>
                <c:pt idx="10">
                  <c:v>33664</c:v>
                </c:pt>
                <c:pt idx="11">
                  <c:v>33756</c:v>
                </c:pt>
                <c:pt idx="12">
                  <c:v>33848</c:v>
                </c:pt>
                <c:pt idx="13">
                  <c:v>33939</c:v>
                </c:pt>
                <c:pt idx="14">
                  <c:v>34029</c:v>
                </c:pt>
                <c:pt idx="15">
                  <c:v>34121</c:v>
                </c:pt>
                <c:pt idx="16">
                  <c:v>34213</c:v>
                </c:pt>
                <c:pt idx="17">
                  <c:v>34304</c:v>
                </c:pt>
                <c:pt idx="18">
                  <c:v>34394</c:v>
                </c:pt>
                <c:pt idx="19">
                  <c:v>34486</c:v>
                </c:pt>
                <c:pt idx="20">
                  <c:v>34578</c:v>
                </c:pt>
                <c:pt idx="21">
                  <c:v>34669</c:v>
                </c:pt>
                <c:pt idx="22">
                  <c:v>34759</c:v>
                </c:pt>
                <c:pt idx="23">
                  <c:v>34851</c:v>
                </c:pt>
                <c:pt idx="24">
                  <c:v>34943</c:v>
                </c:pt>
                <c:pt idx="25">
                  <c:v>35034</c:v>
                </c:pt>
                <c:pt idx="26">
                  <c:v>35125</c:v>
                </c:pt>
                <c:pt idx="27">
                  <c:v>35217</c:v>
                </c:pt>
                <c:pt idx="28">
                  <c:v>35309</c:v>
                </c:pt>
                <c:pt idx="29">
                  <c:v>35400</c:v>
                </c:pt>
                <c:pt idx="30">
                  <c:v>35490</c:v>
                </c:pt>
                <c:pt idx="31">
                  <c:v>35582</c:v>
                </c:pt>
                <c:pt idx="32">
                  <c:v>35674</c:v>
                </c:pt>
                <c:pt idx="33">
                  <c:v>35765</c:v>
                </c:pt>
                <c:pt idx="34">
                  <c:v>35855</c:v>
                </c:pt>
                <c:pt idx="35">
                  <c:v>35947</c:v>
                </c:pt>
                <c:pt idx="36">
                  <c:v>36039</c:v>
                </c:pt>
                <c:pt idx="37">
                  <c:v>36130</c:v>
                </c:pt>
                <c:pt idx="38">
                  <c:v>36220</c:v>
                </c:pt>
                <c:pt idx="39">
                  <c:v>36312</c:v>
                </c:pt>
                <c:pt idx="40">
                  <c:v>36404</c:v>
                </c:pt>
                <c:pt idx="41">
                  <c:v>36495</c:v>
                </c:pt>
                <c:pt idx="42">
                  <c:v>36586</c:v>
                </c:pt>
                <c:pt idx="43">
                  <c:v>36678</c:v>
                </c:pt>
                <c:pt idx="44">
                  <c:v>36770</c:v>
                </c:pt>
                <c:pt idx="45">
                  <c:v>36861</c:v>
                </c:pt>
                <c:pt idx="46">
                  <c:v>36951</c:v>
                </c:pt>
                <c:pt idx="47">
                  <c:v>37043</c:v>
                </c:pt>
                <c:pt idx="48">
                  <c:v>37135</c:v>
                </c:pt>
                <c:pt idx="49">
                  <c:v>37226</c:v>
                </c:pt>
                <c:pt idx="50">
                  <c:v>37316</c:v>
                </c:pt>
                <c:pt idx="51">
                  <c:v>37408</c:v>
                </c:pt>
                <c:pt idx="52">
                  <c:v>37500</c:v>
                </c:pt>
                <c:pt idx="53">
                  <c:v>37591</c:v>
                </c:pt>
                <c:pt idx="54">
                  <c:v>37681</c:v>
                </c:pt>
                <c:pt idx="55">
                  <c:v>37773</c:v>
                </c:pt>
                <c:pt idx="56">
                  <c:v>37865</c:v>
                </c:pt>
                <c:pt idx="57">
                  <c:v>37956</c:v>
                </c:pt>
                <c:pt idx="58">
                  <c:v>38047</c:v>
                </c:pt>
                <c:pt idx="59">
                  <c:v>38139</c:v>
                </c:pt>
                <c:pt idx="60">
                  <c:v>38231</c:v>
                </c:pt>
                <c:pt idx="61">
                  <c:v>38322</c:v>
                </c:pt>
                <c:pt idx="62">
                  <c:v>38412</c:v>
                </c:pt>
                <c:pt idx="63">
                  <c:v>38504</c:v>
                </c:pt>
                <c:pt idx="64">
                  <c:v>38596</c:v>
                </c:pt>
                <c:pt idx="65">
                  <c:v>38687</c:v>
                </c:pt>
                <c:pt idx="66">
                  <c:v>38777</c:v>
                </c:pt>
                <c:pt idx="67">
                  <c:v>38869</c:v>
                </c:pt>
                <c:pt idx="68">
                  <c:v>38961</c:v>
                </c:pt>
                <c:pt idx="69">
                  <c:v>39052</c:v>
                </c:pt>
                <c:pt idx="70">
                  <c:v>39142</c:v>
                </c:pt>
                <c:pt idx="71">
                  <c:v>39234</c:v>
                </c:pt>
                <c:pt idx="72">
                  <c:v>39326</c:v>
                </c:pt>
                <c:pt idx="73">
                  <c:v>39417</c:v>
                </c:pt>
                <c:pt idx="74">
                  <c:v>39508</c:v>
                </c:pt>
                <c:pt idx="75">
                  <c:v>39600</c:v>
                </c:pt>
                <c:pt idx="76">
                  <c:v>39692</c:v>
                </c:pt>
                <c:pt idx="77">
                  <c:v>39783</c:v>
                </c:pt>
                <c:pt idx="78">
                  <c:v>39873</c:v>
                </c:pt>
                <c:pt idx="79">
                  <c:v>39965</c:v>
                </c:pt>
                <c:pt idx="80">
                  <c:v>40057</c:v>
                </c:pt>
                <c:pt idx="81">
                  <c:v>40148</c:v>
                </c:pt>
                <c:pt idx="82">
                  <c:v>40238</c:v>
                </c:pt>
                <c:pt idx="83">
                  <c:v>40330</c:v>
                </c:pt>
                <c:pt idx="84">
                  <c:v>40422</c:v>
                </c:pt>
                <c:pt idx="85">
                  <c:v>40513</c:v>
                </c:pt>
                <c:pt idx="86">
                  <c:v>40603</c:v>
                </c:pt>
                <c:pt idx="87">
                  <c:v>40695</c:v>
                </c:pt>
                <c:pt idx="88">
                  <c:v>40787</c:v>
                </c:pt>
                <c:pt idx="89">
                  <c:v>40878</c:v>
                </c:pt>
                <c:pt idx="90">
                  <c:v>40969</c:v>
                </c:pt>
                <c:pt idx="91">
                  <c:v>41061</c:v>
                </c:pt>
                <c:pt idx="92">
                  <c:v>41153</c:v>
                </c:pt>
                <c:pt idx="93">
                  <c:v>41244</c:v>
                </c:pt>
                <c:pt idx="94">
                  <c:v>41334</c:v>
                </c:pt>
                <c:pt idx="95">
                  <c:v>41426</c:v>
                </c:pt>
                <c:pt idx="96">
                  <c:v>41518</c:v>
                </c:pt>
                <c:pt idx="97">
                  <c:v>41609</c:v>
                </c:pt>
                <c:pt idx="98">
                  <c:v>41699</c:v>
                </c:pt>
                <c:pt idx="99">
                  <c:v>41791</c:v>
                </c:pt>
                <c:pt idx="100">
                  <c:v>41883</c:v>
                </c:pt>
                <c:pt idx="101">
                  <c:v>41974</c:v>
                </c:pt>
                <c:pt idx="102">
                  <c:v>42064</c:v>
                </c:pt>
                <c:pt idx="103">
                  <c:v>42156</c:v>
                </c:pt>
                <c:pt idx="104">
                  <c:v>42248</c:v>
                </c:pt>
                <c:pt idx="105">
                  <c:v>42339</c:v>
                </c:pt>
                <c:pt idx="106">
                  <c:v>42430</c:v>
                </c:pt>
                <c:pt idx="107">
                  <c:v>42522</c:v>
                </c:pt>
                <c:pt idx="108">
                  <c:v>42614</c:v>
                </c:pt>
                <c:pt idx="109">
                  <c:v>42705</c:v>
                </c:pt>
                <c:pt idx="110">
                  <c:v>42795</c:v>
                </c:pt>
                <c:pt idx="111">
                  <c:v>42887</c:v>
                </c:pt>
                <c:pt idx="112">
                  <c:v>42979</c:v>
                </c:pt>
                <c:pt idx="113">
                  <c:v>43070</c:v>
                </c:pt>
                <c:pt idx="114">
                  <c:v>43160</c:v>
                </c:pt>
                <c:pt idx="115">
                  <c:v>43252</c:v>
                </c:pt>
                <c:pt idx="116">
                  <c:v>43344</c:v>
                </c:pt>
                <c:pt idx="117">
                  <c:v>43435</c:v>
                </c:pt>
                <c:pt idx="118">
                  <c:v>43525</c:v>
                </c:pt>
                <c:pt idx="119">
                  <c:v>43617</c:v>
                </c:pt>
                <c:pt idx="120">
                  <c:v>43709</c:v>
                </c:pt>
                <c:pt idx="121">
                  <c:v>43800</c:v>
                </c:pt>
                <c:pt idx="122">
                  <c:v>43891</c:v>
                </c:pt>
                <c:pt idx="123">
                  <c:v>43983</c:v>
                </c:pt>
                <c:pt idx="124">
                  <c:v>44075</c:v>
                </c:pt>
                <c:pt idx="125">
                  <c:v>44166</c:v>
                </c:pt>
                <c:pt idx="126">
                  <c:v>44256</c:v>
                </c:pt>
                <c:pt idx="127">
                  <c:v>44348</c:v>
                </c:pt>
              </c:numCache>
            </c:numRef>
          </c:cat>
          <c:val>
            <c:numRef>
              <c:f>'Mineral Exploration Expenditure'!$C$8:$C$151</c:f>
              <c:numCache>
                <c:formatCode>#,##0</c:formatCode>
                <c:ptCount val="144"/>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349.8</c:v>
                </c:pt>
                <c:pt idx="120">
                  <c:v>361</c:v>
                </c:pt>
                <c:pt idx="121">
                  <c:v>346.3</c:v>
                </c:pt>
                <c:pt idx="122">
                  <c:v>319.5</c:v>
                </c:pt>
                <c:pt idx="123">
                  <c:v>415.1</c:v>
                </c:pt>
                <c:pt idx="124">
                  <c:v>459.7</c:v>
                </c:pt>
                <c:pt idx="125">
                  <c:v>453.9</c:v>
                </c:pt>
                <c:pt idx="126">
                  <c:v>367.1</c:v>
                </c:pt>
                <c:pt idx="127">
                  <c:v>412.4</c:v>
                </c:pt>
                <c:pt idx="128">
                  <c:v>483.3</c:v>
                </c:pt>
                <c:pt idx="129">
                  <c:v>494.7</c:v>
                </c:pt>
                <c:pt idx="130">
                  <c:v>480.2</c:v>
                </c:pt>
                <c:pt idx="131">
                  <c:v>593.9</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Western Australia Share of Australia</c:v>
          </c:tx>
          <c:spPr>
            <a:ln>
              <a:solidFill>
                <a:srgbClr val="FAC090"/>
              </a:solidFill>
            </a:ln>
          </c:spPr>
          <c:marker>
            <c:symbol val="none"/>
          </c:marker>
          <c:val>
            <c:numRef>
              <c:f>'Mineral Exploration Expenditure'!$F$12:$F$139</c:f>
              <c:numCache>
                <c:formatCode>0%</c:formatCode>
                <c:ptCount val="128"/>
                <c:pt idx="0">
                  <c:v>0.52320954907161799</c:v>
                </c:pt>
                <c:pt idx="1">
                  <c:v>0.49000605693519084</c:v>
                </c:pt>
                <c:pt idx="2">
                  <c:v>0.5196911196911197</c:v>
                </c:pt>
                <c:pt idx="3">
                  <c:v>0.54472547809993832</c:v>
                </c:pt>
                <c:pt idx="4">
                  <c:v>0.54836464857341682</c:v>
                </c:pt>
                <c:pt idx="5">
                  <c:v>0.50479616306954433</c:v>
                </c:pt>
                <c:pt idx="6">
                  <c:v>0.53712480252764616</c:v>
                </c:pt>
                <c:pt idx="7">
                  <c:v>0.56986634264884573</c:v>
                </c:pt>
                <c:pt idx="8">
                  <c:v>0.57301173402868322</c:v>
                </c:pt>
                <c:pt idx="9">
                  <c:v>0.53654080389768577</c:v>
                </c:pt>
                <c:pt idx="10">
                  <c:v>0.55307262569832405</c:v>
                </c:pt>
                <c:pt idx="11">
                  <c:v>0.54285714285714293</c:v>
                </c:pt>
                <c:pt idx="12">
                  <c:v>0.53760099440646358</c:v>
                </c:pt>
                <c:pt idx="13">
                  <c:v>0.52462772050400919</c:v>
                </c:pt>
                <c:pt idx="14">
                  <c:v>0.60325203252032522</c:v>
                </c:pt>
                <c:pt idx="15">
                  <c:v>0.55279861511829198</c:v>
                </c:pt>
                <c:pt idx="16">
                  <c:v>0.58879999999999999</c:v>
                </c:pt>
                <c:pt idx="17">
                  <c:v>0.5696505505026328</c:v>
                </c:pt>
                <c:pt idx="18">
                  <c:v>0.57460136674259688</c:v>
                </c:pt>
                <c:pt idx="19">
                  <c:v>0.55938349954669087</c:v>
                </c:pt>
                <c:pt idx="20">
                  <c:v>0.56390977443609025</c:v>
                </c:pt>
                <c:pt idx="21">
                  <c:v>0.54435831180017236</c:v>
                </c:pt>
                <c:pt idx="22">
                  <c:v>0.55859169732002101</c:v>
                </c:pt>
                <c:pt idx="23">
                  <c:v>0.55314799672935411</c:v>
                </c:pt>
                <c:pt idx="24">
                  <c:v>0.55041831792162044</c:v>
                </c:pt>
                <c:pt idx="25">
                  <c:v>0.56214566070649807</c:v>
                </c:pt>
                <c:pt idx="26">
                  <c:v>0.54155251141552507</c:v>
                </c:pt>
                <c:pt idx="27">
                  <c:v>0.51597051597051602</c:v>
                </c:pt>
                <c:pt idx="28">
                  <c:v>0.5937272064186726</c:v>
                </c:pt>
                <c:pt idx="29">
                  <c:v>0.59362139917695467</c:v>
                </c:pt>
                <c:pt idx="30">
                  <c:v>0.61205432937181659</c:v>
                </c:pt>
                <c:pt idx="31">
                  <c:v>0.60944700460829493</c:v>
                </c:pt>
                <c:pt idx="32">
                  <c:v>0.60536779324055656</c:v>
                </c:pt>
                <c:pt idx="33">
                  <c:v>0.5755319148936171</c:v>
                </c:pt>
                <c:pt idx="34">
                  <c:v>0.64428312159709622</c:v>
                </c:pt>
                <c:pt idx="35">
                  <c:v>0.66031987814166027</c:v>
                </c:pt>
                <c:pt idx="36">
                  <c:v>0.65324289953370063</c:v>
                </c:pt>
                <c:pt idx="37">
                  <c:v>0.65651085141903176</c:v>
                </c:pt>
                <c:pt idx="38">
                  <c:v>0.61147638971906748</c:v>
                </c:pt>
                <c:pt idx="39">
                  <c:v>0.56102564102564101</c:v>
                </c:pt>
                <c:pt idx="40">
                  <c:v>0.59911160466407554</c:v>
                </c:pt>
                <c:pt idx="41">
                  <c:v>0.61503674392312035</c:v>
                </c:pt>
                <c:pt idx="42">
                  <c:v>0.62179956108266277</c:v>
                </c:pt>
                <c:pt idx="43">
                  <c:v>0.62014230979748219</c:v>
                </c:pt>
                <c:pt idx="44">
                  <c:v>0.61484098939929333</c:v>
                </c:pt>
                <c:pt idx="45">
                  <c:v>0.63034188034188043</c:v>
                </c:pt>
                <c:pt idx="46">
                  <c:v>0.63275261324041809</c:v>
                </c:pt>
                <c:pt idx="47">
                  <c:v>0.60667396061269141</c:v>
                </c:pt>
                <c:pt idx="48">
                  <c:v>0.61708482676224607</c:v>
                </c:pt>
                <c:pt idx="49">
                  <c:v>0.60632688927943768</c:v>
                </c:pt>
                <c:pt idx="50">
                  <c:v>0.61475409836065575</c:v>
                </c:pt>
                <c:pt idx="51">
                  <c:v>0.54545454545454541</c:v>
                </c:pt>
                <c:pt idx="52">
                  <c:v>0.60196828868233998</c:v>
                </c:pt>
                <c:pt idx="53">
                  <c:v>0.57624481327800825</c:v>
                </c:pt>
                <c:pt idx="54">
                  <c:v>0.59191655801825294</c:v>
                </c:pt>
                <c:pt idx="55">
                  <c:v>0.54786450662739328</c:v>
                </c:pt>
                <c:pt idx="56">
                  <c:v>0.60378408458542021</c:v>
                </c:pt>
                <c:pt idx="57">
                  <c:v>0.61152882205513781</c:v>
                </c:pt>
                <c:pt idx="58">
                  <c:v>0.57680812910938428</c:v>
                </c:pt>
                <c:pt idx="59">
                  <c:v>0.57785179017485433</c:v>
                </c:pt>
                <c:pt idx="60">
                  <c:v>0.58900836320191163</c:v>
                </c:pt>
                <c:pt idx="61">
                  <c:v>0.60084355828220848</c:v>
                </c:pt>
                <c:pt idx="62">
                  <c:v>0.59521700620017715</c:v>
                </c:pt>
                <c:pt idx="63">
                  <c:v>0.57447540419676646</c:v>
                </c:pt>
                <c:pt idx="64">
                  <c:v>0.52876712328767128</c:v>
                </c:pt>
                <c:pt idx="65">
                  <c:v>0.48229548229548225</c:v>
                </c:pt>
                <c:pt idx="66">
                  <c:v>0.46075085324232085</c:v>
                </c:pt>
                <c:pt idx="67">
                  <c:v>0.43732512590934536</c:v>
                </c:pt>
                <c:pt idx="68">
                  <c:v>0.48200709579320827</c:v>
                </c:pt>
                <c:pt idx="69">
                  <c:v>0.48482820169567159</c:v>
                </c:pt>
                <c:pt idx="70">
                  <c:v>0.48713782832385594</c:v>
                </c:pt>
                <c:pt idx="71">
                  <c:v>0.50109452736318405</c:v>
                </c:pt>
                <c:pt idx="72">
                  <c:v>0.52058927937522192</c:v>
                </c:pt>
                <c:pt idx="73">
                  <c:v>0.50135804441604093</c:v>
                </c:pt>
                <c:pt idx="74">
                  <c:v>0.49889705882352936</c:v>
                </c:pt>
                <c:pt idx="75">
                  <c:v>0.52355445680538382</c:v>
                </c:pt>
                <c:pt idx="76">
                  <c:v>0.55809219136251276</c:v>
                </c:pt>
                <c:pt idx="77">
                  <c:v>0.56129529683885893</c:v>
                </c:pt>
                <c:pt idx="78">
                  <c:v>0.55563816604708793</c:v>
                </c:pt>
                <c:pt idx="79">
                  <c:v>0.56835573940020689</c:v>
                </c:pt>
                <c:pt idx="80">
                  <c:v>0.5362396842482956</c:v>
                </c:pt>
                <c:pt idx="81">
                  <c:v>0.55580511402902555</c:v>
                </c:pt>
                <c:pt idx="82">
                  <c:v>0.5597648595689092</c:v>
                </c:pt>
                <c:pt idx="83">
                  <c:v>0.57494898760006274</c:v>
                </c:pt>
                <c:pt idx="84">
                  <c:v>0.57454436809082765</c:v>
                </c:pt>
                <c:pt idx="85">
                  <c:v>0.54348426283821094</c:v>
                </c:pt>
                <c:pt idx="86">
                  <c:v>0.55714505460698349</c:v>
                </c:pt>
                <c:pt idx="87">
                  <c:v>0.49548159576812878</c:v>
                </c:pt>
                <c:pt idx="88">
                  <c:v>0.48972950986373809</c:v>
                </c:pt>
                <c:pt idx="89">
                  <c:v>0.51520728399845017</c:v>
                </c:pt>
                <c:pt idx="90">
                  <c:v>0.55941102613856863</c:v>
                </c:pt>
                <c:pt idx="91">
                  <c:v>0.56846668551503166</c:v>
                </c:pt>
                <c:pt idx="92">
                  <c:v>0.54610483961104284</c:v>
                </c:pt>
                <c:pt idx="93">
                  <c:v>0.5713071974754218</c:v>
                </c:pt>
                <c:pt idx="94">
                  <c:v>0.6274918179113359</c:v>
                </c:pt>
                <c:pt idx="95">
                  <c:v>0.575233222991273</c:v>
                </c:pt>
                <c:pt idx="96">
                  <c:v>0.6199874686716792</c:v>
                </c:pt>
                <c:pt idx="97">
                  <c:v>0.56320789185239317</c:v>
                </c:pt>
                <c:pt idx="98">
                  <c:v>0.50539215686274508</c:v>
                </c:pt>
                <c:pt idx="99">
                  <c:v>0.6013592233009708</c:v>
                </c:pt>
                <c:pt idx="100">
                  <c:v>0.58357002403320957</c:v>
                </c:pt>
                <c:pt idx="101">
                  <c:v>0.57121080139372826</c:v>
                </c:pt>
                <c:pt idx="102">
                  <c:v>0.57664463330185711</c:v>
                </c:pt>
                <c:pt idx="103">
                  <c:v>0.59517582098227262</c:v>
                </c:pt>
                <c:pt idx="104">
                  <c:v>0.59162436548223352</c:v>
                </c:pt>
                <c:pt idx="105">
                  <c:v>0.58150470219435735</c:v>
                </c:pt>
                <c:pt idx="106">
                  <c:v>0.64428374655647391</c:v>
                </c:pt>
                <c:pt idx="107">
                  <c:v>0.64481491946877645</c:v>
                </c:pt>
                <c:pt idx="108">
                  <c:v>0.65559947299077737</c:v>
                </c:pt>
                <c:pt idx="109">
                  <c:v>0.65368394939221031</c:v>
                </c:pt>
                <c:pt idx="110">
                  <c:v>0.66646919431279616</c:v>
                </c:pt>
                <c:pt idx="111">
                  <c:v>0.6540795684423466</c:v>
                </c:pt>
                <c:pt idx="112">
                  <c:v>0.61910774410774405</c:v>
                </c:pt>
                <c:pt idx="113">
                  <c:v>0.60169320701471474</c:v>
                </c:pt>
                <c:pt idx="114">
                  <c:v>0.59493959425575571</c:v>
                </c:pt>
                <c:pt idx="115">
                  <c:v>0.61606199365973946</c:v>
                </c:pt>
                <c:pt idx="116">
                  <c:v>0.61772758384668036</c:v>
                </c:pt>
                <c:pt idx="117">
                  <c:v>0.58427535009279563</c:v>
                </c:pt>
                <c:pt idx="118">
                  <c:v>0.63179750840419224</c:v>
                </c:pt>
                <c:pt idx="119">
                  <c:v>0.62439831528279188</c:v>
                </c:pt>
                <c:pt idx="120">
                  <c:v>0.63424392935982343</c:v>
                </c:pt>
                <c:pt idx="121">
                  <c:v>0.60270880361173806</c:v>
                </c:pt>
                <c:pt idx="122">
                  <c:v>0.6012119226989846</c:v>
                </c:pt>
                <c:pt idx="123">
                  <c:v>0.60354163617737455</c:v>
                </c:pt>
                <c:pt idx="124">
                  <c:v>0.64881192106323005</c:v>
                </c:pt>
                <c:pt idx="125">
                  <c:v>0.64246753246753241</c:v>
                </c:pt>
                <c:pt idx="126">
                  <c:v>0.65351115949918348</c:v>
                </c:pt>
                <c:pt idx="127">
                  <c:v>0.65120614035087721</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min val="33573"/>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0"/>
        <c:lblOffset val="100"/>
        <c:baseTimeUnit val="months"/>
        <c:majorUnit val="6"/>
        <c:majorTimeUnit val="months"/>
        <c:minorUnit val="3"/>
        <c:minorTimeUnit val="months"/>
      </c:dateAx>
      <c:valAx>
        <c:axId val="428579840"/>
        <c:scaling>
          <c:orientation val="minMax"/>
        </c:scaling>
        <c:delete val="0"/>
        <c:axPos val="l"/>
        <c:majorGridlines/>
        <c:title>
          <c:tx>
            <c:rich>
              <a:bodyPr rot="-5400000" vert="horz"/>
              <a:lstStyle/>
              <a:p>
                <a:pPr>
                  <a:defRPr/>
                </a:pPr>
                <a:r>
                  <a:rPr lang="en-AU"/>
                  <a:t>A$ millions</a:t>
                </a:r>
              </a:p>
            </c:rich>
          </c:tx>
          <c:layout>
            <c:manualLayout>
              <c:xMode val="edge"/>
              <c:yMode val="edge"/>
              <c:x val="1.0376134889753566E-2"/>
              <c:y val="0.37640144908955442"/>
            </c:manualLayout>
          </c:layout>
          <c:overlay val="0"/>
        </c:title>
        <c:numFmt formatCode="#,##0" sourceLinked="0"/>
        <c:majorTickMark val="out"/>
        <c:minorTickMark val="none"/>
        <c:tickLblPos val="nextTo"/>
        <c:crossAx val="428578304"/>
        <c:crossesAt val="33573"/>
        <c:crossBetween val="midCat"/>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layout>
        <c:manualLayout>
          <c:xMode val="edge"/>
          <c:yMode val="edge"/>
          <c:x val="0.15360131539977737"/>
          <c:y val="0.92083062781834868"/>
          <c:w val="0.69279736920044532"/>
          <c:h val="5.2860372869644318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E468-431B-A6E3-C72B06E81705}"/>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E468-431B-A6E3-C72B06E81705}"/>
              </c:ext>
            </c:extLst>
          </c:dPt>
          <c:dLbls>
            <c:dLbl>
              <c:idx val="0"/>
              <c:layout>
                <c:manualLayout>
                  <c:x val="0.19215688647915832"/>
                  <c:y val="-7.7250177225301823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68-431B-A6E3-C72B06E81705}"/>
                </c:ext>
              </c:extLst>
            </c:dLbl>
            <c:dLbl>
              <c:idx val="1"/>
              <c:layout>
                <c:manualLayout>
                  <c:x val="-9.0588246483031834E-2"/>
                  <c:y val="-8.50512710427600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68-431B-A6E3-C72B06E8170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Commodity'!$D$10,'Min. Expl. By Commodity'!$D$11)</c:f>
              <c:numCache>
                <c:formatCode>#,##0</c:formatCode>
                <c:ptCount val="2"/>
                <c:pt idx="0">
                  <c:v>185.2</c:v>
                </c:pt>
                <c:pt idx="1">
                  <c:v>24.700000000000017</c:v>
                </c:pt>
              </c:numCache>
            </c:numRef>
          </c:val>
          <c:extLst>
            <c:ext xmlns:c16="http://schemas.microsoft.com/office/drawing/2014/chart" uri="{C3380CC4-5D6E-409C-BE32-E72D297353CC}">
              <c16:uniqueId val="{00000004-E468-431B-A6E3-C72B06E8170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29A-4A83-99E3-5EB2B1AD8F55}"/>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29A-4A83-99E3-5EB2B1AD8F55}"/>
              </c:ext>
            </c:extLst>
          </c:dPt>
          <c:dLbls>
            <c:dLbl>
              <c:idx val="1"/>
              <c:layout>
                <c:manualLayout>
                  <c:x val="-5.2746386063762141E-2"/>
                  <c:y val="-0.11740041928721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9A-4A83-99E3-5EB2B1AD8F5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Commodity'!$F$10,'Min. Expl. By Commodity'!$F$11)</c:f>
              <c:numCache>
                <c:formatCode>#,##0</c:formatCode>
                <c:ptCount val="2"/>
                <c:pt idx="0">
                  <c:v>455</c:v>
                </c:pt>
                <c:pt idx="1">
                  <c:v>18.199999999999989</c:v>
                </c:pt>
              </c:numCache>
            </c:numRef>
          </c:val>
          <c:extLst>
            <c:ext xmlns:c16="http://schemas.microsoft.com/office/drawing/2014/chart" uri="{C3380CC4-5D6E-409C-BE32-E72D297353CC}">
              <c16:uniqueId val="{00000004-629A-4A83-99E3-5EB2B1AD8F5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Copper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F77F-412A-AFB2-4DFB7740D377}"/>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F77F-412A-AFB2-4DFB7740D377}"/>
              </c:ext>
            </c:extLst>
          </c:dPt>
          <c:dLbls>
            <c:dLbl>
              <c:idx val="0"/>
              <c:layout>
                <c:manualLayout>
                  <c:x val="0.10644257703081222"/>
                  <c:y val="-0.137071651090342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7F-412A-AFB2-4DFB7740D377}"/>
                </c:ext>
              </c:extLst>
            </c:dLbl>
            <c:dLbl>
              <c:idx val="1"/>
              <c:layout>
                <c:manualLayout>
                  <c:x val="-0.13419704889829945"/>
                  <c:y val="4.15368639667705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7F-412A-AFB2-4DFB7740D37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Commodity'!$B$10,'Min. Expl. By Commodity'!$B$11)</c:f>
              <c:numCache>
                <c:formatCode>#,##0</c:formatCode>
                <c:ptCount val="2"/>
                <c:pt idx="0">
                  <c:v>147.5</c:v>
                </c:pt>
                <c:pt idx="1">
                  <c:v>229.39999999999998</c:v>
                </c:pt>
              </c:numCache>
            </c:numRef>
          </c:val>
          <c:extLst>
            <c:ext xmlns:c16="http://schemas.microsoft.com/office/drawing/2014/chart" uri="{C3380CC4-5D6E-409C-BE32-E72D297353CC}">
              <c16:uniqueId val="{00000004-F77F-412A-AFB2-4DFB7740D37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5643-4D84-80CA-8BD2B0166987}"/>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5643-4D84-80CA-8BD2B0166987}"/>
              </c:ext>
            </c:extLst>
          </c:dPt>
          <c:dLbls>
            <c:dLbl>
              <c:idx val="0"/>
              <c:layout>
                <c:manualLayout>
                  <c:x val="-9.3418238200235565E-2"/>
                  <c:y val="7.56075393218737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43-4D84-80CA-8BD2B0166987}"/>
                </c:ext>
              </c:extLst>
            </c:dLbl>
            <c:dLbl>
              <c:idx val="1"/>
              <c:layout>
                <c:manualLayout>
                  <c:x val="-0.11606508382453509"/>
                  <c:y val="-7.14071204706586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43-4D84-80CA-8BD2B016698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Commodity'!$E$10,'Min. Expl. By Commodity'!$E$11)</c:f>
              <c:numCache>
                <c:formatCode>#,##0</c:formatCode>
                <c:ptCount val="2"/>
                <c:pt idx="0">
                  <c:v>1071.5</c:v>
                </c:pt>
                <c:pt idx="1">
                  <c:v>458.09999999999991</c:v>
                </c:pt>
              </c:numCache>
            </c:numRef>
          </c:val>
          <c:extLst>
            <c:ext xmlns:c16="http://schemas.microsoft.com/office/drawing/2014/chart" uri="{C3380CC4-5D6E-409C-BE32-E72D297353CC}">
              <c16:uniqueId val="{00000004-5643-4D84-80CA-8BD2B016698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 Comparison'!$AA$9</c:f>
          <c:strCache>
            <c:ptCount val="1"/>
            <c:pt idx="0">
              <c:v>Average price change of selected commodities 
2019/20 to 2020/21</c:v>
            </c:pt>
          </c:strCache>
        </c:strRef>
      </c:tx>
      <c:overlay val="1"/>
      <c:txPr>
        <a:bodyPr/>
        <a:lstStyle/>
        <a:p>
          <a:pPr algn="ctr">
            <a:defRPr sz="1600"/>
          </a:pPr>
          <a:endParaRPr lang="en-US"/>
        </a:p>
      </c:txPr>
    </c:title>
    <c:autoTitleDeleted val="0"/>
    <c:plotArea>
      <c:layout>
        <c:manualLayout>
          <c:layoutTarget val="inner"/>
          <c:xMode val="edge"/>
          <c:yMode val="edge"/>
          <c:x val="0.10430543516832559"/>
          <c:y val="0.1914357337001151"/>
          <c:w val="0.8599949547540866"/>
          <c:h val="0.54968851127808294"/>
        </c:manualLayout>
      </c:layout>
      <c:barChart>
        <c:barDir val="col"/>
        <c:grouping val="clustered"/>
        <c:varyColors val="0"/>
        <c:ser>
          <c:idx val="0"/>
          <c:order val="0"/>
          <c:tx>
            <c:strRef>
              <c:f>'Commodity Price Comparison'!$G$11</c:f>
              <c:strCache>
                <c:ptCount val="1"/>
                <c:pt idx="0">
                  <c:v>US$</c:v>
                </c:pt>
              </c:strCache>
            </c:strRef>
          </c:tx>
          <c:invertIfNegative val="0"/>
          <c:cat>
            <c:strRef>
              <c:f>'Commodity Price Comparison'!$A$12:$A$26</c:f>
              <c:strCache>
                <c:ptCount val="15"/>
                <c:pt idx="0">
                  <c:v>Alumina</c:v>
                </c:pt>
                <c:pt idx="1">
                  <c:v>Copper</c:v>
                </c:pt>
                <c:pt idx="2">
                  <c:v>Lead</c:v>
                </c:pt>
                <c:pt idx="3">
                  <c:v>Zinc</c:v>
                </c:pt>
                <c:pt idx="4">
                  <c:v>Gold</c:v>
                </c:pt>
                <c:pt idx="5">
                  <c:v>Nickel</c:v>
                </c:pt>
                <c:pt idx="6">
                  <c:v>Rutile</c:v>
                </c:pt>
                <c:pt idx="7">
                  <c:v>Zircon</c:v>
                </c:pt>
                <c:pt idx="8">
                  <c:v>TiO2</c:v>
                </c:pt>
                <c:pt idx="9">
                  <c:v>Iron ore fines China 62%</c:v>
                </c:pt>
                <c:pt idx="10">
                  <c:v>Iron ore fines China 58%</c:v>
                </c:pt>
                <c:pt idx="11">
                  <c:v>Lithium Hydroxide</c:v>
                </c:pt>
                <c:pt idx="12">
                  <c:v>Spodumene Concentrate</c:v>
                </c:pt>
                <c:pt idx="13">
                  <c:v>Cobalt</c:v>
                </c:pt>
                <c:pt idx="14">
                  <c:v>Crude oil</c:v>
                </c:pt>
              </c:strCache>
            </c:strRef>
          </c:cat>
          <c:val>
            <c:numRef>
              <c:f>'Commodity Price Comparison'!$G$12:$G$26</c:f>
              <c:numCache>
                <c:formatCode>0.0%</c:formatCode>
                <c:ptCount val="15"/>
                <c:pt idx="0">
                  <c:v>3.8226542633006057E-3</c:v>
                </c:pt>
                <c:pt idx="1">
                  <c:v>0.40634226954645597</c:v>
                </c:pt>
                <c:pt idx="2">
                  <c:v>4.5104475158831904E-2</c:v>
                </c:pt>
                <c:pt idx="3">
                  <c:v>0.20503231157942825</c:v>
                </c:pt>
                <c:pt idx="4">
                  <c:v>0.18412427473899751</c:v>
                </c:pt>
                <c:pt idx="5">
                  <c:v>0.16536608075847459</c:v>
                </c:pt>
                <c:pt idx="6">
                  <c:v>-2.3341689247201754E-2</c:v>
                </c:pt>
                <c:pt idx="7">
                  <c:v>-7.9523003503015804E-2</c:v>
                </c:pt>
                <c:pt idx="8">
                  <c:v>5.3127047288687688E-3</c:v>
                </c:pt>
                <c:pt idx="9">
                  <c:v>0.66752074511602011</c:v>
                </c:pt>
                <c:pt idx="10">
                  <c:v>0.69643114710187204</c:v>
                </c:pt>
                <c:pt idx="11">
                  <c:v>7.4365409745415417E-2</c:v>
                </c:pt>
                <c:pt idx="12">
                  <c:v>-6.5361215662975772E-2</c:v>
                </c:pt>
                <c:pt idx="13">
                  <c:v>0.21421783629151248</c:v>
                </c:pt>
                <c:pt idx="14">
                  <c:v>-9.2707419618285984E-3</c:v>
                </c:pt>
              </c:numCache>
            </c:numRef>
          </c:val>
          <c:extLst>
            <c:ext xmlns:c16="http://schemas.microsoft.com/office/drawing/2014/chart" uri="{C3380CC4-5D6E-409C-BE32-E72D297353CC}">
              <c16:uniqueId val="{00000000-F306-4EE9-B8CB-F2F435AD0D1A}"/>
            </c:ext>
          </c:extLst>
        </c:ser>
        <c:ser>
          <c:idx val="1"/>
          <c:order val="1"/>
          <c:tx>
            <c:strRef>
              <c:f>'Commodity Price Comparison'!$H$11</c:f>
              <c:strCache>
                <c:ptCount val="1"/>
                <c:pt idx="0">
                  <c:v>A$</c:v>
                </c:pt>
              </c:strCache>
            </c:strRef>
          </c:tx>
          <c:invertIfNegative val="0"/>
          <c:cat>
            <c:strRef>
              <c:f>'Commodity Price Comparison'!$A$12:$A$26</c:f>
              <c:strCache>
                <c:ptCount val="15"/>
                <c:pt idx="0">
                  <c:v>Alumina</c:v>
                </c:pt>
                <c:pt idx="1">
                  <c:v>Copper</c:v>
                </c:pt>
                <c:pt idx="2">
                  <c:v>Lead</c:v>
                </c:pt>
                <c:pt idx="3">
                  <c:v>Zinc</c:v>
                </c:pt>
                <c:pt idx="4">
                  <c:v>Gold</c:v>
                </c:pt>
                <c:pt idx="5">
                  <c:v>Nickel</c:v>
                </c:pt>
                <c:pt idx="6">
                  <c:v>Rutile</c:v>
                </c:pt>
                <c:pt idx="7">
                  <c:v>Zircon</c:v>
                </c:pt>
                <c:pt idx="8">
                  <c:v>TiO2</c:v>
                </c:pt>
                <c:pt idx="9">
                  <c:v>Iron ore fines China 62%</c:v>
                </c:pt>
                <c:pt idx="10">
                  <c:v>Iron ore fines China 58%</c:v>
                </c:pt>
                <c:pt idx="11">
                  <c:v>Lithium Hydroxide</c:v>
                </c:pt>
                <c:pt idx="12">
                  <c:v>Spodumene Concentrate</c:v>
                </c:pt>
                <c:pt idx="13">
                  <c:v>Cobalt</c:v>
                </c:pt>
                <c:pt idx="14">
                  <c:v>Crude oil</c:v>
                </c:pt>
              </c:strCache>
            </c:strRef>
          </c:cat>
          <c:val>
            <c:numRef>
              <c:f>'Commodity Price Comparison'!$H$12:$H$26</c:f>
              <c:numCache>
                <c:formatCode>0.0%</c:formatCode>
                <c:ptCount val="15"/>
                <c:pt idx="0">
                  <c:v>-9.8669443902226261E-2</c:v>
                </c:pt>
                <c:pt idx="1">
                  <c:v>0.25968786221795476</c:v>
                </c:pt>
                <c:pt idx="2">
                  <c:v>-6.0687206724519521E-2</c:v>
                </c:pt>
                <c:pt idx="3">
                  <c:v>8.2730849383435459E-2</c:v>
                </c:pt>
                <c:pt idx="4">
                  <c:v>6.2097860242405906E-2</c:v>
                </c:pt>
                <c:pt idx="5">
                  <c:v>4.691288619738318E-2</c:v>
                </c:pt>
                <c:pt idx="6">
                  <c:v>-0.12236536643478542</c:v>
                </c:pt>
                <c:pt idx="7">
                  <c:v>-0.17285044049523995</c:v>
                </c:pt>
                <c:pt idx="8">
                  <c:v>-9.6616250003432769E-2</c:v>
                </c:pt>
                <c:pt idx="9">
                  <c:v>0.49095115967482938</c:v>
                </c:pt>
                <c:pt idx="10">
                  <c:v>0.51708476355470356</c:v>
                </c:pt>
                <c:pt idx="11">
                  <c:v>-3.4564819327363827E-2</c:v>
                </c:pt>
                <c:pt idx="12">
                  <c:v>-0.16012452054474902</c:v>
                </c:pt>
                <c:pt idx="13">
                  <c:v>8.5722887695441188E-2</c:v>
                </c:pt>
                <c:pt idx="14">
                  <c:v>-0.10926787576626272</c:v>
                </c:pt>
              </c:numCache>
            </c:numRef>
          </c:val>
          <c:extLst>
            <c:ext xmlns:c16="http://schemas.microsoft.com/office/drawing/2014/chart" uri="{C3380CC4-5D6E-409C-BE32-E72D297353CC}">
              <c16:uniqueId val="{00000001-F306-4EE9-B8CB-F2F435AD0D1A}"/>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 Mineral Exploration</a:t>
            </a:r>
            <a:r>
              <a:rPr lang="en-AU" sz="1300" baseline="0"/>
              <a:t> Expenditure By Type</a:t>
            </a:r>
            <a:endParaRPr lang="en-AU" sz="1300"/>
          </a:p>
          <a:p>
            <a:pPr>
              <a:defRPr/>
            </a:pPr>
            <a:r>
              <a:rPr lang="en-AU" sz="1100"/>
              <a:t>Last 10 Calendar Years</a:t>
            </a:r>
          </a:p>
        </c:rich>
      </c:tx>
      <c:layout>
        <c:manualLayout>
          <c:xMode val="edge"/>
          <c:yMode val="edge"/>
          <c:x val="0.25868636075474333"/>
          <c:y val="3.5368436088346097E-2"/>
        </c:manualLayout>
      </c:layout>
      <c:overlay val="0"/>
    </c:title>
    <c:autoTitleDeleted val="0"/>
    <c:plotArea>
      <c:layout/>
      <c:barChart>
        <c:barDir val="col"/>
        <c:grouping val="stacked"/>
        <c:varyColors val="0"/>
        <c:ser>
          <c:idx val="2"/>
          <c:order val="0"/>
          <c:tx>
            <c:v>New deposits</c:v>
          </c:tx>
          <c:spPr>
            <a:solidFill>
              <a:srgbClr val="F79646"/>
            </a:solidFill>
          </c:spPr>
          <c:invertIfNegative val="0"/>
          <c:cat>
            <c:numRef>
              <c:f>'Min. Expl. By Type'!$M$8:$M$17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 Expl. By Type'!$N$8:$N$17</c:f>
              <c:numCache>
                <c:formatCode>#,##0</c:formatCode>
                <c:ptCount val="10"/>
                <c:pt idx="0">
                  <c:v>562</c:v>
                </c:pt>
                <c:pt idx="1">
                  <c:v>664</c:v>
                </c:pt>
                <c:pt idx="2">
                  <c:v>484.6</c:v>
                </c:pt>
                <c:pt idx="3">
                  <c:v>290</c:v>
                </c:pt>
                <c:pt idx="4">
                  <c:v>230.39999999999998</c:v>
                </c:pt>
                <c:pt idx="5">
                  <c:v>267.5</c:v>
                </c:pt>
                <c:pt idx="6">
                  <c:v>339.1</c:v>
                </c:pt>
                <c:pt idx="7">
                  <c:v>501.70000000000005</c:v>
                </c:pt>
                <c:pt idx="8">
                  <c:v>696</c:v>
                </c:pt>
                <c:pt idx="9">
                  <c:v>577.40000000000009</c:v>
                </c:pt>
              </c:numCache>
            </c:numRef>
          </c:val>
          <c:extLst>
            <c:ext xmlns:c16="http://schemas.microsoft.com/office/drawing/2014/chart" uri="{C3380CC4-5D6E-409C-BE32-E72D297353CC}">
              <c16:uniqueId val="{00000001-CCF8-48D3-87D3-B4C16B73D7E9}"/>
            </c:ext>
          </c:extLst>
        </c:ser>
        <c:ser>
          <c:idx val="3"/>
          <c:order val="1"/>
          <c:tx>
            <c:v>Existing deposits</c:v>
          </c:tx>
          <c:spPr>
            <a:solidFill>
              <a:srgbClr val="FAC090"/>
            </a:solidFill>
          </c:spPr>
          <c:invertIfNegative val="0"/>
          <c:cat>
            <c:numRef>
              <c:f>'Min. Expl. By Type'!$M$8:$M$17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 Expl. By Type'!$Q$8:$Q$17</c:f>
              <c:numCache>
                <c:formatCode>#,##0</c:formatCode>
                <c:ptCount val="10"/>
                <c:pt idx="0">
                  <c:v>1263.3999999999999</c:v>
                </c:pt>
                <c:pt idx="1">
                  <c:v>1388.6000000000001</c:v>
                </c:pt>
                <c:pt idx="2">
                  <c:v>1023.5999999999999</c:v>
                </c:pt>
                <c:pt idx="3">
                  <c:v>755.4</c:v>
                </c:pt>
                <c:pt idx="4">
                  <c:v>613.20000000000005</c:v>
                </c:pt>
                <c:pt idx="5">
                  <c:v>660.09999999999991</c:v>
                </c:pt>
                <c:pt idx="6">
                  <c:v>769.9</c:v>
                </c:pt>
                <c:pt idx="7">
                  <c:v>816.7</c:v>
                </c:pt>
                <c:pt idx="8">
                  <c:v>952.19999999999993</c:v>
                </c:pt>
                <c:pt idx="9">
                  <c:v>1180.2</c:v>
                </c:pt>
              </c:numCache>
            </c:numRef>
          </c:val>
          <c:extLst>
            <c:ext xmlns:c16="http://schemas.microsoft.com/office/drawing/2014/chart" uri="{C3380CC4-5D6E-409C-BE32-E72D297353CC}">
              <c16:uniqueId val="{00000001-86D4-4653-8206-0D44C1724061}"/>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 Expl. By Type'!$T$7</c:f>
              <c:strCache>
                <c:ptCount val="1"/>
                <c:pt idx="0">
                  <c:v>Western Australia Share Of Australia New Deposits</c:v>
                </c:pt>
              </c:strCache>
            </c:strRef>
          </c:tx>
          <c:marker>
            <c:symbol val="none"/>
          </c:marker>
          <c:cat>
            <c:numRef>
              <c:f>'Min. Expl. By Type'!$M$8:$M$17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 Expl. By Type'!$T$8:$T$17</c:f>
              <c:numCache>
                <c:formatCode>0%</c:formatCode>
                <c:ptCount val="10"/>
                <c:pt idx="0">
                  <c:v>0.49134464067144595</c:v>
                </c:pt>
                <c:pt idx="1">
                  <c:v>0.56621471817174052</c:v>
                </c:pt>
                <c:pt idx="2">
                  <c:v>0.55733179988499137</c:v>
                </c:pt>
                <c:pt idx="3">
                  <c:v>0.53220774454028263</c:v>
                </c:pt>
                <c:pt idx="4">
                  <c:v>0.54071814128138929</c:v>
                </c:pt>
                <c:pt idx="5">
                  <c:v>0.61367286074787797</c:v>
                </c:pt>
                <c:pt idx="6">
                  <c:v>0.60510349750178438</c:v>
                </c:pt>
                <c:pt idx="7">
                  <c:v>0.62688991628139457</c:v>
                </c:pt>
                <c:pt idx="8">
                  <c:v>0.65865430112614753</c:v>
                </c:pt>
                <c:pt idx="9">
                  <c:v>0.60346989966555187</c:v>
                </c:pt>
              </c:numCache>
            </c:numRef>
          </c:val>
          <c:smooth val="0"/>
          <c:extLst>
            <c:ext xmlns:c16="http://schemas.microsoft.com/office/drawing/2014/chart" uri="{C3380CC4-5D6E-409C-BE32-E72D297353CC}">
              <c16:uniqueId val="{0000000D-86D4-4653-8206-0D44C1724061}"/>
            </c:ext>
          </c:extLst>
        </c:ser>
        <c:ser>
          <c:idx val="1"/>
          <c:order val="3"/>
          <c:tx>
            <c:strRef>
              <c:f>'Min. Expl. By Type'!$U$7</c:f>
              <c:strCache>
                <c:ptCount val="1"/>
                <c:pt idx="0">
                  <c:v>Western Australia Share Of Australia Existing Deposits</c:v>
                </c:pt>
              </c:strCache>
            </c:strRef>
          </c:tx>
          <c:spPr>
            <a:ln>
              <a:solidFill>
                <a:srgbClr val="EFB179"/>
              </a:solidFill>
            </a:ln>
          </c:spPr>
          <c:marker>
            <c:symbol val="none"/>
          </c:marker>
          <c:cat>
            <c:numRef>
              <c:f>'Min. Expl. By Type'!$M$8:$M$17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 Expl. By Type'!$U$8:$U$17</c:f>
              <c:numCache>
                <c:formatCode>0%</c:formatCode>
                <c:ptCount val="10"/>
                <c:pt idx="0">
                  <c:v>0.52002469643959659</c:v>
                </c:pt>
                <c:pt idx="1">
                  <c:v>0.5591978092783505</c:v>
                </c:pt>
                <c:pt idx="2">
                  <c:v>0.61920029036355939</c:v>
                </c:pt>
                <c:pt idx="3">
                  <c:v>0.58359085290482071</c:v>
                </c:pt>
                <c:pt idx="4">
                  <c:v>0.60527095054782365</c:v>
                </c:pt>
                <c:pt idx="5">
                  <c:v>0.66616207488142076</c:v>
                </c:pt>
                <c:pt idx="6">
                  <c:v>0.64513155689626267</c:v>
                </c:pt>
                <c:pt idx="7">
                  <c:v>0.59014379651708948</c:v>
                </c:pt>
                <c:pt idx="8">
                  <c:v>0.59822830935477789</c:v>
                </c:pt>
                <c:pt idx="9">
                  <c:v>0.637291430422809</c:v>
                </c:pt>
              </c:numCache>
            </c:numRef>
          </c:val>
          <c:smooth val="0"/>
          <c:extLst>
            <c:ext xmlns:c16="http://schemas.microsoft.com/office/drawing/2014/chart" uri="{C3380CC4-5D6E-409C-BE32-E72D297353CC}">
              <c16:uniqueId val="{0000000E-86D4-4653-8206-0D44C1724061}"/>
            </c:ext>
          </c:extLst>
        </c:ser>
        <c:dLbls>
          <c:showLegendKey val="0"/>
          <c:showVal val="0"/>
          <c:showCatName val="0"/>
          <c:showSerName val="0"/>
          <c:showPercent val="0"/>
          <c:showBubbleSize val="0"/>
        </c:dLbls>
        <c:marker val="1"/>
        <c:smooth val="0"/>
        <c:axId val="1266064216"/>
        <c:axId val="1266060608"/>
      </c:lineChart>
      <c:catAx>
        <c:axId val="422924288"/>
        <c:scaling>
          <c:orientation val="minMax"/>
        </c:scaling>
        <c:delete val="0"/>
        <c:axPos val="b"/>
        <c:title>
          <c:tx>
            <c:rich>
              <a:bodyPr/>
              <a:lstStyle/>
              <a:p>
                <a:pPr>
                  <a:defRPr sz="900"/>
                </a:pPr>
                <a:r>
                  <a:rPr lang="en-AU" sz="900"/>
                  <a:t>Source: ABS</a:t>
                </a:r>
              </a:p>
            </c:rich>
          </c:tx>
          <c:layout>
            <c:manualLayout>
              <c:xMode val="edge"/>
              <c:yMode val="edge"/>
              <c:x val="9.0527569321109946E-3"/>
              <c:y val="0.9356359509115415"/>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A$ millions</a:t>
                </a:r>
              </a:p>
            </c:rich>
          </c:tx>
          <c:overlay val="0"/>
        </c:title>
        <c:numFmt formatCode="0" sourceLinked="0"/>
        <c:majorTickMark val="out"/>
        <c:minorTickMark val="none"/>
        <c:tickLblPos val="nextTo"/>
        <c:crossAx val="422924288"/>
        <c:crosses val="autoZero"/>
        <c:crossBetween val="between"/>
      </c:valAx>
      <c:valAx>
        <c:axId val="1266060608"/>
        <c:scaling>
          <c:orientation val="minMax"/>
          <c:max val="1"/>
        </c:scaling>
        <c:delete val="0"/>
        <c:axPos val="r"/>
        <c:numFmt formatCode="0%" sourceLinked="0"/>
        <c:majorTickMark val="out"/>
        <c:minorTickMark val="none"/>
        <c:tickLblPos val="nextTo"/>
        <c:crossAx val="1266064216"/>
        <c:crosses val="max"/>
        <c:crossBetween val="between"/>
      </c:valAx>
      <c:catAx>
        <c:axId val="1266064216"/>
        <c:scaling>
          <c:orientation val="minMax"/>
        </c:scaling>
        <c:delete val="1"/>
        <c:axPos val="b"/>
        <c:numFmt formatCode="General" sourceLinked="1"/>
        <c:majorTickMark val="out"/>
        <c:minorTickMark val="none"/>
        <c:tickLblPos val="nextTo"/>
        <c:crossAx val="1266060608"/>
        <c:crosses val="autoZero"/>
        <c:auto val="1"/>
        <c:lblAlgn val="ctr"/>
        <c:lblOffset val="100"/>
        <c:noMultiLvlLbl val="0"/>
      </c:catAx>
    </c:plotArea>
    <c:legend>
      <c:legendPos val="t"/>
      <c:layout>
        <c:manualLayout>
          <c:xMode val="edge"/>
          <c:yMode val="edge"/>
          <c:x val="6.9485077839313569E-2"/>
          <c:y val="0.11660229296967076"/>
          <c:w val="0.8999999123283059"/>
          <c:h val="4.654545616687316E-2"/>
        </c:manualLayout>
      </c:layout>
      <c:overlay val="0"/>
      <c:txPr>
        <a:bodyPr/>
        <a:lstStyle/>
        <a:p>
          <a:pPr>
            <a:defRPr sz="10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baseline="0">
                <a:effectLst/>
              </a:rPr>
              <a:t>Western Australia Mineral Exploration Expenditure By Type</a:t>
            </a:r>
            <a:endParaRPr lang="en-AU" sz="1300">
              <a:effectLst/>
            </a:endParaRPr>
          </a:p>
          <a:p>
            <a:pPr>
              <a:defRPr/>
            </a:pPr>
            <a:r>
              <a:rPr lang="en-AU" sz="1100"/>
              <a:t>Last 10 Financial Years</a:t>
            </a:r>
          </a:p>
        </c:rich>
      </c:tx>
      <c:layout>
        <c:manualLayout>
          <c:xMode val="edge"/>
          <c:yMode val="edge"/>
          <c:x val="0.25015189016412986"/>
          <c:y val="2.690582959641255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v>New deposits</c:v>
          </c:tx>
          <c:spPr>
            <a:solidFill>
              <a:srgbClr val="F79646"/>
            </a:solidFill>
            <a:ln>
              <a:noFill/>
            </a:ln>
            <a:effectLst/>
          </c:spPr>
          <c:invertIfNegative val="0"/>
          <c:dPt>
            <c:idx val="9"/>
            <c:invertIfNegative val="0"/>
            <c:bubble3D val="0"/>
            <c:spPr>
              <a:solidFill>
                <a:srgbClr val="F79646"/>
              </a:solidFill>
              <a:ln>
                <a:noFill/>
              </a:ln>
              <a:effectLst/>
            </c:spPr>
            <c:extLst>
              <c:ext xmlns:c16="http://schemas.microsoft.com/office/drawing/2014/chart" uri="{C3380CC4-5D6E-409C-BE32-E72D297353CC}">
                <c16:uniqueId val="{00000001-C728-47D6-881A-4442BC33400D}"/>
              </c:ext>
            </c:extLst>
          </c:dPt>
          <c:cat>
            <c:strRef>
              <c:f>'Min. Expl. By Type'!$X$8:$X$17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 Expl. By Type'!$Y$8:$Y$17</c:f>
              <c:numCache>
                <c:formatCode>#,##0</c:formatCode>
                <c:ptCount val="10"/>
                <c:pt idx="0">
                  <c:v>637</c:v>
                </c:pt>
                <c:pt idx="1">
                  <c:v>573.79999999999995</c:v>
                </c:pt>
                <c:pt idx="2">
                  <c:v>381</c:v>
                </c:pt>
                <c:pt idx="3">
                  <c:v>250.8</c:v>
                </c:pt>
                <c:pt idx="4">
                  <c:v>241.40000000000003</c:v>
                </c:pt>
                <c:pt idx="5">
                  <c:v>295.3</c:v>
                </c:pt>
                <c:pt idx="6">
                  <c:v>405.90000000000003</c:v>
                </c:pt>
                <c:pt idx="7">
                  <c:v>598.5</c:v>
                </c:pt>
                <c:pt idx="8">
                  <c:v>651.4</c:v>
                </c:pt>
                <c:pt idx="9">
                  <c:v>683.30000000000007</c:v>
                </c:pt>
              </c:numCache>
            </c:numRef>
          </c:val>
          <c:extLst>
            <c:ext xmlns:c16="http://schemas.microsoft.com/office/drawing/2014/chart" uri="{C3380CC4-5D6E-409C-BE32-E72D297353CC}">
              <c16:uniqueId val="{00000002-C728-47D6-881A-4442BC33400D}"/>
            </c:ext>
          </c:extLst>
        </c:ser>
        <c:ser>
          <c:idx val="3"/>
          <c:order val="1"/>
          <c:tx>
            <c:v>Existing deposits</c:v>
          </c:tx>
          <c:spPr>
            <a:solidFill>
              <a:srgbClr val="FAC090"/>
            </a:solidFill>
            <a:ln>
              <a:noFill/>
            </a:ln>
            <a:effectLst/>
          </c:spPr>
          <c:invertIfNegative val="0"/>
          <c:cat>
            <c:strRef>
              <c:f>'Min. Expl. By Type'!$X$8:$X$17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'Min. Expl. By Type'!$AB$8:$AB$17</c:f>
              <c:numCache>
                <c:formatCode>#,##0</c:formatCode>
                <c:ptCount val="10"/>
                <c:pt idx="0">
                  <c:v>1469.8999999999999</c:v>
                </c:pt>
                <c:pt idx="1">
                  <c:v>1189.5999999999999</c:v>
                </c:pt>
                <c:pt idx="2">
                  <c:v>839.09999999999991</c:v>
                </c:pt>
                <c:pt idx="3">
                  <c:v>666.5</c:v>
                </c:pt>
                <c:pt idx="4">
                  <c:v>629.6</c:v>
                </c:pt>
                <c:pt idx="5">
                  <c:v>733.09999999999991</c:v>
                </c:pt>
                <c:pt idx="6">
                  <c:v>797.80000000000007</c:v>
                </c:pt>
                <c:pt idx="7">
                  <c:v>843.59999999999991</c:v>
                </c:pt>
                <c:pt idx="8">
                  <c:v>1041.8</c:v>
                </c:pt>
                <c:pt idx="9">
                  <c:v>1368.8</c:v>
                </c:pt>
              </c:numCache>
            </c:numRef>
          </c:val>
          <c:extLst>
            <c:ext xmlns:c16="http://schemas.microsoft.com/office/drawing/2014/chart" uri="{C3380CC4-5D6E-409C-BE32-E72D297353CC}">
              <c16:uniqueId val="{00000006-E11E-4FF0-8F06-91EBE7C8B421}"/>
            </c:ext>
          </c:extLst>
        </c:ser>
        <c:dLbls>
          <c:showLegendKey val="0"/>
          <c:showVal val="0"/>
          <c:showCatName val="0"/>
          <c:showSerName val="0"/>
          <c:showPercent val="0"/>
          <c:showBubbleSize val="0"/>
        </c:dLbls>
        <c:gapWidth val="150"/>
        <c:overlap val="100"/>
        <c:axId val="427180032"/>
        <c:axId val="427181952"/>
        <c:extLst/>
      </c:barChart>
      <c:lineChart>
        <c:grouping val="standard"/>
        <c:varyColors val="0"/>
        <c:ser>
          <c:idx val="0"/>
          <c:order val="2"/>
          <c:tx>
            <c:strRef>
              <c:f>'Min. Expl. By Type'!$T$7</c:f>
              <c:strCache>
                <c:ptCount val="1"/>
                <c:pt idx="0">
                  <c:v>Western Australia Share Of Australia New Deposits</c:v>
                </c:pt>
              </c:strCache>
            </c:strRef>
          </c:tx>
          <c:spPr>
            <a:ln w="28575" cap="rnd" cmpd="sng" algn="ctr">
              <a:solidFill>
                <a:srgbClr val="CB7833"/>
              </a:solidFill>
              <a:prstDash val="solid"/>
              <a:round/>
            </a:ln>
            <a:effectLst/>
          </c:spPr>
          <c:marker>
            <c:symbol val="none"/>
          </c:marker>
          <c:val>
            <c:numRef>
              <c:f>'Min. Expl. By Type'!$AE$8:$AE$17</c:f>
              <c:numCache>
                <c:formatCode>0%</c:formatCode>
                <c:ptCount val="10"/>
                <c:pt idx="0">
                  <c:v>0.51246983105390187</c:v>
                </c:pt>
                <c:pt idx="1">
                  <c:v>0.56343283582089543</c:v>
                </c:pt>
                <c:pt idx="2">
                  <c:v>0.55873295204575457</c:v>
                </c:pt>
                <c:pt idx="3">
                  <c:v>0.51594322155934991</c:v>
                </c:pt>
                <c:pt idx="4">
                  <c:v>0.58634928345882931</c:v>
                </c:pt>
                <c:pt idx="5">
                  <c:v>0.61075491209927613</c:v>
                </c:pt>
                <c:pt idx="6">
                  <c:v>0.61046773950970079</c:v>
                </c:pt>
                <c:pt idx="7">
                  <c:v>0.65957681287194181</c:v>
                </c:pt>
                <c:pt idx="8">
                  <c:v>0.61510859301227572</c:v>
                </c:pt>
                <c:pt idx="9">
                  <c:v>0.64045365076389538</c:v>
                </c:pt>
              </c:numCache>
            </c:numRef>
          </c:val>
          <c:smooth val="0"/>
          <c:extLst>
            <c:ext xmlns:c16="http://schemas.microsoft.com/office/drawing/2014/chart" uri="{C3380CC4-5D6E-409C-BE32-E72D297353CC}">
              <c16:uniqueId val="{00000004-0316-4620-9433-510821E58427}"/>
            </c:ext>
          </c:extLst>
        </c:ser>
        <c:ser>
          <c:idx val="2"/>
          <c:order val="3"/>
          <c:tx>
            <c:strRef>
              <c:f>'Min. Expl. By Type'!$AF$7</c:f>
              <c:strCache>
                <c:ptCount val="1"/>
                <c:pt idx="0">
                  <c:v>Western Australia Share Of Australia Existing Deposits</c:v>
                </c:pt>
              </c:strCache>
            </c:strRef>
          </c:tx>
          <c:spPr>
            <a:ln w="28575" cap="rnd" cmpd="sng" algn="ctr">
              <a:solidFill>
                <a:srgbClr val="EFB179"/>
              </a:solidFill>
              <a:prstDash val="solid"/>
              <a:round/>
            </a:ln>
            <a:effectLst/>
          </c:spPr>
          <c:marker>
            <c:symbol val="none"/>
          </c:marker>
          <c:val>
            <c:numRef>
              <c:f>'Min. Expl. By Type'!$AF$8:$AF$17</c:f>
              <c:numCache>
                <c:formatCode>0%</c:formatCode>
                <c:ptCount val="10"/>
                <c:pt idx="0">
                  <c:v>0.5423985239852398</c:v>
                </c:pt>
                <c:pt idx="1">
                  <c:v>0.58396740464385632</c:v>
                </c:pt>
                <c:pt idx="2">
                  <c:v>0.58838791108617905</c:v>
                </c:pt>
                <c:pt idx="3">
                  <c:v>0.60962224458062753</c:v>
                </c:pt>
                <c:pt idx="4">
                  <c:v>0.62373687339013273</c:v>
                </c:pt>
                <c:pt idx="5">
                  <c:v>0.67779215976331353</c:v>
                </c:pt>
                <c:pt idx="6">
                  <c:v>0.60766242668900905</c:v>
                </c:pt>
                <c:pt idx="7">
                  <c:v>0.58550805108273174</c:v>
                </c:pt>
                <c:pt idx="8">
                  <c:v>0.60827932504233084</c:v>
                </c:pt>
                <c:pt idx="9">
                  <c:v>0.65342753484819549</c:v>
                </c:pt>
              </c:numCache>
            </c:numRef>
          </c:val>
          <c:smooth val="0"/>
          <c:extLst>
            <c:ext xmlns:c16="http://schemas.microsoft.com/office/drawing/2014/chart" uri="{C3380CC4-5D6E-409C-BE32-E72D297353CC}">
              <c16:uniqueId val="{00000005-0316-4620-9433-510821E58427}"/>
            </c:ext>
          </c:extLst>
        </c:ser>
        <c:dLbls>
          <c:showLegendKey val="0"/>
          <c:showVal val="0"/>
          <c:showCatName val="0"/>
          <c:showSerName val="0"/>
          <c:showPercent val="0"/>
          <c:showBubbleSize val="0"/>
        </c:dLbls>
        <c:marker val="1"/>
        <c:smooth val="0"/>
        <c:axId val="1219611096"/>
        <c:axId val="1219610768"/>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7.7066097840343692E-3"/>
              <c:y val="0.9475941292091851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max val="25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valAx>
        <c:axId val="1219610768"/>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611096"/>
        <c:crosses val="max"/>
        <c:crossBetween val="between"/>
      </c:valAx>
      <c:catAx>
        <c:axId val="1219611096"/>
        <c:scaling>
          <c:orientation val="minMax"/>
        </c:scaling>
        <c:delete val="1"/>
        <c:axPos val="b"/>
        <c:numFmt formatCode="General" sourceLinked="1"/>
        <c:majorTickMark val="out"/>
        <c:minorTickMark val="none"/>
        <c:tickLblPos val="nextTo"/>
        <c:crossAx val="1219610768"/>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a:t>
            </a:r>
            <a:r>
              <a:rPr lang="en-AU" sz="1800" b="1" baseline="0"/>
              <a:t> D</a:t>
            </a:r>
            <a:r>
              <a:rPr lang="en-AU" sz="1800" b="1"/>
              <a:t>rill Metres</a:t>
            </a:r>
            <a:br>
              <a:rPr lang="en-AU" sz="1800" b="1"/>
            </a:br>
            <a:r>
              <a:rPr lang="en-AU" sz="900" b="1"/>
              <a:t>New And Existing Deposits</a:t>
            </a:r>
          </a:p>
        </c:rich>
      </c:tx>
      <c:layout>
        <c:manualLayout>
          <c:xMode val="edge"/>
          <c:yMode val="edge"/>
          <c:x val="0.33026377039297"/>
          <c:y val="6.6065484831155886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2653670307340619E-2"/>
          <c:y val="0.2727993346182771"/>
          <c:w val="0.87580962661925321"/>
          <c:h val="0.58540068033664472"/>
        </c:manualLayout>
      </c:layout>
      <c:areaChart>
        <c:grouping val="stacked"/>
        <c:varyColors val="0"/>
        <c:ser>
          <c:idx val="0"/>
          <c:order val="0"/>
          <c:tx>
            <c:v>New Deposits</c:v>
          </c:tx>
          <c:spPr>
            <a:solidFill>
              <a:schemeClr val="accent6">
                <a:shade val="53000"/>
              </a:schemeClr>
            </a:solidFill>
            <a:ln>
              <a:noFill/>
            </a:ln>
            <a:effectLst/>
          </c:spPr>
          <c:cat>
            <c:numRef>
              <c:f>'Min. Expl. Metres Drilled'!$C$8:$C$140</c:f>
              <c:numCache>
                <c:formatCode>mmm\-yyyy</c:formatCode>
                <c:ptCount val="133"/>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pt idx="68">
                  <c:v>44075</c:v>
                </c:pt>
                <c:pt idx="69">
                  <c:v>44166</c:v>
                </c:pt>
                <c:pt idx="70">
                  <c:v>44256</c:v>
                </c:pt>
                <c:pt idx="71">
                  <c:v>44348</c:v>
                </c:pt>
              </c:numCache>
            </c:numRef>
          </c:cat>
          <c:val>
            <c:numRef>
              <c:f>'Min. Expl. Metres Drilled'!$D$8:$D$140</c:f>
              <c:numCache>
                <c:formatCode>#,##0</c:formatCode>
                <c:ptCount val="133"/>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pt idx="62">
                  <c:v>755.4</c:v>
                </c:pt>
                <c:pt idx="63">
                  <c:v>923.8</c:v>
                </c:pt>
                <c:pt idx="64">
                  <c:v>1115.8</c:v>
                </c:pt>
                <c:pt idx="65">
                  <c:v>917.2</c:v>
                </c:pt>
                <c:pt idx="66">
                  <c:v>805.7</c:v>
                </c:pt>
                <c:pt idx="67">
                  <c:v>850.6</c:v>
                </c:pt>
                <c:pt idx="68">
                  <c:v>1048.5</c:v>
                </c:pt>
                <c:pt idx="69">
                  <c:v>1031.7</c:v>
                </c:pt>
                <c:pt idx="70">
                  <c:v>878.4</c:v>
                </c:pt>
                <c:pt idx="71">
                  <c:v>1107.4000000000001</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 Expl. Metres Drilled'!$C$8:$C$140</c:f>
              <c:numCache>
                <c:formatCode>mmm\-yyyy</c:formatCode>
                <c:ptCount val="133"/>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pt idx="68">
                  <c:v>44075</c:v>
                </c:pt>
                <c:pt idx="69">
                  <c:v>44166</c:v>
                </c:pt>
                <c:pt idx="70">
                  <c:v>44256</c:v>
                </c:pt>
                <c:pt idx="71">
                  <c:v>44348</c:v>
                </c:pt>
              </c:numCache>
            </c:numRef>
          </c:cat>
          <c:val>
            <c:numRef>
              <c:f>'Min. Expl. Metres Drilled'!$E$8:$E$140</c:f>
              <c:numCache>
                <c:formatCode>#,##0</c:formatCode>
                <c:ptCount val="133"/>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1545.2</c:v>
                </c:pt>
                <c:pt idx="62">
                  <c:v>1460.4</c:v>
                </c:pt>
                <c:pt idx="63">
                  <c:v>1755.9</c:v>
                </c:pt>
                <c:pt idx="64">
                  <c:v>1664.5</c:v>
                </c:pt>
                <c:pt idx="65">
                  <c:v>1798</c:v>
                </c:pt>
                <c:pt idx="66">
                  <c:v>1447</c:v>
                </c:pt>
                <c:pt idx="67">
                  <c:v>1644.8</c:v>
                </c:pt>
                <c:pt idx="68">
                  <c:v>1916.3</c:v>
                </c:pt>
                <c:pt idx="69">
                  <c:v>1958.4</c:v>
                </c:pt>
                <c:pt idx="70">
                  <c:v>1915.4</c:v>
                </c:pt>
                <c:pt idx="71">
                  <c:v>2536.5</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 Expl. Metres Drilled'!$N$48</c:f>
              <c:strCache>
                <c:ptCount val="1"/>
                <c:pt idx="0">
                  <c:v>New Deposits (Quarterly average over (Financial Year)</c:v>
                </c:pt>
              </c:strCache>
            </c:strRef>
          </c:tx>
          <c:spPr>
            <a:ln w="28575" cap="rnd">
              <a:solidFill>
                <a:schemeClr val="accent6"/>
              </a:solidFill>
              <a:round/>
            </a:ln>
            <a:effectLst/>
          </c:spPr>
          <c:marker>
            <c:symbol val="none"/>
          </c:marker>
          <c:val>
            <c:numRef>
              <c:f>'Min. Expl. Metres Drilled'!$H$8:$H$138</c:f>
              <c:numCache>
                <c:formatCode>_-* #,##0.0_-;\-* #,##0.0_-;_-* "-"??_-;_-@_-</c:formatCode>
                <c:ptCount val="131"/>
                <c:pt idx="0">
                  <c:v>670.25</c:v>
                </c:pt>
                <c:pt idx="1">
                  <c:v>670.25</c:v>
                </c:pt>
                <c:pt idx="2">
                  <c:v>670.25</c:v>
                </c:pt>
                <c:pt idx="3">
                  <c:v>670.25</c:v>
                </c:pt>
                <c:pt idx="4">
                  <c:v>695.85</c:v>
                </c:pt>
                <c:pt idx="5">
                  <c:v>695.85</c:v>
                </c:pt>
                <c:pt idx="6">
                  <c:v>695.85</c:v>
                </c:pt>
                <c:pt idx="7">
                  <c:v>695.85</c:v>
                </c:pt>
                <c:pt idx="8">
                  <c:v>654.42499999999995</c:v>
                </c:pt>
                <c:pt idx="9">
                  <c:v>654.42499999999995</c:v>
                </c:pt>
                <c:pt idx="10">
                  <c:v>654.42499999999995</c:v>
                </c:pt>
                <c:pt idx="11">
                  <c:v>654.42499999999995</c:v>
                </c:pt>
                <c:pt idx="12">
                  <c:v>810.02499999999998</c:v>
                </c:pt>
                <c:pt idx="13">
                  <c:v>810.02499999999998</c:v>
                </c:pt>
                <c:pt idx="14">
                  <c:v>810.02499999999998</c:v>
                </c:pt>
                <c:pt idx="15">
                  <c:v>810.02499999999998</c:v>
                </c:pt>
                <c:pt idx="16">
                  <c:v>980</c:v>
                </c:pt>
                <c:pt idx="17">
                  <c:v>980</c:v>
                </c:pt>
                <c:pt idx="18">
                  <c:v>980</c:v>
                </c:pt>
                <c:pt idx="19">
                  <c:v>980</c:v>
                </c:pt>
                <c:pt idx="20">
                  <c:v>680.09999999999991</c:v>
                </c:pt>
                <c:pt idx="21">
                  <c:v>680.09999999999991</c:v>
                </c:pt>
                <c:pt idx="22">
                  <c:v>680.09999999999991</c:v>
                </c:pt>
                <c:pt idx="23">
                  <c:v>680.09999999999991</c:v>
                </c:pt>
                <c:pt idx="24">
                  <c:v>763.625</c:v>
                </c:pt>
                <c:pt idx="25">
                  <c:v>763.625</c:v>
                </c:pt>
                <c:pt idx="26">
                  <c:v>763.625</c:v>
                </c:pt>
                <c:pt idx="27">
                  <c:v>763.625</c:v>
                </c:pt>
                <c:pt idx="28">
                  <c:v>859.07500000000005</c:v>
                </c:pt>
                <c:pt idx="29">
                  <c:v>859.07500000000005</c:v>
                </c:pt>
                <c:pt idx="30">
                  <c:v>859.07500000000005</c:v>
                </c:pt>
                <c:pt idx="31">
                  <c:v>859.07500000000005</c:v>
                </c:pt>
                <c:pt idx="32">
                  <c:v>925.02499999999986</c:v>
                </c:pt>
                <c:pt idx="33">
                  <c:v>925.02499999999986</c:v>
                </c:pt>
                <c:pt idx="34">
                  <c:v>925.02499999999986</c:v>
                </c:pt>
                <c:pt idx="35">
                  <c:v>925.02499999999986</c:v>
                </c:pt>
                <c:pt idx="36">
                  <c:v>682.42499999999995</c:v>
                </c:pt>
                <c:pt idx="37">
                  <c:v>682.42499999999995</c:v>
                </c:pt>
                <c:pt idx="38">
                  <c:v>682.42499999999995</c:v>
                </c:pt>
                <c:pt idx="39">
                  <c:v>682.42499999999995</c:v>
                </c:pt>
                <c:pt idx="40">
                  <c:v>399.40000000000003</c:v>
                </c:pt>
                <c:pt idx="41">
                  <c:v>399.40000000000003</c:v>
                </c:pt>
                <c:pt idx="42">
                  <c:v>399.40000000000003</c:v>
                </c:pt>
                <c:pt idx="43">
                  <c:v>399.40000000000003</c:v>
                </c:pt>
                <c:pt idx="44">
                  <c:v>392.32499999999993</c:v>
                </c:pt>
                <c:pt idx="45">
                  <c:v>392.32499999999993</c:v>
                </c:pt>
                <c:pt idx="46">
                  <c:v>392.32499999999993</c:v>
                </c:pt>
                <c:pt idx="47">
                  <c:v>392.32499999999993</c:v>
                </c:pt>
                <c:pt idx="48">
                  <c:v>377.07499999999999</c:v>
                </c:pt>
                <c:pt idx="49">
                  <c:v>377.07499999999999</c:v>
                </c:pt>
                <c:pt idx="50">
                  <c:v>377.07499999999999</c:v>
                </c:pt>
                <c:pt idx="51">
                  <c:v>377.07499999999999</c:v>
                </c:pt>
                <c:pt idx="52">
                  <c:v>591.1</c:v>
                </c:pt>
                <c:pt idx="53">
                  <c:v>591.1</c:v>
                </c:pt>
                <c:pt idx="54">
                  <c:v>591.1</c:v>
                </c:pt>
                <c:pt idx="55">
                  <c:v>591.1</c:v>
                </c:pt>
                <c:pt idx="56">
                  <c:v>802.8</c:v>
                </c:pt>
                <c:pt idx="57">
                  <c:v>802.8</c:v>
                </c:pt>
                <c:pt idx="58">
                  <c:v>802.8</c:v>
                </c:pt>
                <c:pt idx="59">
                  <c:v>802.8</c:v>
                </c:pt>
                <c:pt idx="60">
                  <c:v>917.55</c:v>
                </c:pt>
                <c:pt idx="61">
                  <c:v>917.55</c:v>
                </c:pt>
                <c:pt idx="62">
                  <c:v>917.55</c:v>
                </c:pt>
                <c:pt idx="63">
                  <c:v>917.55</c:v>
                </c:pt>
                <c:pt idx="64">
                  <c:v>922.32499999999993</c:v>
                </c:pt>
                <c:pt idx="65">
                  <c:v>922.32499999999993</c:v>
                </c:pt>
                <c:pt idx="66">
                  <c:v>922.32499999999993</c:v>
                </c:pt>
                <c:pt idx="67">
                  <c:v>922.32499999999993</c:v>
                </c:pt>
                <c:pt idx="68">
                  <c:v>953.71666666666658</c:v>
                </c:pt>
                <c:pt idx="69">
                  <c:v>953.71666666666658</c:v>
                </c:pt>
                <c:pt idx="70">
                  <c:v>992.90000000000009</c:v>
                </c:pt>
                <c:pt idx="71">
                  <c:v>1107.4000000000001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2-7DDE-4EA4-9AAD-7E892757C8A0}"/>
            </c:ext>
          </c:extLst>
        </c:ser>
        <c:ser>
          <c:idx val="3"/>
          <c:order val="3"/>
          <c:tx>
            <c:strRef>
              <c:f>'Min. Expl. Metres Drilled'!$N$49</c:f>
              <c:strCache>
                <c:ptCount val="1"/>
                <c:pt idx="0">
                  <c:v>Existing Deposits (Quarterly average over (Financial Year)</c:v>
                </c:pt>
              </c:strCache>
            </c:strRef>
          </c:tx>
          <c:spPr>
            <a:ln w="28575" cap="rnd">
              <a:solidFill>
                <a:schemeClr val="accent6">
                  <a:tint val="77000"/>
                </a:schemeClr>
              </a:solidFill>
              <a:round/>
            </a:ln>
            <a:effectLst/>
          </c:spPr>
          <c:marker>
            <c:symbol val="none"/>
          </c:marker>
          <c:val>
            <c:numRef>
              <c:f>'Min. Expl. Metres Drilled'!$I$8:$I$138</c:f>
              <c:numCache>
                <c:formatCode>_-* #,##0.0_-;\-* #,##0.0_-;_-* "-"??_-;_-@_-</c:formatCode>
                <c:ptCount val="131"/>
                <c:pt idx="0">
                  <c:v>750.15</c:v>
                </c:pt>
                <c:pt idx="1">
                  <c:v>750.15</c:v>
                </c:pt>
                <c:pt idx="2">
                  <c:v>750.15</c:v>
                </c:pt>
                <c:pt idx="3">
                  <c:v>750.15</c:v>
                </c:pt>
                <c:pt idx="4">
                  <c:v>1000.25</c:v>
                </c:pt>
                <c:pt idx="5">
                  <c:v>1000.25</c:v>
                </c:pt>
                <c:pt idx="6">
                  <c:v>1000.25</c:v>
                </c:pt>
                <c:pt idx="7">
                  <c:v>1000.25</c:v>
                </c:pt>
                <c:pt idx="8">
                  <c:v>1054.7750000000001</c:v>
                </c:pt>
                <c:pt idx="9">
                  <c:v>1054.7750000000001</c:v>
                </c:pt>
                <c:pt idx="10">
                  <c:v>1054.7750000000001</c:v>
                </c:pt>
                <c:pt idx="11">
                  <c:v>1054.7750000000001</c:v>
                </c:pt>
                <c:pt idx="12">
                  <c:v>1303.625</c:v>
                </c:pt>
                <c:pt idx="13">
                  <c:v>1303.625</c:v>
                </c:pt>
                <c:pt idx="14">
                  <c:v>1303.625</c:v>
                </c:pt>
                <c:pt idx="15">
                  <c:v>1303.625</c:v>
                </c:pt>
                <c:pt idx="16">
                  <c:v>1458.8500000000001</c:v>
                </c:pt>
                <c:pt idx="17">
                  <c:v>1458.8500000000001</c:v>
                </c:pt>
                <c:pt idx="18">
                  <c:v>1458.8500000000001</c:v>
                </c:pt>
                <c:pt idx="19">
                  <c:v>1458.8500000000001</c:v>
                </c:pt>
                <c:pt idx="20">
                  <c:v>1291.8499999999999</c:v>
                </c:pt>
                <c:pt idx="21">
                  <c:v>1291.8499999999999</c:v>
                </c:pt>
                <c:pt idx="22">
                  <c:v>1291.8499999999999</c:v>
                </c:pt>
                <c:pt idx="23">
                  <c:v>1291.8499999999999</c:v>
                </c:pt>
                <c:pt idx="24">
                  <c:v>1311.125</c:v>
                </c:pt>
                <c:pt idx="25">
                  <c:v>1311.125</c:v>
                </c:pt>
                <c:pt idx="26">
                  <c:v>1311.125</c:v>
                </c:pt>
                <c:pt idx="27">
                  <c:v>1311.125</c:v>
                </c:pt>
                <c:pt idx="28">
                  <c:v>1565.7750000000001</c:v>
                </c:pt>
                <c:pt idx="29">
                  <c:v>1565.7750000000001</c:v>
                </c:pt>
                <c:pt idx="30">
                  <c:v>1565.7750000000001</c:v>
                </c:pt>
                <c:pt idx="31">
                  <c:v>1565.7750000000001</c:v>
                </c:pt>
                <c:pt idx="32">
                  <c:v>1927.1750000000002</c:v>
                </c:pt>
                <c:pt idx="33">
                  <c:v>1927.1750000000002</c:v>
                </c:pt>
                <c:pt idx="34">
                  <c:v>1927.1750000000002</c:v>
                </c:pt>
                <c:pt idx="35">
                  <c:v>1927.1750000000002</c:v>
                </c:pt>
                <c:pt idx="36">
                  <c:v>1422.5749999999998</c:v>
                </c:pt>
                <c:pt idx="37">
                  <c:v>1422.5749999999998</c:v>
                </c:pt>
                <c:pt idx="38">
                  <c:v>1422.5749999999998</c:v>
                </c:pt>
                <c:pt idx="39">
                  <c:v>1422.5749999999998</c:v>
                </c:pt>
                <c:pt idx="40">
                  <c:v>1213.9499999999998</c:v>
                </c:pt>
                <c:pt idx="41">
                  <c:v>1213.9499999999998</c:v>
                </c:pt>
                <c:pt idx="42">
                  <c:v>1213.9499999999998</c:v>
                </c:pt>
                <c:pt idx="43">
                  <c:v>1213.9499999999998</c:v>
                </c:pt>
                <c:pt idx="44">
                  <c:v>1098.7249999999999</c:v>
                </c:pt>
                <c:pt idx="45">
                  <c:v>1098.7249999999999</c:v>
                </c:pt>
                <c:pt idx="46">
                  <c:v>1098.7249999999999</c:v>
                </c:pt>
                <c:pt idx="47">
                  <c:v>1098.7249999999999</c:v>
                </c:pt>
                <c:pt idx="48">
                  <c:v>1211.0250000000001</c:v>
                </c:pt>
                <c:pt idx="49">
                  <c:v>1211.0250000000001</c:v>
                </c:pt>
                <c:pt idx="50">
                  <c:v>1211.0250000000001</c:v>
                </c:pt>
                <c:pt idx="51">
                  <c:v>1211.0250000000001</c:v>
                </c:pt>
                <c:pt idx="52">
                  <c:v>1293.875</c:v>
                </c:pt>
                <c:pt idx="53">
                  <c:v>1293.875</c:v>
                </c:pt>
                <c:pt idx="54">
                  <c:v>1293.875</c:v>
                </c:pt>
                <c:pt idx="55">
                  <c:v>1293.875</c:v>
                </c:pt>
                <c:pt idx="56">
                  <c:v>1446.2750000000001</c:v>
                </c:pt>
                <c:pt idx="57">
                  <c:v>1446.2750000000001</c:v>
                </c:pt>
                <c:pt idx="58">
                  <c:v>1446.2750000000001</c:v>
                </c:pt>
                <c:pt idx="59">
                  <c:v>1446.2750000000001</c:v>
                </c:pt>
                <c:pt idx="60">
                  <c:v>1635.0250000000001</c:v>
                </c:pt>
                <c:pt idx="61">
                  <c:v>1635.0250000000001</c:v>
                </c:pt>
                <c:pt idx="62">
                  <c:v>1635.0250000000001</c:v>
                </c:pt>
                <c:pt idx="63">
                  <c:v>1635.0250000000001</c:v>
                </c:pt>
                <c:pt idx="64">
                  <c:v>1638.575</c:v>
                </c:pt>
                <c:pt idx="65">
                  <c:v>1638.575</c:v>
                </c:pt>
                <c:pt idx="66">
                  <c:v>1638.575</c:v>
                </c:pt>
                <c:pt idx="67">
                  <c:v>1638.575</c:v>
                </c:pt>
                <c:pt idx="68">
                  <c:v>1903.0666666666666</c:v>
                </c:pt>
                <c:pt idx="69">
                  <c:v>1903.0666666666666</c:v>
                </c:pt>
                <c:pt idx="70">
                  <c:v>2225.9499999999998</c:v>
                </c:pt>
                <c:pt idx="71">
                  <c:v>2536.5</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3-7DDE-4EA4-9AAD-7E892757C8A0}"/>
            </c:ext>
          </c:extLst>
        </c:ser>
        <c:ser>
          <c:idx val="4"/>
          <c:order val="4"/>
          <c:tx>
            <c:strRef>
              <c:f>'Min. Expl. Metres Drilled'!$N$50</c:f>
              <c:strCache>
                <c:ptCount val="1"/>
                <c:pt idx="0">
                  <c:v>Total (Quarterly average over (Financial Year)</c:v>
                </c:pt>
              </c:strCache>
            </c:strRef>
          </c:tx>
          <c:spPr>
            <a:ln w="28575" cap="rnd">
              <a:solidFill>
                <a:schemeClr val="accent6">
                  <a:tint val="54000"/>
                </a:schemeClr>
              </a:solidFill>
              <a:round/>
            </a:ln>
            <a:effectLst/>
          </c:spPr>
          <c:marker>
            <c:symbol val="none"/>
          </c:marker>
          <c:val>
            <c:numRef>
              <c:f>'Min. Expl. Metres Drilled'!$G$8:$G$138</c:f>
              <c:numCache>
                <c:formatCode>_-* #,##0.0_-;\-* #,##0.0_-;_-* "-"??_-;_-@_-</c:formatCode>
                <c:ptCount val="131"/>
                <c:pt idx="0">
                  <c:v>1420.2750000000001</c:v>
                </c:pt>
                <c:pt idx="1">
                  <c:v>1420.2750000000001</c:v>
                </c:pt>
                <c:pt idx="2">
                  <c:v>1420.2750000000001</c:v>
                </c:pt>
                <c:pt idx="3">
                  <c:v>1420.2750000000001</c:v>
                </c:pt>
                <c:pt idx="4">
                  <c:v>1696.1</c:v>
                </c:pt>
                <c:pt idx="5">
                  <c:v>1696.1</c:v>
                </c:pt>
                <c:pt idx="6">
                  <c:v>1696.1</c:v>
                </c:pt>
                <c:pt idx="7">
                  <c:v>1696.1</c:v>
                </c:pt>
                <c:pt idx="8">
                  <c:v>1709.1999999999998</c:v>
                </c:pt>
                <c:pt idx="9">
                  <c:v>1709.1999999999998</c:v>
                </c:pt>
                <c:pt idx="10">
                  <c:v>1709.1999999999998</c:v>
                </c:pt>
                <c:pt idx="11">
                  <c:v>1709.1999999999998</c:v>
                </c:pt>
                <c:pt idx="12">
                  <c:v>2113.6499999999996</c:v>
                </c:pt>
                <c:pt idx="13">
                  <c:v>2113.6499999999996</c:v>
                </c:pt>
                <c:pt idx="14">
                  <c:v>2113.6499999999996</c:v>
                </c:pt>
                <c:pt idx="15">
                  <c:v>2113.6499999999996</c:v>
                </c:pt>
                <c:pt idx="16">
                  <c:v>2438.8999999999996</c:v>
                </c:pt>
                <c:pt idx="17">
                  <c:v>2438.8999999999996</c:v>
                </c:pt>
                <c:pt idx="18">
                  <c:v>2438.8999999999996</c:v>
                </c:pt>
                <c:pt idx="19">
                  <c:v>2438.8999999999996</c:v>
                </c:pt>
                <c:pt idx="20">
                  <c:v>1971.9250000000002</c:v>
                </c:pt>
                <c:pt idx="21">
                  <c:v>1971.9250000000002</c:v>
                </c:pt>
                <c:pt idx="22">
                  <c:v>1971.9250000000002</c:v>
                </c:pt>
                <c:pt idx="23">
                  <c:v>1971.9250000000002</c:v>
                </c:pt>
                <c:pt idx="24">
                  <c:v>2074.7250000000004</c:v>
                </c:pt>
                <c:pt idx="25">
                  <c:v>2074.7250000000004</c:v>
                </c:pt>
                <c:pt idx="26">
                  <c:v>2074.7250000000004</c:v>
                </c:pt>
                <c:pt idx="27">
                  <c:v>2074.7250000000004</c:v>
                </c:pt>
                <c:pt idx="28">
                  <c:v>2424.8249999999998</c:v>
                </c:pt>
                <c:pt idx="29">
                  <c:v>2424.8249999999998</c:v>
                </c:pt>
                <c:pt idx="30">
                  <c:v>2424.8249999999998</c:v>
                </c:pt>
                <c:pt idx="31">
                  <c:v>2424.8249999999998</c:v>
                </c:pt>
                <c:pt idx="32">
                  <c:v>2852.15</c:v>
                </c:pt>
                <c:pt idx="33">
                  <c:v>2852.15</c:v>
                </c:pt>
                <c:pt idx="34">
                  <c:v>2852.15</c:v>
                </c:pt>
                <c:pt idx="35">
                  <c:v>2852.15</c:v>
                </c:pt>
                <c:pt idx="36">
                  <c:v>2105</c:v>
                </c:pt>
                <c:pt idx="37">
                  <c:v>2105</c:v>
                </c:pt>
                <c:pt idx="38">
                  <c:v>2105</c:v>
                </c:pt>
                <c:pt idx="39">
                  <c:v>2105</c:v>
                </c:pt>
                <c:pt idx="40">
                  <c:v>1613.325</c:v>
                </c:pt>
                <c:pt idx="41">
                  <c:v>1613.325</c:v>
                </c:pt>
                <c:pt idx="42">
                  <c:v>1613.325</c:v>
                </c:pt>
                <c:pt idx="43">
                  <c:v>1613.325</c:v>
                </c:pt>
                <c:pt idx="44">
                  <c:v>1490.75</c:v>
                </c:pt>
                <c:pt idx="45">
                  <c:v>1490.75</c:v>
                </c:pt>
                <c:pt idx="46">
                  <c:v>1490.75</c:v>
                </c:pt>
                <c:pt idx="47">
                  <c:v>1490.75</c:v>
                </c:pt>
                <c:pt idx="48">
                  <c:v>1587.9250000000002</c:v>
                </c:pt>
                <c:pt idx="49">
                  <c:v>1587.9250000000002</c:v>
                </c:pt>
                <c:pt idx="50">
                  <c:v>1587.9250000000002</c:v>
                </c:pt>
                <c:pt idx="51">
                  <c:v>1587.9250000000002</c:v>
                </c:pt>
                <c:pt idx="52">
                  <c:v>1882.35</c:v>
                </c:pt>
                <c:pt idx="53">
                  <c:v>1882.35</c:v>
                </c:pt>
                <c:pt idx="54">
                  <c:v>1882.35</c:v>
                </c:pt>
                <c:pt idx="55">
                  <c:v>1882.35</c:v>
                </c:pt>
                <c:pt idx="56">
                  <c:v>2249.0749999999998</c:v>
                </c:pt>
                <c:pt idx="57">
                  <c:v>2249.0749999999998</c:v>
                </c:pt>
                <c:pt idx="58">
                  <c:v>2249.0749999999998</c:v>
                </c:pt>
                <c:pt idx="59">
                  <c:v>2249.0749999999998</c:v>
                </c:pt>
                <c:pt idx="60">
                  <c:v>2550.4</c:v>
                </c:pt>
                <c:pt idx="61">
                  <c:v>2550.4</c:v>
                </c:pt>
                <c:pt idx="62">
                  <c:v>2550.4</c:v>
                </c:pt>
                <c:pt idx="63">
                  <c:v>2550.4</c:v>
                </c:pt>
                <c:pt idx="64">
                  <c:v>2560.9</c:v>
                </c:pt>
                <c:pt idx="65">
                  <c:v>2560.9</c:v>
                </c:pt>
                <c:pt idx="66">
                  <c:v>2560.9</c:v>
                </c:pt>
                <c:pt idx="67">
                  <c:v>2560.9</c:v>
                </c:pt>
                <c:pt idx="68">
                  <c:v>2856.8166666666671</c:v>
                </c:pt>
                <c:pt idx="69">
                  <c:v>2856.8166666666671</c:v>
                </c:pt>
                <c:pt idx="70">
                  <c:v>3218.9</c:v>
                </c:pt>
                <c:pt idx="71">
                  <c:v>3644</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in val="37956"/>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t>Source: ABS</a:t>
                </a:r>
              </a:p>
            </c:rich>
          </c:tx>
          <c:layout>
            <c:manualLayout>
              <c:xMode val="edge"/>
              <c:yMode val="edge"/>
              <c:x val="6.6421736918875554E-3"/>
              <c:y val="0.9620746243928811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 millions</a:t>
                </a:r>
              </a:p>
            </c:rich>
          </c:tx>
          <c:layout>
            <c:manualLayout>
              <c:xMode val="edge"/>
              <c:yMode val="edge"/>
              <c:x val="3.3742379984759963E-3"/>
              <c:y val="0.4677324727198474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t"/>
      <c:layout>
        <c:manualLayout>
          <c:xMode val="edge"/>
          <c:yMode val="edge"/>
          <c:x val="6.9534537881140723E-2"/>
          <c:y val="0.12637571157495259"/>
          <c:w val="0.91763874527285016"/>
          <c:h val="0.128717496650679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Petroleum Exploration Expenditure</a:t>
            </a:r>
            <a:endParaRPr lang="en-AU" sz="1300">
              <a:effectLst/>
            </a:endParaRPr>
          </a:p>
          <a:p>
            <a:pPr>
              <a:defRPr/>
            </a:pPr>
            <a:r>
              <a:rPr lang="en-AU" sz="900"/>
              <a:t>Last 10 Calendar Years</a:t>
            </a:r>
          </a:p>
        </c:rich>
      </c:tx>
      <c:overlay val="0"/>
    </c:title>
    <c:autoTitleDeleted val="0"/>
    <c:plotArea>
      <c:layout>
        <c:manualLayout>
          <c:layoutTarget val="inner"/>
          <c:xMode val="edge"/>
          <c:yMode val="edge"/>
          <c:x val="0.15330887855885483"/>
          <c:y val="0.25332034647858448"/>
          <c:w val="0.75816146475666446"/>
          <c:h val="0.55190843827666558"/>
        </c:manualLayout>
      </c:layout>
      <c:barChart>
        <c:barDir val="col"/>
        <c:grouping val="stacked"/>
        <c:varyColors val="0"/>
        <c:ser>
          <c:idx val="1"/>
          <c:order val="0"/>
          <c:tx>
            <c:v>Western Australia</c:v>
          </c:tx>
          <c:spPr>
            <a:solidFill>
              <a:srgbClr val="F79646"/>
            </a:solidFill>
          </c:spPr>
          <c:invertIfNegative val="0"/>
          <c:cat>
            <c:numRef>
              <c:f>'Pet. Exploration Expenditure'!$H$8:$H$17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 Exploration Expenditure'!$I$8:$I$17</c:f>
              <c:numCache>
                <c:formatCode>0</c:formatCode>
                <c:ptCount val="10"/>
                <c:pt idx="0">
                  <c:v>2345.8000000000002</c:v>
                </c:pt>
                <c:pt idx="1">
                  <c:v>2756.6000000000004</c:v>
                </c:pt>
                <c:pt idx="2">
                  <c:v>2984.2000000000003</c:v>
                </c:pt>
                <c:pt idx="3">
                  <c:v>2757.9</c:v>
                </c:pt>
                <c:pt idx="4">
                  <c:v>1617.1</c:v>
                </c:pt>
                <c:pt idx="5">
                  <c:v>995.99999999999989</c:v>
                </c:pt>
                <c:pt idx="6">
                  <c:v>492.5</c:v>
                </c:pt>
                <c:pt idx="7">
                  <c:v>672.30000000000007</c:v>
                </c:pt>
                <c:pt idx="8">
                  <c:v>749.30000000000007</c:v>
                </c:pt>
                <c:pt idx="9">
                  <c:v>185.8</c:v>
                </c:pt>
              </c:numCache>
            </c:numRef>
          </c:val>
          <c:extLst>
            <c:ext xmlns:c16="http://schemas.microsoft.com/office/drawing/2014/chart" uri="{C3380CC4-5D6E-409C-BE32-E72D297353CC}">
              <c16:uniqueId val="{00000000-1965-40AD-B7F9-6FE6B6B2E5B5}"/>
            </c:ext>
          </c:extLst>
        </c:ser>
        <c:ser>
          <c:idx val="2"/>
          <c:order val="1"/>
          <c:tx>
            <c:v>Rest of Australia</c:v>
          </c:tx>
          <c:spPr>
            <a:solidFill>
              <a:srgbClr val="FAC090"/>
            </a:solidFill>
          </c:spPr>
          <c:invertIfNegative val="0"/>
          <c:cat>
            <c:numRef>
              <c:f>'Pet. Exploration Expenditure'!$H$8:$H$17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 Exploration Expenditure'!$J$8:$J$17</c:f>
              <c:numCache>
                <c:formatCode>0</c:formatCode>
                <c:ptCount val="10"/>
                <c:pt idx="0">
                  <c:v>946.80000000000018</c:v>
                </c:pt>
                <c:pt idx="1">
                  <c:v>1245.7999999999997</c:v>
                </c:pt>
                <c:pt idx="2">
                  <c:v>1545.2000000000003</c:v>
                </c:pt>
                <c:pt idx="3">
                  <c:v>1980.9999999999995</c:v>
                </c:pt>
                <c:pt idx="4">
                  <c:v>1106.2000000000003</c:v>
                </c:pt>
                <c:pt idx="5">
                  <c:v>405.70000000000016</c:v>
                </c:pt>
                <c:pt idx="6">
                  <c:v>721.7</c:v>
                </c:pt>
                <c:pt idx="7">
                  <c:v>487.39999999999975</c:v>
                </c:pt>
                <c:pt idx="8">
                  <c:v>635.4</c:v>
                </c:pt>
                <c:pt idx="9">
                  <c:v>292.5</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0"/>
          <c:order val="2"/>
          <c:tx>
            <c:strRef>
              <c:f>'Pet. Exploration Expenditure'!$L$7</c:f>
              <c:strCache>
                <c:ptCount val="1"/>
                <c:pt idx="0">
                  <c:v>Western Australia Share Of Australia</c:v>
                </c:pt>
              </c:strCache>
            </c:strRef>
          </c:tx>
          <c:marker>
            <c:symbol val="none"/>
          </c:marker>
          <c:val>
            <c:numRef>
              <c:f>'Pet. Exploration Expenditure'!$L$8:$L$17</c:f>
              <c:numCache>
                <c:formatCode>0%</c:formatCode>
                <c:ptCount val="10"/>
                <c:pt idx="0">
                  <c:v>0.71244609123489033</c:v>
                </c:pt>
                <c:pt idx="1">
                  <c:v>0.68873675794523292</c:v>
                </c:pt>
                <c:pt idx="2">
                  <c:v>0.65885106195081022</c:v>
                </c:pt>
                <c:pt idx="3">
                  <c:v>0.5819704994830025</c:v>
                </c:pt>
                <c:pt idx="4">
                  <c:v>0.5938016377189439</c:v>
                </c:pt>
                <c:pt idx="5">
                  <c:v>0.71056574159948627</c:v>
                </c:pt>
                <c:pt idx="6">
                  <c:v>0.40561686707296984</c:v>
                </c:pt>
                <c:pt idx="7">
                  <c:v>0.57971889281710798</c:v>
                </c:pt>
                <c:pt idx="8">
                  <c:v>0.54112804217520039</c:v>
                </c:pt>
                <c:pt idx="9">
                  <c:v>0.38845912607150324</c:v>
                </c:pt>
              </c:numCache>
            </c:numRef>
          </c:val>
          <c:smooth val="0"/>
          <c:extLst>
            <c:ext xmlns:c16="http://schemas.microsoft.com/office/drawing/2014/chart" uri="{C3380CC4-5D6E-409C-BE32-E72D297353CC}">
              <c16:uniqueId val="{00000000-8BB2-4428-ACD6-962D9097287B}"/>
            </c:ext>
          </c:extLst>
        </c:ser>
        <c:dLbls>
          <c:showLegendKey val="0"/>
          <c:showVal val="0"/>
          <c:showCatName val="0"/>
          <c:showSerName val="0"/>
          <c:showPercent val="0"/>
          <c:showBubbleSize val="0"/>
        </c:dLbls>
        <c:marker val="1"/>
        <c:smooth val="0"/>
        <c:axId val="1338702792"/>
        <c:axId val="1338708368"/>
      </c:lineChart>
      <c:catAx>
        <c:axId val="430611072"/>
        <c:scaling>
          <c:orientation val="minMax"/>
        </c:scaling>
        <c:delete val="0"/>
        <c:axPos val="b"/>
        <c:title>
          <c:tx>
            <c:rich>
              <a:bodyPr/>
              <a:lstStyle/>
              <a:p>
                <a:pPr>
                  <a:defRPr sz="900"/>
                </a:pPr>
                <a:r>
                  <a:rPr lang="en-AU" sz="900"/>
                  <a:t>Source: ABS</a:t>
                </a:r>
              </a:p>
            </c:rich>
          </c:tx>
          <c:layout>
            <c:manualLayout>
              <c:xMode val="edge"/>
              <c:yMode val="edge"/>
              <c:x val="1.4153294129373068E-2"/>
              <c:y val="0.93897871722397885"/>
            </c:manualLayout>
          </c:layout>
          <c:overlay val="0"/>
        </c:title>
        <c:numFmt formatCode="General" sourceLinked="1"/>
        <c:majorTickMark val="out"/>
        <c:minorTickMark val="none"/>
        <c:tickLblPos val="nextTo"/>
        <c:txPr>
          <a:bodyPr rot="-2700000"/>
          <a:lstStyle/>
          <a:p>
            <a:pPr>
              <a:defRPr/>
            </a:pPr>
            <a:endParaRPr lang="en-US"/>
          </a:p>
        </c:txPr>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layout>
            <c:manualLayout>
              <c:xMode val="edge"/>
              <c:yMode val="edge"/>
              <c:x val="2.1419009370816599E-2"/>
              <c:y val="0.46282599859119744"/>
            </c:manualLayout>
          </c:layout>
          <c:overlay val="0"/>
        </c:title>
        <c:numFmt formatCode="0" sourceLinked="1"/>
        <c:majorTickMark val="out"/>
        <c:minorTickMark val="none"/>
        <c:tickLblPos val="nextTo"/>
        <c:crossAx val="430611072"/>
        <c:crosses val="autoZero"/>
        <c:crossBetween val="between"/>
      </c:valAx>
      <c:valAx>
        <c:axId val="1338708368"/>
        <c:scaling>
          <c:orientation val="minMax"/>
          <c:max val="1"/>
        </c:scaling>
        <c:delete val="0"/>
        <c:axPos val="r"/>
        <c:numFmt formatCode="0%" sourceLinked="1"/>
        <c:majorTickMark val="out"/>
        <c:minorTickMark val="none"/>
        <c:tickLblPos val="nextTo"/>
        <c:crossAx val="1338702792"/>
        <c:crosses val="max"/>
        <c:crossBetween val="between"/>
      </c:valAx>
      <c:catAx>
        <c:axId val="1338702792"/>
        <c:scaling>
          <c:orientation val="minMax"/>
        </c:scaling>
        <c:delete val="1"/>
        <c:axPos val="b"/>
        <c:majorTickMark val="out"/>
        <c:minorTickMark val="none"/>
        <c:tickLblPos val="nextTo"/>
        <c:crossAx val="1338708368"/>
        <c:crosses val="autoZero"/>
        <c:auto val="1"/>
        <c:lblAlgn val="ctr"/>
        <c:lblOffset val="100"/>
        <c:noMultiLvlLbl val="0"/>
      </c:catAx>
    </c:plotArea>
    <c:legend>
      <c:legendPos val="t"/>
      <c:layout>
        <c:manualLayout>
          <c:xMode val="edge"/>
          <c:yMode val="edge"/>
          <c:x val="8.0321285140562242E-3"/>
          <c:y val="0.1316754938985327"/>
          <c:w val="0.98929049531459168"/>
          <c:h val="8.9873413894706988E-2"/>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Petroleum Exploration Expenditure</a:t>
            </a:r>
          </a:p>
          <a:p>
            <a:pPr>
              <a:defRPr/>
            </a:pPr>
            <a:r>
              <a:rPr lang="en-AU" sz="900"/>
              <a:t>Last 10 Financial Years</a:t>
            </a:r>
          </a:p>
        </c:rich>
      </c:tx>
      <c:overlay val="0"/>
    </c:title>
    <c:autoTitleDeleted val="0"/>
    <c:plotArea>
      <c:layout>
        <c:manualLayout>
          <c:layoutTarget val="inner"/>
          <c:xMode val="edge"/>
          <c:yMode val="edge"/>
          <c:x val="0.15148377286172562"/>
          <c:y val="0.25713821709913137"/>
          <c:w val="0.76104049493813275"/>
          <c:h val="0.51246595787785487"/>
        </c:manualLayout>
      </c:layout>
      <c:barChart>
        <c:barDir val="col"/>
        <c:grouping val="stacked"/>
        <c:varyColors val="0"/>
        <c:ser>
          <c:idx val="1"/>
          <c:order val="0"/>
          <c:tx>
            <c:v>Western Australia</c:v>
          </c:tx>
          <c:spPr>
            <a:solidFill>
              <a:srgbClr val="F79646"/>
            </a:solidFill>
          </c:spPr>
          <c:invertIfNegative val="0"/>
          <c:dPt>
            <c:idx val="9"/>
            <c:invertIfNegative val="0"/>
            <c:bubble3D val="0"/>
            <c:extLst>
              <c:ext xmlns:c16="http://schemas.microsoft.com/office/drawing/2014/chart" uri="{C3380CC4-5D6E-409C-BE32-E72D297353CC}">
                <c16:uniqueId val="{00000001-0245-4A54-AFDC-F0ED9938A7C2}"/>
              </c:ext>
            </c:extLst>
          </c:dPt>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Exploration Expenditure'!$O$8:$O$17</c:f>
              <c:numCache>
                <c:formatCode>0</c:formatCode>
                <c:ptCount val="10"/>
                <c:pt idx="0">
                  <c:v>2117.2000000000003</c:v>
                </c:pt>
                <c:pt idx="1">
                  <c:v>3293.7999999999997</c:v>
                </c:pt>
                <c:pt idx="2">
                  <c:v>2990.6000000000004</c:v>
                </c:pt>
                <c:pt idx="3">
                  <c:v>2068.9</c:v>
                </c:pt>
                <c:pt idx="4">
                  <c:v>1297.4000000000001</c:v>
                </c:pt>
                <c:pt idx="5">
                  <c:v>651.5</c:v>
                </c:pt>
                <c:pt idx="6">
                  <c:v>562.29999999999995</c:v>
                </c:pt>
                <c:pt idx="7">
                  <c:v>734.30000000000007</c:v>
                </c:pt>
                <c:pt idx="8">
                  <c:v>595.5</c:v>
                </c:pt>
                <c:pt idx="9">
                  <c:v>441.9</c:v>
                </c:pt>
              </c:numCache>
            </c:numRef>
          </c:val>
          <c:extLst>
            <c:ext xmlns:c16="http://schemas.microsoft.com/office/drawing/2014/chart" uri="{C3380CC4-5D6E-409C-BE32-E72D297353CC}">
              <c16:uniqueId val="{00000002-0245-4A54-AFDC-F0ED9938A7C2}"/>
            </c:ext>
          </c:extLst>
        </c:ser>
        <c:ser>
          <c:idx val="2"/>
          <c:order val="1"/>
          <c:tx>
            <c:v>Rest of Australia</c:v>
          </c:tx>
          <c:spPr>
            <a:solidFill>
              <a:srgbClr val="FAC090"/>
            </a:solidFill>
          </c:spPr>
          <c:invertIfNegative val="0"/>
          <c:dPt>
            <c:idx val="9"/>
            <c:invertIfNegative val="0"/>
            <c:bubble3D val="0"/>
            <c:extLst>
              <c:ext xmlns:c16="http://schemas.microsoft.com/office/drawing/2014/chart" uri="{C3380CC4-5D6E-409C-BE32-E72D297353CC}">
                <c16:uniqueId val="{00000004-0245-4A54-AFDC-F0ED9938A7C2}"/>
              </c:ext>
            </c:extLst>
          </c:dPt>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Exploration Expenditure'!$P$8:$P$17</c:f>
              <c:numCache>
                <c:formatCode>0</c:formatCode>
                <c:ptCount val="10"/>
                <c:pt idx="0">
                  <c:v>1079.7999999999997</c:v>
                </c:pt>
                <c:pt idx="1">
                  <c:v>1499.6</c:v>
                </c:pt>
                <c:pt idx="2">
                  <c:v>1833.8999999999996</c:v>
                </c:pt>
                <c:pt idx="3">
                  <c:v>1722.5</c:v>
                </c:pt>
                <c:pt idx="4">
                  <c:v>478.79999999999973</c:v>
                </c:pt>
                <c:pt idx="5">
                  <c:v>724.5</c:v>
                </c:pt>
                <c:pt idx="6">
                  <c:v>465.70000000000005</c:v>
                </c:pt>
                <c:pt idx="7">
                  <c:v>526.19999999999993</c:v>
                </c:pt>
                <c:pt idx="8">
                  <c:v>667.3</c:v>
                </c:pt>
                <c:pt idx="9">
                  <c:v>557.70000000000005</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lineChart>
        <c:grouping val="standard"/>
        <c:varyColors val="0"/>
        <c:ser>
          <c:idx val="0"/>
          <c:order val="2"/>
          <c:tx>
            <c:strRef>
              <c:f>'Pet. Exploration Expenditure'!$R$7</c:f>
              <c:strCache>
                <c:ptCount val="1"/>
                <c:pt idx="0">
                  <c:v>Western Australia Share Of Australia</c:v>
                </c:pt>
              </c:strCache>
            </c:strRef>
          </c:tx>
          <c:marker>
            <c:symbol val="none"/>
          </c:marker>
          <c:val>
            <c:numRef>
              <c:f>'Pet. Exploration Expenditure'!$R$8:$R$17</c:f>
              <c:numCache>
                <c:formatCode>0%</c:formatCode>
                <c:ptCount val="10"/>
                <c:pt idx="0">
                  <c:v>0.66224585548952142</c:v>
                </c:pt>
                <c:pt idx="1">
                  <c:v>0.68715316894062684</c:v>
                </c:pt>
                <c:pt idx="2">
                  <c:v>0.61987770753445948</c:v>
                </c:pt>
                <c:pt idx="3">
                  <c:v>0.54568233370259012</c:v>
                </c:pt>
                <c:pt idx="4">
                  <c:v>0.73043576173854285</c:v>
                </c:pt>
                <c:pt idx="5">
                  <c:v>0.47347383720930231</c:v>
                </c:pt>
                <c:pt idx="6">
                  <c:v>0.54698443579766531</c:v>
                </c:pt>
                <c:pt idx="7">
                  <c:v>0.58254660848869488</c:v>
                </c:pt>
                <c:pt idx="8">
                  <c:v>0.47157111181501421</c:v>
                </c:pt>
                <c:pt idx="9">
                  <c:v>0.442</c:v>
                </c:pt>
              </c:numCache>
            </c:numRef>
          </c:val>
          <c:smooth val="0"/>
          <c:extLst>
            <c:ext xmlns:c16="http://schemas.microsoft.com/office/drawing/2014/chart" uri="{C3380CC4-5D6E-409C-BE32-E72D297353CC}">
              <c16:uniqueId val="{00000004-D64E-448C-81FE-35D48CF86FDA}"/>
            </c:ext>
          </c:extLst>
        </c:ser>
        <c:dLbls>
          <c:showLegendKey val="0"/>
          <c:showVal val="0"/>
          <c:showCatName val="0"/>
          <c:showSerName val="0"/>
          <c:showPercent val="0"/>
          <c:showBubbleSize val="0"/>
        </c:dLbls>
        <c:marker val="1"/>
        <c:smooth val="0"/>
        <c:axId val="1289498608"/>
        <c:axId val="1289498280"/>
      </c:lineChart>
      <c:catAx>
        <c:axId val="430787200"/>
        <c:scaling>
          <c:orientation val="minMax"/>
        </c:scaling>
        <c:delete val="0"/>
        <c:axPos val="b"/>
        <c:title>
          <c:tx>
            <c:rich>
              <a:bodyPr/>
              <a:lstStyle/>
              <a:p>
                <a:pPr>
                  <a:defRPr sz="900"/>
                </a:pPr>
                <a:r>
                  <a:rPr lang="en-AU" sz="900"/>
                  <a:t>Source: ABS</a:t>
                </a:r>
              </a:p>
            </c:rich>
          </c:tx>
          <c:layout>
            <c:manualLayout>
              <c:xMode val="edge"/>
              <c:yMode val="edge"/>
              <c:x val="1.15777194517352E-2"/>
              <c:y val="0.94943916302274811"/>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max val="5000"/>
        </c:scaling>
        <c:delete val="0"/>
        <c:axPos val="l"/>
        <c:majorGridlines/>
        <c:title>
          <c:tx>
            <c:rich>
              <a:bodyPr rot="-5400000" vert="horz"/>
              <a:lstStyle/>
              <a:p>
                <a:pPr>
                  <a:defRPr/>
                </a:pPr>
                <a:r>
                  <a:rPr lang="en-AU"/>
                  <a:t>A$ millions</a:t>
                </a:r>
              </a:p>
            </c:rich>
          </c:tx>
          <c:layout>
            <c:manualLayout>
              <c:xMode val="edge"/>
              <c:yMode val="edge"/>
              <c:x val="2.1164021164021163E-2"/>
              <c:y val="0.43243137503254453"/>
            </c:manualLayout>
          </c:layout>
          <c:overlay val="0"/>
        </c:title>
        <c:numFmt formatCode="0" sourceLinked="1"/>
        <c:majorTickMark val="out"/>
        <c:minorTickMark val="none"/>
        <c:tickLblPos val="nextTo"/>
        <c:crossAx val="430787200"/>
        <c:crosses val="autoZero"/>
        <c:crossBetween val="between"/>
      </c:valAx>
      <c:valAx>
        <c:axId val="1289498280"/>
        <c:scaling>
          <c:orientation val="minMax"/>
          <c:max val="1"/>
        </c:scaling>
        <c:delete val="0"/>
        <c:axPos val="r"/>
        <c:numFmt formatCode="0%" sourceLinked="1"/>
        <c:majorTickMark val="out"/>
        <c:minorTickMark val="none"/>
        <c:tickLblPos val="nextTo"/>
        <c:crossAx val="1289498608"/>
        <c:crosses val="max"/>
        <c:crossBetween val="between"/>
      </c:valAx>
      <c:catAx>
        <c:axId val="1289498608"/>
        <c:scaling>
          <c:orientation val="minMax"/>
        </c:scaling>
        <c:delete val="1"/>
        <c:axPos val="b"/>
        <c:majorTickMark val="out"/>
        <c:minorTickMark val="none"/>
        <c:tickLblPos val="nextTo"/>
        <c:crossAx val="1289498280"/>
        <c:crosses val="autoZero"/>
        <c:auto val="1"/>
        <c:lblAlgn val="ctr"/>
        <c:lblOffset val="100"/>
        <c:noMultiLvlLbl val="0"/>
      </c:catAx>
    </c:plotArea>
    <c:legend>
      <c:legendPos val="t"/>
      <c:layout>
        <c:manualLayout>
          <c:xMode val="edge"/>
          <c:yMode val="edge"/>
          <c:x val="7.2278465191850929E-3"/>
          <c:y val="0.13266082810862603"/>
          <c:w val="0.99277215348081493"/>
          <c:h val="7.8079593700898481E-2"/>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 Expl. By Location'!$D$187:$D$510</c:f>
              <c:numCache>
                <c:formatCode>General</c:formatCode>
                <c:ptCount val="81"/>
              </c:numCache>
            </c:numRef>
          </c:cat>
          <c:val>
            <c:numRef>
              <c:f>'Pet. Expl. By Location'!$H$187:$H$510</c:f>
              <c:numCache>
                <c:formatCode>General</c:formatCode>
                <c:ptCount val="81"/>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 Expl. By Location'!$D$187:$D$510</c:f>
              <c:numCache>
                <c:formatCode>General</c:formatCode>
                <c:ptCount val="81"/>
              </c:numCache>
            </c:numRef>
          </c:cat>
          <c:val>
            <c:numRef>
              <c:f>'Pet. Expl. By Location'!$I$187:$I$510</c:f>
              <c:numCache>
                <c:formatCode>General</c:formatCode>
                <c:ptCount val="81"/>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 Expl. By Location'!$D$187:$D$510</c:f>
              <c:numCache>
                <c:formatCode>General</c:formatCode>
                <c:ptCount val="81"/>
              </c:numCache>
            </c:numRef>
          </c:cat>
          <c:val>
            <c:numRef>
              <c:f>'Pet. Expl. By Location'!$E$187:$E$510</c:f>
              <c:numCache>
                <c:formatCode>General</c:formatCode>
                <c:ptCount val="81"/>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 Expl. By Location'!$D$187:$D$510</c:f>
              <c:numCache>
                <c:formatCode>General</c:formatCode>
                <c:ptCount val="81"/>
              </c:numCache>
            </c:numRef>
          </c:cat>
          <c:val>
            <c:numRef>
              <c:f>'Pet. Expl. By Location'!$F$187:$F$510</c:f>
              <c:numCache>
                <c:formatCode>General</c:formatCode>
                <c:ptCount val="81"/>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 Expl. By Location'!$J$186</c:f>
              <c:strCache>
                <c:ptCount val="1"/>
                <c:pt idx="0">
                  <c:v>232.7 </c:v>
                </c:pt>
              </c:strCache>
            </c:strRef>
          </c:tx>
          <c:spPr>
            <a:ln w="12700" cap="rnd">
              <a:solidFill>
                <a:schemeClr val="bg1"/>
              </a:solidFill>
              <a:round/>
            </a:ln>
            <a:effectLst/>
          </c:spPr>
          <c:marker>
            <c:symbol val="none"/>
          </c:marker>
          <c:val>
            <c:numRef>
              <c:f>'Pet. Expl. By Location'!$J$187:$J$345</c:f>
            </c:numRef>
          </c:val>
          <c:smooth val="0"/>
          <c:extLst>
            <c:ext xmlns:c16="http://schemas.microsoft.com/office/drawing/2014/chart" uri="{C3380CC4-5D6E-409C-BE32-E72D297353CC}">
              <c16:uniqueId val="{00000001-1217-47D6-BDA5-46127256468D}"/>
            </c:ext>
          </c:extLst>
        </c:ser>
        <c:ser>
          <c:idx val="4"/>
          <c:order val="5"/>
          <c:tx>
            <c:strRef>
              <c:f>'Pet. Expl. By Location'!$G$186</c:f>
              <c:strCache>
                <c:ptCount val="1"/>
                <c:pt idx="0">
                  <c:v>120.3 </c:v>
                </c:pt>
              </c:strCache>
            </c:strRef>
          </c:tx>
          <c:spPr>
            <a:ln w="12700" cap="rnd">
              <a:solidFill>
                <a:schemeClr val="tx1"/>
              </a:solidFill>
              <a:round/>
            </a:ln>
            <a:effectLst/>
          </c:spPr>
          <c:marker>
            <c:symbol val="none"/>
          </c:marker>
          <c:val>
            <c:numRef>
              <c:f>'Pet. Expl. By Location'!$G$187:$G$345</c:f>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catAx>
        <c:axId val="819425152"/>
        <c:scaling>
          <c:orientation val="minMax"/>
          <c:min val="-1496"/>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Algn val="ctr"/>
        <c:lblOffset val="100"/>
        <c:tickLblSkip val="6"/>
        <c:noMultiLvlLbl val="1"/>
      </c:cat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0.0_ ;\-#,##0.0\ "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 Exploration Expenditure'!$H$8:$H$15</c:f>
              <c:numCache>
                <c:formatCode>General</c:formatCode>
                <c:ptCount val="8"/>
                <c:pt idx="0">
                  <c:v>2011</c:v>
                </c:pt>
                <c:pt idx="1">
                  <c:v>2012</c:v>
                </c:pt>
                <c:pt idx="2">
                  <c:v>2013</c:v>
                </c:pt>
                <c:pt idx="3">
                  <c:v>2014</c:v>
                </c:pt>
                <c:pt idx="4">
                  <c:v>2015</c:v>
                </c:pt>
                <c:pt idx="5">
                  <c:v>2016</c:v>
                </c:pt>
                <c:pt idx="6">
                  <c:v>2017</c:v>
                </c:pt>
                <c:pt idx="7">
                  <c:v>2018</c:v>
                </c:pt>
              </c:numCache>
            </c:numRef>
          </c:cat>
          <c:val>
            <c:numRef>
              <c:f>'Pet. Expl. By Location'!$S$187:$S$196</c:f>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 Exploration Expenditure'!$H$8:$H$15</c:f>
              <c:numCache>
                <c:formatCode>General</c:formatCode>
                <c:ptCount val="8"/>
                <c:pt idx="0">
                  <c:v>2011</c:v>
                </c:pt>
                <c:pt idx="1">
                  <c:v>2012</c:v>
                </c:pt>
                <c:pt idx="2">
                  <c:v>2013</c:v>
                </c:pt>
                <c:pt idx="3">
                  <c:v>2014</c:v>
                </c:pt>
                <c:pt idx="4">
                  <c:v>2015</c:v>
                </c:pt>
                <c:pt idx="5">
                  <c:v>2016</c:v>
                </c:pt>
                <c:pt idx="6">
                  <c:v>2017</c:v>
                </c:pt>
                <c:pt idx="7">
                  <c:v>2018</c:v>
                </c:pt>
              </c:numCache>
            </c:numRef>
          </c:cat>
          <c:val>
            <c:numRef>
              <c:f>'Pet. Expl. By Location'!$R$187:$R$196</c:f>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 Expl. By Location'!$P$187:$P$196</c:f>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 Expl. By Location'!$O$187:$O$196</c:f>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Location'!$AB$186:$AB$195</c:f>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Location'!$AA$186:$AA$195</c:f>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Location'!$Y$186:$Y$195</c:f>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Location'!$X$186:$X$195</c:f>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a:t>
            </a:r>
            <a:r>
              <a:rPr lang="en-AU" sz="1300" b="1" baseline="0">
                <a:solidFill>
                  <a:sysClr val="windowText" lastClr="000000"/>
                </a:solidFill>
              </a:rPr>
              <a:t> P</a:t>
            </a:r>
            <a:r>
              <a:rPr lang="en-AU" sz="1300" b="1">
                <a:solidFill>
                  <a:sysClr val="windowText" lastClr="000000"/>
                </a:solidFill>
              </a:rPr>
              <a:t>etroleum Exploration Expenditure By Location</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v>Onshore Drilling</c:v>
          </c:tx>
          <c:spPr>
            <a:solidFill>
              <a:schemeClr val="accent6">
                <a:shade val="53000"/>
              </a:schemeClr>
            </a:solidFill>
            <a:ln>
              <a:noFill/>
            </a:ln>
            <a:effectLst/>
          </c:spPr>
          <c:cat>
            <c:numRef>
              <c:f>'Pet. Expl. By Location'!$D$8:$D$178</c:f>
              <c:numCache>
                <c:formatCode>mmm\-yyyy</c:formatCode>
                <c:ptCount val="171"/>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numCache>
            </c:numRef>
          </c:cat>
          <c:val>
            <c:numRef>
              <c:f>'Pet. Expl. By Location'!$E$8:$E$349</c:f>
              <c:numCache>
                <c:formatCode>#,##0_ ;\-#,##0\ </c:formatCode>
                <c:ptCount val="174"/>
                <c:pt idx="0">
                  <c:v>2.2000000000000002</c:v>
                </c:pt>
                <c:pt idx="1">
                  <c:v>2.2000000000000002</c:v>
                </c:pt>
                <c:pt idx="2">
                  <c:v>2.9</c:v>
                </c:pt>
                <c:pt idx="3">
                  <c:v>1.6</c:v>
                </c:pt>
                <c:pt idx="4">
                  <c:v>2.4</c:v>
                </c:pt>
                <c:pt idx="5">
                  <c:v>4.7</c:v>
                </c:pt>
                <c:pt idx="6">
                  <c:v>7.3</c:v>
                </c:pt>
                <c:pt idx="7">
                  <c:v>10.8</c:v>
                </c:pt>
                <c:pt idx="8">
                  <c:v>13.3</c:v>
                </c:pt>
                <c:pt idx="9">
                  <c:v>13.9</c:v>
                </c:pt>
                <c:pt idx="10">
                  <c:v>14.1</c:v>
                </c:pt>
                <c:pt idx="11">
                  <c:v>19.899999999999999</c:v>
                </c:pt>
                <c:pt idx="12">
                  <c:v>30.6</c:v>
                </c:pt>
                <c:pt idx="13">
                  <c:v>21.4</c:v>
                </c:pt>
                <c:pt idx="14">
                  <c:v>42.5</c:v>
                </c:pt>
                <c:pt idx="15">
                  <c:v>61</c:v>
                </c:pt>
                <c:pt idx="16">
                  <c:v>59.7</c:v>
                </c:pt>
                <c:pt idx="17">
                  <c:v>63.4</c:v>
                </c:pt>
                <c:pt idx="18">
                  <c:v>44.3</c:v>
                </c:pt>
                <c:pt idx="19">
                  <c:v>33</c:v>
                </c:pt>
                <c:pt idx="20">
                  <c:v>28.9</c:v>
                </c:pt>
                <c:pt idx="21">
                  <c:v>26.4</c:v>
                </c:pt>
                <c:pt idx="22">
                  <c:v>39.4</c:v>
                </c:pt>
                <c:pt idx="23">
                  <c:v>33.700000000000003</c:v>
                </c:pt>
                <c:pt idx="24">
                  <c:v>39.200000000000003</c:v>
                </c:pt>
                <c:pt idx="25">
                  <c:v>57.1</c:v>
                </c:pt>
                <c:pt idx="26">
                  <c:v>47.8</c:v>
                </c:pt>
                <c:pt idx="27">
                  <c:v>52.4</c:v>
                </c:pt>
                <c:pt idx="28">
                  <c:v>66.7</c:v>
                </c:pt>
                <c:pt idx="29">
                  <c:v>54</c:v>
                </c:pt>
                <c:pt idx="30">
                  <c:v>33.299999999999997</c:v>
                </c:pt>
                <c:pt idx="31">
                  <c:v>42.2</c:v>
                </c:pt>
                <c:pt idx="32">
                  <c:v>21.4</c:v>
                </c:pt>
                <c:pt idx="33">
                  <c:v>11.5</c:v>
                </c:pt>
                <c:pt idx="34">
                  <c:v>12.3</c:v>
                </c:pt>
                <c:pt idx="35">
                  <c:v>18.3</c:v>
                </c:pt>
                <c:pt idx="36">
                  <c:v>29.2</c:v>
                </c:pt>
                <c:pt idx="37">
                  <c:v>33.1</c:v>
                </c:pt>
                <c:pt idx="38">
                  <c:v>43.8</c:v>
                </c:pt>
                <c:pt idx="39">
                  <c:v>40</c:v>
                </c:pt>
                <c:pt idx="40">
                  <c:v>37.4</c:v>
                </c:pt>
                <c:pt idx="41">
                  <c:v>43.8</c:v>
                </c:pt>
                <c:pt idx="42">
                  <c:v>39.4</c:v>
                </c:pt>
                <c:pt idx="43">
                  <c:v>26.4</c:v>
                </c:pt>
                <c:pt idx="44">
                  <c:v>23.3</c:v>
                </c:pt>
                <c:pt idx="45">
                  <c:v>19.100000000000001</c:v>
                </c:pt>
                <c:pt idx="46">
                  <c:v>17.600000000000001</c:v>
                </c:pt>
                <c:pt idx="47">
                  <c:v>19.7</c:v>
                </c:pt>
                <c:pt idx="48">
                  <c:v>18.100000000000001</c:v>
                </c:pt>
                <c:pt idx="49">
                  <c:v>24.5</c:v>
                </c:pt>
                <c:pt idx="50">
                  <c:v>30.2</c:v>
                </c:pt>
                <c:pt idx="51">
                  <c:v>45.6</c:v>
                </c:pt>
                <c:pt idx="52">
                  <c:v>31.5</c:v>
                </c:pt>
                <c:pt idx="53">
                  <c:v>16.5</c:v>
                </c:pt>
                <c:pt idx="54">
                  <c:v>18.399999999999999</c:v>
                </c:pt>
                <c:pt idx="55">
                  <c:v>13.8</c:v>
                </c:pt>
                <c:pt idx="56">
                  <c:v>10.3</c:v>
                </c:pt>
                <c:pt idx="57">
                  <c:v>15.8</c:v>
                </c:pt>
                <c:pt idx="58">
                  <c:v>16.600000000000001</c:v>
                </c:pt>
                <c:pt idx="59">
                  <c:v>15</c:v>
                </c:pt>
                <c:pt idx="60">
                  <c:v>14.9</c:v>
                </c:pt>
                <c:pt idx="61">
                  <c:v>20.3</c:v>
                </c:pt>
                <c:pt idx="62">
                  <c:v>14.8</c:v>
                </c:pt>
                <c:pt idx="63">
                  <c:v>19.899999999999999</c:v>
                </c:pt>
                <c:pt idx="64">
                  <c:v>29.9</c:v>
                </c:pt>
                <c:pt idx="65">
                  <c:v>22.8</c:v>
                </c:pt>
                <c:pt idx="66">
                  <c:v>15.4</c:v>
                </c:pt>
                <c:pt idx="67">
                  <c:v>17.2</c:v>
                </c:pt>
                <c:pt idx="68">
                  <c:v>31.8</c:v>
                </c:pt>
                <c:pt idx="69">
                  <c:v>28.5</c:v>
                </c:pt>
                <c:pt idx="70">
                  <c:v>23.8</c:v>
                </c:pt>
                <c:pt idx="71">
                  <c:v>19.600000000000001</c:v>
                </c:pt>
                <c:pt idx="72">
                  <c:v>21.7</c:v>
                </c:pt>
                <c:pt idx="73">
                  <c:v>38.4</c:v>
                </c:pt>
                <c:pt idx="74">
                  <c:v>52.2</c:v>
                </c:pt>
                <c:pt idx="75">
                  <c:v>29.8</c:v>
                </c:pt>
                <c:pt idx="76">
                  <c:v>53.9</c:v>
                </c:pt>
                <c:pt idx="77">
                  <c:v>39.6</c:v>
                </c:pt>
                <c:pt idx="78">
                  <c:v>37.799999999999997</c:v>
                </c:pt>
                <c:pt idx="79">
                  <c:v>48</c:v>
                </c:pt>
                <c:pt idx="80">
                  <c:v>51.3</c:v>
                </c:pt>
                <c:pt idx="81">
                  <c:v>35.9</c:v>
                </c:pt>
                <c:pt idx="82">
                  <c:v>34.4</c:v>
                </c:pt>
                <c:pt idx="83">
                  <c:v>25.7</c:v>
                </c:pt>
                <c:pt idx="84">
                  <c:v>13.6</c:v>
                </c:pt>
                <c:pt idx="85">
                  <c:v>11.4</c:v>
                </c:pt>
                <c:pt idx="86">
                  <c:v>17.5</c:v>
                </c:pt>
                <c:pt idx="87">
                  <c:v>13.1</c:v>
                </c:pt>
                <c:pt idx="88">
                  <c:v>10.3</c:v>
                </c:pt>
                <c:pt idx="89">
                  <c:v>17.899999999999999</c:v>
                </c:pt>
                <c:pt idx="90">
                  <c:v>19.5</c:v>
                </c:pt>
                <c:pt idx="91">
                  <c:v>34</c:v>
                </c:pt>
                <c:pt idx="92">
                  <c:v>30.4</c:v>
                </c:pt>
                <c:pt idx="93">
                  <c:v>29.6</c:v>
                </c:pt>
                <c:pt idx="94">
                  <c:v>17</c:v>
                </c:pt>
                <c:pt idx="95">
                  <c:v>20.8</c:v>
                </c:pt>
                <c:pt idx="96">
                  <c:v>34.200000000000003</c:v>
                </c:pt>
                <c:pt idx="97">
                  <c:v>31.6</c:v>
                </c:pt>
                <c:pt idx="98">
                  <c:v>31</c:v>
                </c:pt>
                <c:pt idx="99">
                  <c:v>12.1</c:v>
                </c:pt>
                <c:pt idx="100">
                  <c:v>19.899999999999999</c:v>
                </c:pt>
                <c:pt idx="101">
                  <c:v>12.4</c:v>
                </c:pt>
                <c:pt idx="102">
                  <c:v>35.9</c:v>
                </c:pt>
                <c:pt idx="103">
                  <c:v>37.5</c:v>
                </c:pt>
                <c:pt idx="104">
                  <c:v>37.9</c:v>
                </c:pt>
                <c:pt idx="105">
                  <c:v>40</c:v>
                </c:pt>
                <c:pt idx="106">
                  <c:v>38.299999999999997</c:v>
                </c:pt>
                <c:pt idx="107">
                  <c:v>40.4</c:v>
                </c:pt>
                <c:pt idx="108">
                  <c:v>34.200000000000003</c:v>
                </c:pt>
                <c:pt idx="109">
                  <c:v>51.2</c:v>
                </c:pt>
                <c:pt idx="110">
                  <c:v>52.1</c:v>
                </c:pt>
                <c:pt idx="111">
                  <c:v>60.3</c:v>
                </c:pt>
                <c:pt idx="112">
                  <c:v>67.900000000000006</c:v>
                </c:pt>
                <c:pt idx="113">
                  <c:v>62.8</c:v>
                </c:pt>
                <c:pt idx="114">
                  <c:v>71.8</c:v>
                </c:pt>
                <c:pt idx="115">
                  <c:v>84.9</c:v>
                </c:pt>
                <c:pt idx="116">
                  <c:v>92.5</c:v>
                </c:pt>
                <c:pt idx="117">
                  <c:v>88.9</c:v>
                </c:pt>
                <c:pt idx="118">
                  <c:v>100</c:v>
                </c:pt>
                <c:pt idx="119">
                  <c:v>79.599999999999994</c:v>
                </c:pt>
                <c:pt idx="120">
                  <c:v>99.6</c:v>
                </c:pt>
                <c:pt idx="121">
                  <c:v>83.8</c:v>
                </c:pt>
                <c:pt idx="122">
                  <c:v>73.599999999999994</c:v>
                </c:pt>
                <c:pt idx="123">
                  <c:v>68.099999999999994</c:v>
                </c:pt>
                <c:pt idx="124">
                  <c:v>90.6</c:v>
                </c:pt>
                <c:pt idx="125">
                  <c:v>115.9</c:v>
                </c:pt>
                <c:pt idx="126">
                  <c:v>131.1</c:v>
                </c:pt>
                <c:pt idx="127">
                  <c:v>162.4</c:v>
                </c:pt>
                <c:pt idx="128">
                  <c:v>162.4</c:v>
                </c:pt>
                <c:pt idx="129">
                  <c:v>171.6</c:v>
                </c:pt>
                <c:pt idx="130">
                  <c:v>150.80000000000001</c:v>
                </c:pt>
                <c:pt idx="131">
                  <c:v>153.30000000000001</c:v>
                </c:pt>
                <c:pt idx="132">
                  <c:v>148.6</c:v>
                </c:pt>
                <c:pt idx="133">
                  <c:v>179</c:v>
                </c:pt>
                <c:pt idx="134">
                  <c:v>168</c:v>
                </c:pt>
                <c:pt idx="135">
                  <c:v>136.80000000000001</c:v>
                </c:pt>
                <c:pt idx="136">
                  <c:v>145</c:v>
                </c:pt>
                <c:pt idx="137">
                  <c:v>164.7</c:v>
                </c:pt>
                <c:pt idx="138">
                  <c:v>212.1</c:v>
                </c:pt>
                <c:pt idx="139">
                  <c:v>220.6</c:v>
                </c:pt>
                <c:pt idx="140">
                  <c:v>346.2</c:v>
                </c:pt>
                <c:pt idx="141">
                  <c:v>200.7</c:v>
                </c:pt>
                <c:pt idx="142">
                  <c:v>163.69999999999999</c:v>
                </c:pt>
                <c:pt idx="143">
                  <c:v>185.9</c:v>
                </c:pt>
                <c:pt idx="144">
                  <c:v>170.7</c:v>
                </c:pt>
                <c:pt idx="145">
                  <c:v>172.3</c:v>
                </c:pt>
                <c:pt idx="146">
                  <c:v>235.6</c:v>
                </c:pt>
                <c:pt idx="147">
                  <c:v>181.8</c:v>
                </c:pt>
                <c:pt idx="148">
                  <c:v>172.1</c:v>
                </c:pt>
                <c:pt idx="149">
                  <c:v>110.2</c:v>
                </c:pt>
                <c:pt idx="150">
                  <c:v>57.8</c:v>
                </c:pt>
                <c:pt idx="151">
                  <c:v>40.700000000000003</c:v>
                </c:pt>
                <c:pt idx="152">
                  <c:v>31.4</c:v>
                </c:pt>
                <c:pt idx="153">
                  <c:v>43.1</c:v>
                </c:pt>
                <c:pt idx="154">
                  <c:v>41.5</c:v>
                </c:pt>
                <c:pt idx="155">
                  <c:v>82.4</c:v>
                </c:pt>
                <c:pt idx="156">
                  <c:v>78.7</c:v>
                </c:pt>
                <c:pt idx="157">
                  <c:v>41.4</c:v>
                </c:pt>
                <c:pt idx="158">
                  <c:v>43.3</c:v>
                </c:pt>
                <c:pt idx="159">
                  <c:v>62</c:v>
                </c:pt>
                <c:pt idx="160">
                  <c:v>59</c:v>
                </c:pt>
                <c:pt idx="161">
                  <c:v>76.7</c:v>
                </c:pt>
                <c:pt idx="162">
                  <c:v>82.2</c:v>
                </c:pt>
                <c:pt idx="163">
                  <c:v>70.900000000000006</c:v>
                </c:pt>
                <c:pt idx="164">
                  <c:v>69.3</c:v>
                </c:pt>
                <c:pt idx="165">
                  <c:v>109.8</c:v>
                </c:pt>
                <c:pt idx="166">
                  <c:v>145.4</c:v>
                </c:pt>
                <c:pt idx="167">
                  <c:v>133.9</c:v>
                </c:pt>
                <c:pt idx="168">
                  <c:v>89.4</c:v>
                </c:pt>
                <c:pt idx="169">
                  <c:v>84.5</c:v>
                </c:pt>
                <c:pt idx="170">
                  <c:v>78.7</c:v>
                </c:pt>
                <c:pt idx="171">
                  <c:v>109.4</c:v>
                </c:pt>
                <c:pt idx="172">
                  <c:v>113.2</c:v>
                </c:pt>
              </c:numCache>
            </c:numRef>
          </c:val>
          <c:extLst>
            <c:ext xmlns:c16="http://schemas.microsoft.com/office/drawing/2014/chart" uri="{C3380CC4-5D6E-409C-BE32-E72D297353CC}">
              <c16:uniqueId val="{00000002-3962-4913-A747-25F37A282206}"/>
            </c:ext>
          </c:extLst>
        </c:ser>
        <c:ser>
          <c:idx val="1"/>
          <c:order val="1"/>
          <c:tx>
            <c:v>Onshore Other</c:v>
          </c:tx>
          <c:spPr>
            <a:solidFill>
              <a:schemeClr val="accent6">
                <a:shade val="76000"/>
              </a:schemeClr>
            </a:solidFill>
            <a:ln>
              <a:noFill/>
            </a:ln>
            <a:effectLst/>
          </c:spPr>
          <c:cat>
            <c:numRef>
              <c:f>'Pet. Expl. By Location'!$D$8:$D$178</c:f>
              <c:numCache>
                <c:formatCode>mmm\-yyyy</c:formatCode>
                <c:ptCount val="171"/>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numCache>
            </c:numRef>
          </c:cat>
          <c:val>
            <c:numRef>
              <c:f>'Pet. Expl. By Location'!$F$8:$F$349</c:f>
              <c:numCache>
                <c:formatCode>#,##0_ ;\-#,##0\ </c:formatCode>
                <c:ptCount val="174"/>
                <c:pt idx="0">
                  <c:v>3.8</c:v>
                </c:pt>
                <c:pt idx="1">
                  <c:v>4.3</c:v>
                </c:pt>
                <c:pt idx="2">
                  <c:v>5.5</c:v>
                </c:pt>
                <c:pt idx="3">
                  <c:v>5</c:v>
                </c:pt>
                <c:pt idx="4">
                  <c:v>6.1</c:v>
                </c:pt>
                <c:pt idx="5">
                  <c:v>7.3</c:v>
                </c:pt>
                <c:pt idx="6">
                  <c:v>10.5</c:v>
                </c:pt>
                <c:pt idx="7">
                  <c:v>10.9</c:v>
                </c:pt>
                <c:pt idx="8">
                  <c:v>21.3</c:v>
                </c:pt>
                <c:pt idx="9">
                  <c:v>16.5</c:v>
                </c:pt>
                <c:pt idx="10">
                  <c:v>21.2</c:v>
                </c:pt>
                <c:pt idx="11">
                  <c:v>26.1</c:v>
                </c:pt>
                <c:pt idx="12">
                  <c:v>32.6</c:v>
                </c:pt>
                <c:pt idx="13">
                  <c:v>40.6</c:v>
                </c:pt>
                <c:pt idx="14">
                  <c:v>46.5</c:v>
                </c:pt>
                <c:pt idx="15">
                  <c:v>61.2</c:v>
                </c:pt>
                <c:pt idx="16">
                  <c:v>56.3</c:v>
                </c:pt>
                <c:pt idx="17">
                  <c:v>63.2</c:v>
                </c:pt>
                <c:pt idx="18">
                  <c:v>43.3</c:v>
                </c:pt>
                <c:pt idx="19">
                  <c:v>31.2</c:v>
                </c:pt>
                <c:pt idx="20">
                  <c:v>24.6</c:v>
                </c:pt>
                <c:pt idx="21">
                  <c:v>27.8</c:v>
                </c:pt>
                <c:pt idx="22">
                  <c:v>30.4</c:v>
                </c:pt>
                <c:pt idx="23">
                  <c:v>38.299999999999997</c:v>
                </c:pt>
                <c:pt idx="24">
                  <c:v>47.6</c:v>
                </c:pt>
                <c:pt idx="25">
                  <c:v>43.4</c:v>
                </c:pt>
                <c:pt idx="26">
                  <c:v>46.5</c:v>
                </c:pt>
                <c:pt idx="27">
                  <c:v>49.6</c:v>
                </c:pt>
                <c:pt idx="28">
                  <c:v>55.2</c:v>
                </c:pt>
                <c:pt idx="29">
                  <c:v>61.6</c:v>
                </c:pt>
                <c:pt idx="30">
                  <c:v>60.5</c:v>
                </c:pt>
                <c:pt idx="31">
                  <c:v>53.8</c:v>
                </c:pt>
                <c:pt idx="32">
                  <c:v>41.2</c:v>
                </c:pt>
                <c:pt idx="33">
                  <c:v>25.1</c:v>
                </c:pt>
                <c:pt idx="34">
                  <c:v>25.4</c:v>
                </c:pt>
                <c:pt idx="35">
                  <c:v>21.4</c:v>
                </c:pt>
                <c:pt idx="36">
                  <c:v>27.9</c:v>
                </c:pt>
                <c:pt idx="37">
                  <c:v>30.4</c:v>
                </c:pt>
                <c:pt idx="38">
                  <c:v>32.700000000000003</c:v>
                </c:pt>
                <c:pt idx="39">
                  <c:v>30.5</c:v>
                </c:pt>
                <c:pt idx="40">
                  <c:v>23.8</c:v>
                </c:pt>
                <c:pt idx="41">
                  <c:v>23.9</c:v>
                </c:pt>
                <c:pt idx="42">
                  <c:v>27.1</c:v>
                </c:pt>
                <c:pt idx="43">
                  <c:v>19.8</c:v>
                </c:pt>
                <c:pt idx="44">
                  <c:v>20.3</c:v>
                </c:pt>
                <c:pt idx="45">
                  <c:v>18.3</c:v>
                </c:pt>
                <c:pt idx="46">
                  <c:v>17</c:v>
                </c:pt>
                <c:pt idx="47">
                  <c:v>20.6</c:v>
                </c:pt>
                <c:pt idx="48">
                  <c:v>14.6</c:v>
                </c:pt>
                <c:pt idx="49">
                  <c:v>23.5</c:v>
                </c:pt>
                <c:pt idx="50">
                  <c:v>17.5</c:v>
                </c:pt>
                <c:pt idx="51">
                  <c:v>22.1</c:v>
                </c:pt>
                <c:pt idx="52">
                  <c:v>25.6</c:v>
                </c:pt>
                <c:pt idx="53">
                  <c:v>18</c:v>
                </c:pt>
                <c:pt idx="54">
                  <c:v>22.3</c:v>
                </c:pt>
                <c:pt idx="55">
                  <c:v>19.899999999999999</c:v>
                </c:pt>
                <c:pt idx="56">
                  <c:v>14.9</c:v>
                </c:pt>
                <c:pt idx="57">
                  <c:v>17</c:v>
                </c:pt>
                <c:pt idx="58">
                  <c:v>13.3</c:v>
                </c:pt>
                <c:pt idx="59">
                  <c:v>10.3</c:v>
                </c:pt>
                <c:pt idx="60">
                  <c:v>11.6</c:v>
                </c:pt>
                <c:pt idx="61">
                  <c:v>11.6</c:v>
                </c:pt>
                <c:pt idx="62">
                  <c:v>12.2</c:v>
                </c:pt>
                <c:pt idx="63">
                  <c:v>22.8</c:v>
                </c:pt>
                <c:pt idx="64">
                  <c:v>15.3</c:v>
                </c:pt>
                <c:pt idx="65">
                  <c:v>16.399999999999999</c:v>
                </c:pt>
                <c:pt idx="66">
                  <c:v>21.9</c:v>
                </c:pt>
                <c:pt idx="67">
                  <c:v>20.8</c:v>
                </c:pt>
                <c:pt idx="68">
                  <c:v>23.2</c:v>
                </c:pt>
                <c:pt idx="69">
                  <c:v>19.5</c:v>
                </c:pt>
                <c:pt idx="70">
                  <c:v>22.2</c:v>
                </c:pt>
                <c:pt idx="71">
                  <c:v>18.100000000000001</c:v>
                </c:pt>
                <c:pt idx="72">
                  <c:v>18.8</c:v>
                </c:pt>
                <c:pt idx="73">
                  <c:v>22.7</c:v>
                </c:pt>
                <c:pt idx="74">
                  <c:v>15</c:v>
                </c:pt>
                <c:pt idx="75">
                  <c:v>9.8000000000000007</c:v>
                </c:pt>
                <c:pt idx="76">
                  <c:v>23.7</c:v>
                </c:pt>
                <c:pt idx="77">
                  <c:v>15.3</c:v>
                </c:pt>
                <c:pt idx="78">
                  <c:v>14.8</c:v>
                </c:pt>
                <c:pt idx="79">
                  <c:v>12.8</c:v>
                </c:pt>
                <c:pt idx="80">
                  <c:v>14.7</c:v>
                </c:pt>
                <c:pt idx="81">
                  <c:v>22.4</c:v>
                </c:pt>
                <c:pt idx="82">
                  <c:v>16.2</c:v>
                </c:pt>
                <c:pt idx="83">
                  <c:v>19.7</c:v>
                </c:pt>
                <c:pt idx="84">
                  <c:v>13</c:v>
                </c:pt>
                <c:pt idx="85">
                  <c:v>10.1</c:v>
                </c:pt>
                <c:pt idx="86">
                  <c:v>15.8</c:v>
                </c:pt>
                <c:pt idx="87">
                  <c:v>14.5</c:v>
                </c:pt>
                <c:pt idx="88">
                  <c:v>15.8</c:v>
                </c:pt>
                <c:pt idx="89">
                  <c:v>17.399999999999999</c:v>
                </c:pt>
                <c:pt idx="90">
                  <c:v>19</c:v>
                </c:pt>
                <c:pt idx="91">
                  <c:v>22.7</c:v>
                </c:pt>
                <c:pt idx="92">
                  <c:v>18.399999999999999</c:v>
                </c:pt>
                <c:pt idx="93">
                  <c:v>14.9</c:v>
                </c:pt>
                <c:pt idx="94">
                  <c:v>13.7</c:v>
                </c:pt>
                <c:pt idx="95">
                  <c:v>19.7</c:v>
                </c:pt>
                <c:pt idx="96">
                  <c:v>17.8</c:v>
                </c:pt>
                <c:pt idx="97">
                  <c:v>21</c:v>
                </c:pt>
                <c:pt idx="98">
                  <c:v>26.2</c:v>
                </c:pt>
                <c:pt idx="99">
                  <c:v>22.5</c:v>
                </c:pt>
                <c:pt idx="100">
                  <c:v>23.7</c:v>
                </c:pt>
                <c:pt idx="101">
                  <c:v>27.9</c:v>
                </c:pt>
                <c:pt idx="102">
                  <c:v>30.2</c:v>
                </c:pt>
                <c:pt idx="103">
                  <c:v>23.6</c:v>
                </c:pt>
                <c:pt idx="104">
                  <c:v>22.5</c:v>
                </c:pt>
                <c:pt idx="105">
                  <c:v>35.9</c:v>
                </c:pt>
                <c:pt idx="106">
                  <c:v>23</c:v>
                </c:pt>
                <c:pt idx="107">
                  <c:v>22.3</c:v>
                </c:pt>
                <c:pt idx="108">
                  <c:v>37.4</c:v>
                </c:pt>
                <c:pt idx="109">
                  <c:v>30.1</c:v>
                </c:pt>
                <c:pt idx="110">
                  <c:v>29.5</c:v>
                </c:pt>
                <c:pt idx="111">
                  <c:v>37.1</c:v>
                </c:pt>
                <c:pt idx="112">
                  <c:v>29.7</c:v>
                </c:pt>
                <c:pt idx="113">
                  <c:v>46.4</c:v>
                </c:pt>
                <c:pt idx="114">
                  <c:v>48.4</c:v>
                </c:pt>
                <c:pt idx="115">
                  <c:v>48.3</c:v>
                </c:pt>
                <c:pt idx="116">
                  <c:v>44.8</c:v>
                </c:pt>
                <c:pt idx="117">
                  <c:v>25.3</c:v>
                </c:pt>
                <c:pt idx="118">
                  <c:v>33.200000000000003</c:v>
                </c:pt>
                <c:pt idx="119">
                  <c:v>37.1</c:v>
                </c:pt>
                <c:pt idx="120">
                  <c:v>26.8</c:v>
                </c:pt>
                <c:pt idx="121">
                  <c:v>37.299999999999997</c:v>
                </c:pt>
                <c:pt idx="122">
                  <c:v>39.1</c:v>
                </c:pt>
                <c:pt idx="123">
                  <c:v>38.9</c:v>
                </c:pt>
                <c:pt idx="124">
                  <c:v>60.6</c:v>
                </c:pt>
                <c:pt idx="125">
                  <c:v>31.8</c:v>
                </c:pt>
                <c:pt idx="126">
                  <c:v>49</c:v>
                </c:pt>
                <c:pt idx="127">
                  <c:v>53.6</c:v>
                </c:pt>
                <c:pt idx="128">
                  <c:v>50.3</c:v>
                </c:pt>
                <c:pt idx="129">
                  <c:v>35.299999999999997</c:v>
                </c:pt>
                <c:pt idx="130">
                  <c:v>26.2</c:v>
                </c:pt>
                <c:pt idx="131">
                  <c:v>28.2</c:v>
                </c:pt>
                <c:pt idx="132">
                  <c:v>44.6</c:v>
                </c:pt>
                <c:pt idx="133">
                  <c:v>64.7</c:v>
                </c:pt>
                <c:pt idx="134">
                  <c:v>73.599999999999994</c:v>
                </c:pt>
                <c:pt idx="135">
                  <c:v>50.5</c:v>
                </c:pt>
                <c:pt idx="136">
                  <c:v>97.2</c:v>
                </c:pt>
                <c:pt idx="137">
                  <c:v>105</c:v>
                </c:pt>
                <c:pt idx="138">
                  <c:v>93.2</c:v>
                </c:pt>
                <c:pt idx="139">
                  <c:v>98.4</c:v>
                </c:pt>
                <c:pt idx="140">
                  <c:v>124.4</c:v>
                </c:pt>
                <c:pt idx="141">
                  <c:v>100.7</c:v>
                </c:pt>
                <c:pt idx="142">
                  <c:v>97.2</c:v>
                </c:pt>
                <c:pt idx="143">
                  <c:v>118.3</c:v>
                </c:pt>
                <c:pt idx="144">
                  <c:v>279.2</c:v>
                </c:pt>
                <c:pt idx="145">
                  <c:v>124.3</c:v>
                </c:pt>
                <c:pt idx="146">
                  <c:v>140.6</c:v>
                </c:pt>
                <c:pt idx="147">
                  <c:v>125.4</c:v>
                </c:pt>
                <c:pt idx="148">
                  <c:v>88.5</c:v>
                </c:pt>
                <c:pt idx="149">
                  <c:v>88.6</c:v>
                </c:pt>
                <c:pt idx="150">
                  <c:v>79.599999999999994</c:v>
                </c:pt>
                <c:pt idx="151">
                  <c:v>47.7</c:v>
                </c:pt>
                <c:pt idx="152">
                  <c:v>32.9</c:v>
                </c:pt>
                <c:pt idx="153">
                  <c:v>53</c:v>
                </c:pt>
                <c:pt idx="154">
                  <c:v>31</c:v>
                </c:pt>
                <c:pt idx="155">
                  <c:v>69.900000000000006</c:v>
                </c:pt>
                <c:pt idx="156">
                  <c:v>37</c:v>
                </c:pt>
                <c:pt idx="157">
                  <c:v>50.7</c:v>
                </c:pt>
                <c:pt idx="158">
                  <c:v>31</c:v>
                </c:pt>
                <c:pt idx="159">
                  <c:v>26.4</c:v>
                </c:pt>
                <c:pt idx="160">
                  <c:v>35.5</c:v>
                </c:pt>
                <c:pt idx="161">
                  <c:v>22.2</c:v>
                </c:pt>
                <c:pt idx="162">
                  <c:v>31.6</c:v>
                </c:pt>
                <c:pt idx="163">
                  <c:v>42.4</c:v>
                </c:pt>
                <c:pt idx="164">
                  <c:v>43.8</c:v>
                </c:pt>
                <c:pt idx="165">
                  <c:v>36.200000000000003</c:v>
                </c:pt>
                <c:pt idx="166">
                  <c:v>68.3</c:v>
                </c:pt>
                <c:pt idx="167">
                  <c:v>33.700000000000003</c:v>
                </c:pt>
                <c:pt idx="168">
                  <c:v>55.5</c:v>
                </c:pt>
                <c:pt idx="169">
                  <c:v>66.900000000000006</c:v>
                </c:pt>
                <c:pt idx="170">
                  <c:v>61</c:v>
                </c:pt>
                <c:pt idx="171">
                  <c:v>60.6</c:v>
                </c:pt>
                <c:pt idx="172">
                  <c:v>51.9</c:v>
                </c:pt>
              </c:numCache>
            </c:numRef>
          </c:val>
          <c:extLst>
            <c:ext xmlns:c16="http://schemas.microsoft.com/office/drawing/2014/chart" uri="{C3380CC4-5D6E-409C-BE32-E72D297353CC}">
              <c16:uniqueId val="{00000003-3962-4913-A747-25F37A282206}"/>
            </c:ext>
          </c:extLst>
        </c:ser>
        <c:ser>
          <c:idx val="2"/>
          <c:order val="2"/>
          <c:tx>
            <c:v>Offshore Drilling</c:v>
          </c:tx>
          <c:spPr>
            <a:solidFill>
              <a:schemeClr val="accent6"/>
            </a:solidFill>
            <a:ln>
              <a:noFill/>
            </a:ln>
            <a:effectLst/>
          </c:spPr>
          <c:cat>
            <c:numRef>
              <c:f>'Pet. Expl. By Location'!$D$8:$D$178</c:f>
              <c:numCache>
                <c:formatCode>mmm\-yyyy</c:formatCode>
                <c:ptCount val="171"/>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numCache>
            </c:numRef>
          </c:cat>
          <c:val>
            <c:numRef>
              <c:f>'Pet. Expl. By Location'!$H$8:$H$350</c:f>
              <c:numCache>
                <c:formatCode>#,##0_ ;\-#,##0\ </c:formatCode>
                <c:ptCount val="174"/>
                <c:pt idx="0">
                  <c:v>15</c:v>
                </c:pt>
                <c:pt idx="1">
                  <c:v>18</c:v>
                </c:pt>
                <c:pt idx="2">
                  <c:v>13.3</c:v>
                </c:pt>
                <c:pt idx="3">
                  <c:v>30.3</c:v>
                </c:pt>
                <c:pt idx="4">
                  <c:v>35.1</c:v>
                </c:pt>
                <c:pt idx="5">
                  <c:v>39.700000000000003</c:v>
                </c:pt>
                <c:pt idx="6">
                  <c:v>35</c:v>
                </c:pt>
                <c:pt idx="7">
                  <c:v>44</c:v>
                </c:pt>
                <c:pt idx="8">
                  <c:v>52.1</c:v>
                </c:pt>
                <c:pt idx="9">
                  <c:v>51.7</c:v>
                </c:pt>
                <c:pt idx="10">
                  <c:v>40.6</c:v>
                </c:pt>
                <c:pt idx="11">
                  <c:v>23.2</c:v>
                </c:pt>
                <c:pt idx="12">
                  <c:v>24.2</c:v>
                </c:pt>
                <c:pt idx="13">
                  <c:v>32.5</c:v>
                </c:pt>
                <c:pt idx="14">
                  <c:v>73.2</c:v>
                </c:pt>
                <c:pt idx="15">
                  <c:v>113.5</c:v>
                </c:pt>
                <c:pt idx="16">
                  <c:v>113.4</c:v>
                </c:pt>
                <c:pt idx="17">
                  <c:v>95.1</c:v>
                </c:pt>
                <c:pt idx="18">
                  <c:v>149.80000000000001</c:v>
                </c:pt>
                <c:pt idx="19">
                  <c:v>144.1</c:v>
                </c:pt>
                <c:pt idx="20">
                  <c:v>122</c:v>
                </c:pt>
                <c:pt idx="21">
                  <c:v>142.69999999999999</c:v>
                </c:pt>
                <c:pt idx="22">
                  <c:v>117.4</c:v>
                </c:pt>
                <c:pt idx="23">
                  <c:v>94.2</c:v>
                </c:pt>
                <c:pt idx="24">
                  <c:v>117.8</c:v>
                </c:pt>
                <c:pt idx="25">
                  <c:v>85.3</c:v>
                </c:pt>
                <c:pt idx="26">
                  <c:v>58.9</c:v>
                </c:pt>
                <c:pt idx="27">
                  <c:v>60.4</c:v>
                </c:pt>
                <c:pt idx="28">
                  <c:v>79.3</c:v>
                </c:pt>
                <c:pt idx="29">
                  <c:v>92.7</c:v>
                </c:pt>
                <c:pt idx="30">
                  <c:v>51.1</c:v>
                </c:pt>
                <c:pt idx="31">
                  <c:v>96</c:v>
                </c:pt>
                <c:pt idx="32">
                  <c:v>44.5</c:v>
                </c:pt>
                <c:pt idx="33">
                  <c:v>26.7</c:v>
                </c:pt>
                <c:pt idx="34">
                  <c:v>16.7</c:v>
                </c:pt>
                <c:pt idx="35">
                  <c:v>14.9</c:v>
                </c:pt>
                <c:pt idx="36">
                  <c:v>19.7</c:v>
                </c:pt>
                <c:pt idx="37">
                  <c:v>27.8</c:v>
                </c:pt>
                <c:pt idx="38">
                  <c:v>35.6</c:v>
                </c:pt>
                <c:pt idx="39">
                  <c:v>20.8</c:v>
                </c:pt>
                <c:pt idx="40">
                  <c:v>51.2</c:v>
                </c:pt>
                <c:pt idx="41">
                  <c:v>57.9</c:v>
                </c:pt>
                <c:pt idx="42">
                  <c:v>81.5</c:v>
                </c:pt>
                <c:pt idx="43">
                  <c:v>73.8</c:v>
                </c:pt>
                <c:pt idx="44">
                  <c:v>85.8</c:v>
                </c:pt>
                <c:pt idx="45">
                  <c:v>74.2</c:v>
                </c:pt>
                <c:pt idx="46">
                  <c:v>76.599999999999994</c:v>
                </c:pt>
                <c:pt idx="47">
                  <c:v>123</c:v>
                </c:pt>
                <c:pt idx="48">
                  <c:v>82</c:v>
                </c:pt>
                <c:pt idx="49">
                  <c:v>83.2</c:v>
                </c:pt>
                <c:pt idx="50">
                  <c:v>58</c:v>
                </c:pt>
                <c:pt idx="51">
                  <c:v>62.7</c:v>
                </c:pt>
                <c:pt idx="52">
                  <c:v>54.9</c:v>
                </c:pt>
                <c:pt idx="53">
                  <c:v>29.8</c:v>
                </c:pt>
                <c:pt idx="54">
                  <c:v>60.9</c:v>
                </c:pt>
                <c:pt idx="55">
                  <c:v>17.5</c:v>
                </c:pt>
                <c:pt idx="56">
                  <c:v>29.4</c:v>
                </c:pt>
                <c:pt idx="57">
                  <c:v>52.4</c:v>
                </c:pt>
                <c:pt idx="58">
                  <c:v>68.900000000000006</c:v>
                </c:pt>
                <c:pt idx="59">
                  <c:v>70.900000000000006</c:v>
                </c:pt>
                <c:pt idx="60">
                  <c:v>96.5</c:v>
                </c:pt>
                <c:pt idx="61">
                  <c:v>61.1</c:v>
                </c:pt>
                <c:pt idx="62">
                  <c:v>51.9</c:v>
                </c:pt>
                <c:pt idx="63">
                  <c:v>49.8</c:v>
                </c:pt>
                <c:pt idx="64">
                  <c:v>42</c:v>
                </c:pt>
                <c:pt idx="65">
                  <c:v>100.3</c:v>
                </c:pt>
                <c:pt idx="66">
                  <c:v>89.6</c:v>
                </c:pt>
                <c:pt idx="67">
                  <c:v>79.3</c:v>
                </c:pt>
                <c:pt idx="68">
                  <c:v>95.8</c:v>
                </c:pt>
                <c:pt idx="69">
                  <c:v>101.5</c:v>
                </c:pt>
                <c:pt idx="70">
                  <c:v>88.7</c:v>
                </c:pt>
                <c:pt idx="71">
                  <c:v>76.2</c:v>
                </c:pt>
                <c:pt idx="72">
                  <c:v>68.7</c:v>
                </c:pt>
                <c:pt idx="73">
                  <c:v>111.8</c:v>
                </c:pt>
                <c:pt idx="74">
                  <c:v>112.4</c:v>
                </c:pt>
                <c:pt idx="75">
                  <c:v>96.6</c:v>
                </c:pt>
                <c:pt idx="76">
                  <c:v>69.5</c:v>
                </c:pt>
                <c:pt idx="77">
                  <c:v>42.3</c:v>
                </c:pt>
                <c:pt idx="78">
                  <c:v>82.5</c:v>
                </c:pt>
                <c:pt idx="79">
                  <c:v>137.80000000000001</c:v>
                </c:pt>
                <c:pt idx="80">
                  <c:v>196.7</c:v>
                </c:pt>
                <c:pt idx="81">
                  <c:v>70.7</c:v>
                </c:pt>
                <c:pt idx="82">
                  <c:v>123.8</c:v>
                </c:pt>
                <c:pt idx="83">
                  <c:v>125.1</c:v>
                </c:pt>
                <c:pt idx="84">
                  <c:v>100.8</c:v>
                </c:pt>
                <c:pt idx="85">
                  <c:v>96.5</c:v>
                </c:pt>
                <c:pt idx="86">
                  <c:v>91.4</c:v>
                </c:pt>
                <c:pt idx="87">
                  <c:v>99.1</c:v>
                </c:pt>
                <c:pt idx="88">
                  <c:v>84</c:v>
                </c:pt>
                <c:pt idx="89">
                  <c:v>121.8</c:v>
                </c:pt>
                <c:pt idx="90">
                  <c:v>101</c:v>
                </c:pt>
                <c:pt idx="91">
                  <c:v>140</c:v>
                </c:pt>
                <c:pt idx="92">
                  <c:v>163.5</c:v>
                </c:pt>
                <c:pt idx="93">
                  <c:v>132.19999999999999</c:v>
                </c:pt>
                <c:pt idx="94">
                  <c:v>156.1</c:v>
                </c:pt>
                <c:pt idx="95">
                  <c:v>85.5</c:v>
                </c:pt>
                <c:pt idx="96">
                  <c:v>78.2</c:v>
                </c:pt>
                <c:pt idx="97">
                  <c:v>120.8</c:v>
                </c:pt>
                <c:pt idx="98">
                  <c:v>132.5</c:v>
                </c:pt>
                <c:pt idx="99">
                  <c:v>176.8</c:v>
                </c:pt>
                <c:pt idx="100">
                  <c:v>134.4</c:v>
                </c:pt>
                <c:pt idx="101">
                  <c:v>123.8</c:v>
                </c:pt>
                <c:pt idx="102">
                  <c:v>95.4</c:v>
                </c:pt>
                <c:pt idx="103">
                  <c:v>61</c:v>
                </c:pt>
                <c:pt idx="105">
                  <c:v>70.099999999999994</c:v>
                </c:pt>
                <c:pt idx="106">
                  <c:v>140.6</c:v>
                </c:pt>
                <c:pt idx="107">
                  <c:v>132.69999999999999</c:v>
                </c:pt>
                <c:pt idx="108">
                  <c:v>159.30000000000001</c:v>
                </c:pt>
                <c:pt idx="109">
                  <c:v>133.69999999999999</c:v>
                </c:pt>
                <c:pt idx="110">
                  <c:v>126.2</c:v>
                </c:pt>
                <c:pt idx="111">
                  <c:v>103.7</c:v>
                </c:pt>
                <c:pt idx="112">
                  <c:v>126.6</c:v>
                </c:pt>
                <c:pt idx="113">
                  <c:v>256.8</c:v>
                </c:pt>
                <c:pt idx="114">
                  <c:v>256</c:v>
                </c:pt>
                <c:pt idx="115">
                  <c:v>211.5</c:v>
                </c:pt>
                <c:pt idx="116">
                  <c:v>385.6</c:v>
                </c:pt>
                <c:pt idx="117">
                  <c:v>437.5</c:v>
                </c:pt>
                <c:pt idx="118">
                  <c:v>404.1</c:v>
                </c:pt>
                <c:pt idx="119">
                  <c:v>396</c:v>
                </c:pt>
                <c:pt idx="120">
                  <c:v>498.8</c:v>
                </c:pt>
                <c:pt idx="121">
                  <c:v>498.1</c:v>
                </c:pt>
                <c:pt idx="122">
                  <c:v>535.29999999999995</c:v>
                </c:pt>
                <c:pt idx="123">
                  <c:v>636.20000000000005</c:v>
                </c:pt>
                <c:pt idx="124">
                  <c:v>500.2</c:v>
                </c:pt>
                <c:pt idx="125">
                  <c:v>477</c:v>
                </c:pt>
                <c:pt idx="126">
                  <c:v>482.3</c:v>
                </c:pt>
                <c:pt idx="127">
                  <c:v>576.6</c:v>
                </c:pt>
                <c:pt idx="128">
                  <c:v>630.29999999999995</c:v>
                </c:pt>
                <c:pt idx="129">
                  <c:v>577</c:v>
                </c:pt>
                <c:pt idx="130">
                  <c:v>525.79999999999995</c:v>
                </c:pt>
                <c:pt idx="131">
                  <c:v>528.70000000000005</c:v>
                </c:pt>
                <c:pt idx="132">
                  <c:v>497.6</c:v>
                </c:pt>
                <c:pt idx="133">
                  <c:v>427.5</c:v>
                </c:pt>
                <c:pt idx="134">
                  <c:v>459.4</c:v>
                </c:pt>
                <c:pt idx="135">
                  <c:v>275</c:v>
                </c:pt>
                <c:pt idx="136">
                  <c:v>493.8</c:v>
                </c:pt>
                <c:pt idx="137">
                  <c:v>620.29999999999995</c:v>
                </c:pt>
                <c:pt idx="138">
                  <c:v>781.1</c:v>
                </c:pt>
                <c:pt idx="139">
                  <c:v>572.20000000000005</c:v>
                </c:pt>
                <c:pt idx="140">
                  <c:v>656.5</c:v>
                </c:pt>
                <c:pt idx="141">
                  <c:v>695.4</c:v>
                </c:pt>
                <c:pt idx="142">
                  <c:v>629.5</c:v>
                </c:pt>
                <c:pt idx="143">
                  <c:v>615.4</c:v>
                </c:pt>
                <c:pt idx="144">
                  <c:v>846.8</c:v>
                </c:pt>
                <c:pt idx="145">
                  <c:v>558.20000000000005</c:v>
                </c:pt>
                <c:pt idx="146">
                  <c:v>596.6</c:v>
                </c:pt>
                <c:pt idx="147">
                  <c:v>526.1</c:v>
                </c:pt>
                <c:pt idx="148">
                  <c:v>287.89999999999998</c:v>
                </c:pt>
                <c:pt idx="149">
                  <c:v>246</c:v>
                </c:pt>
                <c:pt idx="150">
                  <c:v>208.8</c:v>
                </c:pt>
                <c:pt idx="151">
                  <c:v>295.89999999999998</c:v>
                </c:pt>
                <c:pt idx="152">
                  <c:v>141.30000000000001</c:v>
                </c:pt>
                <c:pt idx="153">
                  <c:v>125.3</c:v>
                </c:pt>
                <c:pt idx="154">
                  <c:v>137.80000000000001</c:v>
                </c:pt>
                <c:pt idx="155">
                  <c:v>159.6</c:v>
                </c:pt>
                <c:pt idx="156">
                  <c:v>119.9</c:v>
                </c:pt>
                <c:pt idx="157">
                  <c:v>88.1</c:v>
                </c:pt>
                <c:pt idx="158">
                  <c:v>57.7</c:v>
                </c:pt>
                <c:pt idx="159">
                  <c:v>38.200000000000003</c:v>
                </c:pt>
                <c:pt idx="160">
                  <c:v>124</c:v>
                </c:pt>
                <c:pt idx="161">
                  <c:v>100.3</c:v>
                </c:pt>
                <c:pt idx="162">
                  <c:v>106.9</c:v>
                </c:pt>
                <c:pt idx="163">
                  <c:v>91.6</c:v>
                </c:pt>
                <c:pt idx="164">
                  <c:v>99.8</c:v>
                </c:pt>
                <c:pt idx="165">
                  <c:v>116.8</c:v>
                </c:pt>
                <c:pt idx="166">
                  <c:v>75.7</c:v>
                </c:pt>
                <c:pt idx="167">
                  <c:v>43.5</c:v>
                </c:pt>
                <c:pt idx="168">
                  <c:v>2.9</c:v>
                </c:pt>
                <c:pt idx="169">
                  <c:v>1.7</c:v>
                </c:pt>
                <c:pt idx="170">
                  <c:v>43.6</c:v>
                </c:pt>
                <c:pt idx="171">
                  <c:v>11.2</c:v>
                </c:pt>
                <c:pt idx="172">
                  <c:v>24.3</c:v>
                </c:pt>
              </c:numCache>
            </c:numRef>
          </c:val>
          <c:extLst>
            <c:ext xmlns:c16="http://schemas.microsoft.com/office/drawing/2014/chart" uri="{C3380CC4-5D6E-409C-BE32-E72D297353CC}">
              <c16:uniqueId val="{00000000-3962-4913-A747-25F37A282206}"/>
            </c:ext>
          </c:extLst>
        </c:ser>
        <c:ser>
          <c:idx val="3"/>
          <c:order val="3"/>
          <c:tx>
            <c:v>Offshore Other</c:v>
          </c:tx>
          <c:spPr>
            <a:solidFill>
              <a:schemeClr val="accent6">
                <a:tint val="77000"/>
              </a:schemeClr>
            </a:solidFill>
            <a:ln>
              <a:noFill/>
            </a:ln>
            <a:effectLst/>
          </c:spPr>
          <c:cat>
            <c:numRef>
              <c:f>'Pet. Expl. By Location'!$D$8:$D$178</c:f>
              <c:numCache>
                <c:formatCode>mmm\-yyyy</c:formatCode>
                <c:ptCount val="171"/>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pt idx="169">
                  <c:v>44075</c:v>
                </c:pt>
                <c:pt idx="170">
                  <c:v>44166</c:v>
                </c:pt>
              </c:numCache>
            </c:numRef>
          </c:cat>
          <c:val>
            <c:numRef>
              <c:f>'Pet. Expl. By Location'!$I$8:$I$352</c:f>
              <c:numCache>
                <c:formatCode>#,##0_ ;\-#,##0\ </c:formatCode>
                <c:ptCount val="174"/>
                <c:pt idx="0">
                  <c:v>5.2</c:v>
                </c:pt>
                <c:pt idx="1">
                  <c:v>5.5</c:v>
                </c:pt>
                <c:pt idx="2">
                  <c:v>10.6</c:v>
                </c:pt>
                <c:pt idx="3">
                  <c:v>10.199999999999999</c:v>
                </c:pt>
                <c:pt idx="4">
                  <c:v>9.5</c:v>
                </c:pt>
                <c:pt idx="5">
                  <c:v>8.6999999999999993</c:v>
                </c:pt>
                <c:pt idx="6">
                  <c:v>11.3</c:v>
                </c:pt>
                <c:pt idx="7">
                  <c:v>7</c:v>
                </c:pt>
                <c:pt idx="8">
                  <c:v>12.1</c:v>
                </c:pt>
                <c:pt idx="9">
                  <c:v>15.6</c:v>
                </c:pt>
                <c:pt idx="10">
                  <c:v>12.5</c:v>
                </c:pt>
                <c:pt idx="11">
                  <c:v>17.399999999999999</c:v>
                </c:pt>
                <c:pt idx="12">
                  <c:v>14.6</c:v>
                </c:pt>
                <c:pt idx="13">
                  <c:v>17.7</c:v>
                </c:pt>
                <c:pt idx="14">
                  <c:v>26.8</c:v>
                </c:pt>
                <c:pt idx="15">
                  <c:v>22.9</c:v>
                </c:pt>
                <c:pt idx="16">
                  <c:v>23.5</c:v>
                </c:pt>
                <c:pt idx="17">
                  <c:v>26.8</c:v>
                </c:pt>
                <c:pt idx="18">
                  <c:v>15.5</c:v>
                </c:pt>
                <c:pt idx="19">
                  <c:v>14.5</c:v>
                </c:pt>
                <c:pt idx="20">
                  <c:v>15.1</c:v>
                </c:pt>
                <c:pt idx="21">
                  <c:v>16.899999999999999</c:v>
                </c:pt>
                <c:pt idx="22">
                  <c:v>15.8</c:v>
                </c:pt>
                <c:pt idx="23">
                  <c:v>16.100000000000001</c:v>
                </c:pt>
                <c:pt idx="24">
                  <c:v>18.3</c:v>
                </c:pt>
                <c:pt idx="25">
                  <c:v>14</c:v>
                </c:pt>
                <c:pt idx="26">
                  <c:v>19.3</c:v>
                </c:pt>
                <c:pt idx="27">
                  <c:v>25.4</c:v>
                </c:pt>
                <c:pt idx="28">
                  <c:v>28.5</c:v>
                </c:pt>
                <c:pt idx="29">
                  <c:v>25.6</c:v>
                </c:pt>
                <c:pt idx="30">
                  <c:v>23.5</c:v>
                </c:pt>
                <c:pt idx="31">
                  <c:v>49.4</c:v>
                </c:pt>
                <c:pt idx="32">
                  <c:v>23</c:v>
                </c:pt>
                <c:pt idx="33">
                  <c:v>17.100000000000001</c:v>
                </c:pt>
                <c:pt idx="34">
                  <c:v>14.5</c:v>
                </c:pt>
                <c:pt idx="35">
                  <c:v>11.9</c:v>
                </c:pt>
                <c:pt idx="36">
                  <c:v>13.1</c:v>
                </c:pt>
                <c:pt idx="37">
                  <c:v>16.8</c:v>
                </c:pt>
                <c:pt idx="38">
                  <c:v>19.7</c:v>
                </c:pt>
                <c:pt idx="39">
                  <c:v>23.6</c:v>
                </c:pt>
                <c:pt idx="40">
                  <c:v>25.5</c:v>
                </c:pt>
                <c:pt idx="41">
                  <c:v>28.8</c:v>
                </c:pt>
                <c:pt idx="42">
                  <c:v>27.9</c:v>
                </c:pt>
                <c:pt idx="43">
                  <c:v>24.7</c:v>
                </c:pt>
                <c:pt idx="44">
                  <c:v>22.6</c:v>
                </c:pt>
                <c:pt idx="45">
                  <c:v>23</c:v>
                </c:pt>
                <c:pt idx="46">
                  <c:v>20.6</c:v>
                </c:pt>
                <c:pt idx="47">
                  <c:v>26.4</c:v>
                </c:pt>
                <c:pt idx="48">
                  <c:v>20</c:v>
                </c:pt>
                <c:pt idx="49">
                  <c:v>36.9</c:v>
                </c:pt>
                <c:pt idx="50">
                  <c:v>25.1</c:v>
                </c:pt>
                <c:pt idx="51">
                  <c:v>16</c:v>
                </c:pt>
                <c:pt idx="52">
                  <c:v>31.3</c:v>
                </c:pt>
                <c:pt idx="53">
                  <c:v>35.6</c:v>
                </c:pt>
                <c:pt idx="54">
                  <c:v>52.8</c:v>
                </c:pt>
                <c:pt idx="55">
                  <c:v>56.2</c:v>
                </c:pt>
                <c:pt idx="56">
                  <c:v>50</c:v>
                </c:pt>
                <c:pt idx="57">
                  <c:v>53.8</c:v>
                </c:pt>
                <c:pt idx="58">
                  <c:v>66.3</c:v>
                </c:pt>
                <c:pt idx="59">
                  <c:v>53.2</c:v>
                </c:pt>
                <c:pt idx="60">
                  <c:v>37</c:v>
                </c:pt>
                <c:pt idx="61">
                  <c:v>40.4</c:v>
                </c:pt>
                <c:pt idx="62">
                  <c:v>36.4</c:v>
                </c:pt>
                <c:pt idx="63">
                  <c:v>41.4</c:v>
                </c:pt>
                <c:pt idx="64">
                  <c:v>34.700000000000003</c:v>
                </c:pt>
                <c:pt idx="65">
                  <c:v>36.700000000000003</c:v>
                </c:pt>
                <c:pt idx="66">
                  <c:v>30.9</c:v>
                </c:pt>
                <c:pt idx="67">
                  <c:v>26.9</c:v>
                </c:pt>
                <c:pt idx="68">
                  <c:v>37.9</c:v>
                </c:pt>
                <c:pt idx="69">
                  <c:v>40.700000000000003</c:v>
                </c:pt>
                <c:pt idx="70">
                  <c:v>38.700000000000003</c:v>
                </c:pt>
                <c:pt idx="71">
                  <c:v>50.5</c:v>
                </c:pt>
                <c:pt idx="72">
                  <c:v>47.9</c:v>
                </c:pt>
                <c:pt idx="73">
                  <c:v>30.6</c:v>
                </c:pt>
                <c:pt idx="74">
                  <c:v>42.6</c:v>
                </c:pt>
                <c:pt idx="75">
                  <c:v>47.2</c:v>
                </c:pt>
                <c:pt idx="76">
                  <c:v>47.7</c:v>
                </c:pt>
                <c:pt idx="77">
                  <c:v>28.7</c:v>
                </c:pt>
                <c:pt idx="78">
                  <c:v>67</c:v>
                </c:pt>
                <c:pt idx="79">
                  <c:v>77.3</c:v>
                </c:pt>
                <c:pt idx="80">
                  <c:v>52.8</c:v>
                </c:pt>
                <c:pt idx="81">
                  <c:v>60.9</c:v>
                </c:pt>
                <c:pt idx="82">
                  <c:v>61.6</c:v>
                </c:pt>
                <c:pt idx="83">
                  <c:v>62.8</c:v>
                </c:pt>
                <c:pt idx="84">
                  <c:v>64.599999999999994</c:v>
                </c:pt>
                <c:pt idx="85">
                  <c:v>84.4</c:v>
                </c:pt>
                <c:pt idx="86">
                  <c:v>45.7</c:v>
                </c:pt>
                <c:pt idx="87">
                  <c:v>33.1</c:v>
                </c:pt>
                <c:pt idx="88">
                  <c:v>60</c:v>
                </c:pt>
                <c:pt idx="89">
                  <c:v>67.2</c:v>
                </c:pt>
                <c:pt idx="90">
                  <c:v>88.3</c:v>
                </c:pt>
                <c:pt idx="91">
                  <c:v>97.9</c:v>
                </c:pt>
                <c:pt idx="92">
                  <c:v>69.099999999999994</c:v>
                </c:pt>
                <c:pt idx="93">
                  <c:v>61.6</c:v>
                </c:pt>
                <c:pt idx="94">
                  <c:v>62.3</c:v>
                </c:pt>
                <c:pt idx="95">
                  <c:v>74.5</c:v>
                </c:pt>
                <c:pt idx="96">
                  <c:v>61.4</c:v>
                </c:pt>
                <c:pt idx="97">
                  <c:v>53.1</c:v>
                </c:pt>
                <c:pt idx="98">
                  <c:v>57.6</c:v>
                </c:pt>
                <c:pt idx="99">
                  <c:v>56.6</c:v>
                </c:pt>
                <c:pt idx="100">
                  <c:v>72.900000000000006</c:v>
                </c:pt>
                <c:pt idx="101">
                  <c:v>78.3</c:v>
                </c:pt>
                <c:pt idx="102">
                  <c:v>99.7</c:v>
                </c:pt>
                <c:pt idx="103">
                  <c:v>50.6</c:v>
                </c:pt>
                <c:pt idx="105">
                  <c:v>76.400000000000006</c:v>
                </c:pt>
                <c:pt idx="106">
                  <c:v>57.8</c:v>
                </c:pt>
                <c:pt idx="107">
                  <c:v>85.3</c:v>
                </c:pt>
                <c:pt idx="108">
                  <c:v>46.9</c:v>
                </c:pt>
                <c:pt idx="109">
                  <c:v>84</c:v>
                </c:pt>
                <c:pt idx="110">
                  <c:v>91.7</c:v>
                </c:pt>
                <c:pt idx="111">
                  <c:v>86.5</c:v>
                </c:pt>
                <c:pt idx="112">
                  <c:v>146.1</c:v>
                </c:pt>
                <c:pt idx="113">
                  <c:v>153.30000000000001</c:v>
                </c:pt>
                <c:pt idx="114">
                  <c:v>130.19999999999999</c:v>
                </c:pt>
                <c:pt idx="115">
                  <c:v>141.9</c:v>
                </c:pt>
                <c:pt idx="116">
                  <c:v>175.9</c:v>
                </c:pt>
                <c:pt idx="117">
                  <c:v>191.4</c:v>
                </c:pt>
                <c:pt idx="118">
                  <c:v>190.9</c:v>
                </c:pt>
                <c:pt idx="119">
                  <c:v>234.7</c:v>
                </c:pt>
                <c:pt idx="120">
                  <c:v>185.3</c:v>
                </c:pt>
                <c:pt idx="121">
                  <c:v>208.4</c:v>
                </c:pt>
                <c:pt idx="122">
                  <c:v>322.89999999999998</c:v>
                </c:pt>
                <c:pt idx="123">
                  <c:v>307.10000000000002</c:v>
                </c:pt>
                <c:pt idx="124">
                  <c:v>306.7</c:v>
                </c:pt>
                <c:pt idx="125">
                  <c:v>217.9</c:v>
                </c:pt>
                <c:pt idx="126">
                  <c:v>131</c:v>
                </c:pt>
                <c:pt idx="127">
                  <c:v>117.2</c:v>
                </c:pt>
                <c:pt idx="128">
                  <c:v>110.3</c:v>
                </c:pt>
                <c:pt idx="129">
                  <c:v>105.6</c:v>
                </c:pt>
                <c:pt idx="130">
                  <c:v>110.7</c:v>
                </c:pt>
                <c:pt idx="131">
                  <c:v>99.9</c:v>
                </c:pt>
                <c:pt idx="132">
                  <c:v>120.9</c:v>
                </c:pt>
                <c:pt idx="133">
                  <c:v>139.69999999999999</c:v>
                </c:pt>
                <c:pt idx="134">
                  <c:v>151.19999999999999</c:v>
                </c:pt>
                <c:pt idx="135">
                  <c:v>168.5</c:v>
                </c:pt>
                <c:pt idx="136">
                  <c:v>161.9</c:v>
                </c:pt>
                <c:pt idx="137">
                  <c:v>223.4</c:v>
                </c:pt>
                <c:pt idx="138">
                  <c:v>237.1</c:v>
                </c:pt>
                <c:pt idx="139">
                  <c:v>174.7</c:v>
                </c:pt>
                <c:pt idx="140">
                  <c:v>159.9</c:v>
                </c:pt>
                <c:pt idx="141">
                  <c:v>134.80000000000001</c:v>
                </c:pt>
                <c:pt idx="142">
                  <c:v>154.5</c:v>
                </c:pt>
                <c:pt idx="143">
                  <c:v>207.7</c:v>
                </c:pt>
                <c:pt idx="144">
                  <c:v>239.8</c:v>
                </c:pt>
                <c:pt idx="145">
                  <c:v>121.2</c:v>
                </c:pt>
                <c:pt idx="146">
                  <c:v>128</c:v>
                </c:pt>
                <c:pt idx="147">
                  <c:v>182.1</c:v>
                </c:pt>
                <c:pt idx="148">
                  <c:v>149.80000000000001</c:v>
                </c:pt>
                <c:pt idx="149">
                  <c:v>129.4</c:v>
                </c:pt>
                <c:pt idx="150">
                  <c:v>114.3</c:v>
                </c:pt>
                <c:pt idx="151">
                  <c:v>79.400000000000006</c:v>
                </c:pt>
                <c:pt idx="152">
                  <c:v>73.7</c:v>
                </c:pt>
                <c:pt idx="153">
                  <c:v>125.5</c:v>
                </c:pt>
                <c:pt idx="154">
                  <c:v>107.2</c:v>
                </c:pt>
                <c:pt idx="155">
                  <c:v>86.9</c:v>
                </c:pt>
                <c:pt idx="156">
                  <c:v>85.2</c:v>
                </c:pt>
                <c:pt idx="157">
                  <c:v>96.5</c:v>
                </c:pt>
                <c:pt idx="158">
                  <c:v>96.7</c:v>
                </c:pt>
                <c:pt idx="159">
                  <c:v>93.4</c:v>
                </c:pt>
                <c:pt idx="160">
                  <c:v>75.900000000000006</c:v>
                </c:pt>
                <c:pt idx="161">
                  <c:v>101</c:v>
                </c:pt>
                <c:pt idx="162">
                  <c:v>103.4</c:v>
                </c:pt>
                <c:pt idx="163">
                  <c:v>76.8</c:v>
                </c:pt>
                <c:pt idx="164">
                  <c:v>129.69999999999999</c:v>
                </c:pt>
                <c:pt idx="165">
                  <c:v>100.3</c:v>
                </c:pt>
                <c:pt idx="166">
                  <c:v>86.4</c:v>
                </c:pt>
                <c:pt idx="167">
                  <c:v>105.8</c:v>
                </c:pt>
                <c:pt idx="168">
                  <c:v>64.099999999999994</c:v>
                </c:pt>
                <c:pt idx="169">
                  <c:v>67.400000000000006</c:v>
                </c:pt>
                <c:pt idx="170">
                  <c:v>79.2</c:v>
                </c:pt>
                <c:pt idx="171">
                  <c:v>90.4</c:v>
                </c:pt>
                <c:pt idx="172">
                  <c:v>59.5</c:v>
                </c:pt>
              </c:numCache>
            </c:numRef>
          </c:val>
          <c:extLst>
            <c:ext xmlns:c16="http://schemas.microsoft.com/office/drawing/2014/chart" uri="{C3380CC4-5D6E-409C-BE32-E72D297353CC}">
              <c16:uniqueId val="{00000001-3962-4913-A747-25F37A282206}"/>
            </c:ext>
          </c:extLst>
        </c:ser>
        <c:dLbls>
          <c:showLegendKey val="0"/>
          <c:showVal val="0"/>
          <c:showCatName val="0"/>
          <c:showSerName val="0"/>
          <c:showPercent val="0"/>
          <c:showBubbleSize val="0"/>
        </c:dLbls>
        <c:axId val="819425152"/>
        <c:axId val="819416952"/>
      </c:areaChart>
      <c:lineChart>
        <c:grouping val="standard"/>
        <c:varyColors val="0"/>
        <c:ser>
          <c:idx val="4"/>
          <c:order val="4"/>
          <c:tx>
            <c:strRef>
              <c:f>'Pet. Expl. By Location'!$L$7</c:f>
              <c:strCache>
                <c:ptCount val="1"/>
                <c:pt idx="0">
                  <c:v>Onshore Share of Australia </c:v>
                </c:pt>
              </c:strCache>
            </c:strRef>
          </c:tx>
          <c:spPr>
            <a:ln w="28575" cap="rnd">
              <a:solidFill>
                <a:schemeClr val="accent6">
                  <a:tint val="54000"/>
                </a:schemeClr>
              </a:solidFill>
              <a:round/>
            </a:ln>
            <a:effectLst/>
          </c:spPr>
          <c:marker>
            <c:symbol val="none"/>
          </c:marker>
          <c:val>
            <c:numRef>
              <c:f>'Pet. Expl. By Location'!$L$8:$L$180</c:f>
              <c:numCache>
                <c:formatCode>0%</c:formatCode>
                <c:ptCount val="173"/>
                <c:pt idx="0">
                  <c:v>0.22304832713754649</c:v>
                </c:pt>
                <c:pt idx="1">
                  <c:v>0.22483221476510068</c:v>
                </c:pt>
                <c:pt idx="2">
                  <c:v>0.2507374631268437</c:v>
                </c:pt>
                <c:pt idx="3">
                  <c:v>0.14380530973451328</c:v>
                </c:pt>
                <c:pt idx="4">
                  <c:v>0.154275092936803</c:v>
                </c:pt>
                <c:pt idx="5">
                  <c:v>0.20695364238410596</c:v>
                </c:pt>
                <c:pt idx="6">
                  <c:v>0.27565084226646247</c:v>
                </c:pt>
                <c:pt idx="7">
                  <c:v>0.2988826815642458</c:v>
                </c:pt>
                <c:pt idx="8">
                  <c:v>0.33537832310838445</c:v>
                </c:pt>
                <c:pt idx="9">
                  <c:v>0.32225579053373615</c:v>
                </c:pt>
                <c:pt idx="10">
                  <c:v>0.39661016949152544</c:v>
                </c:pt>
                <c:pt idx="11">
                  <c:v>0.54375729288214703</c:v>
                </c:pt>
                <c:pt idx="12">
                  <c:v>0.60184237461617196</c:v>
                </c:pt>
                <c:pt idx="13">
                  <c:v>0.56495726495726495</c:v>
                </c:pt>
                <c:pt idx="14">
                  <c:v>0.46943115364167998</c:v>
                </c:pt>
                <c:pt idx="15">
                  <c:v>0.47821056691091396</c:v>
                </c:pt>
                <c:pt idx="16">
                  <c:v>0.44048582995951419</c:v>
                </c:pt>
                <c:pt idx="17">
                  <c:v>0.52071931196247068</c:v>
                </c:pt>
                <c:pt idx="18">
                  <c:v>0.34699562276163948</c:v>
                </c:pt>
                <c:pt idx="19">
                  <c:v>0.28853046594982079</c:v>
                </c:pt>
                <c:pt idx="20">
                  <c:v>0.27263045793397234</c:v>
                </c:pt>
                <c:pt idx="21">
                  <c:v>0.25905547913801008</c:v>
                </c:pt>
                <c:pt idx="22">
                  <c:v>0.34638255698711595</c:v>
                </c:pt>
                <c:pt idx="23">
                  <c:v>0.39147074904319301</c:v>
                </c:pt>
                <c:pt idx="24">
                  <c:v>0.38881309686221011</c:v>
                </c:pt>
                <c:pt idx="25">
                  <c:v>0.50514453699167072</c:v>
                </c:pt>
                <c:pt idx="26">
                  <c:v>0.54817861339600471</c:v>
                </c:pt>
                <c:pt idx="27">
                  <c:v>0.53027909426013686</c:v>
                </c:pt>
                <c:pt idx="28">
                  <c:v>0.53424056189640035</c:v>
                </c:pt>
                <c:pt idx="29">
                  <c:v>0.49768615902397983</c:v>
                </c:pt>
                <c:pt idx="30">
                  <c:v>0.55359317904993921</c:v>
                </c:pt>
                <c:pt idx="31">
                  <c:v>0.38198632891033374</c:v>
                </c:pt>
                <c:pt idx="32">
                  <c:v>0.49043611323641928</c:v>
                </c:pt>
                <c:pt idx="33">
                  <c:v>0.46575342465753422</c:v>
                </c:pt>
                <c:pt idx="34">
                  <c:v>0.54409566517189834</c:v>
                </c:pt>
                <c:pt idx="35">
                  <c:v>0.57624633431085048</c:v>
                </c:pt>
                <c:pt idx="36">
                  <c:v>0.64372918978912319</c:v>
                </c:pt>
                <c:pt idx="37">
                  <c:v>0.59293680297397766</c:v>
                </c:pt>
                <c:pt idx="38">
                  <c:v>0.58320493066255774</c:v>
                </c:pt>
                <c:pt idx="39">
                  <c:v>0.59140690817186181</c:v>
                </c:pt>
                <c:pt idx="40">
                  <c:v>0.44930707512764406</c:v>
                </c:pt>
                <c:pt idx="41">
                  <c:v>0.43929503916449086</c:v>
                </c:pt>
                <c:pt idx="42">
                  <c:v>0.38111686816350032</c:v>
                </c:pt>
                <c:pt idx="43">
                  <c:v>0.30454845088991433</c:v>
                </c:pt>
                <c:pt idx="44">
                  <c:v>0.29446640316205536</c:v>
                </c:pt>
                <c:pt idx="45">
                  <c:v>0.2746268656716418</c:v>
                </c:pt>
                <c:pt idx="46">
                  <c:v>0.26563706563706563</c:v>
                </c:pt>
                <c:pt idx="47">
                  <c:v>0.20671834625322996</c:v>
                </c:pt>
                <c:pt idx="48">
                  <c:v>0.24795842613214553</c:v>
                </c:pt>
                <c:pt idx="49">
                  <c:v>0.28067025733093953</c:v>
                </c:pt>
                <c:pt idx="50">
                  <c:v>0.37114197530864201</c:v>
                </c:pt>
                <c:pt idx="51">
                  <c:v>0.45816464237516874</c:v>
                </c:pt>
                <c:pt idx="52">
                  <c:v>0.40995094604064475</c:v>
                </c:pt>
                <c:pt idx="53">
                  <c:v>0.34213197969543152</c:v>
                </c:pt>
                <c:pt idx="54">
                  <c:v>0.26439790575916228</c:v>
                </c:pt>
                <c:pt idx="55">
                  <c:v>0.29255319148936171</c:v>
                </c:pt>
                <c:pt idx="56">
                  <c:v>0.25550239234449762</c:v>
                </c:pt>
                <c:pt idx="57">
                  <c:v>0.23421439060205582</c:v>
                </c:pt>
                <c:pt idx="58">
                  <c:v>0.18098720292504569</c:v>
                </c:pt>
                <c:pt idx="59">
                  <c:v>0.1622495151906917</c:v>
                </c:pt>
                <c:pt idx="60">
                  <c:v>0.17500000000000002</c:v>
                </c:pt>
                <c:pt idx="61">
                  <c:v>0.23919523099850973</c:v>
                </c:pt>
                <c:pt idx="62">
                  <c:v>0.23417172593235039</c:v>
                </c:pt>
                <c:pt idx="63">
                  <c:v>0.3121345029239766</c:v>
                </c:pt>
                <c:pt idx="64">
                  <c:v>0.37079573420836753</c:v>
                </c:pt>
                <c:pt idx="65">
                  <c:v>0.22203293583191369</c:v>
                </c:pt>
                <c:pt idx="66">
                  <c:v>0.23637515842839033</c:v>
                </c:pt>
                <c:pt idx="67">
                  <c:v>0.26352288488210818</c:v>
                </c:pt>
                <c:pt idx="68">
                  <c:v>0.29146793852676206</c:v>
                </c:pt>
                <c:pt idx="69">
                  <c:v>0.25184016824395372</c:v>
                </c:pt>
                <c:pt idx="70">
                  <c:v>0.26528258362168394</c:v>
                </c:pt>
                <c:pt idx="71">
                  <c:v>0.22945830797321973</c:v>
                </c:pt>
                <c:pt idx="72">
                  <c:v>0.25779758115849777</c:v>
                </c:pt>
                <c:pt idx="73">
                  <c:v>0.30024570024570024</c:v>
                </c:pt>
                <c:pt idx="74">
                  <c:v>0.30243024302430244</c:v>
                </c:pt>
                <c:pt idx="75">
                  <c:v>0.215493726132024</c:v>
                </c:pt>
                <c:pt idx="76">
                  <c:v>0.3983572895277207</c:v>
                </c:pt>
                <c:pt idx="77">
                  <c:v>0.43606036536934073</c:v>
                </c:pt>
                <c:pt idx="78">
                  <c:v>0.25990099009900991</c:v>
                </c:pt>
                <c:pt idx="79">
                  <c:v>0.22065217391304348</c:v>
                </c:pt>
                <c:pt idx="80">
                  <c:v>0.2091917591125198</c:v>
                </c:pt>
                <c:pt idx="81">
                  <c:v>0.30700368615060558</c:v>
                </c:pt>
                <c:pt idx="82">
                  <c:v>0.21440677966101696</c:v>
                </c:pt>
                <c:pt idx="83">
                  <c:v>0.19468267581475127</c:v>
                </c:pt>
                <c:pt idx="84">
                  <c:v>0.13846954711087975</c:v>
                </c:pt>
                <c:pt idx="85">
                  <c:v>0.10583580613254202</c:v>
                </c:pt>
                <c:pt idx="86">
                  <c:v>0.19589442815249267</c:v>
                </c:pt>
                <c:pt idx="87">
                  <c:v>0.17282404508453353</c:v>
                </c:pt>
                <c:pt idx="88">
                  <c:v>0.15343915343915346</c:v>
                </c:pt>
                <c:pt idx="89">
                  <c:v>0.15737851092287114</c:v>
                </c:pt>
                <c:pt idx="90">
                  <c:v>0.16937253181219833</c:v>
                </c:pt>
                <c:pt idx="91">
                  <c:v>0.1924643584521385</c:v>
                </c:pt>
                <c:pt idx="92">
                  <c:v>0.17312477781727692</c:v>
                </c:pt>
                <c:pt idx="93">
                  <c:v>0.18666107382550334</c:v>
                </c:pt>
                <c:pt idx="94">
                  <c:v>0.123243677238057</c:v>
                </c:pt>
                <c:pt idx="95">
                  <c:v>0.20199501246882792</c:v>
                </c:pt>
                <c:pt idx="96">
                  <c:v>0.27139874739039666</c:v>
                </c:pt>
                <c:pt idx="97">
                  <c:v>0.23212709620476613</c:v>
                </c:pt>
                <c:pt idx="98">
                  <c:v>0.23129801860088961</c:v>
                </c:pt>
                <c:pt idx="99">
                  <c:v>0.12942931741887356</c:v>
                </c:pt>
                <c:pt idx="100">
                  <c:v>0.17377441211638103</c:v>
                </c:pt>
                <c:pt idx="101">
                  <c:v>0.16659793814432988</c:v>
                </c:pt>
                <c:pt idx="102">
                  <c:v>0.25267993874425726</c:v>
                </c:pt>
                <c:pt idx="103">
                  <c:v>0.35379270411117547</c:v>
                </c:pt>
                <c:pt idx="104">
                  <c:v>0.22992006090597641</c:v>
                </c:pt>
                <c:pt idx="105">
                  <c:v>0.34127697841726623</c:v>
                </c:pt>
                <c:pt idx="106">
                  <c:v>0.23604158644589912</c:v>
                </c:pt>
                <c:pt idx="107">
                  <c:v>0.22337014606341291</c:v>
                </c:pt>
                <c:pt idx="108">
                  <c:v>0.25764663548038863</c:v>
                </c:pt>
                <c:pt idx="109">
                  <c:v>0.27190635451505013</c:v>
                </c:pt>
                <c:pt idx="110">
                  <c:v>0.27245409015025041</c:v>
                </c:pt>
                <c:pt idx="111">
                  <c:v>0.33866481223922112</c:v>
                </c:pt>
                <c:pt idx="112">
                  <c:v>0.26330002700513094</c:v>
                </c:pt>
                <c:pt idx="113">
                  <c:v>0.21032357473035437</c:v>
                </c:pt>
                <c:pt idx="114">
                  <c:v>0.2373617693522907</c:v>
                </c:pt>
                <c:pt idx="115">
                  <c:v>0.27379239465570399</c:v>
                </c:pt>
                <c:pt idx="116">
                  <c:v>0.19639278557114229</c:v>
                </c:pt>
                <c:pt idx="117">
                  <c:v>0.15356662180349931</c:v>
                </c:pt>
                <c:pt idx="118">
                  <c:v>0.18280455981321245</c:v>
                </c:pt>
                <c:pt idx="119">
                  <c:v>0.15625418060200669</c:v>
                </c:pt>
                <c:pt idx="120">
                  <c:v>0.15595311536088835</c:v>
                </c:pt>
                <c:pt idx="121">
                  <c:v>0.14632672788786852</c:v>
                </c:pt>
                <c:pt idx="122">
                  <c:v>0.11607786589762076</c:v>
                </c:pt>
                <c:pt idx="123">
                  <c:v>0.10187565457488337</c:v>
                </c:pt>
                <c:pt idx="124">
                  <c:v>0.15779586725109579</c:v>
                </c:pt>
                <c:pt idx="125">
                  <c:v>0.1752699655868043</c:v>
                </c:pt>
                <c:pt idx="126">
                  <c:v>0.22699773128308545</c:v>
                </c:pt>
                <c:pt idx="127">
                  <c:v>0.23741481644317433</c:v>
                </c:pt>
                <c:pt idx="128">
                  <c:v>0.22311968949963285</c:v>
                </c:pt>
                <c:pt idx="129">
                  <c:v>0.2326025857223159</c:v>
                </c:pt>
                <c:pt idx="130">
                  <c:v>0.2175783650891211</c:v>
                </c:pt>
                <c:pt idx="131">
                  <c:v>0.22404641402296013</c:v>
                </c:pt>
                <c:pt idx="132">
                  <c:v>0.23801897252679557</c:v>
                </c:pt>
                <c:pt idx="133">
                  <c:v>0.30053027500308294</c:v>
                </c:pt>
                <c:pt idx="134">
                  <c:v>0.28350152546350621</c:v>
                </c:pt>
                <c:pt idx="135">
                  <c:v>0.29692454026632853</c:v>
                </c:pt>
                <c:pt idx="136">
                  <c:v>0.26968920574802269</c:v>
                </c:pt>
                <c:pt idx="137">
                  <c:v>0.2422310041314891</c:v>
                </c:pt>
                <c:pt idx="138">
                  <c:v>0.23067623724971667</c:v>
                </c:pt>
                <c:pt idx="139">
                  <c:v>0.29927760577915374</c:v>
                </c:pt>
                <c:pt idx="140">
                  <c:v>0.36565656565656568</c:v>
                </c:pt>
                <c:pt idx="141">
                  <c:v>0.26628369421122405</c:v>
                </c:pt>
                <c:pt idx="142">
                  <c:v>0.24971286370597243</c:v>
                </c:pt>
                <c:pt idx="143">
                  <c:v>0.26984831012152932</c:v>
                </c:pt>
                <c:pt idx="144">
                  <c:v>0.29280833062154243</c:v>
                </c:pt>
                <c:pt idx="145">
                  <c:v>0.30389344262295082</c:v>
                </c:pt>
                <c:pt idx="146">
                  <c:v>0.3417514534883721</c:v>
                </c:pt>
                <c:pt idx="147">
                  <c:v>0.30260955194485478</c:v>
                </c:pt>
                <c:pt idx="148">
                  <c:v>0.37310226296190202</c:v>
                </c:pt>
                <c:pt idx="149">
                  <c:v>0.34622082897944967</c:v>
                </c:pt>
                <c:pt idx="150">
                  <c:v>0.29837133550488598</c:v>
                </c:pt>
                <c:pt idx="151">
                  <c:v>0.19064050032348501</c:v>
                </c:pt>
                <c:pt idx="152">
                  <c:v>0.23021840315073397</c:v>
                </c:pt>
                <c:pt idx="153">
                  <c:v>0.27723342939481271</c:v>
                </c:pt>
                <c:pt idx="154">
                  <c:v>0.22841839949590423</c:v>
                </c:pt>
                <c:pt idx="155">
                  <c:v>0.381740657135691</c:v>
                </c:pt>
                <c:pt idx="156">
                  <c:v>0.36066084788029923</c:v>
                </c:pt>
                <c:pt idx="157">
                  <c:v>0.33261026753434558</c:v>
                </c:pt>
                <c:pt idx="158">
                  <c:v>0.32487975513773504</c:v>
                </c:pt>
                <c:pt idx="159">
                  <c:v>0.40200090950432016</c:v>
                </c:pt>
                <c:pt idx="160">
                  <c:v>0.32099184782608697</c:v>
                </c:pt>
                <c:pt idx="161">
                  <c:v>0.32944703530979341</c:v>
                </c:pt>
                <c:pt idx="162">
                  <c:v>0.35112619561863617</c:v>
                </c:pt>
                <c:pt idx="163">
                  <c:v>0.40205819730305176</c:v>
                </c:pt>
                <c:pt idx="164">
                  <c:v>0.33012259194395793</c:v>
                </c:pt>
                <c:pt idx="165">
                  <c:v>0.40220385674931131</c:v>
                </c:pt>
                <c:pt idx="166">
                  <c:v>0.56876828943868052</c:v>
                </c:pt>
                <c:pt idx="167">
                  <c:v>0.5287247474747474</c:v>
                </c:pt>
                <c:pt idx="168">
                  <c:v>0.68381311939594147</c:v>
                </c:pt>
                <c:pt idx="169">
                  <c:v>0.68676337262012699</c:v>
                </c:pt>
                <c:pt idx="170">
                  <c:v>0.53180952380952384</c:v>
                </c:pt>
                <c:pt idx="171">
                  <c:v>0.62592047128129602</c:v>
                </c:pt>
                <c:pt idx="172">
                  <c:v>0.66331860184813185</c:v>
                </c:pt>
              </c:numCache>
            </c:numRef>
          </c:val>
          <c:smooth val="0"/>
          <c:extLst>
            <c:ext xmlns:c16="http://schemas.microsoft.com/office/drawing/2014/chart" uri="{C3380CC4-5D6E-409C-BE32-E72D297353CC}">
              <c16:uniqueId val="{00000000-ED5E-4BC1-9EEF-693D6FC3533C}"/>
            </c:ext>
          </c:extLst>
        </c:ser>
        <c:dLbls>
          <c:showLegendKey val="0"/>
          <c:showVal val="0"/>
          <c:showCatName val="0"/>
          <c:showSerName val="0"/>
          <c:showPercent val="0"/>
          <c:showBubbleSize val="0"/>
        </c:dLbls>
        <c:marker val="1"/>
        <c:smooth val="0"/>
        <c:axId val="1257984232"/>
        <c:axId val="1257983904"/>
      </c:lineChart>
      <c:dateAx>
        <c:axId val="819425152"/>
        <c:scaling>
          <c:orientation val="minMax"/>
          <c:min val="36891"/>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solidFill>
                      <a:sysClr val="windowText" lastClr="000000"/>
                    </a:solidFill>
                  </a:rPr>
                  <a:t>Source: ABS</a:t>
                </a:r>
              </a:p>
            </c:rich>
          </c:tx>
          <c:layout>
            <c:manualLayout>
              <c:xMode val="edge"/>
              <c:yMode val="edge"/>
              <c:x val="4.1845981287643944E-3"/>
              <c:y val="0.9644749799481822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A$ millions</a:t>
                </a:r>
              </a:p>
            </c:rich>
          </c:tx>
          <c:layout>
            <c:manualLayout>
              <c:xMode val="edge"/>
              <c:yMode val="edge"/>
              <c:x val="9.0626318543891062E-3"/>
              <c:y val="0.4307626905625975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9425152"/>
        <c:crosses val="autoZero"/>
        <c:crossBetween val="between"/>
      </c:valAx>
      <c:valAx>
        <c:axId val="1257983904"/>
        <c:scaling>
          <c:orientation val="minMax"/>
        </c:scaling>
        <c:delete val="0"/>
        <c:axPos val="r"/>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984232"/>
        <c:crosses val="max"/>
        <c:crossBetween val="between"/>
      </c:valAx>
      <c:catAx>
        <c:axId val="1257984232"/>
        <c:scaling>
          <c:orientation val="minMax"/>
        </c:scaling>
        <c:delete val="1"/>
        <c:axPos val="b"/>
        <c:majorTickMark val="out"/>
        <c:minorTickMark val="none"/>
        <c:tickLblPos val="nextTo"/>
        <c:crossAx val="1257983904"/>
        <c:crosses val="autoZero"/>
        <c:auto val="1"/>
        <c:lblAlgn val="ctr"/>
        <c:lblOffset val="100"/>
        <c:tickLblSkip val="1"/>
        <c:tickMarkSkip val="1"/>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r>
              <a:rPr lang="en-AU" sz="1800" b="1" i="0" u="none" strike="noStrike" baseline="0">
                <a:effectLst/>
              </a:rPr>
              <a:t/>
            </a:r>
            <a:br>
              <a:rPr lang="en-AU" sz="1800" b="1" i="0" u="none" strike="noStrike" baseline="0">
                <a:effectLst/>
              </a:rPr>
            </a:br>
            <a:r>
              <a:rPr lang="en-AU" sz="900"/>
              <a:t>Last 10 Calendar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0247841144906643E-2"/>
          <c:y val="0.20735104587686151"/>
          <c:w val="0.87331730853923639"/>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numRef>
              <c:f>'Pet. Expl. By Location'!$N$8:$N$17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 Expl. By Location'!$O$8:$O$17</c:f>
              <c:numCache>
                <c:formatCode>#,##0_ ;\-#,##0\ </c:formatCode>
                <c:ptCount val="10"/>
                <c:pt idx="0">
                  <c:v>648.9</c:v>
                </c:pt>
                <c:pt idx="1">
                  <c:v>658.6</c:v>
                </c:pt>
                <c:pt idx="2">
                  <c:v>931.2</c:v>
                </c:pt>
                <c:pt idx="3">
                  <c:v>764.50000000000011</c:v>
                </c:pt>
                <c:pt idx="4">
                  <c:v>521.9</c:v>
                </c:pt>
                <c:pt idx="5">
                  <c:v>156.69999999999999</c:v>
                </c:pt>
                <c:pt idx="6">
                  <c:v>245.8</c:v>
                </c:pt>
                <c:pt idx="7">
                  <c:v>279.89999999999998</c:v>
                </c:pt>
                <c:pt idx="8">
                  <c:v>395.4</c:v>
                </c:pt>
                <c:pt idx="9">
                  <c:v>386.5</c:v>
                </c:pt>
              </c:numCache>
            </c:numRef>
          </c:val>
          <c:extLst>
            <c:ext xmlns:c16="http://schemas.microsoft.com/office/drawing/2014/chart" uri="{C3380CC4-5D6E-409C-BE32-E72D297353CC}">
              <c16:uniqueId val="{00000003-2602-4454-B8A6-BBD628C40BDF}"/>
            </c:ext>
          </c:extLst>
        </c:ser>
        <c:ser>
          <c:idx val="0"/>
          <c:order val="1"/>
          <c:tx>
            <c:v>Onshore other</c:v>
          </c:tx>
          <c:spPr>
            <a:solidFill>
              <a:schemeClr val="accent6">
                <a:shade val="53000"/>
              </a:schemeClr>
            </a:solidFill>
            <a:ln>
              <a:noFill/>
            </a:ln>
            <a:effectLst/>
          </c:spPr>
          <c:invertIfNegative val="0"/>
          <c:cat>
            <c:numRef>
              <c:f>'Pet. Expl. By Location'!$N$8:$N$17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 Expl. By Location'!$P$8:$P$17</c:f>
              <c:numCache>
                <c:formatCode>#,##0_ ;\-#,##0\ </c:formatCode>
                <c:ptCount val="10"/>
                <c:pt idx="0">
                  <c:v>211.1</c:v>
                </c:pt>
                <c:pt idx="1">
                  <c:v>345.9</c:v>
                </c:pt>
                <c:pt idx="2">
                  <c:v>420.7</c:v>
                </c:pt>
                <c:pt idx="3">
                  <c:v>662.4</c:v>
                </c:pt>
                <c:pt idx="4">
                  <c:v>382.1</c:v>
                </c:pt>
                <c:pt idx="5">
                  <c:v>164.6</c:v>
                </c:pt>
                <c:pt idx="6">
                  <c:v>188.60000000000002</c:v>
                </c:pt>
                <c:pt idx="7">
                  <c:v>115.69999999999999</c:v>
                </c:pt>
                <c:pt idx="8">
                  <c:v>190.7</c:v>
                </c:pt>
                <c:pt idx="9">
                  <c:v>217.10000000000002</c:v>
                </c:pt>
              </c:numCache>
            </c:numRef>
          </c:val>
          <c:extLst>
            <c:ext xmlns:c16="http://schemas.microsoft.com/office/drawing/2014/chart" uri="{C3380CC4-5D6E-409C-BE32-E72D297353CC}">
              <c16:uniqueId val="{00000002-2602-4454-B8A6-BBD628C40BDF}"/>
            </c:ext>
          </c:extLst>
        </c:ser>
        <c:ser>
          <c:idx val="2"/>
          <c:order val="2"/>
          <c:tx>
            <c:v>Offshore drilling</c:v>
          </c:tx>
          <c:spPr>
            <a:solidFill>
              <a:schemeClr val="accent6"/>
            </a:solidFill>
            <a:ln>
              <a:noFill/>
            </a:ln>
            <a:effectLst/>
          </c:spPr>
          <c:invertIfNegative val="0"/>
          <c:cat>
            <c:numRef>
              <c:f>'Pet. Expl. By Location'!$N$8:$N$17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 Expl. By Location'!$R$8:$R$17</c:f>
              <c:numCache>
                <c:formatCode>#,##0_ ;\-#,##0\ </c:formatCode>
                <c:ptCount val="10"/>
                <c:pt idx="0">
                  <c:v>1913.2000000000003</c:v>
                </c:pt>
                <c:pt idx="1">
                  <c:v>2170.1999999999998</c:v>
                </c:pt>
                <c:pt idx="2">
                  <c:v>2553.6</c:v>
                </c:pt>
                <c:pt idx="3">
                  <c:v>2617</c:v>
                </c:pt>
                <c:pt idx="4">
                  <c:v>1268.8</c:v>
                </c:pt>
                <c:pt idx="5">
                  <c:v>700.3</c:v>
                </c:pt>
                <c:pt idx="6">
                  <c:v>425.3</c:v>
                </c:pt>
                <c:pt idx="7">
                  <c:v>369.4</c:v>
                </c:pt>
                <c:pt idx="8">
                  <c:v>383.9</c:v>
                </c:pt>
                <c:pt idx="9">
                  <c:v>91.7</c:v>
                </c:pt>
              </c:numCache>
            </c:numRef>
          </c:val>
          <c:extLst>
            <c:ext xmlns:c16="http://schemas.microsoft.com/office/drawing/2014/chart" uri="{C3380CC4-5D6E-409C-BE32-E72D297353CC}">
              <c16:uniqueId val="{00000001-2602-4454-B8A6-BBD628C40BDF}"/>
            </c:ext>
          </c:extLst>
        </c:ser>
        <c:ser>
          <c:idx val="1"/>
          <c:order val="3"/>
          <c:tx>
            <c:v>Offshore other</c:v>
          </c:tx>
          <c:spPr>
            <a:solidFill>
              <a:schemeClr val="accent6">
                <a:shade val="76000"/>
              </a:schemeClr>
            </a:solidFill>
            <a:ln>
              <a:noFill/>
            </a:ln>
            <a:effectLst/>
          </c:spPr>
          <c:invertIfNegative val="0"/>
          <c:cat>
            <c:numRef>
              <c:f>'Pet. Expl. By Location'!$N$8:$N$17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 Expl. By Location'!$S$8:$S$17</c:f>
              <c:numCache>
                <c:formatCode>#,##0_ ;\-#,##0\ </c:formatCode>
                <c:ptCount val="10"/>
                <c:pt idx="0">
                  <c:v>511.7</c:v>
                </c:pt>
                <c:pt idx="1">
                  <c:v>790.9</c:v>
                </c:pt>
                <c:pt idx="2">
                  <c:v>623.90000000000009</c:v>
                </c:pt>
                <c:pt idx="3">
                  <c:v>696.7</c:v>
                </c:pt>
                <c:pt idx="4">
                  <c:v>575.59999999999991</c:v>
                </c:pt>
                <c:pt idx="5">
                  <c:v>385.8</c:v>
                </c:pt>
                <c:pt idx="6">
                  <c:v>365.3</c:v>
                </c:pt>
                <c:pt idx="7">
                  <c:v>373.70000000000005</c:v>
                </c:pt>
                <c:pt idx="8">
                  <c:v>393.20000000000005</c:v>
                </c:pt>
                <c:pt idx="9">
                  <c:v>316.5</c:v>
                </c:pt>
              </c:numCache>
            </c:numRef>
          </c:val>
          <c:extLst>
            <c:ext xmlns:c16="http://schemas.microsoft.com/office/drawing/2014/chart" uri="{C3380CC4-5D6E-409C-BE32-E72D297353CC}">
              <c16:uniqueId val="{00000000-2602-4454-B8A6-BBD628C40BD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By Location'!$U$7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val>
            <c:numRef>
              <c:f>'Pet. Expl. By Location'!$U$8:$U$17</c:f>
              <c:numCache>
                <c:formatCode>0%</c:formatCode>
                <c:ptCount val="10"/>
                <c:pt idx="0">
                  <c:v>0.2618040122987001</c:v>
                </c:pt>
                <c:pt idx="1">
                  <c:v>0.25329096686336811</c:v>
                </c:pt>
                <c:pt idx="2">
                  <c:v>0.29846330477788569</c:v>
                </c:pt>
                <c:pt idx="3">
                  <c:v>0.3009956545584947</c:v>
                </c:pt>
                <c:pt idx="4">
                  <c:v>0.32891864357444328</c:v>
                </c:pt>
                <c:pt idx="5">
                  <c:v>0.22836435981242004</c:v>
                </c:pt>
                <c:pt idx="6">
                  <c:v>0.3545068582625735</c:v>
                </c:pt>
                <c:pt idx="7">
                  <c:v>0.34744422975584055</c:v>
                </c:pt>
                <c:pt idx="8">
                  <c:v>0.42998606322892979</c:v>
                </c:pt>
                <c:pt idx="9">
                  <c:v>0.59646175133425583</c:v>
                </c:pt>
              </c:numCache>
            </c:numRef>
          </c:val>
          <c:smooth val="0"/>
          <c:extLst>
            <c:ext xmlns:c16="http://schemas.microsoft.com/office/drawing/2014/chart" uri="{C3380CC4-5D6E-409C-BE32-E72D297353CC}">
              <c16:uniqueId val="{00000000-BA4C-48B4-974A-8D2A075B0E4D}"/>
            </c:ext>
          </c:extLst>
        </c:ser>
        <c:dLbls>
          <c:showLegendKey val="0"/>
          <c:showVal val="0"/>
          <c:showCatName val="0"/>
          <c:showSerName val="0"/>
          <c:showPercent val="0"/>
          <c:showBubbleSize val="0"/>
        </c:dLbls>
        <c:marker val="1"/>
        <c:smooth val="0"/>
        <c:axId val="1219047664"/>
        <c:axId val="1219046680"/>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258287411313E-3"/>
              <c:y val="0.9555800107438587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layout>
            <c:manualLayout>
              <c:xMode val="edge"/>
              <c:yMode val="edge"/>
              <c:x val="1.2417952936782804E-2"/>
              <c:y val="0.4517103262594353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valAx>
      <c:valAx>
        <c:axId val="1219046680"/>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047664"/>
        <c:crosses val="max"/>
        <c:crossBetween val="between"/>
      </c:valAx>
      <c:catAx>
        <c:axId val="1219047664"/>
        <c:scaling>
          <c:orientation val="minMax"/>
        </c:scaling>
        <c:delete val="1"/>
        <c:axPos val="b"/>
        <c:majorTickMark val="out"/>
        <c:minorTickMark val="none"/>
        <c:tickLblPos val="nextTo"/>
        <c:crossAx val="121904668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RBA Index Of Non-rural Commodity Prices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2018/2019 = 100</a:t>
            </a:r>
            <a:endParaRPr lang="en-AU" sz="1100">
              <a:effectLst/>
            </a:endParaRPr>
          </a:p>
        </c:rich>
      </c:tx>
      <c:overlay val="0"/>
    </c:title>
    <c:autoTitleDeleted val="0"/>
    <c:plotArea>
      <c:layout>
        <c:manualLayout>
          <c:layoutTarget val="inner"/>
          <c:xMode val="edge"/>
          <c:yMode val="edge"/>
          <c:x val="9.7817066984274031E-2"/>
          <c:y val="0.20664356610596088"/>
          <c:w val="0.85819360815192214"/>
          <c:h val="0.63262544768110884"/>
        </c:manualLayout>
      </c:layout>
      <c:lineChart>
        <c:grouping val="standard"/>
        <c:varyColors val="0"/>
        <c:ser>
          <c:idx val="0"/>
          <c:order val="0"/>
          <c:tx>
            <c:strRef>
              <c:f>'Index of Commodity Prices'!$T$39</c:f>
              <c:strCache>
                <c:ptCount val="1"/>
                <c:pt idx="0">
                  <c:v>A$</c:v>
                </c:pt>
              </c:strCache>
            </c:strRef>
          </c:tx>
          <c:marker>
            <c:symbol val="none"/>
          </c:marker>
          <c:cat>
            <c:numRef>
              <c:f>'Index of Commodity Prices'!$S$40:$S$63</c:f>
              <c:numCache>
                <c:formatCode>mmm\-yy</c:formatCode>
                <c:ptCount val="24"/>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numCache>
            </c:numRef>
          </c:cat>
          <c:val>
            <c:numRef>
              <c:f>'Index of Commodity Prices'!$T$40:$T$63</c:f>
              <c:numCache>
                <c:formatCode>#,##0.00</c:formatCode>
                <c:ptCount val="24"/>
                <c:pt idx="0">
                  <c:v>108.63544114932</c:v>
                </c:pt>
                <c:pt idx="1">
                  <c:v>106.431830131711</c:v>
                </c:pt>
                <c:pt idx="2">
                  <c:v>102.033621173801</c:v>
                </c:pt>
                <c:pt idx="3">
                  <c:v>97.838556688671304</c:v>
                </c:pt>
                <c:pt idx="4">
                  <c:v>96.4476964589674</c:v>
                </c:pt>
                <c:pt idx="5">
                  <c:v>95.575388458482394</c:v>
                </c:pt>
                <c:pt idx="6">
                  <c:v>96.961445402329403</c:v>
                </c:pt>
                <c:pt idx="7">
                  <c:v>98.851103918855301</c:v>
                </c:pt>
                <c:pt idx="8">
                  <c:v>105.195572448223</c:v>
                </c:pt>
                <c:pt idx="9">
                  <c:v>100.65091256896</c:v>
                </c:pt>
                <c:pt idx="10">
                  <c:v>98.150030782884599</c:v>
                </c:pt>
                <c:pt idx="11">
                  <c:v>93.228400817793897</c:v>
                </c:pt>
                <c:pt idx="12">
                  <c:v>91.731315983495605</c:v>
                </c:pt>
                <c:pt idx="13">
                  <c:v>92.740175575951895</c:v>
                </c:pt>
                <c:pt idx="14">
                  <c:v>93.232130173693506</c:v>
                </c:pt>
                <c:pt idx="15">
                  <c:v>95.452255609243096</c:v>
                </c:pt>
                <c:pt idx="16">
                  <c:v>97.835225355204798</c:v>
                </c:pt>
                <c:pt idx="17">
                  <c:v>106.02880594456801</c:v>
                </c:pt>
                <c:pt idx="18">
                  <c:v>110.27225654623901</c:v>
                </c:pt>
                <c:pt idx="19">
                  <c:v>111.547387311677</c:v>
                </c:pt>
                <c:pt idx="20">
                  <c:v>115.22602657129499</c:v>
                </c:pt>
                <c:pt idx="21">
                  <c:v>118.961318544641</c:v>
                </c:pt>
                <c:pt idx="22">
                  <c:v>124.912467465361</c:v>
                </c:pt>
                <c:pt idx="23">
                  <c:v>134.62650558533699</c:v>
                </c:pt>
              </c:numCache>
            </c:numRef>
          </c:val>
          <c:smooth val="0"/>
          <c:extLst>
            <c:ext xmlns:c16="http://schemas.microsoft.com/office/drawing/2014/chart" uri="{C3380CC4-5D6E-409C-BE32-E72D297353CC}">
              <c16:uniqueId val="{00000000-36AB-41DD-9AE2-4F8CA3EE0F10}"/>
            </c:ext>
          </c:extLst>
        </c:ser>
        <c:ser>
          <c:idx val="1"/>
          <c:order val="1"/>
          <c:tx>
            <c:strRef>
              <c:f>'Index of Commodity Prices'!$U$39</c:f>
              <c:strCache>
                <c:ptCount val="1"/>
                <c:pt idx="0">
                  <c:v>SDR</c:v>
                </c:pt>
              </c:strCache>
            </c:strRef>
          </c:tx>
          <c:marker>
            <c:symbol val="none"/>
          </c:marker>
          <c:cat>
            <c:numRef>
              <c:f>'Index of Commodity Prices'!$S$40:$S$63</c:f>
              <c:numCache>
                <c:formatCode>mmm\-yy</c:formatCode>
                <c:ptCount val="24"/>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numCache>
            </c:numRef>
          </c:cat>
          <c:val>
            <c:numRef>
              <c:f>'Index of Commodity Prices'!$U$40:$U$63</c:f>
              <c:numCache>
                <c:formatCode>#,##0.00</c:formatCode>
                <c:ptCount val="24"/>
                <c:pt idx="0">
                  <c:v>112.388434882891</c:v>
                </c:pt>
                <c:pt idx="1">
                  <c:v>107.451803053909</c:v>
                </c:pt>
                <c:pt idx="2">
                  <c:v>103.871886731263</c:v>
                </c:pt>
                <c:pt idx="3">
                  <c:v>99.207641156783694</c:v>
                </c:pt>
                <c:pt idx="4">
                  <c:v>98.013326747357695</c:v>
                </c:pt>
                <c:pt idx="5">
                  <c:v>97.625738371605493</c:v>
                </c:pt>
                <c:pt idx="6">
                  <c:v>98.8358886971332</c:v>
                </c:pt>
                <c:pt idx="7">
                  <c:v>98.594509706781295</c:v>
                </c:pt>
                <c:pt idx="8">
                  <c:v>97.668965425391306</c:v>
                </c:pt>
                <c:pt idx="9">
                  <c:v>95.034549554809303</c:v>
                </c:pt>
                <c:pt idx="10">
                  <c:v>95.900208763473401</c:v>
                </c:pt>
                <c:pt idx="11">
                  <c:v>95.4070469086017</c:v>
                </c:pt>
                <c:pt idx="12">
                  <c:v>94.946850897474107</c:v>
                </c:pt>
                <c:pt idx="13">
                  <c:v>96.819498070187294</c:v>
                </c:pt>
                <c:pt idx="14">
                  <c:v>97.749824099670406</c:v>
                </c:pt>
                <c:pt idx="15">
                  <c:v>98.483753810281101</c:v>
                </c:pt>
                <c:pt idx="16">
                  <c:v>102.34745615897501</c:v>
                </c:pt>
                <c:pt idx="17">
                  <c:v>113.568172651498</c:v>
                </c:pt>
                <c:pt idx="18">
                  <c:v>120.855735371902</c:v>
                </c:pt>
                <c:pt idx="19">
                  <c:v>122.91698484855399</c:v>
                </c:pt>
                <c:pt idx="20">
                  <c:v>127.28962564296199</c:v>
                </c:pt>
                <c:pt idx="21">
                  <c:v>131.068663100507</c:v>
                </c:pt>
                <c:pt idx="22">
                  <c:v>137.72392558863001</c:v>
                </c:pt>
                <c:pt idx="23">
                  <c:v>146.734009356782</c:v>
                </c:pt>
              </c:numCache>
            </c:numRef>
          </c:val>
          <c:smooth val="0"/>
          <c:extLst>
            <c:ext xmlns:c16="http://schemas.microsoft.com/office/drawing/2014/chart" uri="{C3380CC4-5D6E-409C-BE32-E72D297353CC}">
              <c16:uniqueId val="{00000001-36AB-41DD-9AE2-4F8CA3EE0F10}"/>
            </c:ext>
          </c:extLst>
        </c:ser>
        <c:ser>
          <c:idx val="2"/>
          <c:order val="2"/>
          <c:tx>
            <c:strRef>
              <c:f>'Index of Commodity Prices'!$V$39</c:f>
              <c:strCache>
                <c:ptCount val="1"/>
                <c:pt idx="0">
                  <c:v>US$</c:v>
                </c:pt>
              </c:strCache>
            </c:strRef>
          </c:tx>
          <c:marker>
            <c:symbol val="none"/>
          </c:marker>
          <c:cat>
            <c:numRef>
              <c:f>'Index of Commodity Prices'!$S$40:$S$63</c:f>
              <c:numCache>
                <c:formatCode>mmm\-yy</c:formatCode>
                <c:ptCount val="24"/>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numCache>
            </c:numRef>
          </c:cat>
          <c:val>
            <c:numRef>
              <c:f>'Index of Commodity Prices'!$V$40:$V$63</c:f>
              <c:numCache>
                <c:formatCode>#,##0.00</c:formatCode>
                <c:ptCount val="24"/>
                <c:pt idx="0">
                  <c:v>113.122067566829</c:v>
                </c:pt>
                <c:pt idx="1">
                  <c:v>107.442673657469</c:v>
                </c:pt>
                <c:pt idx="2">
                  <c:v>103.526288528039</c:v>
                </c:pt>
                <c:pt idx="3">
                  <c:v>99.063815110115399</c:v>
                </c:pt>
                <c:pt idx="4">
                  <c:v>98.1635569245379</c:v>
                </c:pt>
                <c:pt idx="5">
                  <c:v>98.002253751143598</c:v>
                </c:pt>
                <c:pt idx="6">
                  <c:v>99.349435024132703</c:v>
                </c:pt>
                <c:pt idx="7">
                  <c:v>98.314448180274098</c:v>
                </c:pt>
                <c:pt idx="8">
                  <c:v>97.6165215905568</c:v>
                </c:pt>
                <c:pt idx="9">
                  <c:v>94.351207219119004</c:v>
                </c:pt>
                <c:pt idx="10">
                  <c:v>95.220003049286404</c:v>
                </c:pt>
                <c:pt idx="11">
                  <c:v>95.827729398496103</c:v>
                </c:pt>
                <c:pt idx="12">
                  <c:v>96.079363970051901</c:v>
                </c:pt>
                <c:pt idx="13">
                  <c:v>99.5118842624005</c:v>
                </c:pt>
                <c:pt idx="14">
                  <c:v>100.56449439807299</c:v>
                </c:pt>
                <c:pt idx="15">
                  <c:v>101.399715713414</c:v>
                </c:pt>
                <c:pt idx="16">
                  <c:v>105.920690137921</c:v>
                </c:pt>
                <c:pt idx="17">
                  <c:v>118.91999016711399</c:v>
                </c:pt>
                <c:pt idx="18">
                  <c:v>126.959658390508</c:v>
                </c:pt>
                <c:pt idx="19">
                  <c:v>128.911490797249</c:v>
                </c:pt>
                <c:pt idx="20">
                  <c:v>132.412107026462</c:v>
                </c:pt>
                <c:pt idx="21">
                  <c:v>136.30960729632901</c:v>
                </c:pt>
                <c:pt idx="22">
                  <c:v>144.45156778201201</c:v>
                </c:pt>
                <c:pt idx="23">
                  <c:v>153.48313964186201</c:v>
                </c:pt>
              </c:numCache>
            </c:numRef>
          </c:val>
          <c:smooth val="0"/>
          <c:extLst>
            <c:ext xmlns:c16="http://schemas.microsoft.com/office/drawing/2014/chart" uri="{C3380CC4-5D6E-409C-BE32-E72D297353CC}">
              <c16:uniqueId val="{00000002-36AB-41DD-9AE2-4F8CA3EE0F10}"/>
            </c:ext>
          </c:extLst>
        </c:ser>
        <c:dLbls>
          <c:showLegendKey val="0"/>
          <c:showVal val="0"/>
          <c:showCatName val="0"/>
          <c:showSerName val="0"/>
          <c:showPercent val="0"/>
          <c:showBubbleSize val="0"/>
        </c:dLbls>
        <c:smooth val="0"/>
        <c:axId val="422275328"/>
        <c:axId val="422285696"/>
      </c:lineChart>
      <c:dateAx>
        <c:axId val="422275328"/>
        <c:scaling>
          <c:orientation val="minMax"/>
        </c:scaling>
        <c:delete val="0"/>
        <c:axPos val="b"/>
        <c:title>
          <c:tx>
            <c:rich>
              <a:bodyPr/>
              <a:lstStyle/>
              <a:p>
                <a:pPr>
                  <a:defRPr sz="900"/>
                </a:pPr>
                <a:r>
                  <a:rPr lang="en-AU" sz="900"/>
                  <a:t>Source: RBA</a:t>
                </a:r>
                <a:endParaRPr lang="en-AU" sz="900" baseline="0"/>
              </a:p>
            </c:rich>
          </c:tx>
          <c:layout>
            <c:manualLayout>
              <c:xMode val="edge"/>
              <c:yMode val="edge"/>
              <c:x val="1.0247072057169323E-2"/>
              <c:y val="0.95120846963095129"/>
            </c:manualLayout>
          </c:layout>
          <c:overlay val="0"/>
        </c:title>
        <c:numFmt formatCode="mmm\-yy" sourceLinked="0"/>
        <c:majorTickMark val="out"/>
        <c:minorTickMark val="none"/>
        <c:tickLblPos val="nextTo"/>
        <c:spPr>
          <a:ln/>
        </c:spPr>
        <c:txPr>
          <a:bodyPr rot="-2700000" vert="horz"/>
          <a:lstStyle/>
          <a:p>
            <a:pPr>
              <a:defRPr/>
            </a:pPr>
            <a:endParaRPr lang="en-US"/>
          </a:p>
        </c:txPr>
        <c:crossAx val="422285696"/>
        <c:crosses val="autoZero"/>
        <c:auto val="0"/>
        <c:lblOffset val="100"/>
        <c:baseTimeUnit val="months"/>
        <c:majorUnit val="1"/>
        <c:majorTimeUnit val="months"/>
      </c:dateAx>
      <c:valAx>
        <c:axId val="422285696"/>
        <c:scaling>
          <c:orientation val="minMax"/>
          <c:min val="80"/>
        </c:scaling>
        <c:delete val="0"/>
        <c:axPos val="l"/>
        <c:majorGridlines/>
        <c:numFmt formatCode="0" sourceLinked="0"/>
        <c:majorTickMark val="none"/>
        <c:minorTickMark val="none"/>
        <c:tickLblPos val="nextTo"/>
        <c:txPr>
          <a:bodyPr rot="0" vert="horz"/>
          <a:lstStyle/>
          <a:p>
            <a:pPr>
              <a:defRPr/>
            </a:pPr>
            <a:endParaRPr lang="en-US"/>
          </a:p>
        </c:txPr>
        <c:crossAx val="422275328"/>
        <c:crosses val="autoZero"/>
        <c:crossBetween val="between"/>
      </c:valAx>
    </c:plotArea>
    <c:legend>
      <c:legendPos val="t"/>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br>
              <a:rPr lang="en-AU" sz="1300" b="1" i="0" u="none" strike="noStrike" baseline="0">
                <a:effectLst/>
              </a:rPr>
            </a:br>
            <a:r>
              <a:rPr lang="en-AU" sz="900"/>
              <a:t>Last 10 Financial</a:t>
            </a:r>
            <a:r>
              <a:rPr lang="en-AU" sz="900" baseline="0"/>
              <a:t> Y</a:t>
            </a:r>
            <a:r>
              <a:rPr lang="en-AU" sz="900"/>
              <a:t>ears</a:t>
            </a:r>
          </a:p>
        </c:rich>
      </c:tx>
      <c:layout>
        <c:manualLayout>
          <c:xMode val="edge"/>
          <c:yMode val="edge"/>
          <c:x val="0.27304361858372905"/>
          <c:y val="2.651515863267799E-2"/>
        </c:manualLayout>
      </c:layout>
      <c:overlay val="0"/>
      <c:spPr>
        <a:noFill/>
        <a:ln>
          <a:noFill/>
        </a:ln>
        <a:effectLst/>
      </c:spPr>
      <c:txPr>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997529170916298"/>
          <c:y val="0.21265407760339713"/>
          <c:w val="0.84473712128115686"/>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Location'!$X$8:$X$17</c:f>
              <c:numCache>
                <c:formatCode>#,##0_ ;\-#,##0\ </c:formatCode>
                <c:ptCount val="10"/>
                <c:pt idx="0">
                  <c:v>628.79999999999995</c:v>
                </c:pt>
                <c:pt idx="1">
                  <c:v>943.59999999999991</c:v>
                </c:pt>
                <c:pt idx="2">
                  <c:v>721</c:v>
                </c:pt>
                <c:pt idx="3">
                  <c:v>761.80000000000007</c:v>
                </c:pt>
                <c:pt idx="4">
                  <c:v>240.1</c:v>
                </c:pt>
                <c:pt idx="5">
                  <c:v>245.7</c:v>
                </c:pt>
                <c:pt idx="6">
                  <c:v>205.7</c:v>
                </c:pt>
                <c:pt idx="7">
                  <c:v>299.10000000000002</c:v>
                </c:pt>
                <c:pt idx="8">
                  <c:v>478.5</c:v>
                </c:pt>
                <c:pt idx="9">
                  <c:v>385.8</c:v>
                </c:pt>
              </c:numCache>
            </c:numRef>
          </c:val>
          <c:extLst>
            <c:ext xmlns:c16="http://schemas.microsoft.com/office/drawing/2014/chart" uri="{C3380CC4-5D6E-409C-BE32-E72D297353CC}">
              <c16:uniqueId val="{00000003-B100-4DE5-8125-93008F6831BF}"/>
            </c:ext>
          </c:extLst>
        </c:ser>
        <c:ser>
          <c:idx val="0"/>
          <c:order val="1"/>
          <c:tx>
            <c:v>Onshore other</c:v>
          </c:tx>
          <c:spPr>
            <a:solidFill>
              <a:schemeClr val="accent6">
                <a:shade val="53000"/>
              </a:schemeClr>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Location'!$Y$8:$Y$17</c:f>
              <c:numCache>
                <c:formatCode>#,##0_ ;\-#,##0\ </c:formatCode>
                <c:ptCount val="10"/>
                <c:pt idx="0">
                  <c:v>286</c:v>
                </c:pt>
                <c:pt idx="1">
                  <c:v>421</c:v>
                </c:pt>
                <c:pt idx="2">
                  <c:v>595.4</c:v>
                </c:pt>
                <c:pt idx="3">
                  <c:v>478.79999999999995</c:v>
                </c:pt>
                <c:pt idx="4">
                  <c:v>248.79999999999998</c:v>
                </c:pt>
                <c:pt idx="5">
                  <c:v>190.9</c:v>
                </c:pt>
                <c:pt idx="6">
                  <c:v>143.6</c:v>
                </c:pt>
                <c:pt idx="7">
                  <c:v>140</c:v>
                </c:pt>
                <c:pt idx="8">
                  <c:v>193.7</c:v>
                </c:pt>
                <c:pt idx="9">
                  <c:v>240.4</c:v>
                </c:pt>
              </c:numCache>
            </c:numRef>
          </c:val>
          <c:extLst>
            <c:ext xmlns:c16="http://schemas.microsoft.com/office/drawing/2014/chart" uri="{C3380CC4-5D6E-409C-BE32-E72D297353CC}">
              <c16:uniqueId val="{00000002-B100-4DE5-8125-93008F6831BF}"/>
            </c:ext>
          </c:extLst>
        </c:ser>
        <c:ser>
          <c:idx val="2"/>
          <c:order val="2"/>
          <c:tx>
            <c:v>Offshore drilling</c:v>
          </c:tx>
          <c:spPr>
            <a:solidFill>
              <a:schemeClr val="accent6"/>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Location'!$AA$8:$AA$17</c:f>
              <c:numCache>
                <c:formatCode>#,##0_ ;\-#,##0\ </c:formatCode>
                <c:ptCount val="10"/>
                <c:pt idx="0">
                  <c:v>1655.7</c:v>
                </c:pt>
                <c:pt idx="1">
                  <c:v>2630.1000000000004</c:v>
                </c:pt>
                <c:pt idx="2">
                  <c:v>2787.1000000000004</c:v>
                </c:pt>
                <c:pt idx="3">
                  <c:v>1968.8000000000002</c:v>
                </c:pt>
                <c:pt idx="4">
                  <c:v>892</c:v>
                </c:pt>
                <c:pt idx="5">
                  <c:v>542.6</c:v>
                </c:pt>
                <c:pt idx="6">
                  <c:v>308</c:v>
                </c:pt>
                <c:pt idx="7">
                  <c:v>398.59999999999997</c:v>
                </c:pt>
                <c:pt idx="8">
                  <c:v>238.9</c:v>
                </c:pt>
                <c:pt idx="9">
                  <c:v>80.8</c:v>
                </c:pt>
              </c:numCache>
            </c:numRef>
          </c:val>
          <c:extLst>
            <c:ext xmlns:c16="http://schemas.microsoft.com/office/drawing/2014/chart" uri="{C3380CC4-5D6E-409C-BE32-E72D297353CC}">
              <c16:uniqueId val="{00000001-B100-4DE5-8125-93008F6831BF}"/>
            </c:ext>
          </c:extLst>
        </c:ser>
        <c:ser>
          <c:idx val="1"/>
          <c:order val="3"/>
          <c:tx>
            <c:v>Offshore other</c:v>
          </c:tx>
          <c:spPr>
            <a:solidFill>
              <a:schemeClr val="accent6">
                <a:shade val="76000"/>
              </a:schemeClr>
            </a:solidFill>
            <a:ln>
              <a:noFill/>
            </a:ln>
            <a:effectLst/>
          </c:spPr>
          <c:invertIfNegative val="0"/>
          <c:cat>
            <c:strRef>
              <c:f>'Pet. Exploration Expenditure'!$N$8:$N$17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Location'!$AB$8:$AB$17</c:f>
              <c:numCache>
                <c:formatCode>#,##0_ ;\-#,##0\ </c:formatCode>
                <c:ptCount val="10"/>
                <c:pt idx="0">
                  <c:v>621.29999999999995</c:v>
                </c:pt>
                <c:pt idx="1">
                  <c:v>795.1</c:v>
                </c:pt>
                <c:pt idx="2">
                  <c:v>736.8</c:v>
                </c:pt>
                <c:pt idx="3">
                  <c:v>581.09999999999991</c:v>
                </c:pt>
                <c:pt idx="4">
                  <c:v>396.8</c:v>
                </c:pt>
                <c:pt idx="5">
                  <c:v>404.8</c:v>
                </c:pt>
                <c:pt idx="6">
                  <c:v>362.5</c:v>
                </c:pt>
                <c:pt idx="7">
                  <c:v>410.9</c:v>
                </c:pt>
                <c:pt idx="8">
                  <c:v>356.6</c:v>
                </c:pt>
                <c:pt idx="9">
                  <c:v>296.5</c:v>
                </c:pt>
              </c:numCache>
            </c:numRef>
          </c:val>
          <c:extLst>
            <c:ext xmlns:c16="http://schemas.microsoft.com/office/drawing/2014/chart" uri="{C3380CC4-5D6E-409C-BE32-E72D297353CC}">
              <c16:uniqueId val="{00000000-B100-4DE5-8125-93008F6831B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By Location'!$AD$7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cat>
            <c:strRef>
              <c:f>'Pet. Expl. By Location'!$W$8:$W$17</c:f>
              <c:strCache>
                <c:ptCount val="10"/>
                <c:pt idx="0">
                  <c:v>2011-2012</c:v>
                </c:pt>
                <c:pt idx="1">
                  <c:v>2012-2013</c:v>
                </c:pt>
                <c:pt idx="2">
                  <c:v>2013-2014</c:v>
                </c:pt>
                <c:pt idx="3">
                  <c:v>2014-2015</c:v>
                </c:pt>
                <c:pt idx="4">
                  <c:v>2015-2016</c:v>
                </c:pt>
                <c:pt idx="5">
                  <c:v>2016-2017</c:v>
                </c:pt>
                <c:pt idx="6">
                  <c:v>2017-2018</c:v>
                </c:pt>
                <c:pt idx="7">
                  <c:v>2018-2019</c:v>
                </c:pt>
                <c:pt idx="8">
                  <c:v>2019-2020</c:v>
                </c:pt>
                <c:pt idx="9">
                  <c:v>2020-2021</c:v>
                </c:pt>
              </c:strCache>
            </c:strRef>
          </c:cat>
          <c:val>
            <c:numRef>
              <c:f>'Pet. Expl. By Location'!$AD$8:$AD$17</c:f>
              <c:numCache>
                <c:formatCode>0%</c:formatCode>
                <c:ptCount val="10"/>
                <c:pt idx="0">
                  <c:v>0.28659606466975812</c:v>
                </c:pt>
                <c:pt idx="1">
                  <c:v>0.28489707294667832</c:v>
                </c:pt>
                <c:pt idx="2">
                  <c:v>0.27195719096712878</c:v>
                </c:pt>
                <c:pt idx="3">
                  <c:v>0.3272919139955151</c:v>
                </c:pt>
                <c:pt idx="4">
                  <c:v>0.27501828204983969</c:v>
                </c:pt>
                <c:pt idx="5">
                  <c:v>0.31548522292073122</c:v>
                </c:pt>
                <c:pt idx="6">
                  <c:v>0.34248724990192236</c:v>
                </c:pt>
                <c:pt idx="7">
                  <c:v>0.35164571154000163</c:v>
                </c:pt>
                <c:pt idx="8">
                  <c:v>0.53029346797096877</c:v>
                </c:pt>
                <c:pt idx="9">
                  <c:v>0.62395376644081302</c:v>
                </c:pt>
              </c:numCache>
            </c:numRef>
          </c:val>
          <c:smooth val="0"/>
          <c:extLst>
            <c:ext xmlns:c16="http://schemas.microsoft.com/office/drawing/2014/chart" uri="{C3380CC4-5D6E-409C-BE32-E72D297353CC}">
              <c16:uniqueId val="{00000000-9D59-4A0E-97BC-596A8880666E}"/>
            </c:ext>
          </c:extLst>
        </c:ser>
        <c:dLbls>
          <c:showLegendKey val="0"/>
          <c:showVal val="0"/>
          <c:showCatName val="0"/>
          <c:showSerName val="0"/>
          <c:showPercent val="0"/>
          <c:showBubbleSize val="0"/>
        </c:dLbls>
        <c:marker val="1"/>
        <c:smooth val="0"/>
        <c:axId val="1257996704"/>
        <c:axId val="1258005232"/>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506824266286E-3"/>
              <c:y val="0.9553904626420266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max val="5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layout>
            <c:manualLayout>
              <c:xMode val="edge"/>
              <c:yMode val="edge"/>
              <c:x val="3.3667201296904765E-2"/>
              <c:y val="0.4425516956554566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valAx>
      <c:valAx>
        <c:axId val="1258005232"/>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57996704"/>
        <c:crosses val="max"/>
        <c:crossBetween val="between"/>
      </c:valAx>
      <c:catAx>
        <c:axId val="1257996704"/>
        <c:scaling>
          <c:orientation val="minMax"/>
        </c:scaling>
        <c:delete val="1"/>
        <c:axPos val="b"/>
        <c:numFmt formatCode="General" sourceLinked="1"/>
        <c:majorTickMark val="out"/>
        <c:minorTickMark val="none"/>
        <c:tickLblPos val="nextTo"/>
        <c:crossAx val="1258005232"/>
        <c:crosses val="autoZero"/>
        <c:auto val="1"/>
        <c:lblAlgn val="ctr"/>
        <c:lblOffset val="100"/>
        <c:noMultiLvlLbl val="0"/>
      </c:catAx>
      <c:spPr>
        <a:solidFill>
          <a:schemeClr val="bg1"/>
        </a:solidFill>
        <a:ln>
          <a:noFill/>
        </a:ln>
        <a:effectLst/>
      </c:spPr>
    </c:plotArea>
    <c:legend>
      <c:legendPos val="t"/>
      <c:layout>
        <c:manualLayout>
          <c:xMode val="edge"/>
          <c:yMode val="edge"/>
          <c:x val="0.20527409706344535"/>
          <c:y val="0.12953991189033665"/>
          <c:w val="0.78022023423900011"/>
          <c:h val="4.79407058558290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Latest'!$U$7</c:f>
          <c:strCache>
            <c:ptCount val="1"/>
            <c:pt idx="0">
              <c:v>Royalty Receipts And North West Shelf Grants 
2020-21</c:v>
            </c:pt>
          </c:strCache>
        </c:strRef>
      </c:tx>
      <c:overlay val="0"/>
      <c:txPr>
        <a:bodyPr/>
        <a:lstStyle/>
        <a:p>
          <a:pPr>
            <a:defRPr/>
          </a:pPr>
          <a:endParaRPr lang="en-US"/>
        </a:p>
      </c:txPr>
    </c:title>
    <c:autoTitleDeleted val="0"/>
    <c:plotArea>
      <c:layout>
        <c:manualLayout>
          <c:layoutTarget val="inner"/>
          <c:xMode val="edge"/>
          <c:yMode val="edge"/>
          <c:x val="6.4177737192236226E-2"/>
          <c:y val="0.21288584296251062"/>
          <c:w val="0.83808746976892401"/>
          <c:h val="0.66799113574993085"/>
        </c:manualLayout>
      </c:layout>
      <c:ofPieChart>
        <c:ofPieType val="pie"/>
        <c:varyColors val="1"/>
        <c:ser>
          <c:idx val="0"/>
          <c:order val="0"/>
          <c:dLbls>
            <c:dLbl>
              <c:idx val="0"/>
              <c:layout>
                <c:manualLayout>
                  <c:x val="-3.3557055846604794E-3"/>
                  <c:y val="-2.12064540137210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60-47EA-BCFD-ACCE723700CB}"/>
                </c:ext>
              </c:extLst>
            </c:dLbl>
            <c:dLbl>
              <c:idx val="1"/>
              <c:layout>
                <c:manualLayout>
                  <c:x val="6.7114111693205893E-3"/>
                  <c:y val="3.029493430531457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A63-491F-9775-6B28A4F17CBF}"/>
                </c:ext>
              </c:extLst>
            </c:dLbl>
            <c:dLbl>
              <c:idx val="2"/>
              <c:layout>
                <c:manualLayout>
                  <c:x val="-5.0335583769906579E-3"/>
                  <c:y val="9.684837266097687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37-422D-87F0-7F9EDC9626E0}"/>
                </c:ext>
              </c:extLst>
            </c:dLbl>
            <c:dLbl>
              <c:idx val="3"/>
              <c:layout>
                <c:manualLayout>
                  <c:x val="-1.6778527923301781E-3"/>
                  <c:y val="2.12064540137209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E60-47EA-BCFD-ACCE723700CB}"/>
                </c:ext>
              </c:extLst>
            </c:dLbl>
            <c:dLbl>
              <c:idx val="4"/>
              <c:layout>
                <c:manualLayout>
                  <c:x val="-1.6778527923301916E-3"/>
                  <c:y val="-1.825997347404177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292365452720354"/>
                      <c:h val="8.3038414930870302E-2"/>
                    </c:manualLayout>
                  </c15:layout>
                </c:ext>
                <c:ext xmlns:c16="http://schemas.microsoft.com/office/drawing/2014/chart" uri="{C3380CC4-5D6E-409C-BE32-E72D297353CC}">
                  <c16:uniqueId val="{00000001-AD37-422D-87F0-7F9EDC9626E0}"/>
                </c:ext>
              </c:extLst>
            </c:dLbl>
            <c:dLbl>
              <c:idx val="5"/>
              <c:layout>
                <c:manualLayout>
                  <c:x val="0.13926178176340478"/>
                  <c:y val="-5.15013883190367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E60-47EA-BCFD-ACCE723700CB}"/>
                </c:ext>
              </c:extLst>
            </c:dLbl>
            <c:dLbl>
              <c:idx val="6"/>
              <c:layout>
                <c:manualLayout>
                  <c:x val="6.7114111693205893E-3"/>
                  <c:y val="3.96047823058500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37-422D-87F0-7F9EDC9626E0}"/>
                </c:ext>
              </c:extLst>
            </c:dLbl>
            <c:dLbl>
              <c:idx val="7"/>
              <c:layout>
                <c:manualLayout>
                  <c:x val="5.0335583769905348E-3"/>
                  <c:y val="-1.5216615105905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62-462D-BE13-848A8EB61706}"/>
                </c:ext>
              </c:extLst>
            </c:dLbl>
            <c:dLbl>
              <c:idx val="8"/>
              <c:layout>
                <c:manualLayout>
                  <c:x val="1.5100675130971604E-2"/>
                  <c:y val="1.8176960583189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60-47EA-BCFD-ACCE723700CB}"/>
                </c:ext>
              </c:extLst>
            </c:dLbl>
            <c:dLbl>
              <c:idx val="9"/>
              <c:layout>
                <c:manualLayout>
                  <c:x val="-6.8791964485537302E-2"/>
                  <c:y val="5.1501388319036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E60-47EA-BCFD-ACCE723700CB}"/>
                </c:ext>
              </c:extLst>
            </c:dLbl>
            <c:dLbl>
              <c:idx val="10"/>
              <c:layout>
                <c:manualLayout>
                  <c:x val="-2.936242386577818E-2"/>
                  <c:y val="-3.3407440626699675E-2"/>
                </c:manualLayout>
              </c:layout>
              <c:numFmt formatCode="0.0%" sourceLinked="0"/>
              <c:spPr>
                <a:noFill/>
                <a:ln>
                  <a:noFill/>
                </a:ln>
                <a:effectLst/>
              </c:spPr>
              <c:txPr>
                <a:bodyPr wrap="square" lIns="38100" tIns="19050" rIns="38100" bIns="19050" anchor="ctr">
                  <a:noAutofit/>
                </a:bodyPr>
                <a:lstStyle/>
                <a:p>
                  <a:pPr>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2751681221709354"/>
                      <c:h val="0.16180524412469108"/>
                    </c:manualLayout>
                  </c15:layout>
                </c:ext>
                <c:ext xmlns:c16="http://schemas.microsoft.com/office/drawing/2014/chart" uri="{C3380CC4-5D6E-409C-BE32-E72D297353CC}">
                  <c16:uniqueId val="{00000001-2A62-462D-BE13-848A8EB61706}"/>
                </c:ext>
              </c:extLst>
            </c:dLbl>
            <c:numFmt formatCode="0.0%" sourceLinked="0"/>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('Royalties Latest'!$A$9:$A$18,'Royalties Latest'!$A$20)</c:f>
              <c:strCache>
                <c:ptCount val="11"/>
                <c:pt idx="0">
                  <c:v>Alumina</c:v>
                </c:pt>
                <c:pt idx="1">
                  <c:v>Copper, Lead &amp; Zinc</c:v>
                </c:pt>
                <c:pt idx="2">
                  <c:v>Diamonds</c:v>
                </c:pt>
                <c:pt idx="3">
                  <c:v>Gold</c:v>
                </c:pt>
                <c:pt idx="4">
                  <c:v>Mineral sands</c:v>
                </c:pt>
                <c:pt idx="5">
                  <c:v>Iron Ore</c:v>
                </c:pt>
                <c:pt idx="6">
                  <c:v>Lithium</c:v>
                </c:pt>
                <c:pt idx="7">
                  <c:v>Nickel</c:v>
                </c:pt>
                <c:pt idx="8">
                  <c:v>Petroleum</c:v>
                </c:pt>
                <c:pt idx="9">
                  <c:v>Other</c:v>
                </c:pt>
                <c:pt idx="10">
                  <c:v>North West Shelf Grants</c:v>
                </c:pt>
              </c:strCache>
            </c:strRef>
          </c:cat>
          <c:val>
            <c:numRef>
              <c:f>('Royalties Latest'!$C$9:$C$18,'Royalties Latest'!$C$20)</c:f>
              <c:numCache>
                <c:formatCode>#,##0</c:formatCode>
                <c:ptCount val="11"/>
                <c:pt idx="0">
                  <c:v>92446233.109999985</c:v>
                </c:pt>
                <c:pt idx="1">
                  <c:v>70545597.280000061</c:v>
                </c:pt>
                <c:pt idx="2">
                  <c:v>9432108.5500000007</c:v>
                </c:pt>
                <c:pt idx="3">
                  <c:v>415650663.54000014</c:v>
                </c:pt>
                <c:pt idx="4">
                  <c:v>31042373.709999993</c:v>
                </c:pt>
                <c:pt idx="5">
                  <c:v>9796786333.8000069</c:v>
                </c:pt>
                <c:pt idx="6">
                  <c:v>43324947.219999999</c:v>
                </c:pt>
                <c:pt idx="7">
                  <c:v>83530749.110000029</c:v>
                </c:pt>
                <c:pt idx="8">
                  <c:v>2426255.5299999993</c:v>
                </c:pt>
                <c:pt idx="9">
                  <c:v>73271480.099999979</c:v>
                </c:pt>
                <c:pt idx="10">
                  <c:v>386231534.63</c:v>
                </c:pt>
              </c:numCache>
            </c:numRef>
          </c:val>
          <c:extLst>
            <c:ext xmlns:c16="http://schemas.microsoft.com/office/drawing/2014/chart" uri="{C3380CC4-5D6E-409C-BE32-E72D297353CC}">
              <c16:uniqueId val="{00000000-9D06-47ED-9E40-4F212FD75857}"/>
            </c:ext>
          </c:extLst>
        </c:ser>
        <c:dLbls>
          <c:dLblPos val="bestFit"/>
          <c:showLegendKey val="0"/>
          <c:showVal val="0"/>
          <c:showCatName val="1"/>
          <c:showSerName val="0"/>
          <c:showPercent val="1"/>
          <c:showBubbleSize val="0"/>
          <c:showLeaderLines val="1"/>
        </c:dLbls>
        <c:gapWidth val="130"/>
        <c:splitType val="val"/>
        <c:splitPos val="250000000"/>
        <c:secondPieSize val="62"/>
        <c:serLines/>
      </c:ofPieChart>
    </c:plotArea>
    <c:plotVisOnly val="1"/>
    <c:dispBlanksAs val="gap"/>
    <c:showDLblsOverMax val="0"/>
  </c:chart>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Latest'!$T$7</c:f>
          <c:strCache>
            <c:ptCount val="1"/>
            <c:pt idx="0">
              <c:v>Royalty Revenue Growth 
2019-20 to 2020-21</c:v>
            </c:pt>
          </c:strCache>
        </c:strRef>
      </c:tx>
      <c:overlay val="0"/>
      <c:txPr>
        <a:bodyPr/>
        <a:lstStyle/>
        <a:p>
          <a:pPr>
            <a:defRPr/>
          </a:pPr>
          <a:endParaRPr lang="en-US"/>
        </a:p>
      </c:txPr>
    </c:title>
    <c:autoTitleDeleted val="0"/>
    <c:plotArea>
      <c:layout>
        <c:manualLayout>
          <c:layoutTarget val="inner"/>
          <c:xMode val="edge"/>
          <c:yMode val="edge"/>
          <c:x val="6.0921962582757228E-2"/>
          <c:y val="0.1722761214338614"/>
          <c:w val="0.92052782975981795"/>
          <c:h val="0.65703674321175953"/>
        </c:manualLayout>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('Royalties Latest'!$A$9:$A$18,'Royalties Latest'!$A$20,'Royalties Latest'!$A$21)</c:f>
              <c:strCache>
                <c:ptCount val="12"/>
                <c:pt idx="0">
                  <c:v>Alumina</c:v>
                </c:pt>
                <c:pt idx="1">
                  <c:v>Copper, Lead &amp; Zinc</c:v>
                </c:pt>
                <c:pt idx="2">
                  <c:v>Diamonds</c:v>
                </c:pt>
                <c:pt idx="3">
                  <c:v>Gold</c:v>
                </c:pt>
                <c:pt idx="4">
                  <c:v>Mineral sands</c:v>
                </c:pt>
                <c:pt idx="5">
                  <c:v>Iron Ore</c:v>
                </c:pt>
                <c:pt idx="6">
                  <c:v>Lithium</c:v>
                </c:pt>
                <c:pt idx="7">
                  <c:v>Nickel</c:v>
                </c:pt>
                <c:pt idx="8">
                  <c:v>Petroleum</c:v>
                </c:pt>
                <c:pt idx="9">
                  <c:v>Other</c:v>
                </c:pt>
                <c:pt idx="10">
                  <c:v>North West Shelf Grants</c:v>
                </c:pt>
                <c:pt idx="11">
                  <c:v>Total Revenue</c:v>
                </c:pt>
              </c:strCache>
            </c:strRef>
          </c:cat>
          <c:val>
            <c:numRef>
              <c:f>('Royalties Latest'!$E$9:$E$18,'Royalties Latest'!$E$20,'Royalties Latest'!$E$21)</c:f>
              <c:numCache>
                <c:formatCode>0%</c:formatCode>
                <c:ptCount val="12"/>
                <c:pt idx="0">
                  <c:v>-0.18623124808435379</c:v>
                </c:pt>
                <c:pt idx="1">
                  <c:v>4.2896895497233807E-2</c:v>
                </c:pt>
                <c:pt idx="2">
                  <c:v>-0.16792386686276981</c:v>
                </c:pt>
                <c:pt idx="3">
                  <c:v>0.15002039702413966</c:v>
                </c:pt>
                <c:pt idx="4">
                  <c:v>0.34942419927538493</c:v>
                </c:pt>
                <c:pt idx="5">
                  <c:v>0.25556032480406971</c:v>
                </c:pt>
                <c:pt idx="6">
                  <c:v>-0.34664830551683407</c:v>
                </c:pt>
                <c:pt idx="7">
                  <c:v>9.6840036946052657E-2</c:v>
                </c:pt>
                <c:pt idx="8">
                  <c:v>-0.64949922224325563</c:v>
                </c:pt>
                <c:pt idx="9">
                  <c:v>-6.4280918665854225E-2</c:v>
                </c:pt>
                <c:pt idx="10">
                  <c:v>-0.44040820548724341</c:v>
                </c:pt>
                <c:pt idx="11">
                  <c:v>0.18360106860607345</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spPr>
          <a:ln/>
        </c:spPr>
        <c:crossAx val="431278336"/>
        <c:crosses val="autoZero"/>
        <c:auto val="1"/>
        <c:lblAlgn val="ctr"/>
        <c:lblOffset val="100"/>
        <c:noMultiLvlLbl val="0"/>
      </c:catAx>
      <c:valAx>
        <c:axId val="431278336"/>
        <c:scaling>
          <c:orientation val="minMax"/>
        </c:scaling>
        <c:delete val="0"/>
        <c:axPos val="l"/>
        <c:majorGridlines/>
        <c:numFmt formatCode="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Mining, Exploration And Petroleum Employment</a:t>
            </a:r>
          </a:p>
          <a:p>
            <a:pPr>
              <a:defRPr/>
            </a:pPr>
            <a:r>
              <a:rPr lang="en-US" sz="900"/>
              <a:t>Last 10 Calendar Years</a:t>
            </a:r>
          </a:p>
        </c:rich>
      </c:tx>
      <c:overlay val="0"/>
    </c:title>
    <c:autoTitleDeleted val="0"/>
    <c:plotArea>
      <c:layout/>
      <c:barChart>
        <c:barDir val="col"/>
        <c:grouping val="clustered"/>
        <c:varyColors val="0"/>
        <c:ser>
          <c:idx val="0"/>
          <c:order val="0"/>
          <c:tx>
            <c:strRef>
              <c:f>'Employment Calendar Year'!$Q$53:$U$53</c:f>
              <c:strCache>
                <c:ptCount val="5"/>
                <c:pt idx="0">
                  <c:v>Total Mining, Exploration and Petroleum</c:v>
                </c:pt>
              </c:strCache>
            </c:strRef>
          </c:tx>
          <c:invertIfNegative val="0"/>
          <c:cat>
            <c:numRef>
              <c:f>'Employment Calendar Year'!$N$103:$W$103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'Employment Calendar Year'!$N$104:$W$104</c:f>
              <c:numCache>
                <c:formatCode>General</c:formatCode>
                <c:ptCount val="10"/>
                <c:pt idx="0">
                  <c:v>94188.583333333328</c:v>
                </c:pt>
                <c:pt idx="1">
                  <c:v>109271.66666666669</c:v>
                </c:pt>
                <c:pt idx="2">
                  <c:v>113430.58333333333</c:v>
                </c:pt>
                <c:pt idx="3">
                  <c:v>111599.91666666667</c:v>
                </c:pt>
                <c:pt idx="4">
                  <c:v>107022.33333333333</c:v>
                </c:pt>
                <c:pt idx="5">
                  <c:v>106139.75000000001</c:v>
                </c:pt>
                <c:pt idx="6">
                  <c:v>113061.91666666666</c:v>
                </c:pt>
                <c:pt idx="7">
                  <c:v>121803.66666666667</c:v>
                </c:pt>
                <c:pt idx="8">
                  <c:v>134522.91666666666</c:v>
                </c:pt>
                <c:pt idx="9">
                  <c:v>143616.83333333331</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sz="900"/>
                </a:pPr>
                <a:r>
                  <a:rPr lang="en-AU" sz="900" b="1">
                    <a:effectLst/>
                    <a:latin typeface="+mn-lt"/>
                  </a:rPr>
                  <a:t>Source:  DMIRS</a:t>
                </a:r>
                <a:endParaRPr lang="en-AU" sz="900" b="0">
                  <a:effectLst/>
                  <a:latin typeface="+mn-lt"/>
                </a:endParaRPr>
              </a:p>
            </c:rich>
          </c:tx>
          <c:layout>
            <c:manualLayout>
              <c:xMode val="edge"/>
              <c:yMode val="edge"/>
              <c:x val="1.0544127737998165E-2"/>
              <c:y val="0.94792830767674408"/>
            </c:manualLayout>
          </c:layout>
          <c:overlay val="0"/>
        </c:title>
        <c:numFmt formatCode="General" sourceLinked="1"/>
        <c:majorTickMark val="none"/>
        <c:minorTickMark val="none"/>
        <c:tickLblPos val="nextTo"/>
        <c:txPr>
          <a:bodyPr rot="-270000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6012007283548249E-2"/>
              <c:y val="0.36664632124410573"/>
            </c:manualLayout>
          </c:layout>
          <c:overlay val="0"/>
        </c:title>
        <c:numFmt formatCode="#,##0" sourceLinked="0"/>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sz="1600"/>
              <a:t>Mining, Exploration And Petroleum Employment </a:t>
            </a:r>
          </a:p>
          <a:p>
            <a:pPr>
              <a:defRPr/>
            </a:pPr>
            <a:r>
              <a:rPr lang="en-AU" sz="900"/>
              <a:t>By Commodity 2020</a:t>
            </a:r>
          </a:p>
        </c:rich>
      </c:tx>
      <c:layout>
        <c:manualLayout>
          <c:xMode val="edge"/>
          <c:yMode val="edge"/>
          <c:x val="0.19410939373319075"/>
          <c:y val="2.6291087078488651E-2"/>
        </c:manualLayout>
      </c:layout>
      <c:overlay val="0"/>
    </c:title>
    <c:autoTitleDeleted val="0"/>
    <c:plotArea>
      <c:layout>
        <c:manualLayout>
          <c:layoutTarget val="inner"/>
          <c:xMode val="edge"/>
          <c:yMode val="edge"/>
          <c:x val="0.33481303263018053"/>
          <c:y val="0.15293286127931796"/>
          <c:w val="0.54733694316329962"/>
          <c:h val="0.69561029976696198"/>
        </c:manualLayout>
      </c:layout>
      <c:pieChart>
        <c:varyColors val="1"/>
        <c:ser>
          <c:idx val="0"/>
          <c:order val="0"/>
          <c:dPt>
            <c:idx val="0"/>
            <c:bubble3D val="0"/>
            <c:extLst>
              <c:ext xmlns:c16="http://schemas.microsoft.com/office/drawing/2014/chart" uri="{C3380CC4-5D6E-409C-BE32-E72D297353CC}">
                <c16:uniqueId val="{00000000-A2DF-4053-AC9B-B88BCD4F5A0D}"/>
              </c:ext>
            </c:extLst>
          </c:dPt>
          <c:dPt>
            <c:idx val="1"/>
            <c:bubble3D val="0"/>
            <c:extLst>
              <c:ext xmlns:c16="http://schemas.microsoft.com/office/drawing/2014/chart" uri="{C3380CC4-5D6E-409C-BE32-E72D297353CC}">
                <c16:uniqueId val="{00000001-A2DF-4053-AC9B-B88BCD4F5A0D}"/>
              </c:ext>
            </c:extLst>
          </c:dPt>
          <c:dPt>
            <c:idx val="2"/>
            <c:bubble3D val="0"/>
            <c:extLst>
              <c:ext xmlns:c16="http://schemas.microsoft.com/office/drawing/2014/chart" uri="{C3380CC4-5D6E-409C-BE32-E72D297353CC}">
                <c16:uniqueId val="{00000002-A2DF-4053-AC9B-B88BCD4F5A0D}"/>
              </c:ext>
            </c:extLst>
          </c:dPt>
          <c:dPt>
            <c:idx val="3"/>
            <c:bubble3D val="0"/>
            <c:extLst>
              <c:ext xmlns:c16="http://schemas.microsoft.com/office/drawing/2014/chart" uri="{C3380CC4-5D6E-409C-BE32-E72D297353CC}">
                <c16:uniqueId val="{00000003-A2DF-4053-AC9B-B88BCD4F5A0D}"/>
              </c:ext>
            </c:extLst>
          </c:dPt>
          <c:dPt>
            <c:idx val="4"/>
            <c:bubble3D val="0"/>
            <c:extLst>
              <c:ext xmlns:c16="http://schemas.microsoft.com/office/drawing/2014/chart" uri="{C3380CC4-5D6E-409C-BE32-E72D297353CC}">
                <c16:uniqueId val="{00000004-A2DF-4053-AC9B-B88BCD4F5A0D}"/>
              </c:ext>
            </c:extLst>
          </c:dPt>
          <c:dPt>
            <c:idx val="5"/>
            <c:bubble3D val="0"/>
            <c:extLst>
              <c:ext xmlns:c16="http://schemas.microsoft.com/office/drawing/2014/chart" uri="{C3380CC4-5D6E-409C-BE32-E72D297353CC}">
                <c16:uniqueId val="{00000005-A2DF-4053-AC9B-B88BCD4F5A0D}"/>
              </c:ext>
            </c:extLst>
          </c:dPt>
          <c:dPt>
            <c:idx val="6"/>
            <c:bubble3D val="0"/>
            <c:extLst>
              <c:ext xmlns:c16="http://schemas.microsoft.com/office/drawing/2014/chart" uri="{C3380CC4-5D6E-409C-BE32-E72D297353CC}">
                <c16:uniqueId val="{00000006-A2DF-4053-AC9B-B88BCD4F5A0D}"/>
              </c:ext>
            </c:extLst>
          </c:dPt>
          <c:dLbls>
            <c:dLbl>
              <c:idx val="0"/>
              <c:layout>
                <c:manualLayout>
                  <c:x val="-0.17537863322640226"/>
                  <c:y val="-1.5550697440461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2DF-4053-AC9B-B88BCD4F5A0D}"/>
                </c:ext>
              </c:extLst>
            </c:dLbl>
            <c:dLbl>
              <c:idx val="1"/>
              <c:layout>
                <c:manualLayout>
                  <c:x val="-0.17576828359418037"/>
                  <c:y val="-1.995266562195696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2DF-4053-AC9B-B88BCD4F5A0D}"/>
                </c:ext>
              </c:extLst>
            </c:dLbl>
            <c:dLbl>
              <c:idx val="2"/>
              <c:layout>
                <c:manualLayout>
                  <c:x val="-9.5079226207835127E-2"/>
                  <c:y val="-4.6507122727595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2DF-4053-AC9B-B88BCD4F5A0D}"/>
                </c:ext>
              </c:extLst>
            </c:dLbl>
            <c:dLbl>
              <c:idx val="3"/>
              <c:layout>
                <c:manualLayout>
                  <c:x val="-0.16604711448106024"/>
                  <c:y val="-9.71580026698137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2DF-4053-AC9B-B88BCD4F5A0D}"/>
                </c:ext>
              </c:extLst>
            </c:dLbl>
            <c:dLbl>
              <c:idx val="4"/>
              <c:layout>
                <c:manualLayout>
                  <c:x val="-7.4723058718181606E-2"/>
                  <c:y val="-0.152988651066504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2DF-4053-AC9B-B88BCD4F5A0D}"/>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2DF-4053-AC9B-B88BCD4F5A0D}"/>
                </c:ext>
              </c:extLst>
            </c:dLbl>
            <c:dLbl>
              <c:idx val="6"/>
              <c:layout>
                <c:manualLayout>
                  <c:x val="-0.18914474442891474"/>
                  <c:y val="-9.39622306078029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2DF-4053-AC9B-B88BCD4F5A0D}"/>
                </c:ext>
              </c:extLst>
            </c:dLbl>
            <c:dLbl>
              <c:idx val="7"/>
              <c:layout>
                <c:manualLayout>
                  <c:x val="9.298289102751045E-2"/>
                  <c:y val="-5.66617010711500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2DF-4053-AC9B-B88BCD4F5A0D}"/>
                </c:ext>
              </c:extLst>
            </c:dLbl>
            <c:dLbl>
              <c:idx val="8"/>
              <c:layout>
                <c:manualLayout>
                  <c:x val="9.3546918234517704E-2"/>
                  <c:y val="1.34545499150510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2DF-4053-AC9B-B88BCD4F5A0D}"/>
                </c:ext>
              </c:extLst>
            </c:dLbl>
            <c:dLbl>
              <c:idx val="9"/>
              <c:layout>
                <c:manualLayout>
                  <c:x val="-2.6642891079739814E-2"/>
                  <c:y val="3.74980193140197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2DF-4053-AC9B-B88BCD4F5A0D}"/>
                </c:ext>
              </c:extLst>
            </c:dLbl>
            <c:dLbl>
              <c:idx val="10"/>
              <c:layout>
                <c:manualLayout>
                  <c:x val="-7.414098700625385E-2"/>
                  <c:y val="5.62649693358354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2DF-4053-AC9B-B88BCD4F5A0D}"/>
                </c:ext>
              </c:extLst>
            </c:dLbl>
            <c:dLbl>
              <c:idx val="11"/>
              <c:layout>
                <c:manualLayout>
                  <c:x val="-8.3145098954019142E-2"/>
                  <c:y val="-7.415285031424643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2DF-4053-AC9B-B88BCD4F5A0D}"/>
                </c:ext>
              </c:extLst>
            </c:dLbl>
            <c:dLbl>
              <c:idx val="12"/>
              <c:layout>
                <c:manualLayout>
                  <c:x val="-0.15977710055170954"/>
                  <c:y val="2.49011127130235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2DF-4053-AC9B-B88BCD4F5A0D}"/>
                </c:ext>
              </c:extLst>
            </c:dLbl>
            <c:dLbl>
              <c:idx val="13"/>
              <c:layout>
                <c:manualLayout>
                  <c:x val="-7.6148617996824472E-2"/>
                  <c:y val="-5.03044490446065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5C-4ADE-A824-7CA0B6F16711}"/>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Calendar Year'!$A$8:$A$21</c:f>
              <c:strCache>
                <c:ptCount val="14"/>
                <c:pt idx="0">
                  <c:v>Alumina - Bauxite</c:v>
                </c:pt>
                <c:pt idx="1">
                  <c:v>Base Metals</c:v>
                </c:pt>
                <c:pt idx="2">
                  <c:v>Coal</c:v>
                </c:pt>
                <c:pt idx="3">
                  <c:v>Construction Materials</c:v>
                </c:pt>
                <c:pt idx="4">
                  <c:v>Diamonds</c:v>
                </c:pt>
                <c:pt idx="5">
                  <c:v>Gold</c:v>
                </c:pt>
                <c:pt idx="6">
                  <c:v>Iron Ore</c:v>
                </c:pt>
                <c:pt idx="7">
                  <c:v>Lithium</c:v>
                </c:pt>
                <c:pt idx="8">
                  <c:v>Mineral Sands</c:v>
                </c:pt>
                <c:pt idx="9">
                  <c:v>Nickel</c:v>
                </c:pt>
                <c:pt idx="10">
                  <c:v>Salt</c:v>
                </c:pt>
                <c:pt idx="11">
                  <c:v>Other</c:v>
                </c:pt>
                <c:pt idx="12">
                  <c:v>Exploration</c:v>
                </c:pt>
                <c:pt idx="13">
                  <c:v>Petroleum</c:v>
                </c:pt>
              </c:strCache>
            </c:strRef>
          </c:cat>
          <c:val>
            <c:numRef>
              <c:f>'Employment Calendar Year'!$V$8:$V$21</c:f>
              <c:numCache>
                <c:formatCode>_-* #,##0_-;\-* #,##0_-;_-* "-"??_-;_-@_-</c:formatCode>
                <c:ptCount val="14"/>
                <c:pt idx="0">
                  <c:v>9921</c:v>
                </c:pt>
                <c:pt idx="1">
                  <c:v>2339.5</c:v>
                </c:pt>
                <c:pt idx="2">
                  <c:v>1100.8333333333333</c:v>
                </c:pt>
                <c:pt idx="3">
                  <c:v>2614.3333333333335</c:v>
                </c:pt>
                <c:pt idx="4">
                  <c:v>359.66666666666669</c:v>
                </c:pt>
                <c:pt idx="5">
                  <c:v>33155.333333333336</c:v>
                </c:pt>
                <c:pt idx="6">
                  <c:v>71856.5</c:v>
                </c:pt>
                <c:pt idx="7">
                  <c:v>2386.0833333333335</c:v>
                </c:pt>
                <c:pt idx="8">
                  <c:v>2990.8333333333335</c:v>
                </c:pt>
                <c:pt idx="9">
                  <c:v>7293.916666666667</c:v>
                </c:pt>
                <c:pt idx="10">
                  <c:v>863.5</c:v>
                </c:pt>
                <c:pt idx="11">
                  <c:v>3763.4166666666665</c:v>
                </c:pt>
                <c:pt idx="12">
                  <c:v>3847.6666666666665</c:v>
                </c:pt>
                <c:pt idx="13">
                  <c:v>1124.25</c:v>
                </c:pt>
              </c:numCache>
            </c:numRef>
          </c:val>
          <c:extLst>
            <c:ext xmlns:c16="http://schemas.microsoft.com/office/drawing/2014/chart" uri="{C3380CC4-5D6E-409C-BE32-E72D297353CC}">
              <c16:uniqueId val="{0000000D-A2DF-4053-AC9B-B88BCD4F5A0D}"/>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Mining, Exploration And Petroleum Employment</a:t>
            </a:r>
          </a:p>
          <a:p>
            <a:pPr>
              <a:defRPr/>
            </a:pPr>
            <a:r>
              <a:rPr lang="en-US" sz="900"/>
              <a:t>Last 10 Financial Years</a:t>
            </a:r>
          </a:p>
        </c:rich>
      </c:tx>
      <c:layout>
        <c:manualLayout>
          <c:xMode val="edge"/>
          <c:yMode val="edge"/>
          <c:x val="0.19431848913859889"/>
          <c:y val="1.7067965444761614E-2"/>
        </c:manualLayout>
      </c:layout>
      <c:overlay val="0"/>
    </c:title>
    <c:autoTitleDeleted val="0"/>
    <c:plotArea>
      <c:layout/>
      <c:barChart>
        <c:barDir val="col"/>
        <c:grouping val="clustered"/>
        <c:varyColors val="0"/>
        <c:ser>
          <c:idx val="0"/>
          <c:order val="0"/>
          <c:tx>
            <c:strRef>
              <c:f>'Employment Financial Year'!$P$52:$T$52</c:f>
              <c:strCache>
                <c:ptCount val="5"/>
                <c:pt idx="0">
                  <c:v>Total Mining, Exploration and Petroleum</c:v>
                </c:pt>
              </c:strCache>
            </c:strRef>
          </c:tx>
          <c:invertIfNegative val="0"/>
          <c:cat>
            <c:strRef>
              <c:f>'Employment Financial Year'!$O$102:$X$102</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'Employment Financial Year'!$O$103:$X$103</c:f>
              <c:numCache>
                <c:formatCode>General</c:formatCode>
                <c:ptCount val="10"/>
                <c:pt idx="0">
                  <c:v>103519.41666666667</c:v>
                </c:pt>
                <c:pt idx="1">
                  <c:v>111346.33333333336</c:v>
                </c:pt>
                <c:pt idx="2">
                  <c:v>112103.5</c:v>
                </c:pt>
                <c:pt idx="3">
                  <c:v>109750.33333333336</c:v>
                </c:pt>
                <c:pt idx="4">
                  <c:v>105933.50000000001</c:v>
                </c:pt>
                <c:pt idx="5">
                  <c:v>109983.74999999999</c:v>
                </c:pt>
                <c:pt idx="6">
                  <c:v>115982.33333333333</c:v>
                </c:pt>
                <c:pt idx="7">
                  <c:v>128373.66666666666</c:v>
                </c:pt>
                <c:pt idx="8">
                  <c:v>136443.33333333334</c:v>
                </c:pt>
                <c:pt idx="9">
                  <c:v>149468.53288434233</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900" b="1">
                    <a:effectLst/>
                    <a:latin typeface="+mn-lt"/>
                  </a:rPr>
                  <a:t>Source: DMIRS</a:t>
                </a:r>
              </a:p>
            </c:rich>
          </c:tx>
          <c:layout>
            <c:manualLayout>
              <c:xMode val="edge"/>
              <c:yMode val="edge"/>
              <c:x val="6.8668805879999037E-3"/>
              <c:y val="0.94782803689983719"/>
            </c:manualLayout>
          </c:layout>
          <c:overlay val="0"/>
        </c:title>
        <c:numFmt formatCode="General" sourceLinked="1"/>
        <c:majorTickMark val="none"/>
        <c:minorTickMark val="none"/>
        <c:tickLblPos val="nextTo"/>
        <c:txPr>
          <a:bodyPr rot="-270000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4709263303341493E-2"/>
              <c:y val="0.39000905811709435"/>
            </c:manualLayout>
          </c:layout>
          <c:overlay val="0"/>
        </c:title>
        <c:numFmt formatCode="#,##0" sourceLinked="0"/>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solidFill>
                  <a:sysClr val="windowText" lastClr="000000"/>
                </a:solidFill>
              </a:defRPr>
            </a:pPr>
            <a:r>
              <a:rPr lang="en-AU" sz="1600">
                <a:solidFill>
                  <a:sysClr val="windowText" lastClr="000000"/>
                </a:solidFill>
              </a:rPr>
              <a:t>Mining, Exploration</a:t>
            </a:r>
            <a:r>
              <a:rPr lang="en-AU" sz="1600" baseline="0">
                <a:solidFill>
                  <a:sysClr val="windowText" lastClr="000000"/>
                </a:solidFill>
              </a:rPr>
              <a:t> And Petroleum Employment</a:t>
            </a:r>
          </a:p>
          <a:p>
            <a:pPr>
              <a:defRPr>
                <a:solidFill>
                  <a:sysClr val="windowText" lastClr="000000"/>
                </a:solidFill>
              </a:defRPr>
            </a:pPr>
            <a:r>
              <a:rPr lang="en-AU" sz="900" baseline="0">
                <a:solidFill>
                  <a:sysClr val="windowText" lastClr="000000"/>
                </a:solidFill>
              </a:rPr>
              <a:t>By Commodity, 2020-21</a:t>
            </a:r>
            <a:endParaRPr lang="en-AU" sz="900">
              <a:solidFill>
                <a:sysClr val="windowText" lastClr="000000"/>
              </a:solidFill>
            </a:endParaRPr>
          </a:p>
        </c:rich>
      </c:tx>
      <c:layout>
        <c:manualLayout>
          <c:xMode val="edge"/>
          <c:yMode val="edge"/>
          <c:x val="0.15306082917173222"/>
          <c:y val="3.3388721146698767E-2"/>
        </c:manualLayout>
      </c:layout>
      <c:overlay val="0"/>
    </c:title>
    <c:autoTitleDeleted val="0"/>
    <c:plotArea>
      <c:layout>
        <c:manualLayout>
          <c:layoutTarget val="inner"/>
          <c:xMode val="edge"/>
          <c:yMode val="edge"/>
          <c:x val="0.29957590996887457"/>
          <c:y val="0.16282648879416389"/>
          <c:w val="0.41354941402722173"/>
          <c:h val="0.64882679138791854"/>
        </c:manualLayout>
      </c:layout>
      <c:pieChart>
        <c:varyColors val="1"/>
        <c:ser>
          <c:idx val="0"/>
          <c:order val="0"/>
          <c:dPt>
            <c:idx val="0"/>
            <c:bubble3D val="0"/>
            <c:extLst>
              <c:ext xmlns:c16="http://schemas.microsoft.com/office/drawing/2014/chart" uri="{C3380CC4-5D6E-409C-BE32-E72D297353CC}">
                <c16:uniqueId val="{00000000-F294-4F73-8FC7-57324FC9BB98}"/>
              </c:ext>
            </c:extLst>
          </c:dPt>
          <c:dPt>
            <c:idx val="1"/>
            <c:bubble3D val="0"/>
            <c:extLst>
              <c:ext xmlns:c16="http://schemas.microsoft.com/office/drawing/2014/chart" uri="{C3380CC4-5D6E-409C-BE32-E72D297353CC}">
                <c16:uniqueId val="{00000001-F294-4F73-8FC7-57324FC9BB98}"/>
              </c:ext>
            </c:extLst>
          </c:dPt>
          <c:dPt>
            <c:idx val="2"/>
            <c:bubble3D val="0"/>
            <c:extLst>
              <c:ext xmlns:c16="http://schemas.microsoft.com/office/drawing/2014/chart" uri="{C3380CC4-5D6E-409C-BE32-E72D297353CC}">
                <c16:uniqueId val="{00000002-F294-4F73-8FC7-57324FC9BB98}"/>
              </c:ext>
            </c:extLst>
          </c:dPt>
          <c:dPt>
            <c:idx val="3"/>
            <c:bubble3D val="0"/>
            <c:extLst>
              <c:ext xmlns:c16="http://schemas.microsoft.com/office/drawing/2014/chart" uri="{C3380CC4-5D6E-409C-BE32-E72D297353CC}">
                <c16:uniqueId val="{00000003-F294-4F73-8FC7-57324FC9BB98}"/>
              </c:ext>
            </c:extLst>
          </c:dPt>
          <c:dPt>
            <c:idx val="4"/>
            <c:bubble3D val="0"/>
            <c:extLst>
              <c:ext xmlns:c16="http://schemas.microsoft.com/office/drawing/2014/chart" uri="{C3380CC4-5D6E-409C-BE32-E72D297353CC}">
                <c16:uniqueId val="{00000004-F294-4F73-8FC7-57324FC9BB98}"/>
              </c:ext>
            </c:extLst>
          </c:dPt>
          <c:dPt>
            <c:idx val="5"/>
            <c:bubble3D val="0"/>
            <c:extLst>
              <c:ext xmlns:c16="http://schemas.microsoft.com/office/drawing/2014/chart" uri="{C3380CC4-5D6E-409C-BE32-E72D297353CC}">
                <c16:uniqueId val="{00000005-F294-4F73-8FC7-57324FC9BB98}"/>
              </c:ext>
            </c:extLst>
          </c:dPt>
          <c:dPt>
            <c:idx val="6"/>
            <c:bubble3D val="0"/>
            <c:extLst>
              <c:ext xmlns:c16="http://schemas.microsoft.com/office/drawing/2014/chart" uri="{C3380CC4-5D6E-409C-BE32-E72D297353CC}">
                <c16:uniqueId val="{00000006-F294-4F73-8FC7-57324FC9BB98}"/>
              </c:ext>
            </c:extLst>
          </c:dPt>
          <c:dLbls>
            <c:dLbl>
              <c:idx val="0"/>
              <c:layout>
                <c:manualLayout>
                  <c:x val="-0.13972153987263045"/>
                  <c:y val="-3.2587505509179895E-2"/>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758256271667171"/>
                      <c:h val="0.13169590643274853"/>
                    </c:manualLayout>
                  </c15:layout>
                </c:ext>
                <c:ext xmlns:c16="http://schemas.microsoft.com/office/drawing/2014/chart" uri="{C3380CC4-5D6E-409C-BE32-E72D297353CC}">
                  <c16:uniqueId val="{00000000-F294-4F73-8FC7-57324FC9BB98}"/>
                </c:ext>
              </c:extLst>
            </c:dLbl>
            <c:dLbl>
              <c:idx val="1"/>
              <c:layout>
                <c:manualLayout>
                  <c:x val="-0.10783411869456008"/>
                  <c:y val="-9.072813266762706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4-4F73-8FC7-57324FC9BB98}"/>
                </c:ext>
              </c:extLst>
            </c:dLbl>
            <c:dLbl>
              <c:idx val="2"/>
              <c:layout>
                <c:manualLayout>
                  <c:x val="-0.20573070794541151"/>
                  <c:y val="-6.07279353238740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94-4F73-8FC7-57324FC9BB98}"/>
                </c:ext>
              </c:extLst>
            </c:dLbl>
            <c:dLbl>
              <c:idx val="3"/>
              <c:layout>
                <c:manualLayout>
                  <c:x val="-0.12931852939859448"/>
                  <c:y val="-0.15033041922391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4-4F73-8FC7-57324FC9BB98}"/>
                </c:ext>
              </c:extLst>
            </c:dLbl>
            <c:dLbl>
              <c:idx val="4"/>
              <c:layout>
                <c:manualLayout>
                  <c:x val="-4.8403318726290952E-2"/>
                  <c:y val="-0.218664509041632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94-4F73-8FC7-57324FC9BB98}"/>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94-4F73-8FC7-57324FC9BB98}"/>
                </c:ext>
              </c:extLst>
            </c:dLbl>
            <c:dLbl>
              <c:idx val="6"/>
              <c:layout>
                <c:manualLayout>
                  <c:x val="-0.18914474442891474"/>
                  <c:y val="-9.39622306078029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94-4F73-8FC7-57324FC9BB98}"/>
                </c:ext>
              </c:extLst>
            </c:dLbl>
            <c:dLbl>
              <c:idx val="7"/>
              <c:layout>
                <c:manualLayout>
                  <c:x val="0.17319684589852591"/>
                  <c:y val="6.042139469408306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94-4F73-8FC7-57324FC9BB98}"/>
                </c:ext>
              </c:extLst>
            </c:dLbl>
            <c:dLbl>
              <c:idx val="8"/>
              <c:layout>
                <c:manualLayout>
                  <c:x val="6.3727883361908363E-2"/>
                  <c:y val="6.357994724343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94-4F73-8FC7-57324FC9BB98}"/>
                </c:ext>
              </c:extLst>
            </c:dLbl>
            <c:dLbl>
              <c:idx val="9"/>
              <c:layout>
                <c:manualLayout>
                  <c:x val="3.0865140644703387E-2"/>
                  <c:y val="7.75981949624716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94-4F73-8FC7-57324FC9BB98}"/>
                </c:ext>
              </c:extLst>
            </c:dLbl>
            <c:dLbl>
              <c:idx val="10"/>
              <c:layout>
                <c:manualLayout>
                  <c:x val="-2.5008012378390881E-2"/>
                  <c:y val="6.67498141679659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294-4F73-8FC7-57324FC9BB98}"/>
                </c:ext>
              </c:extLst>
            </c:dLbl>
            <c:dLbl>
              <c:idx val="11"/>
              <c:layout>
                <c:manualLayout>
                  <c:x val="-0.11722390501268816"/>
                  <c:y val="7.278511238726738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4-4F73-8FC7-57324FC9BB98}"/>
                </c:ext>
              </c:extLst>
            </c:dLbl>
            <c:dLbl>
              <c:idx val="12"/>
              <c:layout>
                <c:manualLayout>
                  <c:x val="-0.16055850344368752"/>
                  <c:y val="4.72030469875474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294-4F73-8FC7-57324FC9BB98}"/>
                </c:ext>
              </c:extLst>
            </c:dLbl>
            <c:dLbl>
              <c:idx val="13"/>
              <c:layout>
                <c:manualLayout>
                  <c:x val="-9.5185378176713062E-2"/>
                  <c:y val="-4.2197356909333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A2-40E2-84AC-F281C3857247}"/>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Financial Year'!$A$8:$A$21</c:f>
              <c:strCache>
                <c:ptCount val="14"/>
                <c:pt idx="0">
                  <c:v>Alumina - Bauxite</c:v>
                </c:pt>
                <c:pt idx="1">
                  <c:v>Base Metals</c:v>
                </c:pt>
                <c:pt idx="2">
                  <c:v>Coal</c:v>
                </c:pt>
                <c:pt idx="3">
                  <c:v>Construction Materials</c:v>
                </c:pt>
                <c:pt idx="4">
                  <c:v>Diamonds</c:v>
                </c:pt>
                <c:pt idx="5">
                  <c:v>Gold</c:v>
                </c:pt>
                <c:pt idx="6">
                  <c:v>Iron Ore</c:v>
                </c:pt>
                <c:pt idx="7">
                  <c:v>Lithium</c:v>
                </c:pt>
                <c:pt idx="8">
                  <c:v>Mineral sands</c:v>
                </c:pt>
                <c:pt idx="9">
                  <c:v>Nickel</c:v>
                </c:pt>
                <c:pt idx="10">
                  <c:v>Salt</c:v>
                </c:pt>
                <c:pt idx="11">
                  <c:v>Other</c:v>
                </c:pt>
                <c:pt idx="12">
                  <c:v>Exploration</c:v>
                </c:pt>
                <c:pt idx="13">
                  <c:v>Petroleum</c:v>
                </c:pt>
              </c:strCache>
            </c:strRef>
          </c:cat>
          <c:val>
            <c:numRef>
              <c:f>'Employment Financial Year'!$V$8:$V$21</c:f>
              <c:numCache>
                <c:formatCode>_-* #,##0_-;\-* #,##0_-;_-* "-"??_-;_-@_-</c:formatCode>
                <c:ptCount val="14"/>
                <c:pt idx="0">
                  <c:v>10078.5</c:v>
                </c:pt>
                <c:pt idx="1">
                  <c:v>2318.583333333333</c:v>
                </c:pt>
                <c:pt idx="2">
                  <c:v>1002</c:v>
                </c:pt>
                <c:pt idx="3">
                  <c:v>2660</c:v>
                </c:pt>
                <c:pt idx="4">
                  <c:v>319.5</c:v>
                </c:pt>
                <c:pt idx="5">
                  <c:v>34152.583333333336</c:v>
                </c:pt>
                <c:pt idx="6">
                  <c:v>76149.583333333328</c:v>
                </c:pt>
                <c:pt idx="7">
                  <c:v>2419.416666666667</c:v>
                </c:pt>
                <c:pt idx="8">
                  <c:v>2846.833333333333</c:v>
                </c:pt>
                <c:pt idx="9">
                  <c:v>7344.6666666666661</c:v>
                </c:pt>
                <c:pt idx="10">
                  <c:v>878.33333333333337</c:v>
                </c:pt>
                <c:pt idx="11">
                  <c:v>3887.833333333333</c:v>
                </c:pt>
                <c:pt idx="12">
                  <c:v>4337.5833333333339</c:v>
                </c:pt>
                <c:pt idx="13">
                  <c:v>1073.1162176756466</c:v>
                </c:pt>
              </c:numCache>
            </c:numRef>
          </c:val>
          <c:extLst>
            <c:ext xmlns:c16="http://schemas.microsoft.com/office/drawing/2014/chart" uri="{C3380CC4-5D6E-409C-BE32-E72D297353CC}">
              <c16:uniqueId val="{0000000D-F294-4F73-8FC7-57324FC9BB98}"/>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Mining Employment</a:t>
            </a:r>
          </a:p>
          <a:p>
            <a:pPr>
              <a:defRPr/>
            </a:pPr>
            <a:r>
              <a:rPr lang="en-AU" sz="1100"/>
              <a:t>FTEs and NoIs</a:t>
            </a:r>
          </a:p>
        </c:rich>
      </c:tx>
      <c:overlay val="0"/>
    </c:title>
    <c:autoTitleDeleted val="0"/>
    <c:plotArea>
      <c:layout>
        <c:manualLayout>
          <c:layoutTarget val="inner"/>
          <c:xMode val="edge"/>
          <c:yMode val="edge"/>
          <c:x val="9.7051549137725512E-2"/>
          <c:y val="0.16612950093386303"/>
          <c:w val="0.87590294241119915"/>
          <c:h val="0.71662828438085313"/>
        </c:manualLayout>
      </c:layout>
      <c:lineChart>
        <c:grouping val="standard"/>
        <c:varyColors val="0"/>
        <c:ser>
          <c:idx val="0"/>
          <c:order val="0"/>
          <c:tx>
            <c:v>FTEs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formatCode="m/d/yyyy">
                  <c:v>44378</c:v>
                </c:pt>
              </c:numCache>
            </c:numRef>
          </c:cat>
          <c:val>
            <c:numRef>
              <c:f>'Mining Employment Monthly'!$B$56:$SU$56</c:f>
              <c:numCache>
                <c:formatCode>#,##0</c:formatCode>
                <c:ptCount val="514"/>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86909.4</c:v>
                </c:pt>
                <c:pt idx="205">
                  <c:v>86830.200000000012</c:v>
                </c:pt>
                <c:pt idx="206">
                  <c:v>94335.39999999998</c:v>
                </c:pt>
                <c:pt idx="207">
                  <c:v>91039.400000000009</c:v>
                </c:pt>
                <c:pt idx="208">
                  <c:v>96463.299999999988</c:v>
                </c:pt>
                <c:pt idx="209">
                  <c:v>92624.8</c:v>
                </c:pt>
                <c:pt idx="210">
                  <c:v>98177.999999999985</c:v>
                </c:pt>
                <c:pt idx="211">
                  <c:v>97465.200000000012</c:v>
                </c:pt>
                <c:pt idx="212">
                  <c:v>92745.1</c:v>
                </c:pt>
                <c:pt idx="213">
                  <c:v>100816.1</c:v>
                </c:pt>
                <c:pt idx="214">
                  <c:v>100775.99999999999</c:v>
                </c:pt>
                <c:pt idx="215">
                  <c:v>92920.299999999988</c:v>
                </c:pt>
                <c:pt idx="216">
                  <c:v>96266.599999999991</c:v>
                </c:pt>
                <c:pt idx="217">
                  <c:v>95150.900000000009</c:v>
                </c:pt>
                <c:pt idx="218">
                  <c:v>100741.49999999999</c:v>
                </c:pt>
                <c:pt idx="219">
                  <c:v>98621.2</c:v>
                </c:pt>
                <c:pt idx="220">
                  <c:v>105597.1</c:v>
                </c:pt>
                <c:pt idx="221">
                  <c:v>100276.6</c:v>
                </c:pt>
                <c:pt idx="222">
                  <c:v>108135.5</c:v>
                </c:pt>
                <c:pt idx="223">
                  <c:v>104378.2</c:v>
                </c:pt>
                <c:pt idx="224">
                  <c:v>100979.30000000002</c:v>
                </c:pt>
                <c:pt idx="225">
                  <c:v>106979.4</c:v>
                </c:pt>
                <c:pt idx="226">
                  <c:v>107129.69999999998</c:v>
                </c:pt>
                <c:pt idx="227">
                  <c:v>97425.199999999983</c:v>
                </c:pt>
                <c:pt idx="228">
                  <c:v>100681.98240000002</c:v>
                </c:pt>
                <c:pt idx="229">
                  <c:v>103313.15589999998</c:v>
                </c:pt>
                <c:pt idx="230">
                  <c:v>107748.60750000001</c:v>
                </c:pt>
                <c:pt idx="231">
                  <c:v>101092.35889999998</c:v>
                </c:pt>
                <c:pt idx="232">
                  <c:v>107475.5772</c:v>
                </c:pt>
                <c:pt idx="233">
                  <c:v>104136.99780000001</c:v>
                </c:pt>
                <c:pt idx="234">
                  <c:v>119786.69349999999</c:v>
                </c:pt>
                <c:pt idx="235">
                  <c:v>121061.13559999998</c:v>
                </c:pt>
                <c:pt idx="236">
                  <c:v>115874.44279999995</c:v>
                </c:pt>
                <c:pt idx="237">
                  <c:v>124040.57300000003</c:v>
                </c:pt>
                <c:pt idx="238">
                  <c:v>107518.31619999999</c:v>
                </c:pt>
                <c:pt idx="239">
                  <c:v>109417.21350000001</c:v>
                </c:pt>
                <c:pt idx="240">
                  <c:v>106264.28019999998</c:v>
                </c:pt>
                <c:pt idx="241">
                  <c:v>115625.94080000003</c:v>
                </c:pt>
                <c:pt idx="242">
                  <c:v>113748.90729999999</c:v>
                </c:pt>
                <c:pt idx="243">
                  <c:v>111251.91719999998</c:v>
                </c:pt>
                <c:pt idx="244">
                  <c:v>113407.87239999998</c:v>
                </c:pt>
                <c:pt idx="245">
                  <c:v>112728.87639999999</c:v>
                </c:pt>
              </c:numCache>
            </c:numRef>
          </c:val>
          <c:smooth val="0"/>
          <c:extLst>
            <c:ext xmlns:c16="http://schemas.microsoft.com/office/drawing/2014/chart" uri="{C3380CC4-5D6E-409C-BE32-E72D297353CC}">
              <c16:uniqueId val="{00000000-2FDA-46FC-AD5B-6823A12AC2A9}"/>
            </c:ext>
          </c:extLst>
        </c:ser>
        <c:ser>
          <c:idx val="1"/>
          <c:order val="1"/>
          <c:tx>
            <c:v>NoIs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formatCode="m/d/yyyy">
                  <c:v>44378</c:v>
                </c:pt>
              </c:numCache>
            </c:numRef>
          </c:cat>
          <c:val>
            <c:numRef>
              <c:f>'Mining Employment Monthly'!$B$135:$SU$135</c:f>
              <c:numCache>
                <c:formatCode>#,##0</c:formatCode>
                <c:ptCount val="514"/>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106582</c:v>
                </c:pt>
                <c:pt idx="205">
                  <c:v>114801</c:v>
                </c:pt>
                <c:pt idx="206">
                  <c:v>115568</c:v>
                </c:pt>
                <c:pt idx="207">
                  <c:v>113062</c:v>
                </c:pt>
                <c:pt idx="208">
                  <c:v>117370</c:v>
                </c:pt>
                <c:pt idx="209">
                  <c:v>114762</c:v>
                </c:pt>
                <c:pt idx="210">
                  <c:v>121210</c:v>
                </c:pt>
                <c:pt idx="211">
                  <c:v>123332</c:v>
                </c:pt>
                <c:pt idx="212">
                  <c:v>117187</c:v>
                </c:pt>
                <c:pt idx="213">
                  <c:v>125640</c:v>
                </c:pt>
                <c:pt idx="214">
                  <c:v>127451</c:v>
                </c:pt>
                <c:pt idx="215">
                  <c:v>114744</c:v>
                </c:pt>
                <c:pt idx="216">
                  <c:v>121466</c:v>
                </c:pt>
                <c:pt idx="217">
                  <c:v>127122</c:v>
                </c:pt>
                <c:pt idx="218">
                  <c:v>127223</c:v>
                </c:pt>
                <c:pt idx="219">
                  <c:v>123993</c:v>
                </c:pt>
                <c:pt idx="220">
                  <c:v>131310</c:v>
                </c:pt>
                <c:pt idx="221">
                  <c:v>125765</c:v>
                </c:pt>
                <c:pt idx="222">
                  <c:v>136612</c:v>
                </c:pt>
                <c:pt idx="223">
                  <c:v>130715</c:v>
                </c:pt>
                <c:pt idx="224">
                  <c:v>129847</c:v>
                </c:pt>
                <c:pt idx="225">
                  <c:v>137088</c:v>
                </c:pt>
                <c:pt idx="226">
                  <c:v>138635</c:v>
                </c:pt>
                <c:pt idx="227">
                  <c:v>125944</c:v>
                </c:pt>
                <c:pt idx="228">
                  <c:v>130569</c:v>
                </c:pt>
                <c:pt idx="229">
                  <c:v>140666</c:v>
                </c:pt>
                <c:pt idx="230">
                  <c:v>137887</c:v>
                </c:pt>
                <c:pt idx="231">
                  <c:v>120315</c:v>
                </c:pt>
                <c:pt idx="232">
                  <c:v>125899</c:v>
                </c:pt>
                <c:pt idx="233">
                  <c:v>125915</c:v>
                </c:pt>
                <c:pt idx="234">
                  <c:v>149930</c:v>
                </c:pt>
                <c:pt idx="235">
                  <c:v>150755</c:v>
                </c:pt>
                <c:pt idx="236">
                  <c:v>148330</c:v>
                </c:pt>
                <c:pt idx="237">
                  <c:v>153868</c:v>
                </c:pt>
                <c:pt idx="238">
                  <c:v>142194</c:v>
                </c:pt>
                <c:pt idx="239">
                  <c:v>137411</c:v>
                </c:pt>
                <c:pt idx="240">
                  <c:v>134551</c:v>
                </c:pt>
                <c:pt idx="241">
                  <c:v>147717</c:v>
                </c:pt>
                <c:pt idx="242">
                  <c:v>144920</c:v>
                </c:pt>
                <c:pt idx="243">
                  <c:v>141871</c:v>
                </c:pt>
                <c:pt idx="244">
                  <c:v>139652</c:v>
                </c:pt>
                <c:pt idx="245">
                  <c:v>137495</c:v>
                </c:pt>
              </c:numCache>
            </c:numRef>
          </c:val>
          <c:smooth val="0"/>
          <c:extLst>
            <c:ext xmlns:c16="http://schemas.microsoft.com/office/drawing/2014/chart" uri="{C3380CC4-5D6E-409C-BE32-E72D297353CC}">
              <c16:uniqueId val="{00000001-2FDA-46FC-AD5B-6823A12AC2A9}"/>
            </c:ext>
          </c:extLst>
        </c:ser>
        <c:dLbls>
          <c:showLegendKey val="0"/>
          <c:showVal val="0"/>
          <c:showCatName val="0"/>
          <c:showSerName val="0"/>
          <c:showPercent val="0"/>
          <c:showBubbleSize val="0"/>
        </c:dLbls>
        <c:smooth val="0"/>
        <c:axId val="432640000"/>
        <c:axId val="432641536"/>
      </c:lineChart>
      <c:dateAx>
        <c:axId val="432640000"/>
        <c:scaling>
          <c:orientation val="minMax"/>
          <c:min val="37226"/>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title>
          <c:tx>
            <c:rich>
              <a:bodyPr/>
              <a:lstStyle/>
              <a:p>
                <a:pPr>
                  <a:defRPr/>
                </a:pPr>
                <a:r>
                  <a:rPr lang="en-AU"/>
                  <a:t>Employees</a:t>
                </a:r>
              </a:p>
            </c:rich>
          </c:tx>
          <c:layout>
            <c:manualLayout>
              <c:xMode val="edge"/>
              <c:yMode val="edge"/>
              <c:x val="1.7883032611006704E-2"/>
              <c:y val="0.47188826280795271"/>
            </c:manualLayout>
          </c:layout>
          <c:overlay val="0"/>
        </c:title>
        <c:numFmt formatCode="#,##0" sourceLinked="1"/>
        <c:majorTickMark val="out"/>
        <c:minorTickMark val="none"/>
        <c:tickLblPos val="nextTo"/>
        <c:crossAx val="4326400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Total Exploration Employment</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FTEs and NoIs</a:t>
            </a:r>
            <a:endParaRPr lang="en-AU" sz="1100"/>
          </a:p>
        </c:rich>
      </c:tx>
      <c:overlay val="0"/>
    </c:title>
    <c:autoTitleDeleted val="0"/>
    <c:plotArea>
      <c:layout>
        <c:manualLayout>
          <c:layoutTarget val="inner"/>
          <c:xMode val="edge"/>
          <c:yMode val="edge"/>
          <c:x val="8.574509581651131E-2"/>
          <c:y val="0.23031410448006182"/>
          <c:w val="0.88748859880886988"/>
          <c:h val="0.62524945913418983"/>
        </c:manualLayout>
      </c:layout>
      <c:lineChart>
        <c:grouping val="standard"/>
        <c:varyColors val="0"/>
        <c:ser>
          <c:idx val="0"/>
          <c:order val="0"/>
          <c:tx>
            <c:v>FTEs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formatCode="m/d/yyyy">
                  <c:v>44378</c:v>
                </c:pt>
              </c:numCache>
            </c:numRef>
          </c:cat>
          <c:val>
            <c:numRef>
              <c:f>'Mining Employment Monthly'!$B$84:$SU$84</c:f>
              <c:numCache>
                <c:formatCode>#,##0</c:formatCode>
                <c:ptCount val="514"/>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1329.6</c:v>
                </c:pt>
                <c:pt idx="205">
                  <c:v>2131.4</c:v>
                </c:pt>
                <c:pt idx="206">
                  <c:v>2668.8</c:v>
                </c:pt>
                <c:pt idx="207">
                  <c:v>2999.5</c:v>
                </c:pt>
                <c:pt idx="208">
                  <c:v>3228</c:v>
                </c:pt>
                <c:pt idx="209">
                  <c:v>3020.1</c:v>
                </c:pt>
                <c:pt idx="210">
                  <c:v>2878.6000000000004</c:v>
                </c:pt>
                <c:pt idx="211">
                  <c:v>2911.9</c:v>
                </c:pt>
                <c:pt idx="212">
                  <c:v>2881.1</c:v>
                </c:pt>
                <c:pt idx="213">
                  <c:v>3170.6000000000004</c:v>
                </c:pt>
                <c:pt idx="214">
                  <c:v>3013.5</c:v>
                </c:pt>
                <c:pt idx="215">
                  <c:v>1891.3</c:v>
                </c:pt>
                <c:pt idx="216">
                  <c:v>1646.1</c:v>
                </c:pt>
                <c:pt idx="217">
                  <c:v>2286.8000000000002</c:v>
                </c:pt>
                <c:pt idx="218">
                  <c:v>2961</c:v>
                </c:pt>
                <c:pt idx="219">
                  <c:v>3278.6000000000004</c:v>
                </c:pt>
                <c:pt idx="220">
                  <c:v>3678.5</c:v>
                </c:pt>
                <c:pt idx="221">
                  <c:v>3706.3999999999996</c:v>
                </c:pt>
                <c:pt idx="222">
                  <c:v>3693.1</c:v>
                </c:pt>
                <c:pt idx="223">
                  <c:v>3907.6</c:v>
                </c:pt>
                <c:pt idx="224">
                  <c:v>3830.6</c:v>
                </c:pt>
                <c:pt idx="225">
                  <c:v>3883.3999999999996</c:v>
                </c:pt>
                <c:pt idx="226">
                  <c:v>3039.4</c:v>
                </c:pt>
                <c:pt idx="227">
                  <c:v>2319.8000000000002</c:v>
                </c:pt>
                <c:pt idx="228">
                  <c:v>2036.0759000000003</c:v>
                </c:pt>
                <c:pt idx="229">
                  <c:v>3078.3957999999993</c:v>
                </c:pt>
                <c:pt idx="230">
                  <c:v>3664.0856999999996</c:v>
                </c:pt>
                <c:pt idx="231">
                  <c:v>2867.7598000000003</c:v>
                </c:pt>
                <c:pt idx="232">
                  <c:v>3330.9717000000005</c:v>
                </c:pt>
                <c:pt idx="233">
                  <c:v>3672.3116999999984</c:v>
                </c:pt>
                <c:pt idx="234">
                  <c:v>5081.7057000000004</c:v>
                </c:pt>
                <c:pt idx="235">
                  <c:v>5048.1777000000002</c:v>
                </c:pt>
                <c:pt idx="236">
                  <c:v>4767.2757000000001</c:v>
                </c:pt>
                <c:pt idx="237">
                  <c:v>4670.4356999999991</c:v>
                </c:pt>
                <c:pt idx="238">
                  <c:v>3379.9437999999986</c:v>
                </c:pt>
                <c:pt idx="239">
                  <c:v>2566.4159</c:v>
                </c:pt>
                <c:pt idx="240">
                  <c:v>2941.9138999999986</c:v>
                </c:pt>
                <c:pt idx="241">
                  <c:v>4364.7296999999999</c:v>
                </c:pt>
                <c:pt idx="242">
                  <c:v>4518.5696999999982</c:v>
                </c:pt>
                <c:pt idx="243">
                  <c:v>4327.2117000000007</c:v>
                </c:pt>
                <c:pt idx="244">
                  <c:v>4280.5856999999996</c:v>
                </c:pt>
                <c:pt idx="245">
                  <c:v>4186.6017000000002</c:v>
                </c:pt>
              </c:numCache>
            </c:numRef>
          </c:val>
          <c:smooth val="0"/>
          <c:extLst>
            <c:ext xmlns:c16="http://schemas.microsoft.com/office/drawing/2014/chart" uri="{C3380CC4-5D6E-409C-BE32-E72D297353CC}">
              <c16:uniqueId val="{00000000-1EE7-4B92-A999-472EB1CB68AF}"/>
            </c:ext>
          </c:extLst>
        </c:ser>
        <c:ser>
          <c:idx val="1"/>
          <c:order val="1"/>
          <c:tx>
            <c:v>NoIs</c:v>
          </c:tx>
          <c:marker>
            <c:symbol val="none"/>
          </c:marker>
          <c:cat>
            <c:numRef>
              <c:f>'Mining Employment Monthly'!$B$9:$SU$9</c:f>
              <c:numCache>
                <c:formatCode>mmm\-yy</c:formatCode>
                <c:ptCount val="51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formatCode="m/d/yyyy">
                  <c:v>44378</c:v>
                </c:pt>
              </c:numCache>
            </c:numRef>
          </c:cat>
          <c:val>
            <c:numRef>
              <c:f>'Mining Employment Monthly'!$B$162:$SU$162</c:f>
              <c:numCache>
                <c:formatCode>#,##0</c:formatCode>
                <c:ptCount val="514"/>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1670</c:v>
                </c:pt>
                <c:pt idx="205">
                  <c:v>2342</c:v>
                </c:pt>
                <c:pt idx="206">
                  <c:v>2779</c:v>
                </c:pt>
                <c:pt idx="207">
                  <c:v>3214</c:v>
                </c:pt>
                <c:pt idx="208">
                  <c:v>3219</c:v>
                </c:pt>
                <c:pt idx="209">
                  <c:v>3114</c:v>
                </c:pt>
                <c:pt idx="210">
                  <c:v>2973</c:v>
                </c:pt>
                <c:pt idx="211">
                  <c:v>3104</c:v>
                </c:pt>
                <c:pt idx="212">
                  <c:v>3189</c:v>
                </c:pt>
                <c:pt idx="213">
                  <c:v>3265</c:v>
                </c:pt>
                <c:pt idx="214">
                  <c:v>3061</c:v>
                </c:pt>
                <c:pt idx="215">
                  <c:v>2491</c:v>
                </c:pt>
                <c:pt idx="216">
                  <c:v>2057</c:v>
                </c:pt>
                <c:pt idx="217">
                  <c:v>2762</c:v>
                </c:pt>
                <c:pt idx="218">
                  <c:v>3186</c:v>
                </c:pt>
                <c:pt idx="219">
                  <c:v>3506</c:v>
                </c:pt>
                <c:pt idx="220">
                  <c:v>3770</c:v>
                </c:pt>
                <c:pt idx="221">
                  <c:v>3921</c:v>
                </c:pt>
                <c:pt idx="222">
                  <c:v>3879</c:v>
                </c:pt>
                <c:pt idx="223">
                  <c:v>3942</c:v>
                </c:pt>
                <c:pt idx="224">
                  <c:v>4046</c:v>
                </c:pt>
                <c:pt idx="225">
                  <c:v>4042</c:v>
                </c:pt>
                <c:pt idx="226">
                  <c:v>3143</c:v>
                </c:pt>
                <c:pt idx="227">
                  <c:v>3151</c:v>
                </c:pt>
                <c:pt idx="228">
                  <c:v>2543</c:v>
                </c:pt>
                <c:pt idx="229">
                  <c:v>3496</c:v>
                </c:pt>
                <c:pt idx="230">
                  <c:v>3840</c:v>
                </c:pt>
                <c:pt idx="231">
                  <c:v>2993</c:v>
                </c:pt>
                <c:pt idx="232">
                  <c:v>3132</c:v>
                </c:pt>
                <c:pt idx="233">
                  <c:v>3698</c:v>
                </c:pt>
                <c:pt idx="234">
                  <c:v>5058</c:v>
                </c:pt>
                <c:pt idx="235">
                  <c:v>5085</c:v>
                </c:pt>
                <c:pt idx="236">
                  <c:v>4822</c:v>
                </c:pt>
                <c:pt idx="237">
                  <c:v>4755</c:v>
                </c:pt>
                <c:pt idx="238">
                  <c:v>3728</c:v>
                </c:pt>
                <c:pt idx="239">
                  <c:v>3022</c:v>
                </c:pt>
                <c:pt idx="240">
                  <c:v>3682</c:v>
                </c:pt>
                <c:pt idx="241">
                  <c:v>4505</c:v>
                </c:pt>
                <c:pt idx="242">
                  <c:v>4453</c:v>
                </c:pt>
                <c:pt idx="243">
                  <c:v>4454</c:v>
                </c:pt>
                <c:pt idx="244">
                  <c:v>4335</c:v>
                </c:pt>
                <c:pt idx="245">
                  <c:v>4152</c:v>
                </c:pt>
              </c:numCache>
            </c:numRef>
          </c:val>
          <c:smooth val="0"/>
          <c:extLst>
            <c:ext xmlns:c16="http://schemas.microsoft.com/office/drawing/2014/chart" uri="{C3380CC4-5D6E-409C-BE32-E72D297353CC}">
              <c16:uniqueId val="{00000001-1EE7-4B92-A999-472EB1CB68AF}"/>
            </c:ext>
          </c:extLst>
        </c:ser>
        <c:dLbls>
          <c:showLegendKey val="0"/>
          <c:showVal val="0"/>
          <c:showCatName val="0"/>
          <c:showSerName val="0"/>
          <c:showPercent val="0"/>
          <c:showBubbleSize val="0"/>
        </c:dLbls>
        <c:smooth val="0"/>
        <c:axId val="433064192"/>
        <c:axId val="433070080"/>
      </c:lineChart>
      <c:dateAx>
        <c:axId val="433064192"/>
        <c:scaling>
          <c:orientation val="minMax"/>
          <c:min val="37226"/>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title>
          <c:tx>
            <c:rich>
              <a:bodyPr/>
              <a:lstStyle/>
              <a:p>
                <a:pPr>
                  <a:defRPr/>
                </a:pPr>
                <a:r>
                  <a:rPr lang="en-AU"/>
                  <a:t>Employees</a:t>
                </a:r>
              </a:p>
            </c:rich>
          </c:tx>
          <c:overlay val="0"/>
        </c:title>
        <c:numFmt formatCode="#,##0" sourceLinked="1"/>
        <c:majorTickMark val="out"/>
        <c:minorTickMark val="none"/>
        <c:tickLblPos val="nextTo"/>
        <c:crossAx val="4330641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endParaRPr lang="en-AU" sz="1600"/>
          </a:p>
          <a:p>
            <a:pPr>
              <a:defRPr/>
            </a:pPr>
            <a:endParaRPr lang="en-AU" sz="1600"/>
          </a:p>
          <a:p>
            <a:pPr>
              <a:defRPr/>
            </a:pPr>
            <a:endParaRPr lang="en-AU" sz="1600"/>
          </a:p>
        </c:rich>
      </c:tx>
      <c:overlay val="0"/>
    </c:title>
    <c:autoTitleDeleted val="0"/>
    <c:plotArea>
      <c:layout/>
      <c:pieChart>
        <c:varyColors val="1"/>
        <c:ser>
          <c:idx val="0"/>
          <c:order val="0"/>
          <c:dLbls>
            <c:dLbl>
              <c:idx val="0"/>
              <c:layout>
                <c:manualLayout>
                  <c:x val="1.3988258864091692E-2"/>
                  <c:y val="-0.210836040335542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B9-4E0F-8139-24C79A94EE20}"/>
                </c:ext>
              </c:extLst>
            </c:dLbl>
            <c:dLbl>
              <c:idx val="1"/>
              <c:layout>
                <c:manualLayout>
                  <c:x val="-0.12270201431921601"/>
                  <c:y val="3.75920114647228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07-4750-AAC1-F1C4C36B65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Exports!$C$29:$D$29</c:f>
              <c:strCache>
                <c:ptCount val="2"/>
                <c:pt idx="0">
                  <c:v>Mineral And Petroleum Exports ($)</c:v>
                </c:pt>
                <c:pt idx="1">
                  <c:v>Other WA Exports ($)</c:v>
                </c:pt>
              </c:strCache>
            </c:strRef>
          </c:cat>
          <c:val>
            <c:numRef>
              <c:f>Exports!$C$30:$D$30</c:f>
              <c:numCache>
                <c:formatCode>#,##0_ ;\-#,##0\ </c:formatCode>
                <c:ptCount val="2"/>
                <c:pt idx="0">
                  <c:v>208380100996.42554</c:v>
                </c:pt>
                <c:pt idx="1">
                  <c:v>14377531003.574463</c:v>
                </c:pt>
              </c:numCache>
            </c:numRef>
          </c:val>
          <c:extLst>
            <c:ext xmlns:c16="http://schemas.microsoft.com/office/drawing/2014/chart" uri="{C3380CC4-5D6E-409C-BE32-E72D297353CC}">
              <c16:uniqueId val="{00000000-4567-4C94-96BD-9BF57DF3A3E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4400"/>
            </a:pPr>
            <a:r>
              <a:rPr lang="en-AU" sz="4400"/>
              <a:t> </a:t>
            </a:r>
          </a:p>
        </c:rich>
      </c:tx>
      <c:overlay val="0"/>
    </c:title>
    <c:autoTitleDeleted val="0"/>
    <c:plotArea>
      <c:layout/>
      <c:pieChart>
        <c:varyColors val="1"/>
        <c:ser>
          <c:idx val="0"/>
          <c:order val="0"/>
          <c:dLbls>
            <c:dLbl>
              <c:idx val="0"/>
              <c:layout>
                <c:manualLayout>
                  <c:x val="6.8172896051042958E-2"/>
                  <c:y val="8.46174828608323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86-4D74-AA88-02122658C7AD}"/>
                </c:ext>
              </c:extLst>
            </c:dLbl>
            <c:dLbl>
              <c:idx val="1"/>
              <c:layout>
                <c:manualLayout>
                  <c:x val="0.1543138509617413"/>
                  <c:y val="6.87608275293532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586-4D74-AA88-02122658C7AD}"/>
                </c:ext>
              </c:extLst>
            </c:dLbl>
            <c:dLbl>
              <c:idx val="2"/>
              <c:layout>
                <c:manualLayout>
                  <c:x val="9.702115370348767E-2"/>
                  <c:y val="6.2106162826644357E-2"/>
                </c:manualLayout>
              </c:layout>
              <c:showLegendKey val="0"/>
              <c:showVal val="0"/>
              <c:showCatName val="1"/>
              <c:showSerName val="0"/>
              <c:showPercent val="1"/>
              <c:showBubbleSize val="0"/>
              <c:extLst>
                <c:ext xmlns:c15="http://schemas.microsoft.com/office/drawing/2012/chart" uri="{CE6537A1-D6FC-4f65-9D91-7224C49458BB}">
                  <c15:layout>
                    <c:manualLayout>
                      <c:w val="0.13206111496762296"/>
                      <c:h val="8.440338722093918E-2"/>
                    </c:manualLayout>
                  </c15:layout>
                </c:ext>
                <c:ext xmlns:c16="http://schemas.microsoft.com/office/drawing/2014/chart" uri="{C3380CC4-5D6E-409C-BE32-E72D297353CC}">
                  <c16:uniqueId val="{00000000-AC2D-4D6C-865F-063B8BDEDB58}"/>
                </c:ext>
              </c:extLst>
            </c:dLbl>
            <c:dLbl>
              <c:idx val="3"/>
              <c:layout>
                <c:manualLayout>
                  <c:x val="1.0773235036386337E-2"/>
                  <c:y val="3.51776351281724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B1-4AD0-B378-AE25B67D7620}"/>
                </c:ext>
              </c:extLst>
            </c:dLbl>
            <c:dLbl>
              <c:idx val="4"/>
              <c:layout>
                <c:manualLayout>
                  <c:x val="8.5406207560410147E-2"/>
                  <c:y val="-0.146525795130112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86-4D74-AA88-02122658C7AD}"/>
                </c:ext>
              </c:extLst>
            </c:dLbl>
            <c:dLbl>
              <c:idx val="5"/>
              <c:layout>
                <c:manualLayout>
                  <c:x val="0.13422157841700993"/>
                  <c:y val="-2.89470398186369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B1-4AD0-B378-AE25B67D7620}"/>
                </c:ext>
              </c:extLst>
            </c:dLbl>
            <c:dLbl>
              <c:idx val="6"/>
              <c:layout>
                <c:manualLayout>
                  <c:x val="1.4041194158476776E-4"/>
                  <c:y val="-1.42180841713492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B1-4AD0-B378-AE25B67D7620}"/>
                </c:ext>
              </c:extLst>
            </c:dLbl>
            <c:dLbl>
              <c:idx val="7"/>
              <c:layout>
                <c:manualLayout>
                  <c:x val="1.1362026894477259E-2"/>
                  <c:y val="-3.04311614627848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586-4D74-AA88-02122658C7AD}"/>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Exports!$F$30:$F$36</c:f>
              <c:strCache>
                <c:ptCount val="7"/>
                <c:pt idx="0">
                  <c:v>Alumina and bauxite</c:v>
                </c:pt>
                <c:pt idx="1">
                  <c:v>Nickel</c:v>
                </c:pt>
                <c:pt idx="2">
                  <c:v>Gold</c:v>
                </c:pt>
                <c:pt idx="3">
                  <c:v>Mineral sands</c:v>
                </c:pt>
                <c:pt idx="4">
                  <c:v>Iron ore</c:v>
                </c:pt>
                <c:pt idx="5">
                  <c:v>Petroleum</c:v>
                </c:pt>
                <c:pt idx="6">
                  <c:v>Other *</c:v>
                </c:pt>
              </c:strCache>
            </c:strRef>
          </c:cat>
          <c:val>
            <c:numRef>
              <c:f>Exports!$G$30:$G$36</c:f>
              <c:numCache>
                <c:formatCode>#,##0</c:formatCode>
                <c:ptCount val="7"/>
                <c:pt idx="0">
                  <c:v>5668047436.5100002</c:v>
                </c:pt>
                <c:pt idx="1">
                  <c:v>2750024725.3674679</c:v>
                </c:pt>
                <c:pt idx="2">
                  <c:v>22015603000</c:v>
                </c:pt>
                <c:pt idx="3">
                  <c:v>1469219365.27</c:v>
                </c:pt>
                <c:pt idx="4">
                  <c:v>150156019000</c:v>
                </c:pt>
                <c:pt idx="5">
                  <c:v>21845484959.685493</c:v>
                </c:pt>
                <c:pt idx="6">
                  <c:v>4475702509.5925999</c:v>
                </c:pt>
              </c:numCache>
            </c:numRef>
          </c:val>
          <c:extLst>
            <c:ext xmlns:c16="http://schemas.microsoft.com/office/drawing/2014/chart" uri="{C3380CC4-5D6E-409C-BE32-E72D297353CC}">
              <c16:uniqueId val="{00000000-2825-47D1-8304-3ADDA072AF4D}"/>
            </c:ext>
          </c:extLst>
        </c:ser>
        <c:dLbls>
          <c:showLegendKey val="0"/>
          <c:showVal val="0"/>
          <c:showCatName val="1"/>
          <c:showSerName val="0"/>
          <c:showPercent val="1"/>
          <c:showBubbleSize val="0"/>
          <c:showLeaderLines val="1"/>
        </c:dLbls>
        <c:firstSliceAng val="42"/>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400" b="1" i="1"/>
            </a:pPr>
            <a:r>
              <a:rPr lang="en-AU" sz="2400" b="1" i="1"/>
              <a:t>  </a:t>
            </a:r>
          </a:p>
          <a:p>
            <a:pPr>
              <a:defRPr sz="2400" b="1" i="1"/>
            </a:pPr>
            <a:r>
              <a:rPr lang="en-AU" sz="2400" b="1" i="1"/>
              <a:t> </a:t>
            </a:r>
          </a:p>
        </c:rich>
      </c:tx>
      <c:overlay val="0"/>
    </c:title>
    <c:autoTitleDeleted val="0"/>
    <c:plotArea>
      <c:layout>
        <c:manualLayout>
          <c:layoutTarget val="inner"/>
          <c:xMode val="edge"/>
          <c:yMode val="edge"/>
          <c:x val="0.33535949666121534"/>
          <c:y val="0.33152406757469405"/>
          <c:w val="0.39898180933195954"/>
          <c:h val="0.58511198802228248"/>
        </c:manualLayout>
      </c:layout>
      <c:pieChart>
        <c:varyColors val="1"/>
        <c:ser>
          <c:idx val="0"/>
          <c:order val="0"/>
          <c:dLbls>
            <c:dLbl>
              <c:idx val="0"/>
              <c:layout>
                <c:manualLayout>
                  <c:x val="-0.15495787629605037"/>
                  <c:y val="-3.70494565777430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BE-4A2A-8863-1E98EAD0F6C0}"/>
                </c:ext>
              </c:extLst>
            </c:dLbl>
            <c:dLbl>
              <c:idx val="1"/>
              <c:layout>
                <c:manualLayout>
                  <c:x val="-2.9508628782817618E-2"/>
                  <c:y val="-5.047613851963541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E-4A2A-8863-1E98EAD0F6C0}"/>
                </c:ext>
              </c:extLst>
            </c:dLbl>
            <c:dLbl>
              <c:idx val="2"/>
              <c:layout>
                <c:manualLayout>
                  <c:x val="-7.194606229957673E-2"/>
                  <c:y val="7.50539785298199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09-4773-AF56-097A6D99B1B7}"/>
                </c:ext>
              </c:extLst>
            </c:dLbl>
            <c:dLbl>
              <c:idx val="3"/>
              <c:layout>
                <c:manualLayout>
                  <c:x val="-0.10520773768737"/>
                  <c:y val="9.2357173598103928E-2"/>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9697326308663549"/>
                      <c:h val="0.13675134719014626"/>
                    </c:manualLayout>
                  </c15:layout>
                </c:ext>
                <c:ext xmlns:c16="http://schemas.microsoft.com/office/drawing/2014/chart" uri="{C3380CC4-5D6E-409C-BE32-E72D297353CC}">
                  <c16:uniqueId val="{00000001-8909-4773-AF56-097A6D99B1B7}"/>
                </c:ext>
              </c:extLst>
            </c:dLbl>
            <c:dLbl>
              <c:idx val="4"/>
              <c:layout>
                <c:manualLayout>
                  <c:x val="-0.14288415728028581"/>
                  <c:y val="9.0944821273784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909-4773-AF56-097A6D99B1B7}"/>
                </c:ext>
              </c:extLst>
            </c:dLbl>
            <c:dLbl>
              <c:idx val="5"/>
              <c:layout>
                <c:manualLayout>
                  <c:x val="-0.10110024360378457"/>
                  <c:y val="7.9975511144247849E-2"/>
                </c:manualLayout>
              </c:layout>
              <c:showLegendKey val="0"/>
              <c:showVal val="0"/>
              <c:showCatName val="1"/>
              <c:showSerName val="0"/>
              <c:showPercent val="1"/>
              <c:showBubbleSize val="0"/>
              <c:extLst>
                <c:ext xmlns:c15="http://schemas.microsoft.com/office/drawing/2012/chart" uri="{CE6537A1-D6FC-4f65-9D91-7224C49458BB}">
                  <c15:layout>
                    <c:manualLayout>
                      <c:w val="0.27078136237118272"/>
                      <c:h val="0.12198626441902614"/>
                    </c:manualLayout>
                  </c15:layout>
                </c:ext>
                <c:ext xmlns:c16="http://schemas.microsoft.com/office/drawing/2014/chart" uri="{C3380CC4-5D6E-409C-BE32-E72D297353CC}">
                  <c16:uniqueId val="{00000004-0EBE-4A2A-8863-1E98EAD0F6C0}"/>
                </c:ext>
              </c:extLst>
            </c:dLbl>
            <c:dLbl>
              <c:idx val="6"/>
              <c:layout>
                <c:manualLayout>
                  <c:x val="-0.20756252754152704"/>
                  <c:y val="1.9479551199286591E-3"/>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4908009547262074"/>
                      <c:h val="9.7351930315869875E-2"/>
                    </c:manualLayout>
                  </c15:layout>
                </c:ext>
                <c:ext xmlns:c16="http://schemas.microsoft.com/office/drawing/2014/chart" uri="{C3380CC4-5D6E-409C-BE32-E72D297353CC}">
                  <c16:uniqueId val="{00000000-4767-4265-8E34-A2B15B6A97B7}"/>
                </c:ext>
              </c:extLst>
            </c:dLbl>
            <c:dLbl>
              <c:idx val="7"/>
              <c:layout>
                <c:manualLayout>
                  <c:x val="-0.16331726390534609"/>
                  <c:y val="-5.3744794602753207E-2"/>
                </c:manualLayout>
              </c:layout>
              <c:numFmt formatCode="0.0%" sourceLinked="0"/>
              <c:spPr/>
              <c:txPr>
                <a:bodyPr lIns="38100" tIns="19050" rIns="38100" bIns="19050">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728977822070944"/>
                      <c:h val="0.1004312220787644"/>
                    </c:manualLayout>
                  </c15:layout>
                </c:ext>
                <c:ext xmlns:c16="http://schemas.microsoft.com/office/drawing/2014/chart" uri="{C3380CC4-5D6E-409C-BE32-E72D297353CC}">
                  <c16:uniqueId val="{00000003-8909-4773-AF56-097A6D99B1B7}"/>
                </c:ext>
              </c:extLst>
            </c:dLbl>
            <c:dLbl>
              <c:idx val="8"/>
              <c:layout>
                <c:manualLayout>
                  <c:x val="-0.15604536616192494"/>
                  <c:y val="-0.149531377861831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E-4A2A-8863-1E98EAD0F6C0}"/>
                </c:ext>
              </c:extLst>
            </c:dLbl>
            <c:dLbl>
              <c:idx val="9"/>
              <c:layout>
                <c:manualLayout>
                  <c:x val="1.0052569755902435E-2"/>
                  <c:y val="-5.49568717305256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BE-4A2A-8863-1E98EAD0F6C0}"/>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Exports!$B$63:$B$73</c:f>
              <c:strCache>
                <c:ptCount val="11"/>
                <c:pt idx="0">
                  <c:v>China</c:v>
                </c:pt>
                <c:pt idx="1">
                  <c:v>Japan</c:v>
                </c:pt>
                <c:pt idx="2">
                  <c:v>Korea, Republic of</c:v>
                </c:pt>
                <c:pt idx="3">
                  <c:v>United Kingdom</c:v>
                </c:pt>
                <c:pt idx="4">
                  <c:v>Singapore</c:v>
                </c:pt>
                <c:pt idx="5">
                  <c:v>United States of America </c:v>
                </c:pt>
                <c:pt idx="6">
                  <c:v>Taiwan</c:v>
                </c:pt>
                <c:pt idx="7">
                  <c:v>Hong Kong (SAR of China)</c:v>
                </c:pt>
                <c:pt idx="8">
                  <c:v>Indonesia</c:v>
                </c:pt>
                <c:pt idx="9">
                  <c:v>India</c:v>
                </c:pt>
                <c:pt idx="10">
                  <c:v>Other</c:v>
                </c:pt>
              </c:strCache>
            </c:strRef>
          </c:cat>
          <c:val>
            <c:numRef>
              <c:f>Exports!$C$63:$C$73</c:f>
              <c:numCache>
                <c:formatCode>#,##0_ ;\-#,##0\ </c:formatCode>
                <c:ptCount val="11"/>
                <c:pt idx="0">
                  <c:v>134104.71400000001</c:v>
                </c:pt>
                <c:pt idx="1">
                  <c:v>19268.091</c:v>
                </c:pt>
                <c:pt idx="2">
                  <c:v>13264.721</c:v>
                </c:pt>
                <c:pt idx="3">
                  <c:v>9040.0969999999998</c:v>
                </c:pt>
                <c:pt idx="4">
                  <c:v>8738.7170000000006</c:v>
                </c:pt>
                <c:pt idx="5">
                  <c:v>5166.9560000000001</c:v>
                </c:pt>
                <c:pt idx="6">
                  <c:v>4344.5590000000002</c:v>
                </c:pt>
                <c:pt idx="7">
                  <c:v>3653.9569999999999</c:v>
                </c:pt>
                <c:pt idx="8">
                  <c:v>2628.0450000000001</c:v>
                </c:pt>
                <c:pt idx="9">
                  <c:v>2465.6819999999998</c:v>
                </c:pt>
                <c:pt idx="10">
                  <c:v>20082.092000000001</c:v>
                </c:pt>
              </c:numCache>
            </c:numRef>
          </c:val>
          <c:extLst>
            <c:ext xmlns:c16="http://schemas.microsoft.com/office/drawing/2014/chart" uri="{C3380CC4-5D6E-409C-BE32-E72D297353CC}">
              <c16:uniqueId val="{00000000-7D33-4993-90CC-59DBCF4A3F98}"/>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 </a:t>
            </a:r>
            <a:br>
              <a:rPr lang="en-AU"/>
            </a:br>
            <a:r>
              <a:rPr lang="en-AU"/>
              <a:t> </a:t>
            </a:r>
            <a:endParaRPr lang="en-AU" sz="1100"/>
          </a:p>
        </c:rich>
      </c:tx>
      <c:overlay val="0"/>
    </c:title>
    <c:autoTitleDeleted val="0"/>
    <c:plotArea>
      <c:layout>
        <c:manualLayout>
          <c:layoutTarget val="inner"/>
          <c:xMode val="edge"/>
          <c:yMode val="edge"/>
          <c:x val="0.24909386326709163"/>
          <c:y val="0.24709835928043239"/>
          <c:w val="0.46371720201641464"/>
          <c:h val="0.66699049605100735"/>
        </c:manualLayout>
      </c:layout>
      <c:pieChart>
        <c:varyColors val="1"/>
        <c:ser>
          <c:idx val="0"/>
          <c:order val="0"/>
          <c:dPt>
            <c:idx val="0"/>
            <c:bubble3D val="0"/>
            <c:extLst>
              <c:ext xmlns:c16="http://schemas.microsoft.com/office/drawing/2014/chart" uri="{C3380CC4-5D6E-409C-BE32-E72D297353CC}">
                <c16:uniqueId val="{00000000-1240-4BD1-8D19-438EDD8C1213}"/>
              </c:ext>
            </c:extLst>
          </c:dPt>
          <c:dLbls>
            <c:dLbl>
              <c:idx val="0"/>
              <c:layout>
                <c:manualLayout>
                  <c:x val="2.4705078531850184E-2"/>
                  <c:y val="-0.239238964992389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240-4BD1-8D19-438EDD8C1213}"/>
                </c:ext>
              </c:extLst>
            </c:dLbl>
            <c:dLbl>
              <c:idx val="1"/>
              <c:layout>
                <c:manualLayout>
                  <c:x val="0.11852385118526847"/>
                  <c:y val="0.140652932082119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33-427E-BACF-C45FE944E10B}"/>
                </c:ext>
              </c:extLst>
            </c:dLbl>
            <c:dLbl>
              <c:idx val="3"/>
              <c:layout>
                <c:manualLayout>
                  <c:x val="2.0573178352705911E-2"/>
                  <c:y val="-8.91671760208056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33-4904-BD17-3E44FC7FF5E4}"/>
                </c:ext>
              </c:extLst>
            </c:dLbl>
            <c:dLbl>
              <c:idx val="4"/>
              <c:layout>
                <c:manualLayout>
                  <c:x val="8.5970920301628964E-2"/>
                  <c:y val="-0.122066899171850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40-4BD1-8D19-438EDD8C1213}"/>
                </c:ext>
              </c:extLst>
            </c:dLbl>
            <c:dLbl>
              <c:idx val="5"/>
              <c:layout>
                <c:manualLayout>
                  <c:x val="6.4066580285059307E-2"/>
                  <c:y val="-7.0560768944977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240-4BD1-8D19-438EDD8C1213}"/>
                </c:ext>
              </c:extLst>
            </c:dLbl>
            <c:dLbl>
              <c:idx val="6"/>
              <c:layout>
                <c:manualLayout>
                  <c:x val="9.357902255888885E-2"/>
                  <c:y val="-1.09126427689690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40-4BD1-8D19-438EDD8C1213}"/>
                </c:ext>
              </c:extLst>
            </c:dLbl>
            <c:dLbl>
              <c:idx val="7"/>
              <c:layout>
                <c:manualLayout>
                  <c:x val="7.1281423155438908E-2"/>
                  <c:y val="9.9786191109672934E-2"/>
                </c:manualLayout>
              </c:layout>
              <c:numFmt formatCode="0.00%" sourceLinked="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240-4BD1-8D19-438EDD8C1213}"/>
                </c:ext>
              </c:extLst>
            </c:dLbl>
            <c:dLbl>
              <c:idx val="8"/>
              <c:layout>
                <c:manualLayout>
                  <c:x val="7.8387284922717987E-2"/>
                  <c:y val="0.157868382890494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6B6-473B-B735-E12A0CE7696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(Exports!$F$63:$F$70,Exports!$F$73)</c:f>
              <c:strCache>
                <c:ptCount val="9"/>
                <c:pt idx="0">
                  <c:v>Western Australia</c:v>
                </c:pt>
                <c:pt idx="1">
                  <c:v>Queensland</c:v>
                </c:pt>
                <c:pt idx="2">
                  <c:v>New South Wales</c:v>
                </c:pt>
                <c:pt idx="3">
                  <c:v>Victoria</c:v>
                </c:pt>
                <c:pt idx="4">
                  <c:v>South Australia</c:v>
                </c:pt>
                <c:pt idx="5">
                  <c:v>Northern Territory</c:v>
                </c:pt>
                <c:pt idx="6">
                  <c:v>Tasmania</c:v>
                </c:pt>
                <c:pt idx="7">
                  <c:v>Australian Capital Territory</c:v>
                </c:pt>
                <c:pt idx="8">
                  <c:v>Total Other</c:v>
                </c:pt>
              </c:strCache>
            </c:strRef>
          </c:cat>
          <c:val>
            <c:numRef>
              <c:f>(Exports!$G$63:$G$70,Exports!$G$73)</c:f>
              <c:numCache>
                <c:formatCode>#,##0_ ;\-#,##0\ </c:formatCode>
                <c:ptCount val="9"/>
                <c:pt idx="0">
                  <c:v>222757</c:v>
                </c:pt>
                <c:pt idx="1">
                  <c:v>57977</c:v>
                </c:pt>
                <c:pt idx="2">
                  <c:v>45777</c:v>
                </c:pt>
                <c:pt idx="3">
                  <c:v>25439</c:v>
                </c:pt>
                <c:pt idx="4">
                  <c:v>12710</c:v>
                </c:pt>
                <c:pt idx="5">
                  <c:v>9369</c:v>
                </c:pt>
                <c:pt idx="6">
                  <c:v>3815</c:v>
                </c:pt>
                <c:pt idx="7">
                  <c:v>55</c:v>
                </c:pt>
                <c:pt idx="8">
                  <c:v>18033</c:v>
                </c:pt>
              </c:numCache>
            </c:numRef>
          </c:val>
          <c:extLst>
            <c:ext xmlns:c16="http://schemas.microsoft.com/office/drawing/2014/chart" uri="{C3380CC4-5D6E-409C-BE32-E72D297353CC}">
              <c16:uniqueId val="{00000005-1240-4BD1-8D19-438EDD8C1213}"/>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World'!$I$10</c:f>
          <c:strCache>
            <c:ptCount val="1"/>
            <c:pt idx="0">
              <c:v>Western Australia's Global Production Share</c:v>
            </c:pt>
          </c:strCache>
        </c:strRef>
      </c:tx>
      <c:layout>
        <c:manualLayout>
          <c:xMode val="edge"/>
          <c:yMode val="edge"/>
          <c:x val="0.13043838378334197"/>
          <c:y val="1.7977629839750757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World'!$C$7</c:f>
              <c:strCache>
                <c:ptCount val="1"/>
                <c:pt idx="0">
                  <c:v>Western Australia</c:v>
                </c:pt>
              </c:strCache>
            </c:strRef>
          </c:tx>
          <c:spPr>
            <a:solidFill>
              <a:schemeClr val="accent3">
                <a:shade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World'!$C$8:$C$26</c:f>
              <c:numCache>
                <c:formatCode>0.00%</c:formatCode>
                <c:ptCount val="19"/>
                <c:pt idx="0">
                  <c:v>0.11431343901887253</c:v>
                </c:pt>
                <c:pt idx="1">
                  <c:v>4.1740544234008706E-2</c:v>
                </c:pt>
                <c:pt idx="2">
                  <c:v>7.485192589802174E-3</c:v>
                </c:pt>
                <c:pt idx="3">
                  <c:v>9.6614524610999118E-4</c:v>
                </c:pt>
                <c:pt idx="4">
                  <c:v>0.24881072209844116</c:v>
                </c:pt>
                <c:pt idx="5">
                  <c:v>0.28301741375758233</c:v>
                </c:pt>
                <c:pt idx="6">
                  <c:v>6.4713984657341059E-2</c:v>
                </c:pt>
                <c:pt idx="7">
                  <c:v>4.3877580792545147E-2</c:v>
                </c:pt>
                <c:pt idx="8">
                  <c:v>0.35982438482688195</c:v>
                </c:pt>
                <c:pt idx="9">
                  <c:v>3.115214410485089E-4</c:v>
                </c:pt>
                <c:pt idx="10">
                  <c:v>0.4940026171640915</c:v>
                </c:pt>
                <c:pt idx="11">
                  <c:v>0.12481597812779849</c:v>
                </c:pt>
                <c:pt idx="12">
                  <c:v>2.9431081093453004E-2</c:v>
                </c:pt>
                <c:pt idx="13">
                  <c:v>6.6992254446562927E-2</c:v>
                </c:pt>
                <c:pt idx="14">
                  <c:v>9.2200502485562968E-2</c:v>
                </c:pt>
                <c:pt idx="15">
                  <c:v>6.79260317503005E-2</c:v>
                </c:pt>
                <c:pt idx="16">
                  <c:v>4.2654503788772523E-2</c:v>
                </c:pt>
                <c:pt idx="17">
                  <c:v>5.4868211444236165E-3</c:v>
                </c:pt>
                <c:pt idx="18">
                  <c:v>0.13211299979213881</c:v>
                </c:pt>
              </c:numCache>
            </c:numRef>
          </c:val>
          <c:extLst>
            <c:ext xmlns:c16="http://schemas.microsoft.com/office/drawing/2014/chart" uri="{C3380CC4-5D6E-409C-BE32-E72D297353CC}">
              <c16:uniqueId val="{00000000-90F5-4DE6-A39D-02F864D23BCE}"/>
            </c:ext>
          </c:extLst>
        </c:ser>
        <c:ser>
          <c:idx val="1"/>
          <c:order val="1"/>
          <c:tx>
            <c:strRef>
              <c:f>'WA vs Australia vs The World'!$D$7</c:f>
              <c:strCache>
                <c:ptCount val="1"/>
                <c:pt idx="0">
                  <c:v>Rest of Australia</c:v>
                </c:pt>
              </c:strCache>
            </c:strRef>
          </c:tx>
          <c:spPr>
            <a:solidFill>
              <a:schemeClr val="accent3">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World'!$D$8:$D$26</c:f>
              <c:numCache>
                <c:formatCode>0.00%</c:formatCode>
                <c:ptCount val="19"/>
                <c:pt idx="0">
                  <c:v>5.2892382753653197E-2</c:v>
                </c:pt>
                <c:pt idx="1">
                  <c:v>0</c:v>
                </c:pt>
                <c:pt idx="2">
                  <c:v>3.6602547353115938E-2</c:v>
                </c:pt>
                <c:pt idx="3">
                  <c:v>6.3702152508598759E-4</c:v>
                </c:pt>
                <c:pt idx="4">
                  <c:v>0</c:v>
                </c:pt>
                <c:pt idx="5">
                  <c:v>0</c:v>
                </c:pt>
                <c:pt idx="6">
                  <c:v>3.3327088983876547E-2</c:v>
                </c:pt>
                <c:pt idx="7">
                  <c:v>6.4249767542588931E-2</c:v>
                </c:pt>
                <c:pt idx="8">
                  <c:v>3.5264164755078433E-3</c:v>
                </c:pt>
                <c:pt idx="9">
                  <c:v>0.11080251384248663</c:v>
                </c:pt>
                <c:pt idx="10">
                  <c:v>0</c:v>
                </c:pt>
                <c:pt idx="11">
                  <c:v>9.6354425858717563E-2</c:v>
                </c:pt>
                <c:pt idx="12">
                  <c:v>0.14904375595965397</c:v>
                </c:pt>
                <c:pt idx="13">
                  <c:v>0</c:v>
                </c:pt>
                <c:pt idx="14">
                  <c:v>0</c:v>
                </c:pt>
                <c:pt idx="15">
                  <c:v>0.25190874890879716</c:v>
                </c:pt>
                <c:pt idx="16">
                  <c:v>1.6913932020895413E-3</c:v>
                </c:pt>
                <c:pt idx="17">
                  <c:v>0.1020124967909074</c:v>
                </c:pt>
                <c:pt idx="18">
                  <c:v>0.21073664489500882</c:v>
                </c:pt>
              </c:numCache>
            </c:numRef>
          </c:val>
          <c:extLst>
            <c:ext xmlns:c16="http://schemas.microsoft.com/office/drawing/2014/chart" uri="{C3380CC4-5D6E-409C-BE32-E72D297353CC}">
              <c16:uniqueId val="{00000001-90F5-4DE6-A39D-02F864D23BCE}"/>
            </c:ext>
          </c:extLst>
        </c:ser>
        <c:ser>
          <c:idx val="2"/>
          <c:order val="2"/>
          <c:tx>
            <c:strRef>
              <c:f>'WA vs Australia vs The World'!$E$7</c:f>
              <c:strCache>
                <c:ptCount val="1"/>
                <c:pt idx="0">
                  <c:v>Rest of World</c:v>
                </c:pt>
              </c:strCache>
            </c:strRef>
          </c:tx>
          <c:spPr>
            <a:solidFill>
              <a:schemeClr val="accent3">
                <a:tint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World'!$E$8:$E$26</c:f>
              <c:numCache>
                <c:formatCode>0.00%</c:formatCode>
                <c:ptCount val="19"/>
                <c:pt idx="0">
                  <c:v>0.83279417822747426</c:v>
                </c:pt>
                <c:pt idx="1">
                  <c:v>0.95825945576599125</c:v>
                </c:pt>
                <c:pt idx="2">
                  <c:v>0.95591226005708185</c:v>
                </c:pt>
                <c:pt idx="3">
                  <c:v>0.99839683322880401</c:v>
                </c:pt>
                <c:pt idx="4">
                  <c:v>0.75118927790155887</c:v>
                </c:pt>
                <c:pt idx="5">
                  <c:v>0.71698258624241773</c:v>
                </c:pt>
                <c:pt idx="6">
                  <c:v>0.90195892635878239</c:v>
                </c:pt>
                <c:pt idx="7">
                  <c:v>0.89187265166486596</c:v>
                </c:pt>
                <c:pt idx="8">
                  <c:v>0.63664919869761016</c:v>
                </c:pt>
                <c:pt idx="9">
                  <c:v>0.88888596471646486</c:v>
                </c:pt>
                <c:pt idx="10">
                  <c:v>0.50599738283590856</c:v>
                </c:pt>
                <c:pt idx="11">
                  <c:v>0.77882959601348389</c:v>
                </c:pt>
                <c:pt idx="12">
                  <c:v>0.82152516294689304</c:v>
                </c:pt>
                <c:pt idx="13">
                  <c:v>0.93300774555343713</c:v>
                </c:pt>
                <c:pt idx="14">
                  <c:v>0.907799497514437</c:v>
                </c:pt>
                <c:pt idx="15">
                  <c:v>0.68016521934090235</c:v>
                </c:pt>
                <c:pt idx="16">
                  <c:v>0.95565410300913789</c:v>
                </c:pt>
                <c:pt idx="17">
                  <c:v>0.89250068206466904</c:v>
                </c:pt>
                <c:pt idx="18">
                  <c:v>0.65715035531285237</c:v>
                </c:pt>
              </c:numCache>
            </c:numRef>
          </c:val>
          <c:extLst>
            <c:ext xmlns:c16="http://schemas.microsoft.com/office/drawing/2014/chart" uri="{C3380CC4-5D6E-409C-BE32-E72D297353CC}">
              <c16:uniqueId val="{00000002-90F5-4DE6-A39D-02F864D23BC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Mining Investment </a:t>
            </a:r>
          </a:p>
          <a:p>
            <a:pPr>
              <a:defRPr/>
            </a:pPr>
            <a:r>
              <a:rPr lang="en-AU" sz="900"/>
              <a:t>Last 10 Calendar Years</a:t>
            </a:r>
          </a:p>
        </c:rich>
      </c:tx>
      <c:overlay val="0"/>
    </c:title>
    <c:autoTitleDeleted val="0"/>
    <c:plotArea>
      <c:layout>
        <c:manualLayout>
          <c:layoutTarget val="inner"/>
          <c:xMode val="edge"/>
          <c:yMode val="edge"/>
          <c:x val="0.16146107268506327"/>
          <c:y val="0.27896986113437866"/>
          <c:w val="0.7372359093411196"/>
          <c:h val="0.48454514377821345"/>
        </c:manualLayout>
      </c:layout>
      <c:barChart>
        <c:barDir val="col"/>
        <c:grouping val="stacked"/>
        <c:varyColors val="0"/>
        <c:ser>
          <c:idx val="1"/>
          <c:order val="0"/>
          <c:tx>
            <c:v>Western Australia</c:v>
          </c:tx>
          <c:invertIfNegative val="0"/>
          <c:cat>
            <c:numRef>
              <c:f>'Mining Investment'!$I$8:$I$17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'Mining Investment'!$J$8:$J$17</c:f>
              <c:numCache>
                <c:formatCode>#,##0</c:formatCode>
                <c:ptCount val="10"/>
                <c:pt idx="0">
                  <c:v>35031</c:v>
                </c:pt>
                <c:pt idx="1">
                  <c:v>51040</c:v>
                </c:pt>
                <c:pt idx="2">
                  <c:v>46786</c:v>
                </c:pt>
                <c:pt idx="3">
                  <c:v>46211</c:v>
                </c:pt>
                <c:pt idx="4">
                  <c:v>42384</c:v>
                </c:pt>
                <c:pt idx="5">
                  <c:v>26880</c:v>
                </c:pt>
                <c:pt idx="6">
                  <c:v>20458</c:v>
                </c:pt>
                <c:pt idx="7">
                  <c:v>17793</c:v>
                </c:pt>
                <c:pt idx="8">
                  <c:v>17236</c:v>
                </c:pt>
                <c:pt idx="9">
                  <c:v>19993</c:v>
                </c:pt>
              </c:numCache>
            </c:numRef>
          </c:val>
          <c:extLst>
            <c:ext xmlns:c16="http://schemas.microsoft.com/office/drawing/2014/chart" uri="{C3380CC4-5D6E-409C-BE32-E72D297353CC}">
              <c16:uniqueId val="{00000000-DF09-44B7-A6D7-47465A68B976}"/>
            </c:ext>
          </c:extLst>
        </c:ser>
        <c:ser>
          <c:idx val="2"/>
          <c:order val="1"/>
          <c:tx>
            <c:v>Rest of Australia</c:v>
          </c:tx>
          <c:spPr>
            <a:solidFill>
              <a:schemeClr val="accent6">
                <a:lumMod val="60000"/>
                <a:lumOff val="40000"/>
              </a:schemeClr>
            </a:solidFill>
          </c:spPr>
          <c:invertIfNegative val="0"/>
          <c:cat>
            <c:numRef>
              <c:f>'Mining Investment'!$I$8:$I$17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'Mining Investment'!$K$8:$K$17</c:f>
              <c:numCache>
                <c:formatCode>#,##0</c:formatCode>
                <c:ptCount val="10"/>
                <c:pt idx="0">
                  <c:v>27091</c:v>
                </c:pt>
                <c:pt idx="1">
                  <c:v>43440</c:v>
                </c:pt>
                <c:pt idx="2">
                  <c:v>47112</c:v>
                </c:pt>
                <c:pt idx="3">
                  <c:v>37335</c:v>
                </c:pt>
                <c:pt idx="4">
                  <c:v>22784</c:v>
                </c:pt>
                <c:pt idx="5">
                  <c:v>16045</c:v>
                </c:pt>
                <c:pt idx="6">
                  <c:v>16879</c:v>
                </c:pt>
                <c:pt idx="7">
                  <c:v>16802</c:v>
                </c:pt>
                <c:pt idx="8">
                  <c:v>16656</c:v>
                </c:pt>
                <c:pt idx="9">
                  <c:v>15165</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'Mining Investment'!$M$7</c:f>
              <c:strCache>
                <c:ptCount val="1"/>
                <c:pt idx="0">
                  <c:v>Western Australia Share Of Australia</c:v>
                </c:pt>
              </c:strCache>
            </c:strRef>
          </c:tx>
          <c:marker>
            <c:symbol val="none"/>
          </c:marker>
          <c:val>
            <c:numRef>
              <c:f>'Mining Investment'!$M$8:$M$17</c:f>
              <c:numCache>
                <c:formatCode>0%</c:formatCode>
                <c:ptCount val="10"/>
                <c:pt idx="0">
                  <c:v>0.56390650655162422</c:v>
                </c:pt>
                <c:pt idx="1">
                  <c:v>0.5402201524132092</c:v>
                </c:pt>
                <c:pt idx="2">
                  <c:v>0.49826407378218918</c:v>
                </c:pt>
                <c:pt idx="3">
                  <c:v>0.55312043664568022</c:v>
                </c:pt>
                <c:pt idx="4">
                  <c:v>0.65038055487355761</c:v>
                </c:pt>
                <c:pt idx="5">
                  <c:v>0.62620850320326149</c:v>
                </c:pt>
                <c:pt idx="6">
                  <c:v>0.54792832846773976</c:v>
                </c:pt>
                <c:pt idx="7">
                  <c:v>0.51432287902876139</c:v>
                </c:pt>
                <c:pt idx="8">
                  <c:v>0.50855659152602384</c:v>
                </c:pt>
                <c:pt idx="9">
                  <c:v>0.56866147107343989</c:v>
                </c:pt>
              </c:numCache>
            </c:numRef>
          </c:val>
          <c:smooth val="0"/>
          <c:extLst>
            <c:ext xmlns:c16="http://schemas.microsoft.com/office/drawing/2014/chart" uri="{C3380CC4-5D6E-409C-BE32-E72D297353CC}">
              <c16:uniqueId val="{00000000-E604-4418-B032-9A21231AD3B9}"/>
            </c:ext>
          </c:extLst>
        </c:ser>
        <c:dLbls>
          <c:showLegendKey val="0"/>
          <c:showVal val="0"/>
          <c:showCatName val="0"/>
          <c:showSerName val="0"/>
          <c:showPercent val="0"/>
          <c:showBubbleSize val="0"/>
        </c:dLbls>
        <c:marker val="1"/>
        <c:smooth val="0"/>
        <c:axId val="1266057000"/>
        <c:axId val="1266053064"/>
      </c:lineChart>
      <c:catAx>
        <c:axId val="422924288"/>
        <c:scaling>
          <c:orientation val="minMax"/>
        </c:scaling>
        <c:delete val="0"/>
        <c:axPos val="b"/>
        <c:title>
          <c:tx>
            <c:rich>
              <a:bodyPr/>
              <a:lstStyle/>
              <a:p>
                <a:pPr>
                  <a:defRPr sz="900"/>
                </a:pPr>
                <a:r>
                  <a:rPr lang="en-AU" sz="900"/>
                  <a:t>Source: ABS</a:t>
                </a:r>
              </a:p>
            </c:rich>
          </c:tx>
          <c:layout>
            <c:manualLayout>
              <c:xMode val="edge"/>
              <c:yMode val="edge"/>
              <c:x val="4.1894550415240645E-3"/>
              <c:y val="0.94641765635399644"/>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422924288"/>
        <c:crosses val="autoZero"/>
        <c:crossBetween val="between"/>
        <c:majorUnit val="10000"/>
      </c:valAx>
      <c:valAx>
        <c:axId val="1266053064"/>
        <c:scaling>
          <c:orientation val="minMax"/>
          <c:max val="1"/>
        </c:scaling>
        <c:delete val="0"/>
        <c:axPos val="r"/>
        <c:numFmt formatCode="0%" sourceLinked="0"/>
        <c:majorTickMark val="out"/>
        <c:minorTickMark val="none"/>
        <c:tickLblPos val="nextTo"/>
        <c:crossAx val="1266057000"/>
        <c:crosses val="max"/>
        <c:crossBetween val="between"/>
        <c:majorUnit val="0.1"/>
      </c:valAx>
      <c:catAx>
        <c:axId val="1266057000"/>
        <c:scaling>
          <c:orientation val="minMax"/>
        </c:scaling>
        <c:delete val="1"/>
        <c:axPos val="b"/>
        <c:majorTickMark val="out"/>
        <c:minorTickMark val="none"/>
        <c:tickLblPos val="nextTo"/>
        <c:crossAx val="1266053064"/>
        <c:crosses val="autoZero"/>
        <c:auto val="1"/>
        <c:lblAlgn val="ctr"/>
        <c:lblOffset val="100"/>
        <c:noMultiLvlLbl val="0"/>
      </c:catAx>
    </c:plotArea>
    <c:legend>
      <c:legendPos val="t"/>
      <c:layout>
        <c:manualLayout>
          <c:xMode val="edge"/>
          <c:yMode val="edge"/>
          <c:x val="6.4589713519852598E-2"/>
          <c:y val="0.12885904482910066"/>
          <c:w val="0.89027346049828882"/>
          <c:h val="0.1332718882011763"/>
        </c:manualLayout>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5.png"/><Relationship Id="rId4"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3.xml"/><Relationship Id="rId4"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5.xml"/><Relationship Id="rId4"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6</xdr:row>
          <xdr:rowOff>19050</xdr:rowOff>
        </xdr:from>
        <xdr:to>
          <xdr:col>11</xdr:col>
          <xdr:colOff>171450</xdr:colOff>
          <xdr:row>23</xdr:row>
          <xdr:rowOff>95250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2</xdr:col>
      <xdr:colOff>1867520</xdr:colOff>
      <xdr:row>3</xdr:row>
      <xdr:rowOff>181080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0.64107</cdr:x>
      <cdr:y>0.9431</cdr:y>
    </cdr:from>
    <cdr:to>
      <cdr:x>0.70196</cdr:x>
      <cdr:y>0.995</cdr:y>
    </cdr:to>
    <cdr:sp macro="" textlink="">
      <cdr:nvSpPr>
        <cdr:cNvPr id="2"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228601</xdr:colOff>
      <xdr:row>5</xdr:row>
      <xdr:rowOff>85532</xdr:rowOff>
    </xdr:from>
    <xdr:to>
      <xdr:col>4</xdr:col>
      <xdr:colOff>171451</xdr:colOff>
      <xdr:row>27</xdr:row>
      <xdr:rowOff>28256</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205110</xdr:colOff>
      <xdr:row>26</xdr:row>
      <xdr:rowOff>10591</xdr:rowOff>
    </xdr:from>
    <xdr:to>
      <xdr:col>1</xdr:col>
      <xdr:colOff>1320665</xdr:colOff>
      <xdr:row>27</xdr:row>
      <xdr:rowOff>30280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05110" y="4773091"/>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DMIRS</a:t>
          </a:r>
          <a:r>
            <a:rPr lang="en-AU" sz="900" b="1" baseline="0"/>
            <a:t> and ABS</a:t>
          </a:r>
          <a:endParaRPr lang="en-AU" sz="900" b="1"/>
        </a:p>
      </xdr:txBody>
    </xdr:sp>
    <xdr:clientData/>
  </xdr:twoCellAnchor>
  <xdr:twoCellAnchor>
    <xdr:from>
      <xdr:col>4</xdr:col>
      <xdr:colOff>419102</xdr:colOff>
      <xdr:row>5</xdr:row>
      <xdr:rowOff>76199</xdr:rowOff>
    </xdr:from>
    <xdr:to>
      <xdr:col>8</xdr:col>
      <xdr:colOff>542925</xdr:colOff>
      <xdr:row>27</xdr:row>
      <xdr:rowOff>9524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438150</xdr:colOff>
      <xdr:row>25</xdr:row>
      <xdr:rowOff>152400</xdr:rowOff>
    </xdr:from>
    <xdr:to>
      <xdr:col>7</xdr:col>
      <xdr:colOff>334505</xdr:colOff>
      <xdr:row>26</xdr:row>
      <xdr:rowOff>172089</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6562725" y="4724400"/>
          <a:ext cx="4058780"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DMIRS</a:t>
          </a:r>
          <a:r>
            <a:rPr lang="en-AU" sz="900" b="1" baseline="0"/>
            <a:t> and ABS</a:t>
          </a:r>
          <a:endParaRPr lang="en-AU" sz="900" b="1"/>
        </a:p>
      </xdr:txBody>
    </xdr:sp>
    <xdr:clientData/>
  </xdr:twoCellAnchor>
  <xdr:twoCellAnchor>
    <xdr:from>
      <xdr:col>0</xdr:col>
      <xdr:colOff>209550</xdr:colOff>
      <xdr:row>37</xdr:row>
      <xdr:rowOff>76199</xdr:rowOff>
    </xdr:from>
    <xdr:to>
      <xdr:col>4</xdr:col>
      <xdr:colOff>133351</xdr:colOff>
      <xdr:row>59</xdr:row>
      <xdr:rowOff>9524</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161925</xdr:colOff>
      <xdr:row>58</xdr:row>
      <xdr:rowOff>0</xdr:rowOff>
    </xdr:from>
    <xdr:to>
      <xdr:col>1</xdr:col>
      <xdr:colOff>1277480</xdr:colOff>
      <xdr:row>59</xdr:row>
      <xdr:rowOff>19689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1925" y="11268075"/>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4</xdr:col>
      <xdr:colOff>542925</xdr:colOff>
      <xdr:row>37</xdr:row>
      <xdr:rowOff>95250</xdr:rowOff>
    </xdr:from>
    <xdr:to>
      <xdr:col>8</xdr:col>
      <xdr:colOff>628650</xdr:colOff>
      <xdr:row>60</xdr:row>
      <xdr:rowOff>85725</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514350</xdr:colOff>
      <xdr:row>59</xdr:row>
      <xdr:rowOff>57150</xdr:rowOff>
    </xdr:from>
    <xdr:to>
      <xdr:col>6</xdr:col>
      <xdr:colOff>324980</xdr:colOff>
      <xdr:row>60</xdr:row>
      <xdr:rowOff>86364</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7010400" y="11515725"/>
          <a:ext cx="2572880" cy="219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5</xdr:col>
      <xdr:colOff>276225</xdr:colOff>
      <xdr:row>5</xdr:row>
      <xdr:rowOff>104776</xdr:rowOff>
    </xdr:from>
    <xdr:to>
      <xdr:col>8</xdr:col>
      <xdr:colOff>190500</xdr:colOff>
      <xdr:row>10</xdr:row>
      <xdr:rowOff>95250</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7381875" y="1057276"/>
          <a:ext cx="5391150" cy="942974"/>
          <a:chOff x="13868400" y="2152651"/>
          <a:chExt cx="4038600" cy="790575"/>
        </a:xfrm>
      </xdr:grpSpPr>
      <xdr:sp macro="" textlink="$N$2">
        <xdr:nvSpPr>
          <xdr:cNvPr id="13" name="Rectangle 12">
            <a:extLst>
              <a:ext uri="{FF2B5EF4-FFF2-40B4-BE49-F238E27FC236}">
                <a16:creationId xmlns:a16="http://schemas.microsoft.com/office/drawing/2014/main" id="{00000000-0008-0000-0800-00000D000000}"/>
              </a:ext>
            </a:extLst>
          </xdr:cNvPr>
          <xdr:cNvSpPr/>
        </xdr:nvSpPr>
        <xdr:spPr>
          <a:xfrm>
            <a:off x="13868400" y="215265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EF67029-EC94-4939-8E60-65B4690715F8}" type="TxLink">
              <a:rPr lang="en-US" sz="1800" b="1" i="0" u="none" strike="noStrike">
                <a:solidFill>
                  <a:srgbClr val="000000"/>
                </a:solidFill>
                <a:latin typeface="Calibri"/>
              </a:rPr>
              <a:pPr algn="ctr"/>
              <a:t>Western Australian
Mineral And Petroleum Exports 2020-2021</a:t>
            </a:fld>
            <a:endParaRPr lang="en-AU" sz="1800" b="1"/>
          </a:p>
        </xdr:txBody>
      </xdr:sp>
      <xdr:sp macro="" textlink="$O$2">
        <xdr:nvSpPr>
          <xdr:cNvPr id="14" name="Rectangle 13">
            <a:extLst>
              <a:ext uri="{FF2B5EF4-FFF2-40B4-BE49-F238E27FC236}">
                <a16:creationId xmlns:a16="http://schemas.microsoft.com/office/drawing/2014/main" id="{00000000-0008-0000-0800-00000E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4589A59-B2D1-4A82-9E8C-4B15F6EC401E}" type="TxLink">
              <a:rPr lang="en-US" sz="1100" b="1" i="0" u="none" strike="noStrike">
                <a:solidFill>
                  <a:srgbClr val="000000"/>
                </a:solidFill>
                <a:latin typeface="Calibri"/>
              </a:rPr>
              <a:pPr algn="ctr"/>
              <a:t>Total: $208.3 billion</a:t>
            </a:fld>
            <a:endParaRPr lang="en-AU" sz="1100" b="1"/>
          </a:p>
        </xdr:txBody>
      </xdr:sp>
    </xdr:grpSp>
    <xdr:clientData/>
  </xdr:twoCellAnchor>
  <xdr:twoCellAnchor>
    <xdr:from>
      <xdr:col>1</xdr:col>
      <xdr:colOff>714375</xdr:colOff>
      <xdr:row>6</xdr:row>
      <xdr:rowOff>19051</xdr:rowOff>
    </xdr:from>
    <xdr:to>
      <xdr:col>3</xdr:col>
      <xdr:colOff>914400</xdr:colOff>
      <xdr:row>10</xdr:row>
      <xdr:rowOff>104776</xdr:rowOff>
    </xdr:to>
    <xdr:grpSp>
      <xdr:nvGrpSpPr>
        <xdr:cNvPr id="16" name="Group 15">
          <a:extLst>
            <a:ext uri="{FF2B5EF4-FFF2-40B4-BE49-F238E27FC236}">
              <a16:creationId xmlns:a16="http://schemas.microsoft.com/office/drawing/2014/main" id="{00000000-0008-0000-0800-000010000000}"/>
            </a:ext>
          </a:extLst>
        </xdr:cNvPr>
        <xdr:cNvGrpSpPr/>
      </xdr:nvGrpSpPr>
      <xdr:grpSpPr>
        <a:xfrm>
          <a:off x="1323975" y="1162051"/>
          <a:ext cx="4400550" cy="847725"/>
          <a:chOff x="13877925" y="2095501"/>
          <a:chExt cx="4029075" cy="847725"/>
        </a:xfrm>
      </xdr:grpSpPr>
      <xdr:sp macro="" textlink="$N$1">
        <xdr:nvSpPr>
          <xdr:cNvPr id="17" name="Rectangle 16">
            <a:extLst>
              <a:ext uri="{FF2B5EF4-FFF2-40B4-BE49-F238E27FC236}">
                <a16:creationId xmlns:a16="http://schemas.microsoft.com/office/drawing/2014/main" id="{00000000-0008-0000-0800-000011000000}"/>
              </a:ext>
            </a:extLst>
          </xdr:cNvPr>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EEC2C72-E46E-444E-93C4-DAC2C7042BA2}" type="TxLink">
              <a:rPr lang="en-US" sz="1800" b="1" i="0" u="none" strike="noStrike">
                <a:solidFill>
                  <a:srgbClr val="000000"/>
                </a:solidFill>
                <a:latin typeface="Calibri"/>
              </a:rPr>
              <a:pPr algn="ctr"/>
              <a:t>Western Australian Merchandise Exports 2020-2021</a:t>
            </a:fld>
            <a:endParaRPr lang="en-AU" sz="1800" b="1"/>
          </a:p>
        </xdr:txBody>
      </xdr:sp>
      <xdr:sp macro="" textlink="$O$1">
        <xdr:nvSpPr>
          <xdr:cNvPr id="18" name="Rectangle 17">
            <a:extLst>
              <a:ext uri="{FF2B5EF4-FFF2-40B4-BE49-F238E27FC236}">
                <a16:creationId xmlns:a16="http://schemas.microsoft.com/office/drawing/2014/main" id="{00000000-0008-0000-0800-000012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C43950-31E2-4790-B9DC-8E8106DCB0C4}" type="TxLink">
              <a:rPr lang="en-US" sz="1100" b="1" i="0" u="none" strike="noStrike">
                <a:solidFill>
                  <a:srgbClr val="000000"/>
                </a:solidFill>
                <a:latin typeface="Calibri"/>
              </a:rPr>
              <a:pPr algn="ctr"/>
              <a:t>Total: $222.75 billion</a:t>
            </a:fld>
            <a:endParaRPr lang="en-AU" sz="1100" b="1"/>
          </a:p>
        </xdr:txBody>
      </xdr:sp>
    </xdr:grpSp>
    <xdr:clientData/>
  </xdr:twoCellAnchor>
  <xdr:twoCellAnchor>
    <xdr:from>
      <xdr:col>1</xdr:col>
      <xdr:colOff>523874</xdr:colOff>
      <xdr:row>39</xdr:row>
      <xdr:rowOff>38101</xdr:rowOff>
    </xdr:from>
    <xdr:to>
      <xdr:col>3</xdr:col>
      <xdr:colOff>1362074</xdr:colOff>
      <xdr:row>43</xdr:row>
      <xdr:rowOff>161925</xdr:rowOff>
    </xdr:to>
    <xdr:grpSp>
      <xdr:nvGrpSpPr>
        <xdr:cNvPr id="19" name="Group 18">
          <a:extLst>
            <a:ext uri="{FF2B5EF4-FFF2-40B4-BE49-F238E27FC236}">
              <a16:creationId xmlns:a16="http://schemas.microsoft.com/office/drawing/2014/main" id="{00000000-0008-0000-0800-000013000000}"/>
            </a:ext>
          </a:extLst>
        </xdr:cNvPr>
        <xdr:cNvGrpSpPr/>
      </xdr:nvGrpSpPr>
      <xdr:grpSpPr>
        <a:xfrm>
          <a:off x="1133474" y="7686676"/>
          <a:ext cx="5038725" cy="885824"/>
          <a:chOff x="13877925" y="2095501"/>
          <a:chExt cx="4029075" cy="847725"/>
        </a:xfrm>
      </xdr:grpSpPr>
      <xdr:sp macro="" textlink="$N$3">
        <xdr:nvSpPr>
          <xdr:cNvPr id="20" name="Rectangle 19">
            <a:extLst>
              <a:ext uri="{FF2B5EF4-FFF2-40B4-BE49-F238E27FC236}">
                <a16:creationId xmlns:a16="http://schemas.microsoft.com/office/drawing/2014/main" id="{00000000-0008-0000-0800-000014000000}"/>
              </a:ext>
            </a:extLst>
          </xdr:cNvPr>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F9CE88A-DB44-4406-9025-7AE5533D0C23}" type="TxLink">
              <a:rPr lang="en-US" sz="1600" b="1" i="0" u="none" strike="noStrike">
                <a:solidFill>
                  <a:srgbClr val="000000"/>
                </a:solidFill>
                <a:latin typeface="Calibri"/>
              </a:rPr>
              <a:pPr algn="ctr"/>
              <a:t>Western Australian Merchandise Exports 
By Country 2020-2021</a:t>
            </a:fld>
            <a:endParaRPr lang="en-AU" sz="2800" b="1"/>
          </a:p>
        </xdr:txBody>
      </xdr:sp>
      <xdr:sp macro="" textlink="$O$3">
        <xdr:nvSpPr>
          <xdr:cNvPr id="21" name="Rectangle 20">
            <a:extLst>
              <a:ext uri="{FF2B5EF4-FFF2-40B4-BE49-F238E27FC236}">
                <a16:creationId xmlns:a16="http://schemas.microsoft.com/office/drawing/2014/main" id="{00000000-0008-0000-0800-000015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B46FAE4-B198-4905-9EC2-9542DA3BAAE7}" type="TxLink">
              <a:rPr lang="en-US" sz="1100" b="1" i="0" u="none" strike="noStrike">
                <a:solidFill>
                  <a:srgbClr val="000000"/>
                </a:solidFill>
                <a:latin typeface="Calibri"/>
              </a:rPr>
              <a:pPr algn="ctr"/>
              <a:t>Total: $222.75 billion</a:t>
            </a:fld>
            <a:endParaRPr lang="en-AU" sz="1100" b="1"/>
          </a:p>
        </xdr:txBody>
      </xdr:sp>
    </xdr:grpSp>
    <xdr:clientData/>
  </xdr:twoCellAnchor>
  <xdr:twoCellAnchor>
    <xdr:from>
      <xdr:col>5</xdr:col>
      <xdr:colOff>133350</xdr:colOff>
      <xdr:row>38</xdr:row>
      <xdr:rowOff>0</xdr:rowOff>
    </xdr:from>
    <xdr:to>
      <xdr:col>8</xdr:col>
      <xdr:colOff>257175</xdr:colOff>
      <xdr:row>41</xdr:row>
      <xdr:rowOff>57150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7239000" y="7458075"/>
          <a:ext cx="5600700" cy="628650"/>
          <a:chOff x="13868400" y="2095501"/>
          <a:chExt cx="4038599" cy="590550"/>
        </a:xfrm>
      </xdr:grpSpPr>
      <xdr:sp macro="" textlink="$N$4">
        <xdr:nvSpPr>
          <xdr:cNvPr id="23" name="Rectangle 22">
            <a:extLst>
              <a:ext uri="{FF2B5EF4-FFF2-40B4-BE49-F238E27FC236}">
                <a16:creationId xmlns:a16="http://schemas.microsoft.com/office/drawing/2014/main" id="{00000000-0008-0000-0800-000017000000}"/>
              </a:ext>
            </a:extLst>
          </xdr:cNvPr>
          <xdr:cNvSpPr/>
        </xdr:nvSpPr>
        <xdr:spPr>
          <a:xfrm>
            <a:off x="13877924" y="2095501"/>
            <a:ext cx="402907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9FEDD67-8FF5-48A8-BA65-555311BCAE8B}" type="TxLink">
              <a:rPr lang="en-US" sz="1800" b="1" i="0" u="none" strike="noStrike">
                <a:solidFill>
                  <a:srgbClr val="000000"/>
                </a:solidFill>
                <a:latin typeface="Calibri"/>
              </a:rPr>
              <a:pPr algn="ctr"/>
              <a:t>Australian Merchandise Exports 2020-2021</a:t>
            </a:fld>
            <a:endParaRPr lang="en-AU" sz="4400" b="1"/>
          </a:p>
        </xdr:txBody>
      </xdr:sp>
      <xdr:sp macro="" textlink="$O$4">
        <xdr:nvSpPr>
          <xdr:cNvPr id="24" name="Rectangle 23">
            <a:extLst>
              <a:ext uri="{FF2B5EF4-FFF2-40B4-BE49-F238E27FC236}">
                <a16:creationId xmlns:a16="http://schemas.microsoft.com/office/drawing/2014/main" id="{00000000-0008-0000-0800-000018000000}"/>
              </a:ext>
            </a:extLst>
          </xdr:cNvPr>
          <xdr:cNvSpPr/>
        </xdr:nvSpPr>
        <xdr:spPr>
          <a:xfrm>
            <a:off x="13868400" y="2428877"/>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C9D73CA-5FBD-4BB9-993A-07CFB9381A6A}" type="TxLink">
              <a:rPr lang="en-US" sz="1100" b="1" i="0" u="none" strike="noStrike">
                <a:solidFill>
                  <a:srgbClr val="000000"/>
                </a:solidFill>
                <a:latin typeface="Calibri"/>
              </a:rPr>
              <a:pPr algn="ctr"/>
              <a:t>Total: $395.93 billion</a:t>
            </a:fld>
            <a:endParaRPr lang="en-AU" sz="1100" b="1"/>
          </a:p>
        </xdr:txBody>
      </xdr:sp>
    </xdr:grpSp>
    <xdr:clientData/>
  </xdr:twoCellAnchor>
  <xdr:twoCellAnchor editAs="oneCell">
    <xdr:from>
      <xdr:col>0</xdr:col>
      <xdr:colOff>0</xdr:colOff>
      <xdr:row>0</xdr:row>
      <xdr:rowOff>0</xdr:rowOff>
    </xdr:from>
    <xdr:to>
      <xdr:col>2</xdr:col>
      <xdr:colOff>1791320</xdr:colOff>
      <xdr:row>3</xdr:row>
      <xdr:rowOff>181080</xdr:rowOff>
    </xdr:to>
    <xdr:pic>
      <xdr:nvPicPr>
        <xdr:cNvPr id="25" name="Picture 24">
          <a:hlinkClick xmlns:r="http://schemas.openxmlformats.org/officeDocument/2006/relationships" r:id="rId5"/>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75</xdr:row>
          <xdr:rowOff>76200</xdr:rowOff>
        </xdr:from>
        <xdr:to>
          <xdr:col>8</xdr:col>
          <xdr:colOff>0</xdr:colOff>
          <xdr:row>78</xdr:row>
          <xdr:rowOff>133350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800-0000018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xdr:from>
      <xdr:col>1</xdr:col>
      <xdr:colOff>19050</xdr:colOff>
      <xdr:row>31</xdr:row>
      <xdr:rowOff>9525</xdr:rowOff>
    </xdr:from>
    <xdr:to>
      <xdr:col>4</xdr:col>
      <xdr:colOff>9525</xdr:colOff>
      <xdr:row>33</xdr:row>
      <xdr:rowOff>133350</xdr:rowOff>
    </xdr:to>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628650" y="5943600"/>
          <a:ext cx="55054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Mineral and petroleum exports include gold, mineral sands, and nickel refined or processed in WA but produced</a:t>
          </a:r>
          <a:r>
            <a:rPr lang="en-AU" sz="1100" baseline="0"/>
            <a:t> in other State and Territories or overseas.</a:t>
          </a:r>
        </a:p>
      </xdr:txBody>
    </xdr:sp>
    <xdr:clientData/>
  </xdr:twoCellAnchor>
  <xdr:twoCellAnchor>
    <xdr:from>
      <xdr:col>5</xdr:col>
      <xdr:colOff>19050</xdr:colOff>
      <xdr:row>79</xdr:row>
      <xdr:rowOff>19050</xdr:rowOff>
    </xdr:from>
    <xdr:to>
      <xdr:col>8</xdr:col>
      <xdr:colOff>38100</xdr:colOff>
      <xdr:row>81</xdr:row>
      <xdr:rowOff>142875</xdr:rowOff>
    </xdr:to>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7124700" y="15506700"/>
          <a:ext cx="5324475"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"Total Other" refers to exports where state of origin is not identified by the ABS or where merchandise is re-exported</a:t>
          </a:r>
          <a:endParaRPr lang="en-AU" sz="1100" baseline="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38101</xdr:colOff>
      <xdr:row>5</xdr:row>
      <xdr:rowOff>171450</xdr:rowOff>
    </xdr:from>
    <xdr:to>
      <xdr:col>16</xdr:col>
      <xdr:colOff>57151</xdr:colOff>
      <xdr:row>25</xdr:row>
      <xdr:rowOff>123826</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1</xdr:col>
      <xdr:colOff>571500</xdr:colOff>
      <xdr:row>27</xdr:row>
      <xdr:rowOff>114301</xdr:rowOff>
    </xdr:from>
    <xdr:to>
      <xdr:col>5</xdr:col>
      <xdr:colOff>619125</xdr:colOff>
      <xdr:row>33</xdr:row>
      <xdr:rowOff>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181100" y="5524501"/>
          <a:ext cx="4352925" cy="10287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WA does not include ilmenite feedstock used in the production of synthetic rutile. </a:t>
          </a:r>
          <a:r>
            <a:rPr lang="en-AU" sz="1100" baseline="0">
              <a:solidFill>
                <a:schemeClr val="dk1"/>
              </a:solidFill>
              <a:effectLst/>
              <a:latin typeface="+mn-lt"/>
              <a:ea typeface="+mn-ea"/>
              <a:cs typeface="+mn-cs"/>
            </a:rPr>
            <a:t>Synthetic rutile production in WA is also not included in r</a:t>
          </a:r>
          <a:r>
            <a:rPr lang="en-AU" sz="1100" baseline="0"/>
            <a:t>utile figures.</a:t>
          </a:r>
        </a:p>
        <a:p>
          <a:endParaRPr lang="en-AU" sz="1100" baseline="0"/>
        </a:p>
        <a:p>
          <a:r>
            <a:rPr lang="en-AU" sz="1100" baseline="0"/>
            <a:t>All production shares and rankings are for 2020.</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DMIRS</a:t>
          </a:r>
          <a:r>
            <a:rPr lang="en-AU" sz="900" b="1" baseline="0"/>
            <a:t>, EnergyQuest, </a:t>
          </a:r>
          <a:r>
            <a:rPr lang="en-AU" sz="900" b="1" baseline="0">
              <a:solidFill>
                <a:schemeClr val="dk1"/>
              </a:solidFill>
              <a:effectLst/>
              <a:latin typeface="+mn-lt"/>
              <a:ea typeface="+mn-ea"/>
              <a:cs typeface="+mn-cs"/>
            </a:rPr>
            <a:t>OoCE, </a:t>
          </a:r>
          <a:r>
            <a:rPr lang="en-AU" sz="900" b="1" baseline="0"/>
            <a:t>USGS, BP</a:t>
          </a:r>
          <a:endParaRPr lang="en-AU" sz="900" b="1"/>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247650</xdr:colOff>
      <xdr:row>18</xdr:row>
      <xdr:rowOff>152400</xdr:rowOff>
    </xdr:from>
    <xdr:to>
      <xdr:col>12</xdr:col>
      <xdr:colOff>1117600</xdr:colOff>
      <xdr:row>37</xdr:row>
      <xdr:rowOff>66676</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18</xdr:row>
      <xdr:rowOff>161925</xdr:rowOff>
    </xdr:from>
    <xdr:to>
      <xdr:col>19</xdr:col>
      <xdr:colOff>47625</xdr:colOff>
      <xdr:row>37</xdr:row>
      <xdr:rowOff>76200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286370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7</xdr:col>
      <xdr:colOff>228600</xdr:colOff>
      <xdr:row>37</xdr:row>
      <xdr:rowOff>133350</xdr:rowOff>
    </xdr:from>
    <xdr:to>
      <xdr:col>12</xdr:col>
      <xdr:colOff>1123950</xdr:colOff>
      <xdr:row>43</xdr:row>
      <xdr:rowOff>123825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5534025" y="7772400"/>
          <a:ext cx="5248275" cy="11430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mining investment figures reported by the ABS do not capture all mining investment.  Mining is broadly defined by the ABS as the extraction of minerals occurring naturally as solids such as coal and ores, and liquids such as crude petroleum and natural gas.  Downstream mining activities such as smelting of minerals or ores (other than preliminary smelting of gold) or refining</a:t>
          </a:r>
          <a:r>
            <a:rPr lang="en-AU" sz="1100">
              <a:solidFill>
                <a:schemeClr val="dk1"/>
              </a:solidFill>
              <a:effectLst/>
              <a:latin typeface="+mn-lt"/>
              <a:ea typeface="+mn-ea"/>
              <a:cs typeface="+mn-cs"/>
            </a:rPr>
            <a:t>, and LNG production, </a:t>
          </a:r>
          <a:r>
            <a:rPr lang="en-AU" sz="1100"/>
            <a:t>are classified as manufacturing activities.</a:t>
          </a:r>
          <a:endParaRPr lang="en-AU" sz="1100" baseline="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333375</xdr:colOff>
      <xdr:row>19</xdr:row>
      <xdr:rowOff>85725</xdr:rowOff>
    </xdr:from>
    <xdr:to>
      <xdr:col>13</xdr:col>
      <xdr:colOff>1266825</xdr:colOff>
      <xdr:row>39</xdr:row>
      <xdr:rowOff>76200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xdr:colOff>
      <xdr:row>19</xdr:row>
      <xdr:rowOff>76200</xdr:rowOff>
    </xdr:from>
    <xdr:to>
      <xdr:col>20</xdr:col>
      <xdr:colOff>1219201</xdr:colOff>
      <xdr:row>39</xdr:row>
      <xdr:rowOff>66676</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76820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xdr:col>
      <xdr:colOff>866774</xdr:colOff>
      <xdr:row>92</xdr:row>
      <xdr:rowOff>123826</xdr:rowOff>
    </xdr:from>
    <xdr:to>
      <xdr:col>5</xdr:col>
      <xdr:colOff>1209675</xdr:colOff>
      <xdr:row>95</xdr:row>
      <xdr:rowOff>180975</xdr:rowOff>
    </xdr:to>
    <xdr:sp macro="" textlink="">
      <xdr:nvSpPr>
        <xdr:cNvPr id="6" name="TextBox 5">
          <a:extLst>
            <a:ext uri="{FF2B5EF4-FFF2-40B4-BE49-F238E27FC236}">
              <a16:creationId xmlns:a16="http://schemas.microsoft.com/office/drawing/2014/main" id="{00000000-0008-0000-0900-000005000000}"/>
            </a:ext>
          </a:extLst>
        </xdr:cNvPr>
        <xdr:cNvSpPr txBox="1"/>
      </xdr:nvSpPr>
      <xdr:spPr>
        <a:xfrm>
          <a:off x="866774" y="17859376"/>
          <a:ext cx="4705351" cy="62864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The ABS made changes to its capital expenditure data </a:t>
          </a:r>
          <a:r>
            <a:rPr lang="en-AU" sz="1100" baseline="0">
              <a:solidFill>
                <a:schemeClr val="dk1"/>
              </a:solidFill>
              <a:effectLst/>
              <a:latin typeface="+mn-lt"/>
              <a:ea typeface="+mn-ea"/>
              <a:cs typeface="+mn-cs"/>
            </a:rPr>
            <a:t>in December 2020 </a:t>
          </a:r>
          <a:r>
            <a:rPr lang="en-AU" sz="1100" baseline="0"/>
            <a:t>to capture the Education and Training and Health Care and Social Assistance industries. All figures reported here have been updated to reflect this change.</a:t>
          </a:r>
          <a:endParaRPr lang="en-AU" sz="1100" u="sng">
            <a:solidFill>
              <a:schemeClr val="dk1"/>
            </a:solidFill>
            <a:effectLst/>
            <a:latin typeface="+mn-lt"/>
            <a:ea typeface="+mn-ea"/>
            <a:cs typeface="+mn-cs"/>
          </a:endParaRPr>
        </a:p>
        <a:p>
          <a:endParaRPr lang="en-AU" sz="1100" u="sng">
            <a:solidFill>
              <a:schemeClr val="dk1"/>
            </a:solidFill>
            <a:effectLst/>
            <a:latin typeface="+mn-lt"/>
            <a:ea typeface="+mn-ea"/>
            <a:cs typeface="+mn-cs"/>
          </a:endParaRPr>
        </a:p>
        <a:p>
          <a:endParaRPr lang="en-AU" sz="1100" baseline="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523874</xdr:colOff>
      <xdr:row>18</xdr:row>
      <xdr:rowOff>76199</xdr:rowOff>
    </xdr:from>
    <xdr:to>
      <xdr:col>12</xdr:col>
      <xdr:colOff>66674</xdr:colOff>
      <xdr:row>37</xdr:row>
      <xdr:rowOff>47624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18</xdr:row>
      <xdr:rowOff>66675</xdr:rowOff>
    </xdr:from>
    <xdr:to>
      <xdr:col>18</xdr:col>
      <xdr:colOff>9525</xdr:colOff>
      <xdr:row>37</xdr:row>
      <xdr:rowOff>47625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39</xdr:row>
      <xdr:rowOff>19050</xdr:rowOff>
    </xdr:from>
    <xdr:to>
      <xdr:col>18</xdr:col>
      <xdr:colOff>247650</xdr:colOff>
      <xdr:row>64</xdr:row>
      <xdr:rowOff>76200</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4810125" y="8029575"/>
          <a:ext cx="10953750" cy="4819650"/>
          <a:chOff x="20153778" y="13916025"/>
          <a:chExt cx="11163302" cy="4287371"/>
        </a:xfrm>
      </xdr:grpSpPr>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a:extLst>
              <a:ext uri="{FF2B5EF4-FFF2-40B4-BE49-F238E27FC236}">
                <a16:creationId xmlns:a16="http://schemas.microsoft.com/office/drawing/2014/main" id="{00000000-0008-0000-0C00-000007000000}"/>
              </a:ext>
            </a:extLst>
          </xdr:cNvPr>
          <xdr:cNvGrpSpPr/>
        </xdr:nvGrpSpPr>
        <xdr:grpSpPr>
          <a:xfrm>
            <a:off x="20154900" y="17992726"/>
            <a:ext cx="7350587" cy="200162"/>
            <a:chOff x="20154900" y="17992726"/>
            <a:chExt cx="7350587" cy="200162"/>
          </a:xfrm>
        </xdr:grpSpPr>
        <xdr:sp macro="" textlink="">
          <xdr:nvSpPr>
            <xdr:cNvPr id="8" name="Rectangle 7">
              <a:extLst>
                <a:ext uri="{FF2B5EF4-FFF2-40B4-BE49-F238E27FC236}">
                  <a16:creationId xmlns:a16="http://schemas.microsoft.com/office/drawing/2014/main" id="{00000000-0008-0000-0C00-000008000000}"/>
                </a:ext>
              </a:extLst>
            </xdr:cNvPr>
            <xdr:cNvSpPr/>
          </xdr:nvSpPr>
          <xdr:spPr>
            <a:xfrm>
              <a:off x="23911079" y="18040226"/>
              <a:ext cx="3594408" cy="1526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a:t>
              </a:r>
              <a:r>
                <a:rPr lang="en-AU" sz="600" i="1" baseline="0">
                  <a:solidFill>
                    <a:schemeClr val="bg1">
                      <a:lumMod val="50000"/>
                    </a:schemeClr>
                  </a:solidFill>
                </a:rPr>
                <a:t> additional </a:t>
              </a:r>
              <a:r>
                <a:rPr lang="en-AU" sz="600" i="1">
                  <a:solidFill>
                    <a:schemeClr val="bg1">
                      <a:lumMod val="50000"/>
                    </a:schemeClr>
                  </a:solidFill>
                </a:rPr>
                <a:t>exploration was triggered</a:t>
              </a:r>
            </a:p>
          </xdr:txBody>
        </xdr:sp>
        <xdr:sp macro="" textlink="">
          <xdr:nvSpPr>
            <xdr:cNvPr id="9" name="Rectangle 8">
              <a:extLst>
                <a:ext uri="{FF2B5EF4-FFF2-40B4-BE49-F238E27FC236}">
                  <a16:creationId xmlns:a16="http://schemas.microsoft.com/office/drawing/2014/main" id="{00000000-0008-0000-0C00-000009000000}"/>
                </a:ext>
              </a:extLst>
            </xdr:cNvPr>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6</xdr:col>
      <xdr:colOff>124445</xdr:colOff>
      <xdr:row>3</xdr:row>
      <xdr:rowOff>181080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42182</xdr:colOff>
      <xdr:row>0</xdr:row>
      <xdr:rowOff>0</xdr:rowOff>
    </xdr:from>
    <xdr:to>
      <xdr:col>2</xdr:col>
      <xdr:colOff>841541</xdr:colOff>
      <xdr:row>3</xdr:row>
      <xdr:rowOff>152505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42182" y="0"/>
          <a:ext cx="4418859" cy="752580"/>
        </a:xfrm>
        <a:prstGeom prst="rect">
          <a:avLst/>
        </a:prstGeom>
      </xdr:spPr>
    </xdr:pic>
    <xdr:clientData/>
  </xdr:twoCellAnchor>
  <xdr:twoCellAnchor>
    <xdr:from>
      <xdr:col>13</xdr:col>
      <xdr:colOff>14968</xdr:colOff>
      <xdr:row>23</xdr:row>
      <xdr:rowOff>119743</xdr:rowOff>
    </xdr:from>
    <xdr:to>
      <xdr:col>20</xdr:col>
      <xdr:colOff>374196</xdr:colOff>
      <xdr:row>39</xdr:row>
      <xdr:rowOff>85725</xdr:rowOff>
    </xdr:to>
    <xdr:graphicFrame macro="">
      <xdr:nvGraphicFramePr>
        <xdr:cNvPr id="3" name="Chart 2">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19050</xdr:colOff>
      <xdr:row>8</xdr:row>
      <xdr:rowOff>9525</xdr:rowOff>
    </xdr:from>
    <xdr:to>
      <xdr:col>20</xdr:col>
      <xdr:colOff>326571</xdr:colOff>
      <xdr:row>22</xdr:row>
      <xdr:rowOff>114300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14968</xdr:colOff>
      <xdr:row>8</xdr:row>
      <xdr:rowOff>19051</xdr:rowOff>
    </xdr:from>
    <xdr:to>
      <xdr:col>28</xdr:col>
      <xdr:colOff>281668</xdr:colOff>
      <xdr:row>22</xdr:row>
      <xdr:rowOff>152401</xdr:rowOff>
    </xdr:to>
    <xdr:graphicFrame macro="">
      <xdr:nvGraphicFramePr>
        <xdr:cNvPr id="5" name="Chart 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47625</xdr:colOff>
      <xdr:row>23</xdr:row>
      <xdr:rowOff>129267</xdr:rowOff>
    </xdr:from>
    <xdr:to>
      <xdr:col>28</xdr:col>
      <xdr:colOff>266701</xdr:colOff>
      <xdr:row>39</xdr:row>
      <xdr:rowOff>104775</xdr:rowOff>
    </xdr:to>
    <xdr:graphicFrame macro="">
      <xdr:nvGraphicFramePr>
        <xdr:cNvPr id="6" name="Chart 5">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266699</xdr:colOff>
      <xdr:row>13</xdr:row>
      <xdr:rowOff>133350</xdr:rowOff>
    </xdr:from>
    <xdr:to>
      <xdr:col>17</xdr:col>
      <xdr:colOff>190500</xdr:colOff>
      <xdr:row>14</xdr:row>
      <xdr:rowOff>114301</xdr:rowOff>
    </xdr:to>
    <xdr:sp macro="" textlink=" 'Min. Expl. By Commodity'!F12">
      <xdr:nvSpPr>
        <xdr:cNvPr id="8" name="TextBox 7">
          <a:extLst>
            <a:ext uri="{FF2B5EF4-FFF2-40B4-BE49-F238E27FC236}">
              <a16:creationId xmlns:a16="http://schemas.microsoft.com/office/drawing/2014/main" id="{00000000-0008-0000-0D00-000009000000}"/>
            </a:ext>
          </a:extLst>
        </xdr:cNvPr>
        <xdr:cNvSpPr txBox="1"/>
      </xdr:nvSpPr>
      <xdr:spPr>
        <a:xfrm>
          <a:off x="14335124" y="2867025"/>
          <a:ext cx="533401"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2796DF3-39A2-4E57-9929-CA8FE5FFA1A5}" type="TxLink">
            <a:rPr lang="en-US" sz="1100" b="1" i="0" u="none" strike="noStrike">
              <a:solidFill>
                <a:srgbClr val="000000"/>
              </a:solidFill>
              <a:latin typeface="Calibri"/>
              <a:cs typeface="Calibri"/>
            </a:rPr>
            <a:pPr algn="ctr"/>
            <a:t>473</a:t>
          </a:fld>
          <a:endParaRPr lang="en-AU" sz="1000" b="1">
            <a:solidFill>
              <a:schemeClr val="tx1"/>
            </a:solidFill>
            <a:latin typeface="Calibri (Body)"/>
          </a:endParaRPr>
        </a:p>
      </xdr:txBody>
    </xdr:sp>
    <xdr:clientData/>
  </xdr:twoCellAnchor>
  <xdr:twoCellAnchor>
    <xdr:from>
      <xdr:col>16</xdr:col>
      <xdr:colOff>190500</xdr:colOff>
      <xdr:row>13</xdr:row>
      <xdr:rowOff>133350</xdr:rowOff>
    </xdr:from>
    <xdr:to>
      <xdr:col>16</xdr:col>
      <xdr:colOff>428625</xdr:colOff>
      <xdr:row>14</xdr:row>
      <xdr:rowOff>152400</xdr:rowOff>
    </xdr:to>
    <xdr:sp macro="" textlink="">
      <xdr:nvSpPr>
        <xdr:cNvPr id="10" name="TextBox 9"/>
        <xdr:cNvSpPr txBox="1"/>
      </xdr:nvSpPr>
      <xdr:spPr>
        <a:xfrm>
          <a:off x="14258925" y="2867025"/>
          <a:ext cx="238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a:t>
          </a:r>
        </a:p>
      </xdr:txBody>
    </xdr:sp>
    <xdr:clientData/>
  </xdr:twoCellAnchor>
  <xdr:twoCellAnchor>
    <xdr:from>
      <xdr:col>16</xdr:col>
      <xdr:colOff>190500</xdr:colOff>
      <xdr:row>14</xdr:row>
      <xdr:rowOff>114300</xdr:rowOff>
    </xdr:from>
    <xdr:to>
      <xdr:col>17</xdr:col>
      <xdr:colOff>342900</xdr:colOff>
      <xdr:row>15</xdr:row>
      <xdr:rowOff>161925</xdr:rowOff>
    </xdr:to>
    <xdr:sp macro="" textlink="">
      <xdr:nvSpPr>
        <xdr:cNvPr id="12" name="TextBox 11"/>
        <xdr:cNvSpPr txBox="1"/>
      </xdr:nvSpPr>
      <xdr:spPr>
        <a:xfrm>
          <a:off x="14258925" y="3057525"/>
          <a:ext cx="762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Million</a:t>
          </a:r>
        </a:p>
      </xdr:txBody>
    </xdr:sp>
    <xdr:clientData/>
  </xdr:twoCellAnchor>
  <xdr:twoCellAnchor editAs="oneCell">
    <xdr:from>
      <xdr:col>2</xdr:col>
      <xdr:colOff>38100</xdr:colOff>
      <xdr:row>15</xdr:row>
      <xdr:rowOff>228600</xdr:rowOff>
    </xdr:from>
    <xdr:to>
      <xdr:col>12</xdr:col>
      <xdr:colOff>41455</xdr:colOff>
      <xdr:row>45</xdr:row>
      <xdr:rowOff>149487</xdr:rowOff>
    </xdr:to>
    <xdr:pic>
      <xdr:nvPicPr>
        <xdr:cNvPr id="13" name="Picture 12"/>
        <xdr:cNvPicPr>
          <a:picLocks noChangeAspect="1"/>
        </xdr:cNvPicPr>
      </xdr:nvPicPr>
      <xdr:blipFill>
        <a:blip xmlns:r="http://schemas.openxmlformats.org/officeDocument/2006/relationships" r:embed="rId7"/>
        <a:stretch>
          <a:fillRect/>
        </a:stretch>
      </xdr:blipFill>
      <xdr:spPr>
        <a:xfrm>
          <a:off x="3657600" y="4048125"/>
          <a:ext cx="7937680" cy="5950212"/>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0.45157</cdr:x>
      <cdr:y>0.43085</cdr:y>
    </cdr:from>
    <cdr:to>
      <cdr:x>0.56686</cdr:x>
      <cdr:y>0.49465</cdr:y>
    </cdr:to>
    <cdr:sp macro="" textlink="'Min. Expl. By Commodity'!$D$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89149" y="1298575"/>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3B1D0A0-BBB4-488C-869E-B10E621EFF9D}" type="TxLink">
            <a:rPr lang="en-US" sz="1100" b="1" i="0" u="none" strike="noStrike">
              <a:solidFill>
                <a:srgbClr val="000000"/>
              </a:solidFill>
              <a:latin typeface="Calibri"/>
              <a:cs typeface="Calibri"/>
            </a:rPr>
            <a:pPr algn="ctr"/>
            <a:t>210</a:t>
          </a:fld>
          <a:endParaRPr lang="en-AU" sz="1000" b="1">
            <a:solidFill>
              <a:schemeClr val="tx1"/>
            </a:solidFill>
            <a:latin typeface="Calibri (Body)"/>
          </a:endParaRPr>
        </a:p>
      </cdr:txBody>
    </cdr:sp>
  </cdr:relSizeAnchor>
  <cdr:relSizeAnchor xmlns:cdr="http://schemas.openxmlformats.org/drawingml/2006/chartDrawing">
    <cdr:from>
      <cdr:x>0.4351</cdr:x>
      <cdr:y>0.43085</cdr:y>
    </cdr:from>
    <cdr:to>
      <cdr:x>0.51333</cdr:x>
      <cdr:y>0.50741</cdr:y>
    </cdr:to>
    <cdr:sp macro="" textlink="">
      <cdr:nvSpPr>
        <cdr:cNvPr id="3" name="TextBox 9"/>
        <cdr:cNvSpPr txBox="1"/>
      </cdr:nvSpPr>
      <cdr:spPr>
        <a:xfrm xmlns:a="http://schemas.openxmlformats.org/drawingml/2006/main">
          <a:off x="2012950" y="12985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cdr:x>
      <cdr:y>0.49465</cdr:y>
    </cdr:from>
    <cdr:to>
      <cdr:x>0.5998</cdr:x>
      <cdr:y>0.5776</cdr:y>
    </cdr:to>
    <cdr:sp macro="" textlink="">
      <cdr:nvSpPr>
        <cdr:cNvPr id="4" name="TextBox 11"/>
        <cdr:cNvSpPr txBox="1"/>
      </cdr:nvSpPr>
      <cdr:spPr>
        <a:xfrm xmlns:a="http://schemas.openxmlformats.org/drawingml/2006/main">
          <a:off x="2012950" y="14908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dr:relSizeAnchor xmlns:cdr="http://schemas.openxmlformats.org/drawingml/2006/chartDrawing">
    <cdr:from>
      <cdr:x>0.00275</cdr:x>
      <cdr:y>0.91787</cdr:y>
    </cdr:from>
    <cdr:to>
      <cdr:x>0.27862</cdr:x>
      <cdr:y>1</cdr:y>
    </cdr:to>
    <cdr:sp macro="" textlink="">
      <cdr:nvSpPr>
        <cdr:cNvPr id="5" name="TextBox 29"/>
        <cdr:cNvSpPr txBox="1"/>
      </cdr:nvSpPr>
      <cdr:spPr>
        <a:xfrm xmlns:a="http://schemas.openxmlformats.org/drawingml/2006/main">
          <a:off x="12700" y="2766439"/>
          <a:ext cx="1276307" cy="247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19.xml><?xml version="1.0" encoding="utf-8"?>
<c:userShapes xmlns:c="http://schemas.openxmlformats.org/drawingml/2006/chart">
  <cdr:relSizeAnchor xmlns:cdr="http://schemas.openxmlformats.org/drawingml/2006/chartDrawing">
    <cdr:from>
      <cdr:x>0.00486</cdr:x>
      <cdr:y>0.91754</cdr:y>
    </cdr:from>
    <cdr:to>
      <cdr:x>0.28611</cdr:x>
      <cdr:y>0.99768</cdr:y>
    </cdr:to>
    <cdr:sp macro="" textlink="">
      <cdr:nvSpPr>
        <cdr:cNvPr id="2" name="TextBox 29"/>
        <cdr:cNvSpPr txBox="1"/>
      </cdr:nvSpPr>
      <cdr:spPr>
        <a:xfrm xmlns:a="http://schemas.openxmlformats.org/drawingml/2006/main">
          <a:off x="22225" y="2508250"/>
          <a:ext cx="1285875"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27</xdr:row>
          <xdr:rowOff>28575</xdr:rowOff>
        </xdr:from>
        <xdr:to>
          <xdr:col>0</xdr:col>
          <xdr:colOff>5629275</xdr:colOff>
          <xdr:row>57</xdr:row>
          <xdr:rowOff>9525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100-000001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5800725</xdr:colOff>
          <xdr:row>27</xdr:row>
          <xdr:rowOff>38100</xdr:rowOff>
        </xdr:from>
        <xdr:to>
          <xdr:col>0</xdr:col>
          <xdr:colOff>11363325</xdr:colOff>
          <xdr:row>45</xdr:row>
          <xdr:rowOff>114300</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100-000002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0.44818</cdr:x>
      <cdr:y>0.42932</cdr:y>
    </cdr:from>
    <cdr:to>
      <cdr:x>0.56583</cdr:x>
      <cdr:y>0.49242</cdr:y>
    </cdr:to>
    <cdr:sp macro="" textlink="'Min. Expl. By Commodity'!$B$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31999" y="1308581"/>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EB3A4-40F1-406B-9A52-6734079C1649}" type="TxLink">
            <a:rPr lang="en-US" sz="1100" b="1" i="0" u="none" strike="noStrike">
              <a:solidFill>
                <a:srgbClr val="000000"/>
              </a:solidFill>
              <a:latin typeface="Calibri"/>
              <a:cs typeface="Calibri"/>
            </a:rPr>
            <a:pPr algn="ctr"/>
            <a:t>377</a:t>
          </a:fld>
          <a:endParaRPr lang="en-AU" sz="1000" b="1">
            <a:solidFill>
              <a:schemeClr val="tx1"/>
            </a:solidFill>
            <a:latin typeface="Calibri (Body)"/>
          </a:endParaRPr>
        </a:p>
      </cdr:txBody>
    </cdr:sp>
  </cdr:relSizeAnchor>
  <cdr:relSizeAnchor xmlns:cdr="http://schemas.openxmlformats.org/drawingml/2006/chartDrawing">
    <cdr:from>
      <cdr:x>0.43137</cdr:x>
      <cdr:y>0.42932</cdr:y>
    </cdr:from>
    <cdr:to>
      <cdr:x>0.5112</cdr:x>
      <cdr:y>0.50503</cdr:y>
    </cdr:to>
    <cdr:sp macro="" textlink="">
      <cdr:nvSpPr>
        <cdr:cNvPr id="3" name="TextBox 9"/>
        <cdr:cNvSpPr txBox="1"/>
      </cdr:nvSpPr>
      <cdr:spPr>
        <a:xfrm xmlns:a="http://schemas.openxmlformats.org/drawingml/2006/main">
          <a:off x="1955800" y="1308581"/>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0.43137</cdr:x>
      <cdr:y>0.49242</cdr:y>
    </cdr:from>
    <cdr:to>
      <cdr:x>0.59944</cdr:x>
      <cdr:y>0.57443</cdr:y>
    </cdr:to>
    <cdr:sp macro="" textlink="">
      <cdr:nvSpPr>
        <cdr:cNvPr id="4" name="TextBox 11"/>
        <cdr:cNvSpPr txBox="1"/>
      </cdr:nvSpPr>
      <cdr:spPr>
        <a:xfrm xmlns:a="http://schemas.openxmlformats.org/drawingml/2006/main">
          <a:off x="1955800" y="1500884"/>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0.92014</cdr:y>
    </cdr:from>
    <cdr:to>
      <cdr:x>0.28125</cdr:x>
      <cdr:y>1</cdr:y>
    </cdr:to>
    <cdr:sp macro="" textlink="">
      <cdr:nvSpPr>
        <cdr:cNvPr id="2" name="TextBox 29"/>
        <cdr:cNvSpPr txBox="1"/>
      </cdr:nvSpPr>
      <cdr:spPr>
        <a:xfrm xmlns:a="http://schemas.openxmlformats.org/drawingml/2006/main">
          <a:off x="0" y="2629297"/>
          <a:ext cx="1293912" cy="2282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dr:relSizeAnchor xmlns:cdr="http://schemas.openxmlformats.org/drawingml/2006/chartDrawing">
    <cdr:from>
      <cdr:x>0.44358</cdr:x>
      <cdr:y>0.43123</cdr:y>
    </cdr:from>
    <cdr:to>
      <cdr:x>0.57181</cdr:x>
      <cdr:y>0.4899</cdr:y>
    </cdr:to>
    <cdr:sp macro="" textlink="'Min. Expl. By Commodity'!$E$12">
      <cdr:nvSpPr>
        <cdr:cNvPr id="3"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12949" y="1336675"/>
          <a:ext cx="581932" cy="1818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77A00B3-4512-4275-B357-254A43BA1888}" type="TxLink">
            <a:rPr lang="en-US" sz="1100" b="1" i="0" u="none" strike="noStrike">
              <a:solidFill>
                <a:srgbClr val="000000"/>
              </a:solidFill>
              <a:latin typeface="Calibri"/>
              <a:cs typeface="Calibri"/>
            </a:rPr>
            <a:pPr algn="ctr"/>
            <a:t>1,530</a:t>
          </a:fld>
          <a:endParaRPr lang="en-AU" sz="1000" b="1">
            <a:solidFill>
              <a:schemeClr val="tx1"/>
            </a:solidFill>
            <a:latin typeface="Calibri (Body)"/>
          </a:endParaRPr>
        </a:p>
      </cdr:txBody>
    </cdr:sp>
  </cdr:relSizeAnchor>
  <cdr:relSizeAnchor xmlns:cdr="http://schemas.openxmlformats.org/drawingml/2006/chartDrawing">
    <cdr:from>
      <cdr:x>0.42679</cdr:x>
      <cdr:y>0.43123</cdr:y>
    </cdr:from>
    <cdr:to>
      <cdr:x>0.50655</cdr:x>
      <cdr:y>0.50567</cdr:y>
    </cdr:to>
    <cdr:sp macro="" textlink="">
      <cdr:nvSpPr>
        <cdr:cNvPr id="4" name="TextBox 9"/>
        <cdr:cNvSpPr txBox="1"/>
      </cdr:nvSpPr>
      <cdr:spPr>
        <a:xfrm xmlns:a="http://schemas.openxmlformats.org/drawingml/2006/main">
          <a:off x="1936750" y="13366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0.43518</cdr:x>
      <cdr:y>0.49327</cdr:y>
    </cdr:from>
    <cdr:to>
      <cdr:x>0.6031</cdr:x>
      <cdr:y>0.57392</cdr:y>
    </cdr:to>
    <cdr:sp macro="" textlink="">
      <cdr:nvSpPr>
        <cdr:cNvPr id="5" name="TextBox 11"/>
        <cdr:cNvSpPr txBox="1"/>
      </cdr:nvSpPr>
      <cdr:spPr>
        <a:xfrm xmlns:a="http://schemas.openxmlformats.org/drawingml/2006/main">
          <a:off x="1974850" y="15289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180973</xdr:colOff>
      <xdr:row>19</xdr:row>
      <xdr:rowOff>171449</xdr:rowOff>
    </xdr:from>
    <xdr:to>
      <xdr:col>21</xdr:col>
      <xdr:colOff>914400</xdr:colOff>
      <xdr:row>46</xdr:row>
      <xdr:rowOff>66675</xdr:rowOff>
    </xdr:to>
    <xdr:graphicFrame macro="">
      <xdr:nvGraphicFramePr>
        <xdr:cNvPr id="2" name="Chart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180973</xdr:colOff>
      <xdr:row>19</xdr:row>
      <xdr:rowOff>187778</xdr:rowOff>
    </xdr:from>
    <xdr:to>
      <xdr:col>32</xdr:col>
      <xdr:colOff>933450</xdr:colOff>
      <xdr:row>46</xdr:row>
      <xdr:rowOff>95250</xdr:rowOff>
    </xdr:to>
    <xdr:graphicFrame macro="">
      <xdr:nvGraphicFramePr>
        <xdr:cNvPr id="3"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788587</xdr:colOff>
      <xdr:row>3</xdr:row>
      <xdr:rowOff>181080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6349</xdr:colOff>
      <xdr:row>7</xdr:row>
      <xdr:rowOff>28575</xdr:rowOff>
    </xdr:from>
    <xdr:to>
      <xdr:col>17</xdr:col>
      <xdr:colOff>504825</xdr:colOff>
      <xdr:row>34</xdr:row>
      <xdr:rowOff>171450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95870</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276224</xdr:colOff>
      <xdr:row>18</xdr:row>
      <xdr:rowOff>19048</xdr:rowOff>
    </xdr:from>
    <xdr:to>
      <xdr:col>11</xdr:col>
      <xdr:colOff>1285875</xdr:colOff>
      <xdr:row>37</xdr:row>
      <xdr:rowOff>38099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171450</xdr:colOff>
      <xdr:row>18</xdr:row>
      <xdr:rowOff>28574</xdr:rowOff>
    </xdr:from>
    <xdr:to>
      <xdr:col>18</xdr:col>
      <xdr:colOff>9525</xdr:colOff>
      <xdr:row>37</xdr:row>
      <xdr:rowOff>66675</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38720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276226</xdr:colOff>
      <xdr:row>40</xdr:row>
      <xdr:rowOff>47625</xdr:rowOff>
    </xdr:from>
    <xdr:to>
      <xdr:col>11</xdr:col>
      <xdr:colOff>1295401</xdr:colOff>
      <xdr:row>42</xdr:row>
      <xdr:rowOff>133350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4676776" y="8267700"/>
          <a:ext cx="5295900" cy="4667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Where cells are blank, state based data is not made available by the ABS, but is included in Australian totals, unless otherwise indicated</a:t>
          </a:r>
          <a:endParaRPr lang="en-AU" sz="1100" baseline="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1053132</xdr:colOff>
      <xdr:row>3</xdr:row>
      <xdr:rowOff>123930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13</xdr:col>
      <xdr:colOff>68635</xdr:colOff>
      <xdr:row>227</xdr:row>
      <xdr:rowOff>1361</xdr:rowOff>
    </xdr:from>
    <xdr:to>
      <xdr:col>18</xdr:col>
      <xdr:colOff>122176</xdr:colOff>
      <xdr:row>252</xdr:row>
      <xdr:rowOff>47625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67236</xdr:colOff>
      <xdr:row>197</xdr:row>
      <xdr:rowOff>122465</xdr:rowOff>
    </xdr:from>
    <xdr:to>
      <xdr:col>18</xdr:col>
      <xdr:colOff>1469573</xdr:colOff>
      <xdr:row>222</xdr:row>
      <xdr:rowOff>149678</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257734</xdr:colOff>
      <xdr:row>197</xdr:row>
      <xdr:rowOff>86444</xdr:rowOff>
    </xdr:from>
    <xdr:to>
      <xdr:col>27</xdr:col>
      <xdr:colOff>991721</xdr:colOff>
      <xdr:row>222</xdr:row>
      <xdr:rowOff>113657</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32215</xdr:colOff>
      <xdr:row>49</xdr:row>
      <xdr:rowOff>148156</xdr:rowOff>
    </xdr:from>
    <xdr:to>
      <xdr:col>20</xdr:col>
      <xdr:colOff>923925</xdr:colOff>
      <xdr:row>81</xdr:row>
      <xdr:rowOff>95249</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10085</xdr:colOff>
      <xdr:row>21</xdr:row>
      <xdr:rowOff>36740</xdr:rowOff>
    </xdr:from>
    <xdr:to>
      <xdr:col>20</xdr:col>
      <xdr:colOff>914400</xdr:colOff>
      <xdr:row>46</xdr:row>
      <xdr:rowOff>95250</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19050</xdr:colOff>
      <xdr:row>21</xdr:row>
      <xdr:rowOff>38820</xdr:rowOff>
    </xdr:from>
    <xdr:to>
      <xdr:col>29</xdr:col>
      <xdr:colOff>962025</xdr:colOff>
      <xdr:row>46</xdr:row>
      <xdr:rowOff>133350</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57151</xdr:colOff>
      <xdr:row>82</xdr:row>
      <xdr:rowOff>170891</xdr:rowOff>
    </xdr:from>
    <xdr:to>
      <xdr:col>15</xdr:col>
      <xdr:colOff>838201</xdr:colOff>
      <xdr:row>84</xdr:row>
      <xdr:rowOff>114300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10906126" y="16363391"/>
          <a:ext cx="2800350" cy="32440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50" b="0" i="0" u="none" strike="noStrike">
              <a:solidFill>
                <a:schemeClr val="dk1"/>
              </a:solidFill>
              <a:effectLst/>
              <a:latin typeface="Calibri" panose="020F0502020204030204" pitchFamily="34" charset="0"/>
              <a:ea typeface="+mn-ea"/>
              <a:cs typeface="Calibri" panose="020F0502020204030204" pitchFamily="34" charset="0"/>
            </a:rPr>
            <a:t>Data provided is in </a:t>
          </a:r>
          <a:r>
            <a:rPr lang="en-AU" sz="1050" b="0" i="0" u="none" strike="noStrike" baseline="0">
              <a:solidFill>
                <a:schemeClr val="dk1"/>
              </a:solidFill>
              <a:effectLst/>
              <a:latin typeface="Calibri" panose="020F0502020204030204" pitchFamily="34" charset="0"/>
              <a:ea typeface="+mn-ea"/>
              <a:cs typeface="Calibri" panose="020F0502020204030204" pitchFamily="34" charset="0"/>
            </a:rPr>
            <a:t>seasonally adjusted terms.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309658</xdr:colOff>
      <xdr:row>3</xdr:row>
      <xdr:rowOff>17930</xdr:rowOff>
    </xdr:from>
    <xdr:to>
      <xdr:col>17</xdr:col>
      <xdr:colOff>563656</xdr:colOff>
      <xdr:row>22</xdr:row>
      <xdr:rowOff>381000</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6910483" y="598955"/>
          <a:ext cx="7569198" cy="4192120"/>
          <a:chOff x="149414" y="5654489"/>
          <a:chExt cx="7515410" cy="4509246"/>
        </a:xfrm>
      </xdr:grpSpPr>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149414" y="5654489"/>
          <a:ext cx="7515410" cy="450924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00000000-0008-0000-1100-000005000000}"/>
              </a:ext>
            </a:extLst>
          </xdr:cNvPr>
          <xdr:cNvSpPr txBox="1"/>
        </xdr:nvSpPr>
        <xdr:spPr>
          <a:xfrm>
            <a:off x="167374" y="9900548"/>
            <a:ext cx="2412140" cy="2436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latin typeface="+mn-lt"/>
              </a:rPr>
              <a:t>Source:  DMIRS and WA Treasury</a:t>
            </a:r>
          </a:p>
        </xdr:txBody>
      </xdr:sp>
    </xdr:grpSp>
    <xdr:clientData/>
  </xdr:twoCellAnchor>
  <xdr:twoCellAnchor>
    <xdr:from>
      <xdr:col>5</xdr:col>
      <xdr:colOff>336737</xdr:colOff>
      <xdr:row>24</xdr:row>
      <xdr:rowOff>183495</xdr:rowOff>
    </xdr:from>
    <xdr:to>
      <xdr:col>17</xdr:col>
      <xdr:colOff>552450</xdr:colOff>
      <xdr:row>49</xdr:row>
      <xdr:rowOff>142874</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3"/>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28575</xdr:colOff>
      <xdr:row>22</xdr:row>
      <xdr:rowOff>76199</xdr:rowOff>
    </xdr:from>
    <xdr:to>
      <xdr:col>4</xdr:col>
      <xdr:colOff>371475</xdr:colOff>
      <xdr:row>35</xdr:row>
      <xdr:rowOff>161924</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8575" y="4676774"/>
          <a:ext cx="6057900" cy="25622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All royalty revenue shown above is paid into the State's Consolidated Revenue Fund.  Added to the table, shown separately, is the State's share of the North West Shelf project royalty payments to the Commonwealth (which are provided as a grant from the Commonwealth to the State).</a:t>
          </a:r>
        </a:p>
        <a:p>
          <a:endParaRPr lang="en-AU" sz="1100" baseline="0"/>
        </a:p>
        <a:p>
          <a:r>
            <a:rPr lang="en-AU" sz="1100" baseline="0"/>
            <a:t>Included in the royalty receipts for petroleum is the both the State's and Commonwealth's share of royalties collected under the Western Australian </a:t>
          </a:r>
          <a:r>
            <a:rPr lang="en-AU" sz="1100" i="1" baseline="0"/>
            <a:t>Petroleum (Submerged Lands) Act 1967 </a:t>
          </a:r>
          <a:r>
            <a:rPr lang="en-AU" sz="1100" baseline="0"/>
            <a:t>(PSLA). The State's share of the Resource Rent Royalty under the </a:t>
          </a:r>
          <a:r>
            <a:rPr lang="en-AU" sz="1100" i="1" baseline="0"/>
            <a:t>Barrow Island Royalty Variation Agreement Act 1985</a:t>
          </a:r>
          <a:r>
            <a:rPr lang="en-AU" sz="1100" baseline="0"/>
            <a:t> is included, but the Commonwealth's share is not included.</a:t>
          </a:r>
        </a:p>
        <a:p>
          <a:endParaRPr lang="en-AU" sz="1100" baseline="0"/>
        </a:p>
        <a:p>
          <a:r>
            <a:rPr lang="en-AU" sz="1100" baseline="0"/>
            <a:t>Included in the State’s royalty receipts for iron ore is an additional lease rental amount which is currently applied under iron ore State Agreement Acts and the Mining Act. The rate is 25 cents per tonne. In the case of some older Agreement Acts, the rate is 25 cents per imperial ton. The additional lease rental applies to iron ore obtained from a mining lease following 15 years from the date the iron ore was first obtained from the mining tenement, by the lessee.</a:t>
          </a:r>
        </a:p>
        <a:p>
          <a:endParaRPr lang="en-AU" sz="1100"/>
        </a:p>
      </xdr:txBody>
    </xdr:sp>
    <xdr:clientData/>
  </xdr:twoCellAnchor>
</xdr:wsDr>
</file>

<file path=xl/drawings/drawing27.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8.xml><?xml version="1.0" encoding="utf-8"?>
<xdr:wsDr xmlns:xdr="http://schemas.openxmlformats.org/drawingml/2006/spreadsheetDrawing" xmlns:a="http://schemas.openxmlformats.org/drawingml/2006/main">
  <xdr:twoCellAnchor>
    <xdr:from>
      <xdr:col>31</xdr:col>
      <xdr:colOff>609599</xdr:colOff>
      <xdr:row>39</xdr:row>
      <xdr:rowOff>148167</xdr:rowOff>
    </xdr:from>
    <xdr:to>
      <xdr:col>39</xdr:col>
      <xdr:colOff>1051983</xdr:colOff>
      <xdr:row>43</xdr:row>
      <xdr:rowOff>76201</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30746699" y="7691967"/>
          <a:ext cx="7176559" cy="69003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From 1 July 2009, the flow of Commonwealth NWS grant monies, previously paid directly to DMIRS, were paid to Treasury.</a:t>
          </a:r>
        </a:p>
        <a:p>
          <a:endParaRPr lang="en-AU" sz="1100" baseline="0"/>
        </a:p>
        <a:p>
          <a:r>
            <a:rPr lang="en-AU" sz="1100"/>
            <a:t>From 2009-10, Treasury removed NWS grants from its published royalty receipts table.</a:t>
          </a:r>
        </a:p>
      </xdr:txBody>
    </xdr:sp>
    <xdr:clientData/>
  </xdr:twoCellAnchor>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323850</xdr:colOff>
      <xdr:row>26</xdr:row>
      <xdr:rowOff>19050</xdr:rowOff>
    </xdr:from>
    <xdr:to>
      <xdr:col>21</xdr:col>
      <xdr:colOff>144463</xdr:colOff>
      <xdr:row>49</xdr:row>
      <xdr:rowOff>85725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209550</xdr:colOff>
      <xdr:row>26</xdr:row>
      <xdr:rowOff>19050</xdr:rowOff>
    </xdr:from>
    <xdr:to>
      <xdr:col>11</xdr:col>
      <xdr:colOff>209550</xdr:colOff>
      <xdr:row>46</xdr:row>
      <xdr:rowOff>85725</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26</xdr:row>
      <xdr:rowOff>28574</xdr:rowOff>
    </xdr:from>
    <xdr:to>
      <xdr:col>0</xdr:col>
      <xdr:colOff>4391025</xdr:colOff>
      <xdr:row>42</xdr:row>
      <xdr:rowOff>190499</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 y="5038724"/>
          <a:ext cx="4333875" cy="32099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18</xdr:row>
      <xdr:rowOff>142875</xdr:rowOff>
    </xdr:to>
    <xdr:sp macro="" textlink="">
      <xdr:nvSpPr>
        <xdr:cNvPr id="27650" name="Text Box 2">
          <a:extLst>
            <a:ext uri="{FF2B5EF4-FFF2-40B4-BE49-F238E27FC236}">
              <a16:creationId xmlns:a16="http://schemas.microsoft.com/office/drawing/2014/main" id="{00000000-0008-0000-0200-0000026C0000}"/>
            </a:ext>
          </a:extLst>
        </xdr:cNvPr>
        <xdr:cNvSpPr txBox="1">
          <a:spLocks noChangeArrowheads="1"/>
        </xdr:cNvSpPr>
      </xdr:nvSpPr>
      <xdr:spPr bwMode="auto">
        <a:xfrm>
          <a:off x="438150" y="1257301"/>
          <a:ext cx="6210300" cy="2362199"/>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31.xml><?xml version="1.0" encoding="utf-8"?>
<xdr:wsDr xmlns:xdr="http://schemas.openxmlformats.org/drawingml/2006/spreadsheetDrawing" xmlns:a="http://schemas.openxmlformats.org/drawingml/2006/main">
  <xdr:twoCellAnchor>
    <xdr:from>
      <xdr:col>11</xdr:col>
      <xdr:colOff>104775</xdr:colOff>
      <xdr:row>26</xdr:row>
      <xdr:rowOff>24493</xdr:rowOff>
    </xdr:from>
    <xdr:to>
      <xdr:col>20</xdr:col>
      <xdr:colOff>687387</xdr:colOff>
      <xdr:row>49</xdr:row>
      <xdr:rowOff>107497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457820</xdr:colOff>
      <xdr:row>4</xdr:row>
      <xdr:rowOff>85830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133350</xdr:colOff>
      <xdr:row>26</xdr:row>
      <xdr:rowOff>19050</xdr:rowOff>
    </xdr:from>
    <xdr:to>
      <xdr:col>10</xdr:col>
      <xdr:colOff>609599</xdr:colOff>
      <xdr:row>46</xdr:row>
      <xdr:rowOff>9525</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26</xdr:row>
      <xdr:rowOff>28574</xdr:rowOff>
    </xdr:from>
    <xdr:to>
      <xdr:col>0</xdr:col>
      <xdr:colOff>4410075</xdr:colOff>
      <xdr:row>43</xdr:row>
      <xdr:rowOff>38099</xdr:rowOff>
    </xdr:to>
    <xdr:sp macro="" textlink="">
      <xdr:nvSpPr>
        <xdr:cNvPr id="6" name="TextBox 5">
          <a:extLst>
            <a:ext uri="{FF2B5EF4-FFF2-40B4-BE49-F238E27FC236}">
              <a16:creationId xmlns:a16="http://schemas.microsoft.com/office/drawing/2014/main" id="{00000000-0008-0000-1100-000007000000}"/>
            </a:ext>
          </a:extLst>
        </xdr:cNvPr>
        <xdr:cNvSpPr txBox="1"/>
      </xdr:nvSpPr>
      <xdr:spPr>
        <a:xfrm>
          <a:off x="66675" y="5038724"/>
          <a:ext cx="4343400" cy="32480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endParaRPr lang="en-AU">
            <a:effectLst/>
          </a:endParaRP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79995</xdr:colOff>
      <xdr:row>4</xdr:row>
      <xdr:rowOff>92180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250</xdr:col>
      <xdr:colOff>57868</xdr:colOff>
      <xdr:row>7</xdr:row>
      <xdr:rowOff>190499</xdr:rowOff>
    </xdr:from>
    <xdr:to>
      <xdr:col>266</xdr:col>
      <xdr:colOff>73025</xdr:colOff>
      <xdr:row>39</xdr:row>
      <xdr:rowOff>158749</xdr:rowOff>
    </xdr:to>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249</xdr:col>
      <xdr:colOff>577850</xdr:colOff>
      <xdr:row>63</xdr:row>
      <xdr:rowOff>131279</xdr:rowOff>
    </xdr:from>
    <xdr:to>
      <xdr:col>265</xdr:col>
      <xdr:colOff>533400</xdr:colOff>
      <xdr:row>111</xdr:row>
      <xdr:rowOff>76200</xdr:rowOff>
    </xdr:to>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250</xdr:col>
      <xdr:colOff>104775</xdr:colOff>
      <xdr:row>42</xdr:row>
      <xdr:rowOff>19051</xdr:rowOff>
    </xdr:from>
    <xdr:to>
      <xdr:col>257</xdr:col>
      <xdr:colOff>171450</xdr:colOff>
      <xdr:row>46</xdr:row>
      <xdr:rowOff>66675</xdr:rowOff>
    </xdr:to>
    <xdr:sp macro="" textlink="">
      <xdr:nvSpPr>
        <xdr:cNvPr id="8" name="TextBox 7">
          <a:extLst>
            <a:ext uri="{FF2B5EF4-FFF2-40B4-BE49-F238E27FC236}">
              <a16:creationId xmlns:a16="http://schemas.microsoft.com/office/drawing/2014/main" id="{00000000-0008-0000-1100-000007000000}"/>
            </a:ext>
          </a:extLst>
        </xdr:cNvPr>
        <xdr:cNvSpPr txBox="1"/>
      </xdr:nvSpPr>
      <xdr:spPr>
        <a:xfrm>
          <a:off x="151352250" y="7743826"/>
          <a:ext cx="4333875" cy="80962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cdr:x>
      <cdr:y>0.96294</cdr:y>
    </cdr:from>
    <cdr:to>
      <cdr:x>0.28935</cdr:x>
      <cdr:y>1</cdr:y>
    </cdr:to>
    <cdr:sp macro="" textlink="">
      <cdr:nvSpPr>
        <cdr:cNvPr id="2" name="TextBox 1"/>
        <cdr:cNvSpPr txBox="1"/>
      </cdr:nvSpPr>
      <cdr:spPr>
        <a:xfrm xmlns:a="http://schemas.openxmlformats.org/drawingml/2006/main">
          <a:off x="0" y="5858913"/>
          <a:ext cx="2429404" cy="225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5.xml><?xml version="1.0" encoding="utf-8"?>
<c:userShapes xmlns:c="http://schemas.openxmlformats.org/drawingml/2006/chart">
  <cdr:relSizeAnchor xmlns:cdr="http://schemas.openxmlformats.org/drawingml/2006/chartDrawing">
    <cdr:from>
      <cdr:x>0.00037</cdr:x>
      <cdr:y>0.9536</cdr:y>
    </cdr:from>
    <cdr:to>
      <cdr:x>0.28282</cdr:x>
      <cdr:y>0.98978</cdr:y>
    </cdr:to>
    <cdr:sp macro="" textlink="">
      <cdr:nvSpPr>
        <cdr:cNvPr id="2" name="TextBox 1"/>
        <cdr:cNvSpPr txBox="1"/>
      </cdr:nvSpPr>
      <cdr:spPr>
        <a:xfrm xmlns:a="http://schemas.openxmlformats.org/drawingml/2006/main">
          <a:off x="3182" y="4444338"/>
          <a:ext cx="2429374" cy="16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4101538</xdr:colOff>
      <xdr:row>2</xdr:row>
      <xdr:rowOff>695325</xdr:rowOff>
    </xdr:to>
    <xdr:pic>
      <xdr:nvPicPr>
        <xdr:cNvPr id="12" name="Picture 11">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0" y="0"/>
          <a:ext cx="4101538" cy="695325"/>
        </a:xfrm>
        <a:prstGeom prst="rect">
          <a:avLst/>
        </a:prstGeom>
      </xdr:spPr>
    </xdr:pic>
    <xdr:clientData/>
  </xdr:twoCellAnchor>
  <xdr:twoCellAnchor>
    <xdr:from>
      <xdr:col>139</xdr:col>
      <xdr:colOff>400050</xdr:colOff>
      <xdr:row>10</xdr:row>
      <xdr:rowOff>38101</xdr:rowOff>
    </xdr:from>
    <xdr:to>
      <xdr:col>146</xdr:col>
      <xdr:colOff>466725</xdr:colOff>
      <xdr:row>21</xdr:row>
      <xdr:rowOff>104776</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95373825" y="2419351"/>
          <a:ext cx="4972050"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Petroleum data includes only onshore facilities and pipelines covered under Petroleum Pipelines Act 1969, Petroleum (Submerged Lands) Act 1982 and Petroleum Geothermal Energy Resources Act 1967.</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2629520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7</xdr:col>
      <xdr:colOff>285750</xdr:colOff>
      <xdr:row>16</xdr:row>
      <xdr:rowOff>19051</xdr:rowOff>
    </xdr:from>
    <xdr:to>
      <xdr:col>13</xdr:col>
      <xdr:colOff>352425</xdr:colOff>
      <xdr:row>31</xdr:row>
      <xdr:rowOff>76201</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2077700" y="3657601"/>
          <a:ext cx="4333875" cy="27241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7</xdr:col>
      <xdr:colOff>0</xdr:colOff>
      <xdr:row>7</xdr:row>
      <xdr:rowOff>1</xdr:rowOff>
    </xdr:from>
    <xdr:to>
      <xdr:col>11</xdr:col>
      <xdr:colOff>257175</xdr:colOff>
      <xdr:row>15</xdr:row>
      <xdr:rowOff>295275</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2039600" y="1543051"/>
          <a:ext cx="4333875" cy="292417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314945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9525</xdr:colOff>
      <xdr:row>57</xdr:row>
      <xdr:rowOff>190498</xdr:rowOff>
    </xdr:from>
    <xdr:to>
      <xdr:col>1</xdr:col>
      <xdr:colOff>647700</xdr:colOff>
      <xdr:row>65</xdr:row>
      <xdr:rowOff>180975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9525" y="11068048"/>
          <a:ext cx="5505450" cy="151447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 </a:t>
          </a:r>
          <a:r>
            <a:rPr lang="en-AU" sz="1100">
              <a:solidFill>
                <a:schemeClr val="dk1"/>
              </a:solidFill>
              <a:effectLst/>
              <a:latin typeface="+mn-lt"/>
              <a:ea typeface="+mn-ea"/>
              <a:cs typeface="+mn-cs"/>
            </a:rPr>
            <a:t>The mining component of GSP reported by the ABS does not capture all mining and petroleum activities.  Mining is broadly defined by the ABS as the extraction of minerals occurring naturally as solids such as coal and ores, and liquids such as crude petroleum and natural gas.  Downstream mining activities such as smelting of minerals or ores (other than preliminary smelting of gold) or refining, and LNG production, are classified as manufacturing activities.</a:t>
          </a:r>
          <a:endParaRPr lang="en-AU">
            <a:effectLst/>
          </a:endParaRPr>
        </a:p>
        <a:p>
          <a:endParaRPr lang="en-AU" sz="1100" baseline="0"/>
        </a:p>
        <a:p>
          <a:r>
            <a:rPr lang="en-AU" sz="1100" baseline="0"/>
            <a:t>All data is for the 2020-21 financial year unless otherwise stated.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9525</xdr:colOff>
      <xdr:row>6</xdr:row>
      <xdr:rowOff>38100</xdr:rowOff>
    </xdr:from>
    <xdr:to>
      <xdr:col>18</xdr:col>
      <xdr:colOff>171451</xdr:colOff>
      <xdr:row>27</xdr:row>
      <xdr:rowOff>22860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133970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8</xdr:col>
      <xdr:colOff>304800</xdr:colOff>
      <xdr:row>28</xdr:row>
      <xdr:rowOff>28576</xdr:rowOff>
    </xdr:from>
    <xdr:to>
      <xdr:col>17</xdr:col>
      <xdr:colOff>323850</xdr:colOff>
      <xdr:row>30</xdr:row>
      <xdr:rowOff>123826</xdr:rowOff>
    </xdr:to>
    <xdr:sp macro="" textlink="">
      <xdr:nvSpPr>
        <xdr:cNvPr id="5" name="TextBox 4">
          <a:extLst>
            <a:ext uri="{FF2B5EF4-FFF2-40B4-BE49-F238E27FC236}">
              <a16:creationId xmlns:a16="http://schemas.microsoft.com/office/drawing/2014/main" id="{00000000-0008-0000-0500-000006000000}"/>
            </a:ext>
          </a:extLst>
        </xdr:cNvPr>
        <xdr:cNvSpPr txBox="1"/>
      </xdr:nvSpPr>
      <xdr:spPr>
        <a:xfrm>
          <a:off x="5829300" y="5372101"/>
          <a:ext cx="5505450" cy="4762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trade-weighted index or TWI is the average value of A$ in relation to the currencies of Australia's major trading partners.  </a:t>
          </a:r>
          <a:endParaRPr lang="en-AU" sz="1100" baseline="0"/>
        </a:p>
      </xdr:txBody>
    </xdr:sp>
    <xdr:clientData/>
  </xdr:twoCellAnchor>
</xdr:wsDr>
</file>

<file path=xl/drawings/drawing6.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518583</xdr:colOff>
      <xdr:row>8</xdr:row>
      <xdr:rowOff>142875</xdr:rowOff>
    </xdr:from>
    <xdr:to>
      <xdr:col>16</xdr:col>
      <xdr:colOff>314325</xdr:colOff>
      <xdr:row>36</xdr:row>
      <xdr:rowOff>19051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95870</xdr:colOff>
      <xdr:row>3</xdr:row>
      <xdr:rowOff>209655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9.xml><?xml version="1.0" encoding="utf-8"?>
<xdr:wsDr xmlns:xdr="http://schemas.openxmlformats.org/drawingml/2006/spreadsheetDrawing" xmlns:a="http://schemas.openxmlformats.org/drawingml/2006/main">
  <xdr:twoCellAnchor>
    <xdr:from>
      <xdr:col>17</xdr:col>
      <xdr:colOff>741045</xdr:colOff>
      <xdr:row>8</xdr:row>
      <xdr:rowOff>76200</xdr:rowOff>
    </xdr:from>
    <xdr:to>
      <xdr:col>27</xdr:col>
      <xdr:colOff>226695</xdr:colOff>
      <xdr:row>32</xdr:row>
      <xdr:rowOff>144780</xdr:rowOff>
    </xdr:to>
    <xdr:graphicFrame macro="">
      <xdr:nvGraphicFramePr>
        <xdr:cNvPr id="2" name="Chart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810245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bs.gov.au/ausstats/abs@.nsf/mf/5220.0" TargetMode="External"/><Relationship Id="rId13" Type="http://schemas.openxmlformats.org/officeDocument/2006/relationships/hyperlink" Target="http://www.energyquest.com.au/" TargetMode="External"/><Relationship Id="rId18" Type="http://schemas.openxmlformats.org/officeDocument/2006/relationships/image" Target="../media/image3.emf"/><Relationship Id="rId3" Type="http://schemas.openxmlformats.org/officeDocument/2006/relationships/hyperlink" Target="https://www.abs.gov.au/ausstats/abs@.nsf/mf/8412.0" TargetMode="External"/><Relationship Id="rId7" Type="http://schemas.openxmlformats.org/officeDocument/2006/relationships/hyperlink" Target="https://www.industry.gov.au/data-and-publications/resources-and-energy-quarterly-all" TargetMode="External"/><Relationship Id="rId12" Type="http://schemas.openxmlformats.org/officeDocument/2006/relationships/hyperlink" Target="https://www.usgs.gov/centers/nmic/mineral-commodity-summaries" TargetMode="External"/><Relationship Id="rId17" Type="http://schemas.openxmlformats.org/officeDocument/2006/relationships/package" Target="../embeddings/Microsoft_Word_Document1.docx"/><Relationship Id="rId2" Type="http://schemas.openxmlformats.org/officeDocument/2006/relationships/hyperlink" Target="https://www.abs.gov.au/ausstats/abs@.nsf/mf/8412.0" TargetMode="External"/><Relationship Id="rId16" Type="http://schemas.openxmlformats.org/officeDocument/2006/relationships/vmlDrawing" Target="../drawings/vmlDrawing2.vml"/><Relationship Id="rId20" Type="http://schemas.openxmlformats.org/officeDocument/2006/relationships/image" Target="../media/image4.emf"/><Relationship Id="rId1" Type="http://schemas.openxmlformats.org/officeDocument/2006/relationships/hyperlink" Target="http://www.rba.gov.au/statistics/tables/index.html" TargetMode="External"/><Relationship Id="rId6" Type="http://schemas.openxmlformats.org/officeDocument/2006/relationships/hyperlink" Target="https://www.industry.gov.au/data-and-publications/resources-and-energy-quarterly-all" TargetMode="External"/><Relationship Id="rId11" Type="http://schemas.openxmlformats.org/officeDocument/2006/relationships/hyperlink" Target="https://www.usgs.gov/centers/nmic/mineral-commodity-summaries" TargetMode="External"/><Relationship Id="rId5" Type="http://schemas.openxmlformats.org/officeDocument/2006/relationships/hyperlink" Target="http://www.abs.gov.au/ausstats/abs@.nsf/mf/5368.0" TargetMode="External"/><Relationship Id="rId15" Type="http://schemas.openxmlformats.org/officeDocument/2006/relationships/drawing" Target="../drawings/drawing2.xml"/><Relationship Id="rId10" Type="http://schemas.openxmlformats.org/officeDocument/2006/relationships/hyperlink" Target="http://www.bp.com/en/global/corporate/energy-economics/statistical-review-of-world-energy.html" TargetMode="External"/><Relationship Id="rId19" Type="http://schemas.openxmlformats.org/officeDocument/2006/relationships/package" Target="../embeddings/Microsoft_Word_Document2.docx"/><Relationship Id="rId4" Type="http://schemas.openxmlformats.org/officeDocument/2006/relationships/hyperlink" Target="http://www.rba.gov.au/statistics/historical-data.html" TargetMode="External"/><Relationship Id="rId9" Type="http://schemas.openxmlformats.org/officeDocument/2006/relationships/hyperlink" Target="https://www.abs.gov.au/ausstats/abs@.nsf/mf/5220.0"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package" Target="../embeddings/Microsoft_Word_Document3.doc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0"/>
  <sheetViews>
    <sheetView showGridLines="0" tabSelected="1" workbookViewId="0">
      <selection activeCell="C12" sqref="C12"/>
    </sheetView>
  </sheetViews>
  <sheetFormatPr defaultColWidth="9.140625" defaultRowHeight="15"/>
  <cols>
    <col min="1" max="1" width="26" style="18" bestFit="1" customWidth="1"/>
    <col min="2" max="2" width="12.42578125" style="18" customWidth="1"/>
    <col min="3" max="3" width="45.7109375" style="18" customWidth="1"/>
    <col min="4" max="4" width="127" style="18" bestFit="1" customWidth="1"/>
    <col min="5" max="16384" width="9.140625" style="18"/>
  </cols>
  <sheetData>
    <row r="1" spans="1:5">
      <c r="A1" s="18">
        <v>53</v>
      </c>
      <c r="D1" s="206"/>
    </row>
    <row r="2" spans="1:5">
      <c r="D2" s="206"/>
    </row>
    <row r="3" spans="1:5">
      <c r="D3" s="206"/>
    </row>
    <row r="4" spans="1:5">
      <c r="D4" s="206"/>
    </row>
    <row r="7" spans="1:5">
      <c r="A7" s="18" t="s">
        <v>33</v>
      </c>
      <c r="B7" s="18" t="s">
        <v>22</v>
      </c>
      <c r="C7" s="273" t="s">
        <v>1051</v>
      </c>
      <c r="D7" s="18" t="s">
        <v>917</v>
      </c>
    </row>
    <row r="8" spans="1:5">
      <c r="B8" s="18" t="s">
        <v>22</v>
      </c>
      <c r="C8" s="273" t="s">
        <v>27</v>
      </c>
      <c r="D8" s="18" t="s">
        <v>1056</v>
      </c>
    </row>
    <row r="9" spans="1:5">
      <c r="B9" s="18" t="s">
        <v>22</v>
      </c>
      <c r="C9" s="273" t="s">
        <v>1052</v>
      </c>
      <c r="D9" s="18" t="s">
        <v>918</v>
      </c>
    </row>
    <row r="10" spans="1:5">
      <c r="B10" s="18" t="s">
        <v>22</v>
      </c>
      <c r="C10" s="273" t="s">
        <v>1050</v>
      </c>
      <c r="D10" s="18" t="s">
        <v>1061</v>
      </c>
    </row>
    <row r="11" spans="1:5">
      <c r="B11" s="18" t="s">
        <v>22</v>
      </c>
      <c r="C11" s="273" t="s">
        <v>34</v>
      </c>
      <c r="D11" s="18" t="s">
        <v>338</v>
      </c>
      <c r="E11" s="198"/>
    </row>
    <row r="12" spans="1:5">
      <c r="B12" s="18" t="s">
        <v>22</v>
      </c>
      <c r="C12" s="273" t="s">
        <v>161</v>
      </c>
      <c r="D12" s="18" t="s">
        <v>1053</v>
      </c>
    </row>
    <row r="13" spans="1:5">
      <c r="A13" s="18" t="s">
        <v>102</v>
      </c>
      <c r="B13" s="18" t="s">
        <v>22</v>
      </c>
      <c r="C13" s="273" t="s">
        <v>35</v>
      </c>
      <c r="D13" s="18" t="s">
        <v>914</v>
      </c>
      <c r="E13" s="198"/>
    </row>
    <row r="14" spans="1:5">
      <c r="B14" s="18" t="s">
        <v>22</v>
      </c>
      <c r="C14" s="273" t="s">
        <v>37</v>
      </c>
      <c r="D14" s="18" t="s">
        <v>915</v>
      </c>
      <c r="E14" s="198"/>
    </row>
    <row r="15" spans="1:5">
      <c r="B15" s="18" t="s">
        <v>22</v>
      </c>
      <c r="C15" s="273" t="s">
        <v>1042</v>
      </c>
      <c r="D15" s="18" t="s">
        <v>274</v>
      </c>
    </row>
    <row r="16" spans="1:5">
      <c r="B16" s="18" t="s">
        <v>22</v>
      </c>
      <c r="C16" s="273" t="s">
        <v>1043</v>
      </c>
      <c r="D16" s="18" t="s">
        <v>916</v>
      </c>
    </row>
    <row r="17" spans="1:5">
      <c r="B17" s="18" t="s">
        <v>22</v>
      </c>
      <c r="C17" s="273" t="s">
        <v>1034</v>
      </c>
      <c r="D17" s="18" t="s">
        <v>1044</v>
      </c>
      <c r="E17" s="198"/>
    </row>
    <row r="18" spans="1:5">
      <c r="B18" s="18" t="s">
        <v>22</v>
      </c>
      <c r="C18" s="273" t="s">
        <v>1045</v>
      </c>
      <c r="D18" s="18" t="s">
        <v>275</v>
      </c>
      <c r="E18" s="198"/>
    </row>
    <row r="19" spans="1:5">
      <c r="B19" s="18" t="s">
        <v>22</v>
      </c>
      <c r="C19" s="273" t="s">
        <v>40</v>
      </c>
      <c r="D19" s="18" t="s">
        <v>276</v>
      </c>
    </row>
    <row r="20" spans="1:5">
      <c r="B20" s="18" t="s">
        <v>22</v>
      </c>
      <c r="C20" s="273" t="s">
        <v>1114</v>
      </c>
      <c r="D20" s="18" t="s">
        <v>1113</v>
      </c>
    </row>
    <row r="21" spans="1:5">
      <c r="A21" s="18" t="s">
        <v>162</v>
      </c>
      <c r="B21" s="18" t="s">
        <v>22</v>
      </c>
      <c r="C21" s="273" t="s">
        <v>1078</v>
      </c>
      <c r="D21" s="18" t="s">
        <v>200</v>
      </c>
    </row>
    <row r="22" spans="1:5">
      <c r="B22" s="18" t="s">
        <v>22</v>
      </c>
      <c r="C22" s="273" t="s">
        <v>1079</v>
      </c>
      <c r="D22" s="18" t="s">
        <v>163</v>
      </c>
    </row>
    <row r="23" spans="1:5">
      <c r="A23" s="18" t="s">
        <v>101</v>
      </c>
      <c r="B23" s="18" t="s">
        <v>22</v>
      </c>
      <c r="C23" s="273" t="s">
        <v>1081</v>
      </c>
      <c r="D23" s="206" t="s">
        <v>1086</v>
      </c>
      <c r="E23" s="198"/>
    </row>
    <row r="24" spans="1:5">
      <c r="B24" s="18" t="s">
        <v>22</v>
      </c>
      <c r="C24" s="273" t="s">
        <v>1082</v>
      </c>
      <c r="D24" s="206" t="s">
        <v>1087</v>
      </c>
      <c r="E24" s="198"/>
    </row>
    <row r="25" spans="1:5">
      <c r="B25" s="18" t="s">
        <v>22</v>
      </c>
      <c r="C25" s="273" t="s">
        <v>1080</v>
      </c>
      <c r="D25" s="18" t="s">
        <v>921</v>
      </c>
      <c r="E25" s="198"/>
    </row>
    <row r="26" spans="1:5">
      <c r="B26" s="18" t="s">
        <v>22</v>
      </c>
      <c r="C26" s="273" t="s">
        <v>1058</v>
      </c>
      <c r="D26" s="18" t="s">
        <v>1083</v>
      </c>
      <c r="E26" s="198"/>
    </row>
    <row r="27" spans="1:5">
      <c r="B27" s="18" t="s">
        <v>22</v>
      </c>
      <c r="C27" s="273" t="s">
        <v>1171</v>
      </c>
      <c r="D27" s="18" t="s">
        <v>1084</v>
      </c>
    </row>
    <row r="28" spans="1:5">
      <c r="B28" s="18" t="s">
        <v>22</v>
      </c>
      <c r="C28" s="273" t="s">
        <v>1172</v>
      </c>
      <c r="D28" s="18" t="s">
        <v>1085</v>
      </c>
    </row>
    <row r="29" spans="1:5">
      <c r="B29" s="18" t="s">
        <v>22</v>
      </c>
      <c r="C29" s="273" t="s">
        <v>1170</v>
      </c>
      <c r="D29" s="206" t="s">
        <v>1312</v>
      </c>
      <c r="E29" s="198"/>
    </row>
    <row r="30" spans="1:5">
      <c r="A30" s="18" t="s">
        <v>272</v>
      </c>
      <c r="B30" s="18" t="s">
        <v>22</v>
      </c>
      <c r="C30" s="273" t="s">
        <v>272</v>
      </c>
      <c r="D30" s="206" t="s">
        <v>273</v>
      </c>
    </row>
    <row r="31" spans="1:5">
      <c r="A31" s="18" t="s">
        <v>31</v>
      </c>
      <c r="B31" s="18" t="s">
        <v>22</v>
      </c>
      <c r="C31" s="273" t="s">
        <v>23</v>
      </c>
      <c r="E31" s="198"/>
    </row>
    <row r="33" spans="3:5">
      <c r="C33" s="206"/>
      <c r="E33" s="198"/>
    </row>
    <row r="34" spans="3:5">
      <c r="C34" s="206"/>
    </row>
    <row r="35" spans="3:5">
      <c r="C35" s="206"/>
    </row>
    <row r="36" spans="3:5">
      <c r="C36" s="206"/>
      <c r="D36" s="198"/>
    </row>
    <row r="37" spans="3:5">
      <c r="C37" s="206"/>
    </row>
    <row r="38" spans="3:5">
      <c r="C38" s="206"/>
    </row>
    <row r="39" spans="3:5">
      <c r="C39" s="206"/>
    </row>
    <row r="40" spans="3:5">
      <c r="D40" s="198"/>
    </row>
  </sheetData>
  <hyperlinks>
    <hyperlink ref="C8" location="'Exchange Rates'!A1" display="Exchange Rates"/>
    <hyperlink ref="C31" location="'Data Sources'!A1" display="Sources"/>
    <hyperlink ref="C11" location="Exports!A1" display="Exports"/>
    <hyperlink ref="C13" location="'Mining Investment'!A1" display="Mining Investment"/>
    <hyperlink ref="C14" location="'New Capital Expenditure'!A1" display="New Capital Expenditure"/>
    <hyperlink ref="C15" location="'Mineral Exploration Expenditure'!A1" display="Mineral Exploration"/>
    <hyperlink ref="C19" location="'Pet. Exploration Expenditure'!A1" display="Petroleum Exploration"/>
    <hyperlink ref="C27" location="'Mining Employment by Site'!A1" display="Employment by Site - Mining"/>
    <hyperlink ref="C23" location="'Employment Calendar Year'!A1" display="Employment Calendar Year"/>
    <hyperlink ref="C28" location="' Petroleum Employment by Site'!A1" display="Employment by Site - Petroleum"/>
    <hyperlink ref="C25" location="'Mining Employment Monthly'!A1" display="Historic Employment Monthly"/>
    <hyperlink ref="C12" location="'WA vs Australia vs The World'!A1" display="WA vs Australia vs The World"/>
    <hyperlink ref="C22" location="'Royalties Historic'!A1" display="Royalties Historic"/>
    <hyperlink ref="C21" location="'Royalties Latest'!A1" display="Royalties Latest"/>
    <hyperlink ref="C7" location="Snapshot!A1" display="Snapshot"/>
    <hyperlink ref="C29" location="'Mining Employment CY Pre-2001'!A1" display="Mining Employment Calendar Year Pre-2000"/>
    <hyperlink ref="C30" location="'How To Use'!A1" display="How to Use"/>
    <hyperlink ref="C18" location="'Min. Expl. Metres Drilled'!A1" display="Mineral Exploration Drilling"/>
    <hyperlink ref="C16" location="'Min. Expl. By Commodity'!A1" display="Mineral Exploration Major Commodities"/>
    <hyperlink ref="C24" location="'Employment Financial Year'!A1" display="Employment Financial Year"/>
    <hyperlink ref="C20" location="'Pet. Expl. By Location'!A1" display="Petroleum Exploration By Location"/>
    <hyperlink ref="C17" location="'Min. Expl. By Type'!A1" display="Mineral Exploration By Type"/>
    <hyperlink ref="C9" location="'Commodity Price Comparison'!A1" display="Year to Year Comparison"/>
    <hyperlink ref="C10" location="'Index of Commodity Prices'!A1" display="Index of Commodity Prices"/>
    <hyperlink ref="C26" location="'Petroleum Employment Monthly'!A1" display="Petroleum Employment Monthly"/>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autoPict="0" r:id="rId5">
            <anchor moveWithCells="1">
              <from>
                <xdr:col>4</xdr:col>
                <xdr:colOff>257175</xdr:colOff>
                <xdr:row>6</xdr:row>
                <xdr:rowOff>19050</xdr:rowOff>
              </from>
              <to>
                <xdr:col>11</xdr:col>
                <xdr:colOff>171450</xdr:colOff>
                <xdr:row>23</xdr:row>
                <xdr:rowOff>95250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showGridLines="0" zoomScaleNormal="100" workbookViewId="0">
      <pane ySplit="7" topLeftCell="A8" activePane="bottomLeft" state="frozen"/>
      <selection activeCell="B1" sqref="B1"/>
      <selection pane="bottomLeft" activeCell="D166" sqref="D166"/>
    </sheetView>
  </sheetViews>
  <sheetFormatPr defaultColWidth="9.140625" defaultRowHeight="15"/>
  <cols>
    <col min="1" max="1" width="5.85546875" style="19" hidden="1" customWidth="1"/>
    <col min="2" max="2" width="10.85546875" style="165" customWidth="1"/>
    <col min="3" max="3" width="17.28515625" style="165" bestFit="1" customWidth="1"/>
    <col min="4" max="4" width="16.28515625" style="165" customWidth="1"/>
    <col min="5" max="5" width="17.85546875" style="165" bestFit="1" customWidth="1"/>
    <col min="6" max="6" width="13.85546875" style="165" customWidth="1"/>
    <col min="7" max="7" width="3.42578125" style="165" customWidth="1"/>
    <col min="8" max="8" width="4" style="165" customWidth="1"/>
    <col min="9" max="9" width="10.7109375" style="165" bestFit="1" customWidth="1"/>
    <col min="10" max="10" width="17.28515625" style="165" bestFit="1" customWidth="1"/>
    <col min="11" max="11" width="15.42578125" style="165" bestFit="1" customWidth="1"/>
    <col min="12" max="12" width="17.85546875" style="165" bestFit="1" customWidth="1"/>
    <col min="13" max="13" width="17.28515625" style="165" customWidth="1"/>
    <col min="14" max="14" width="2.7109375" style="165" customWidth="1"/>
    <col min="15" max="15" width="11" style="165" customWidth="1"/>
    <col min="16" max="16" width="17.28515625" style="165" bestFit="1" customWidth="1"/>
    <col min="17" max="17" width="15.42578125" style="165" bestFit="1" customWidth="1"/>
    <col min="18" max="18" width="17.85546875" style="165" bestFit="1" customWidth="1"/>
    <col min="19" max="19" width="14.85546875" style="165" customWidth="1"/>
    <col min="20" max="16384" width="9.140625" style="165"/>
  </cols>
  <sheetData>
    <row r="1" spans="1:33">
      <c r="I1" s="199">
        <f>(LARGE(B8:B510,1))</f>
        <v>44348</v>
      </c>
    </row>
    <row r="2" spans="1:33">
      <c r="I2" s="199">
        <f>MATCH(I1,B8:B510,0)+6</f>
        <v>135</v>
      </c>
    </row>
    <row r="3" spans="1:33">
      <c r="I3" s="168" t="str">
        <f ca="1">IF(MONTH(INDIRECT(CONCATENATE("B",I2)))=12, "Calendar Year", "Financial year")</f>
        <v>Financial year</v>
      </c>
    </row>
    <row r="4" spans="1:33" s="298" customFormat="1">
      <c r="A4" s="19"/>
      <c r="I4" s="168"/>
    </row>
    <row r="6" spans="1:33" ht="15.75" thickBot="1">
      <c r="A6" s="1042" t="s">
        <v>35</v>
      </c>
      <c r="B6" s="1042"/>
      <c r="C6" s="1042"/>
      <c r="D6" s="1042"/>
      <c r="E6" s="1042"/>
      <c r="F6" s="1042"/>
      <c r="I6" s="1041" t="s">
        <v>1118</v>
      </c>
      <c r="J6" s="1041"/>
      <c r="K6" s="1041"/>
      <c r="L6" s="1041"/>
      <c r="M6" s="1041"/>
      <c r="N6" s="26"/>
      <c r="O6" s="1041" t="s">
        <v>1117</v>
      </c>
      <c r="P6" s="1041"/>
      <c r="Q6" s="1041"/>
      <c r="R6" s="1041"/>
      <c r="S6" s="1041"/>
    </row>
    <row r="7" spans="1:33" ht="60">
      <c r="B7" s="324" t="s">
        <v>24</v>
      </c>
      <c r="C7" s="343" t="s">
        <v>1092</v>
      </c>
      <c r="D7" s="345" t="s">
        <v>1129</v>
      </c>
      <c r="E7" s="345" t="s">
        <v>1307</v>
      </c>
      <c r="F7" s="326" t="s">
        <v>1128</v>
      </c>
      <c r="G7" s="30"/>
      <c r="H7" s="167"/>
      <c r="I7" s="327" t="s">
        <v>1063</v>
      </c>
      <c r="J7" s="345" t="s">
        <v>1092</v>
      </c>
      <c r="K7" s="345" t="s">
        <v>1129</v>
      </c>
      <c r="L7" s="345" t="s">
        <v>1307</v>
      </c>
      <c r="M7" s="326" t="s">
        <v>1128</v>
      </c>
      <c r="N7" s="28"/>
      <c r="O7" s="327" t="s">
        <v>1063</v>
      </c>
      <c r="P7" s="345" t="s">
        <v>1092</v>
      </c>
      <c r="Q7" s="345" t="s">
        <v>1093</v>
      </c>
      <c r="R7" s="345" t="s">
        <v>1307</v>
      </c>
      <c r="S7" s="326" t="s">
        <v>1128</v>
      </c>
      <c r="T7" s="167"/>
      <c r="U7" s="167"/>
      <c r="V7" s="167"/>
      <c r="W7" s="167"/>
      <c r="X7" s="167"/>
      <c r="Y7" s="167"/>
      <c r="Z7" s="167"/>
      <c r="AA7" s="167"/>
      <c r="AB7" s="167"/>
      <c r="AC7" s="167"/>
      <c r="AD7" s="167"/>
      <c r="AE7" s="167"/>
      <c r="AF7" s="167"/>
      <c r="AG7" s="167"/>
    </row>
    <row r="8" spans="1:33">
      <c r="A8" s="19">
        <f>YEAR(B8)</f>
        <v>1989</v>
      </c>
      <c r="B8" s="16">
        <v>32660</v>
      </c>
      <c r="C8" s="529">
        <v>527</v>
      </c>
      <c r="D8" s="529">
        <f t="shared" ref="D8:D39" si="0">E8-C8</f>
        <v>479</v>
      </c>
      <c r="E8" s="528">
        <v>1006</v>
      </c>
      <c r="F8" s="709">
        <f t="shared" ref="F8:F39" si="1">C8/E8</f>
        <v>0.52385685884691846</v>
      </c>
      <c r="G8" s="30"/>
      <c r="I8" s="492">
        <f t="shared" ref="I8:I13" si="2">I9-1</f>
        <v>2011</v>
      </c>
      <c r="J8" s="532">
        <f t="shared" ref="J8:J17" si="3">SUMIF($A$8:$A$507,$I8,C$8:C$510)</f>
        <v>35031</v>
      </c>
      <c r="K8" s="533">
        <f t="shared" ref="K8:K15" si="4">L8-J8</f>
        <v>27091</v>
      </c>
      <c r="L8" s="533">
        <f t="shared" ref="L8:L16" si="5">SUMIF($A$8:$A$507,$I8,E$8:E$510)</f>
        <v>62122</v>
      </c>
      <c r="M8" s="332">
        <f t="shared" ref="M8:M15" si="6">J8/L8</f>
        <v>0.56390650655162422</v>
      </c>
      <c r="N8" s="27"/>
      <c r="O8" s="492" t="str">
        <f t="shared" ref="O8:O17" ca="1" si="7">IF($I$3="Calendar Year",CONCATENATE(I8,"-",I8+1),CONCATENATE(I8,"-",I8+1))</f>
        <v>2011-2012</v>
      </c>
      <c r="P8" s="532">
        <f>SUM(C97:C100)</f>
        <v>45071</v>
      </c>
      <c r="Q8" s="533">
        <f t="shared" ref="Q8:Q15" si="8">R8-P8</f>
        <v>36926</v>
      </c>
      <c r="R8" s="533">
        <f>SUM(E97:E100)</f>
        <v>81997</v>
      </c>
      <c r="S8" s="332">
        <f t="shared" ref="S8:S15" si="9">P8/R8</f>
        <v>0.54966645121162971</v>
      </c>
      <c r="W8" s="180"/>
      <c r="X8" s="180"/>
      <c r="Y8" s="180"/>
      <c r="Z8" s="180"/>
    </row>
    <row r="9" spans="1:33">
      <c r="A9" s="19">
        <f t="shared" ref="A9:A72" si="10">YEAR(B9)</f>
        <v>1989</v>
      </c>
      <c r="B9" s="16">
        <v>32752</v>
      </c>
      <c r="C9" s="527">
        <v>594</v>
      </c>
      <c r="D9" s="527">
        <f t="shared" si="0"/>
        <v>452</v>
      </c>
      <c r="E9" s="526">
        <v>1046</v>
      </c>
      <c r="F9" s="710">
        <f t="shared" si="1"/>
        <v>0.56787762906309747</v>
      </c>
      <c r="G9" s="30"/>
      <c r="I9" s="484">
        <f t="shared" si="2"/>
        <v>2012</v>
      </c>
      <c r="J9" s="534">
        <f t="shared" si="3"/>
        <v>51040</v>
      </c>
      <c r="K9" s="535">
        <f t="shared" si="4"/>
        <v>43440</v>
      </c>
      <c r="L9" s="535">
        <f t="shared" si="5"/>
        <v>94480</v>
      </c>
      <c r="M9" s="333">
        <f t="shared" si="6"/>
        <v>0.5402201524132092</v>
      </c>
      <c r="N9" s="27"/>
      <c r="O9" s="484" t="str">
        <f t="shared" ca="1" si="7"/>
        <v>2012-2013</v>
      </c>
      <c r="P9" s="534">
        <f>SUM(C101:C104)</f>
        <v>48200</v>
      </c>
      <c r="Q9" s="535">
        <f t="shared" si="8"/>
        <v>46509</v>
      </c>
      <c r="R9" s="535">
        <f>SUM(E101:E104)</f>
        <v>94709</v>
      </c>
      <c r="S9" s="333">
        <f t="shared" si="9"/>
        <v>0.50892734586998067</v>
      </c>
      <c r="W9" s="180"/>
      <c r="X9" s="180"/>
      <c r="Y9" s="180"/>
      <c r="Z9" s="180"/>
    </row>
    <row r="10" spans="1:33">
      <c r="A10" s="19">
        <f t="shared" si="10"/>
        <v>1989</v>
      </c>
      <c r="B10" s="16">
        <v>32843</v>
      </c>
      <c r="C10" s="529">
        <v>576</v>
      </c>
      <c r="D10" s="529">
        <f t="shared" si="0"/>
        <v>548</v>
      </c>
      <c r="E10" s="528">
        <v>1124</v>
      </c>
      <c r="F10" s="709">
        <f t="shared" si="1"/>
        <v>0.51245551601423489</v>
      </c>
      <c r="G10" s="30"/>
      <c r="I10" s="492">
        <f t="shared" si="2"/>
        <v>2013</v>
      </c>
      <c r="J10" s="532">
        <f t="shared" si="3"/>
        <v>46786</v>
      </c>
      <c r="K10" s="533">
        <f t="shared" si="4"/>
        <v>47112</v>
      </c>
      <c r="L10" s="533">
        <f t="shared" si="5"/>
        <v>93898</v>
      </c>
      <c r="M10" s="332">
        <f t="shared" si="6"/>
        <v>0.49826407378218918</v>
      </c>
      <c r="N10" s="27"/>
      <c r="O10" s="492" t="str">
        <f t="shared" ca="1" si="7"/>
        <v>2013-2014</v>
      </c>
      <c r="P10" s="532">
        <f>SUM(C105:C108)</f>
        <v>46759</v>
      </c>
      <c r="Q10" s="533">
        <f t="shared" si="8"/>
        <v>43633</v>
      </c>
      <c r="R10" s="533">
        <f>SUM(E105:E108)</f>
        <v>90392</v>
      </c>
      <c r="S10" s="332">
        <f t="shared" si="9"/>
        <v>0.51729135321709885</v>
      </c>
      <c r="W10" s="180"/>
      <c r="X10" s="180"/>
      <c r="Y10" s="180"/>
      <c r="Z10" s="180"/>
    </row>
    <row r="11" spans="1:33">
      <c r="A11" s="19">
        <f t="shared" si="10"/>
        <v>1990</v>
      </c>
      <c r="B11" s="16">
        <v>32933</v>
      </c>
      <c r="C11" s="527">
        <v>465</v>
      </c>
      <c r="D11" s="527">
        <f t="shared" si="0"/>
        <v>431</v>
      </c>
      <c r="E11" s="526">
        <v>896</v>
      </c>
      <c r="F11" s="710">
        <f t="shared" si="1"/>
        <v>0.5189732142857143</v>
      </c>
      <c r="G11" s="30"/>
      <c r="I11" s="484">
        <f t="shared" si="2"/>
        <v>2014</v>
      </c>
      <c r="J11" s="534">
        <f t="shared" si="3"/>
        <v>46211</v>
      </c>
      <c r="K11" s="535">
        <f t="shared" si="4"/>
        <v>37335</v>
      </c>
      <c r="L11" s="535">
        <f t="shared" si="5"/>
        <v>83546</v>
      </c>
      <c r="M11" s="333">
        <f t="shared" si="6"/>
        <v>0.55312043664568022</v>
      </c>
      <c r="N11" s="27"/>
      <c r="O11" s="484" t="str">
        <f t="shared" ca="1" si="7"/>
        <v>2014-2015</v>
      </c>
      <c r="P11" s="534">
        <f>SUM(C109:C112)</f>
        <v>45990</v>
      </c>
      <c r="Q11" s="535">
        <f t="shared" si="8"/>
        <v>30127</v>
      </c>
      <c r="R11" s="535">
        <f>SUM(E109:E112)</f>
        <v>76117</v>
      </c>
      <c r="S11" s="333">
        <f t="shared" si="9"/>
        <v>0.60420142675092292</v>
      </c>
      <c r="W11" s="180"/>
      <c r="X11" s="180"/>
      <c r="Y11" s="180"/>
      <c r="Z11" s="180"/>
    </row>
    <row r="12" spans="1:33">
      <c r="A12" s="19">
        <f t="shared" si="10"/>
        <v>1990</v>
      </c>
      <c r="B12" s="16">
        <v>33025</v>
      </c>
      <c r="C12" s="529">
        <v>469</v>
      </c>
      <c r="D12" s="529">
        <f t="shared" si="0"/>
        <v>570</v>
      </c>
      <c r="E12" s="528">
        <v>1039</v>
      </c>
      <c r="F12" s="709">
        <f t="shared" si="1"/>
        <v>0.45139557266602504</v>
      </c>
      <c r="G12" s="30"/>
      <c r="I12" s="492">
        <f t="shared" si="2"/>
        <v>2015</v>
      </c>
      <c r="J12" s="532">
        <f t="shared" si="3"/>
        <v>42384</v>
      </c>
      <c r="K12" s="533">
        <f t="shared" si="4"/>
        <v>22784</v>
      </c>
      <c r="L12" s="533">
        <f t="shared" si="5"/>
        <v>65168</v>
      </c>
      <c r="M12" s="332">
        <f t="shared" si="6"/>
        <v>0.65038055487355761</v>
      </c>
      <c r="N12" s="27"/>
      <c r="O12" s="492" t="str">
        <f t="shared" ca="1" si="7"/>
        <v>2015-2016</v>
      </c>
      <c r="P12" s="532">
        <f>SUM(C113:C116)</f>
        <v>35211</v>
      </c>
      <c r="Q12" s="533">
        <f t="shared" si="8"/>
        <v>18178</v>
      </c>
      <c r="R12" s="533">
        <f>SUM(E113:E116)</f>
        <v>53389</v>
      </c>
      <c r="S12" s="332">
        <f t="shared" si="9"/>
        <v>0.6595178782146135</v>
      </c>
      <c r="W12" s="180"/>
      <c r="X12" s="180"/>
      <c r="Y12" s="180"/>
      <c r="Z12" s="180"/>
    </row>
    <row r="13" spans="1:33">
      <c r="A13" s="19">
        <f t="shared" si="10"/>
        <v>1990</v>
      </c>
      <c r="B13" s="16">
        <v>33117</v>
      </c>
      <c r="C13" s="527">
        <v>513</v>
      </c>
      <c r="D13" s="527">
        <f t="shared" si="0"/>
        <v>631</v>
      </c>
      <c r="E13" s="526">
        <v>1144</v>
      </c>
      <c r="F13" s="710">
        <f t="shared" si="1"/>
        <v>0.44842657342657344</v>
      </c>
      <c r="G13" s="30"/>
      <c r="I13" s="484">
        <f t="shared" si="2"/>
        <v>2016</v>
      </c>
      <c r="J13" s="534">
        <f t="shared" si="3"/>
        <v>26880</v>
      </c>
      <c r="K13" s="535">
        <f t="shared" si="4"/>
        <v>16045</v>
      </c>
      <c r="L13" s="535">
        <f t="shared" si="5"/>
        <v>42925</v>
      </c>
      <c r="M13" s="333">
        <f t="shared" si="6"/>
        <v>0.62620850320326149</v>
      </c>
      <c r="N13" s="27"/>
      <c r="O13" s="484" t="str">
        <f t="shared" ca="1" si="7"/>
        <v>2016-2017</v>
      </c>
      <c r="P13" s="534">
        <f>SUM(C117:C120)</f>
        <v>22230</v>
      </c>
      <c r="Q13" s="535">
        <f t="shared" si="8"/>
        <v>16520</v>
      </c>
      <c r="R13" s="535">
        <f>SUM(E117:E120)</f>
        <v>38750</v>
      </c>
      <c r="S13" s="333">
        <f t="shared" si="9"/>
        <v>0.57367741935483874</v>
      </c>
      <c r="W13" s="180"/>
      <c r="X13" s="180"/>
      <c r="Y13" s="180"/>
      <c r="Z13" s="180"/>
    </row>
    <row r="14" spans="1:33">
      <c r="A14" s="19">
        <f t="shared" si="10"/>
        <v>1990</v>
      </c>
      <c r="B14" s="16">
        <v>33208</v>
      </c>
      <c r="C14" s="529">
        <v>490</v>
      </c>
      <c r="D14" s="529">
        <f t="shared" si="0"/>
        <v>770</v>
      </c>
      <c r="E14" s="528">
        <v>1260</v>
      </c>
      <c r="F14" s="709">
        <f t="shared" si="1"/>
        <v>0.3888888888888889</v>
      </c>
      <c r="G14" s="30"/>
      <c r="I14" s="492">
        <v>2017</v>
      </c>
      <c r="J14" s="532">
        <f t="shared" si="3"/>
        <v>20458</v>
      </c>
      <c r="K14" s="533">
        <f t="shared" si="4"/>
        <v>16879</v>
      </c>
      <c r="L14" s="533">
        <f t="shared" si="5"/>
        <v>37337</v>
      </c>
      <c r="M14" s="332">
        <f t="shared" si="6"/>
        <v>0.54792832846773976</v>
      </c>
      <c r="N14" s="27"/>
      <c r="O14" s="492" t="str">
        <f t="shared" ca="1" si="7"/>
        <v>2017-2018</v>
      </c>
      <c r="P14" s="532">
        <f>SUM(C121:C124)</f>
        <v>19173</v>
      </c>
      <c r="Q14" s="533">
        <f t="shared" si="8"/>
        <v>17215</v>
      </c>
      <c r="R14" s="533">
        <f>SUM(E121:E124)</f>
        <v>36388</v>
      </c>
      <c r="S14" s="332">
        <f t="shared" si="9"/>
        <v>0.52690447400241835</v>
      </c>
      <c r="W14" s="180"/>
      <c r="X14" s="180"/>
      <c r="Y14" s="180"/>
      <c r="Z14" s="180"/>
    </row>
    <row r="15" spans="1:33">
      <c r="A15" s="19">
        <f t="shared" si="10"/>
        <v>1991</v>
      </c>
      <c r="B15" s="16">
        <v>33298</v>
      </c>
      <c r="C15" s="527">
        <v>457</v>
      </c>
      <c r="D15" s="527">
        <f t="shared" si="0"/>
        <v>612</v>
      </c>
      <c r="E15" s="526">
        <v>1069</v>
      </c>
      <c r="F15" s="710">
        <f t="shared" si="1"/>
        <v>0.42750233863423759</v>
      </c>
      <c r="G15" s="30"/>
      <c r="I15" s="484">
        <v>2018</v>
      </c>
      <c r="J15" s="534">
        <f t="shared" si="3"/>
        <v>17793</v>
      </c>
      <c r="K15" s="535">
        <f t="shared" si="4"/>
        <v>16802</v>
      </c>
      <c r="L15" s="535">
        <f t="shared" si="5"/>
        <v>34595</v>
      </c>
      <c r="M15" s="333">
        <f t="shared" si="6"/>
        <v>0.51432287902876139</v>
      </c>
      <c r="N15" s="27"/>
      <c r="O15" s="484" t="str">
        <f t="shared" ca="1" si="7"/>
        <v>2018-2019</v>
      </c>
      <c r="P15" s="534">
        <f>SUM(C125:C128)</f>
        <v>16968</v>
      </c>
      <c r="Q15" s="535">
        <f t="shared" si="8"/>
        <v>16386</v>
      </c>
      <c r="R15" s="535">
        <f>SUM(E125:E128)</f>
        <v>33354</v>
      </c>
      <c r="S15" s="333">
        <f t="shared" si="9"/>
        <v>0.50872459075373266</v>
      </c>
      <c r="W15" s="180"/>
      <c r="X15" s="180"/>
      <c r="Y15" s="180"/>
      <c r="Z15" s="180"/>
    </row>
    <row r="16" spans="1:33">
      <c r="A16" s="19">
        <f t="shared" si="10"/>
        <v>1991</v>
      </c>
      <c r="B16" s="16">
        <v>33390</v>
      </c>
      <c r="C16" s="529">
        <v>473</v>
      </c>
      <c r="D16" s="529">
        <f t="shared" si="0"/>
        <v>677</v>
      </c>
      <c r="E16" s="528">
        <v>1150</v>
      </c>
      <c r="F16" s="709">
        <f t="shared" si="1"/>
        <v>0.41130434782608694</v>
      </c>
      <c r="G16" s="30"/>
      <c r="I16" s="492">
        <v>2019</v>
      </c>
      <c r="J16" s="532">
        <f t="shared" si="3"/>
        <v>17236</v>
      </c>
      <c r="K16" s="533">
        <f t="shared" ref="K16:K17" si="11">L16-J16</f>
        <v>16656</v>
      </c>
      <c r="L16" s="533">
        <f t="shared" si="5"/>
        <v>33892</v>
      </c>
      <c r="M16" s="332">
        <f t="shared" ref="M16:M17" si="12">J16/L16</f>
        <v>0.50855659152602384</v>
      </c>
      <c r="N16" s="27"/>
      <c r="O16" s="492" t="str">
        <f t="shared" ca="1" si="7"/>
        <v>2019-2020</v>
      </c>
      <c r="P16" s="532">
        <f>SUM(C129:C132)</f>
        <v>18961</v>
      </c>
      <c r="Q16" s="533">
        <f t="shared" ref="Q16" si="13">R16-P16</f>
        <v>16194</v>
      </c>
      <c r="R16" s="533">
        <f>SUM(E129:E132)</f>
        <v>35155</v>
      </c>
      <c r="S16" s="332">
        <f t="shared" ref="S16" si="14">P16/R16</f>
        <v>0.53935428815246766</v>
      </c>
      <c r="W16" s="180"/>
      <c r="X16" s="180"/>
      <c r="Y16" s="180"/>
      <c r="Z16" s="180"/>
    </row>
    <row r="17" spans="1:26" ht="15.75" thickBot="1">
      <c r="A17" s="19">
        <f t="shared" si="10"/>
        <v>1991</v>
      </c>
      <c r="B17" s="16">
        <v>33482</v>
      </c>
      <c r="C17" s="527">
        <v>444</v>
      </c>
      <c r="D17" s="527">
        <f t="shared" si="0"/>
        <v>596</v>
      </c>
      <c r="E17" s="526">
        <v>1040</v>
      </c>
      <c r="F17" s="710">
        <f t="shared" si="1"/>
        <v>0.42692307692307691</v>
      </c>
      <c r="G17" s="30"/>
      <c r="I17" s="493">
        <v>2020</v>
      </c>
      <c r="J17" s="991">
        <f t="shared" si="3"/>
        <v>19993</v>
      </c>
      <c r="K17" s="992">
        <f t="shared" si="11"/>
        <v>15165</v>
      </c>
      <c r="L17" s="992">
        <f>SUMIF($A$8:$A$507,$I17,E$8:E$510)</f>
        <v>35158</v>
      </c>
      <c r="M17" s="496">
        <f t="shared" si="12"/>
        <v>0.56866147107343989</v>
      </c>
      <c r="N17" s="27"/>
      <c r="O17" s="493" t="str">
        <f t="shared" ca="1" si="7"/>
        <v>2020-2021</v>
      </c>
      <c r="P17" s="539">
        <f>SUM(C133:C136)</f>
        <v>20584</v>
      </c>
      <c r="Q17" s="540">
        <f t="shared" ref="Q17" si="15">R17-P17</f>
        <v>14930</v>
      </c>
      <c r="R17" s="540">
        <f>SUM(E133:E136)</f>
        <v>35514</v>
      </c>
      <c r="S17" s="496">
        <f t="shared" ref="S17" si="16">P17/R17</f>
        <v>0.57960241031705806</v>
      </c>
      <c r="U17" s="180"/>
      <c r="W17" s="180"/>
      <c r="X17" s="180"/>
      <c r="Y17" s="180"/>
      <c r="Z17" s="180"/>
    </row>
    <row r="18" spans="1:26">
      <c r="A18" s="19">
        <f t="shared" si="10"/>
        <v>1991</v>
      </c>
      <c r="B18" s="16">
        <v>33573</v>
      </c>
      <c r="C18" s="529">
        <v>506</v>
      </c>
      <c r="D18" s="529">
        <f t="shared" si="0"/>
        <v>640</v>
      </c>
      <c r="E18" s="528">
        <v>1146</v>
      </c>
      <c r="F18" s="709">
        <f t="shared" si="1"/>
        <v>0.44153577661431065</v>
      </c>
      <c r="G18" s="30"/>
      <c r="J18" s="234"/>
      <c r="K18" s="235"/>
      <c r="L18" s="234"/>
      <c r="M18" s="235"/>
      <c r="S18" s="235"/>
    </row>
    <row r="19" spans="1:26">
      <c r="A19" s="19">
        <f t="shared" si="10"/>
        <v>1992</v>
      </c>
      <c r="B19" s="16">
        <v>33664</v>
      </c>
      <c r="C19" s="527">
        <v>428</v>
      </c>
      <c r="D19" s="527">
        <f t="shared" si="0"/>
        <v>465</v>
      </c>
      <c r="E19" s="526">
        <v>893</v>
      </c>
      <c r="F19" s="710">
        <f t="shared" si="1"/>
        <v>0.47928331466965285</v>
      </c>
      <c r="G19" s="30"/>
    </row>
    <row r="20" spans="1:26">
      <c r="A20" s="19">
        <f t="shared" si="10"/>
        <v>1992</v>
      </c>
      <c r="B20" s="16">
        <v>33756</v>
      </c>
      <c r="C20" s="529">
        <v>556</v>
      </c>
      <c r="D20" s="529">
        <f t="shared" si="0"/>
        <v>632</v>
      </c>
      <c r="E20" s="528">
        <v>1188</v>
      </c>
      <c r="F20" s="709">
        <f t="shared" si="1"/>
        <v>0.46801346801346799</v>
      </c>
      <c r="G20" s="30"/>
    </row>
    <row r="21" spans="1:26">
      <c r="A21" s="19">
        <f t="shared" si="10"/>
        <v>1992</v>
      </c>
      <c r="B21" s="16">
        <v>33848</v>
      </c>
      <c r="C21" s="527">
        <v>672</v>
      </c>
      <c r="D21" s="527">
        <f t="shared" si="0"/>
        <v>593</v>
      </c>
      <c r="E21" s="526">
        <v>1265</v>
      </c>
      <c r="F21" s="710">
        <f t="shared" si="1"/>
        <v>0.53122529644268779</v>
      </c>
      <c r="G21" s="30"/>
    </row>
    <row r="22" spans="1:26">
      <c r="A22" s="19">
        <f t="shared" si="10"/>
        <v>1992</v>
      </c>
      <c r="B22" s="16">
        <v>33939</v>
      </c>
      <c r="C22" s="529">
        <v>840</v>
      </c>
      <c r="D22" s="529">
        <f t="shared" si="0"/>
        <v>602</v>
      </c>
      <c r="E22" s="528">
        <v>1442</v>
      </c>
      <c r="F22" s="709">
        <f t="shared" si="1"/>
        <v>0.58252427184466016</v>
      </c>
      <c r="G22" s="30"/>
    </row>
    <row r="23" spans="1:26">
      <c r="A23" s="19">
        <f t="shared" si="10"/>
        <v>1993</v>
      </c>
      <c r="B23" s="16">
        <v>34029</v>
      </c>
      <c r="C23" s="527">
        <v>732</v>
      </c>
      <c r="D23" s="527">
        <f t="shared" si="0"/>
        <v>574</v>
      </c>
      <c r="E23" s="526">
        <v>1306</v>
      </c>
      <c r="F23" s="710">
        <f t="shared" si="1"/>
        <v>0.56049004594180707</v>
      </c>
      <c r="G23" s="30"/>
    </row>
    <row r="24" spans="1:26">
      <c r="A24" s="19">
        <f t="shared" si="10"/>
        <v>1993</v>
      </c>
      <c r="B24" s="16">
        <v>34121</v>
      </c>
      <c r="C24" s="529">
        <v>800</v>
      </c>
      <c r="D24" s="529">
        <f t="shared" si="0"/>
        <v>735</v>
      </c>
      <c r="E24" s="528">
        <v>1535</v>
      </c>
      <c r="F24" s="709">
        <f t="shared" si="1"/>
        <v>0.52117263843648209</v>
      </c>
      <c r="G24" s="30"/>
    </row>
    <row r="25" spans="1:26">
      <c r="A25" s="19">
        <f t="shared" si="10"/>
        <v>1993</v>
      </c>
      <c r="B25" s="16">
        <v>34213</v>
      </c>
      <c r="C25" s="527">
        <v>763</v>
      </c>
      <c r="D25" s="527">
        <f t="shared" si="0"/>
        <v>582</v>
      </c>
      <c r="E25" s="526">
        <v>1345</v>
      </c>
      <c r="F25" s="710">
        <f t="shared" si="1"/>
        <v>0.56728624535315986</v>
      </c>
      <c r="G25" s="30"/>
    </row>
    <row r="26" spans="1:26">
      <c r="A26" s="19">
        <f t="shared" si="10"/>
        <v>1993</v>
      </c>
      <c r="B26" s="16">
        <v>34304</v>
      </c>
      <c r="C26" s="529">
        <v>980</v>
      </c>
      <c r="D26" s="529">
        <f t="shared" si="0"/>
        <v>637</v>
      </c>
      <c r="E26" s="528">
        <v>1617</v>
      </c>
      <c r="F26" s="709">
        <f t="shared" si="1"/>
        <v>0.60606060606060608</v>
      </c>
      <c r="G26" s="30"/>
    </row>
    <row r="27" spans="1:26">
      <c r="A27" s="19">
        <f t="shared" si="10"/>
        <v>1994</v>
      </c>
      <c r="B27" s="16">
        <v>34394</v>
      </c>
      <c r="C27" s="527">
        <v>671</v>
      </c>
      <c r="D27" s="527">
        <f t="shared" si="0"/>
        <v>606</v>
      </c>
      <c r="E27" s="526">
        <v>1277</v>
      </c>
      <c r="F27" s="710">
        <f t="shared" si="1"/>
        <v>0.52545027407987466</v>
      </c>
      <c r="G27" s="30"/>
      <c r="J27" s="19"/>
    </row>
    <row r="28" spans="1:26">
      <c r="A28" s="19">
        <f t="shared" si="10"/>
        <v>1994</v>
      </c>
      <c r="B28" s="16">
        <v>34486</v>
      </c>
      <c r="C28" s="529">
        <v>772</v>
      </c>
      <c r="D28" s="529">
        <f t="shared" si="0"/>
        <v>640</v>
      </c>
      <c r="E28" s="528">
        <v>1412</v>
      </c>
      <c r="F28" s="709">
        <f t="shared" si="1"/>
        <v>0.54674220963172804</v>
      </c>
      <c r="G28" s="30"/>
    </row>
    <row r="29" spans="1:26">
      <c r="A29" s="19">
        <f t="shared" si="10"/>
        <v>1994</v>
      </c>
      <c r="B29" s="16">
        <v>34578</v>
      </c>
      <c r="C29" s="527">
        <v>662</v>
      </c>
      <c r="D29" s="527">
        <f t="shared" si="0"/>
        <v>668</v>
      </c>
      <c r="E29" s="526">
        <v>1330</v>
      </c>
      <c r="F29" s="710">
        <f t="shared" si="1"/>
        <v>0.49774436090225566</v>
      </c>
      <c r="G29" s="30"/>
    </row>
    <row r="30" spans="1:26">
      <c r="A30" s="19">
        <f t="shared" si="10"/>
        <v>1994</v>
      </c>
      <c r="B30" s="16">
        <v>34669</v>
      </c>
      <c r="C30" s="529">
        <v>1152</v>
      </c>
      <c r="D30" s="529">
        <f t="shared" si="0"/>
        <v>719</v>
      </c>
      <c r="E30" s="528">
        <v>1871</v>
      </c>
      <c r="F30" s="709">
        <f t="shared" si="1"/>
        <v>0.61571352218065201</v>
      </c>
      <c r="G30" s="30"/>
    </row>
    <row r="31" spans="1:26">
      <c r="A31" s="19">
        <f t="shared" si="10"/>
        <v>1995</v>
      </c>
      <c r="B31" s="16">
        <v>34759</v>
      </c>
      <c r="C31" s="527">
        <v>989</v>
      </c>
      <c r="D31" s="527">
        <f t="shared" si="0"/>
        <v>558</v>
      </c>
      <c r="E31" s="526">
        <v>1547</v>
      </c>
      <c r="F31" s="710">
        <f t="shared" si="1"/>
        <v>0.63930187459599219</v>
      </c>
      <c r="G31" s="30"/>
    </row>
    <row r="32" spans="1:26">
      <c r="A32" s="19">
        <f t="shared" si="10"/>
        <v>1995</v>
      </c>
      <c r="B32" s="16">
        <v>34851</v>
      </c>
      <c r="C32" s="529">
        <v>859</v>
      </c>
      <c r="D32" s="529">
        <f t="shared" si="0"/>
        <v>831</v>
      </c>
      <c r="E32" s="528">
        <v>1690</v>
      </c>
      <c r="F32" s="709">
        <f t="shared" si="1"/>
        <v>0.50828402366863901</v>
      </c>
      <c r="G32" s="30"/>
    </row>
    <row r="33" spans="1:13">
      <c r="A33" s="19">
        <f t="shared" si="10"/>
        <v>1995</v>
      </c>
      <c r="B33" s="16">
        <v>34943</v>
      </c>
      <c r="C33" s="527">
        <v>976</v>
      </c>
      <c r="D33" s="527">
        <f t="shared" si="0"/>
        <v>695</v>
      </c>
      <c r="E33" s="526">
        <v>1671</v>
      </c>
      <c r="F33" s="710">
        <f t="shared" si="1"/>
        <v>0.58408138839018553</v>
      </c>
      <c r="G33" s="30"/>
    </row>
    <row r="34" spans="1:13">
      <c r="A34" s="19">
        <f t="shared" si="10"/>
        <v>1995</v>
      </c>
      <c r="B34" s="16">
        <v>35034</v>
      </c>
      <c r="C34" s="529">
        <v>1205</v>
      </c>
      <c r="D34" s="529">
        <f t="shared" si="0"/>
        <v>806</v>
      </c>
      <c r="E34" s="528">
        <v>2011</v>
      </c>
      <c r="F34" s="709">
        <f t="shared" si="1"/>
        <v>0.59920437593237197</v>
      </c>
      <c r="G34" s="30"/>
    </row>
    <row r="35" spans="1:13">
      <c r="A35" s="19">
        <f t="shared" si="10"/>
        <v>1996</v>
      </c>
      <c r="B35" s="16">
        <v>35125</v>
      </c>
      <c r="C35" s="527">
        <v>901</v>
      </c>
      <c r="D35" s="527">
        <f t="shared" si="0"/>
        <v>813</v>
      </c>
      <c r="E35" s="526">
        <v>1714</v>
      </c>
      <c r="F35" s="710">
        <f t="shared" si="1"/>
        <v>0.52567094515752621</v>
      </c>
      <c r="G35" s="30"/>
    </row>
    <row r="36" spans="1:13">
      <c r="A36" s="19">
        <f t="shared" si="10"/>
        <v>1996</v>
      </c>
      <c r="B36" s="16">
        <v>35217</v>
      </c>
      <c r="C36" s="529">
        <v>1079</v>
      </c>
      <c r="D36" s="529">
        <f t="shared" si="0"/>
        <v>1191</v>
      </c>
      <c r="E36" s="528">
        <v>2270</v>
      </c>
      <c r="F36" s="709">
        <f t="shared" si="1"/>
        <v>0.47533039647577091</v>
      </c>
      <c r="G36" s="30"/>
    </row>
    <row r="37" spans="1:13">
      <c r="A37" s="19">
        <f t="shared" si="10"/>
        <v>1996</v>
      </c>
      <c r="B37" s="16">
        <v>35309</v>
      </c>
      <c r="C37" s="527">
        <v>815</v>
      </c>
      <c r="D37" s="527">
        <f t="shared" si="0"/>
        <v>1194</v>
      </c>
      <c r="E37" s="526">
        <v>2009</v>
      </c>
      <c r="F37" s="710">
        <f t="shared" si="1"/>
        <v>0.40567446490791437</v>
      </c>
      <c r="G37" s="31"/>
    </row>
    <row r="38" spans="1:13">
      <c r="A38" s="19">
        <f t="shared" si="10"/>
        <v>1996</v>
      </c>
      <c r="B38" s="16">
        <v>35400</v>
      </c>
      <c r="C38" s="529">
        <v>983</v>
      </c>
      <c r="D38" s="529">
        <f t="shared" si="0"/>
        <v>1375</v>
      </c>
      <c r="E38" s="528">
        <v>2358</v>
      </c>
      <c r="F38" s="709">
        <f t="shared" si="1"/>
        <v>0.41687871077184052</v>
      </c>
      <c r="G38" s="31"/>
    </row>
    <row r="39" spans="1:13" ht="15.75" customHeight="1">
      <c r="A39" s="19">
        <f t="shared" si="10"/>
        <v>1997</v>
      </c>
      <c r="B39" s="16">
        <v>35490</v>
      </c>
      <c r="C39" s="527">
        <v>995</v>
      </c>
      <c r="D39" s="527">
        <f t="shared" si="0"/>
        <v>1241</v>
      </c>
      <c r="E39" s="526">
        <v>2236</v>
      </c>
      <c r="F39" s="710">
        <f t="shared" si="1"/>
        <v>0.44499105545617174</v>
      </c>
      <c r="G39" s="31"/>
      <c r="J39" s="265"/>
      <c r="K39" s="265"/>
      <c r="L39" s="265"/>
      <c r="M39" s="265"/>
    </row>
    <row r="40" spans="1:13">
      <c r="A40" s="19">
        <f t="shared" si="10"/>
        <v>1997</v>
      </c>
      <c r="B40" s="16">
        <v>35582</v>
      </c>
      <c r="C40" s="529">
        <v>1107</v>
      </c>
      <c r="D40" s="529">
        <f t="shared" ref="D40:D71" si="17">E40-C40</f>
        <v>1276</v>
      </c>
      <c r="E40" s="528">
        <v>2383</v>
      </c>
      <c r="F40" s="709">
        <f t="shared" ref="F40:F71" si="18">C40/E40</f>
        <v>0.46454049517415025</v>
      </c>
      <c r="G40" s="31"/>
      <c r="J40" s="265"/>
      <c r="K40" s="265"/>
      <c r="L40" s="265"/>
      <c r="M40" s="265"/>
    </row>
    <row r="41" spans="1:13">
      <c r="A41" s="19">
        <f t="shared" si="10"/>
        <v>1997</v>
      </c>
      <c r="B41" s="16">
        <v>35674</v>
      </c>
      <c r="C41" s="527">
        <v>1145</v>
      </c>
      <c r="D41" s="527">
        <f t="shared" si="17"/>
        <v>1417</v>
      </c>
      <c r="E41" s="526">
        <v>2562</v>
      </c>
      <c r="F41" s="710">
        <f t="shared" si="18"/>
        <v>0.44691647150663544</v>
      </c>
      <c r="G41" s="31"/>
      <c r="J41" s="265"/>
      <c r="K41" s="265"/>
      <c r="L41" s="265"/>
      <c r="M41" s="265"/>
    </row>
    <row r="42" spans="1:13">
      <c r="A42" s="19">
        <f t="shared" si="10"/>
        <v>1997</v>
      </c>
      <c r="B42" s="16">
        <v>35765</v>
      </c>
      <c r="C42" s="529">
        <v>1455</v>
      </c>
      <c r="D42" s="529">
        <f t="shared" si="17"/>
        <v>1655</v>
      </c>
      <c r="E42" s="528">
        <v>3110</v>
      </c>
      <c r="F42" s="709">
        <f t="shared" si="18"/>
        <v>0.46784565916398713</v>
      </c>
      <c r="G42" s="31"/>
      <c r="J42" s="265"/>
      <c r="K42" s="265"/>
      <c r="L42" s="265"/>
      <c r="M42" s="265"/>
    </row>
    <row r="43" spans="1:13">
      <c r="A43" s="19">
        <f t="shared" si="10"/>
        <v>1998</v>
      </c>
      <c r="B43" s="16">
        <v>35855</v>
      </c>
      <c r="C43" s="527">
        <v>1439</v>
      </c>
      <c r="D43" s="527">
        <f t="shared" si="17"/>
        <v>1207</v>
      </c>
      <c r="E43" s="526">
        <v>2646</v>
      </c>
      <c r="F43" s="710">
        <f t="shared" si="18"/>
        <v>0.54383975812547236</v>
      </c>
      <c r="G43" s="31"/>
      <c r="J43" s="265"/>
      <c r="K43" s="265"/>
      <c r="L43" s="265"/>
      <c r="M43" s="265"/>
    </row>
    <row r="44" spans="1:13">
      <c r="A44" s="19">
        <f t="shared" si="10"/>
        <v>1998</v>
      </c>
      <c r="B44" s="16">
        <v>35947</v>
      </c>
      <c r="C44" s="529">
        <v>1539</v>
      </c>
      <c r="D44" s="529">
        <f t="shared" si="17"/>
        <v>1503</v>
      </c>
      <c r="E44" s="528">
        <v>3042</v>
      </c>
      <c r="F44" s="709">
        <f t="shared" si="18"/>
        <v>0.50591715976331364</v>
      </c>
      <c r="G44" s="31"/>
      <c r="J44" s="265"/>
      <c r="K44" s="265"/>
      <c r="L44" s="265"/>
      <c r="M44" s="265"/>
    </row>
    <row r="45" spans="1:13">
      <c r="A45" s="19">
        <f t="shared" si="10"/>
        <v>1998</v>
      </c>
      <c r="B45" s="16">
        <v>36039</v>
      </c>
      <c r="C45" s="527">
        <v>1132</v>
      </c>
      <c r="D45" s="527">
        <f t="shared" si="17"/>
        <v>1510</v>
      </c>
      <c r="E45" s="526">
        <v>2642</v>
      </c>
      <c r="F45" s="710">
        <f t="shared" si="18"/>
        <v>0.42846328538985617</v>
      </c>
      <c r="G45" s="31"/>
      <c r="J45" s="265"/>
      <c r="K45" s="265"/>
      <c r="L45" s="265"/>
      <c r="M45" s="265"/>
    </row>
    <row r="46" spans="1:13" ht="15" customHeight="1">
      <c r="A46" s="19">
        <f t="shared" si="10"/>
        <v>1998</v>
      </c>
      <c r="B46" s="16">
        <v>36130</v>
      </c>
      <c r="C46" s="529">
        <v>736</v>
      </c>
      <c r="D46" s="529">
        <f t="shared" si="17"/>
        <v>1760</v>
      </c>
      <c r="E46" s="528">
        <v>2496</v>
      </c>
      <c r="F46" s="709">
        <f t="shared" si="18"/>
        <v>0.29487179487179488</v>
      </c>
      <c r="G46" s="31"/>
      <c r="J46" s="265"/>
      <c r="K46" s="265"/>
      <c r="L46" s="265"/>
      <c r="M46" s="265"/>
    </row>
    <row r="47" spans="1:13">
      <c r="A47" s="19">
        <f t="shared" si="10"/>
        <v>1999</v>
      </c>
      <c r="B47" s="16">
        <v>36220</v>
      </c>
      <c r="C47" s="527">
        <v>818</v>
      </c>
      <c r="D47" s="527">
        <f t="shared" si="17"/>
        <v>1177</v>
      </c>
      <c r="E47" s="526">
        <v>1995</v>
      </c>
      <c r="F47" s="710">
        <f t="shared" si="18"/>
        <v>0.41002506265664163</v>
      </c>
      <c r="G47" s="31"/>
      <c r="J47" s="265"/>
      <c r="K47" s="265"/>
      <c r="L47" s="265"/>
      <c r="M47" s="265"/>
    </row>
    <row r="48" spans="1:13">
      <c r="A48" s="19">
        <f t="shared" si="10"/>
        <v>1999</v>
      </c>
      <c r="B48" s="16">
        <v>36312</v>
      </c>
      <c r="C48" s="529">
        <v>681</v>
      </c>
      <c r="D48" s="529">
        <f t="shared" si="17"/>
        <v>1251</v>
      </c>
      <c r="E48" s="528">
        <v>1932</v>
      </c>
      <c r="F48" s="709">
        <f t="shared" si="18"/>
        <v>0.35248447204968947</v>
      </c>
      <c r="G48" s="31"/>
      <c r="J48" s="265"/>
      <c r="K48" s="265"/>
      <c r="L48" s="265"/>
      <c r="M48" s="265"/>
    </row>
    <row r="49" spans="1:7">
      <c r="A49" s="19">
        <f t="shared" si="10"/>
        <v>1999</v>
      </c>
      <c r="B49" s="16">
        <v>36404</v>
      </c>
      <c r="C49" s="527">
        <v>683</v>
      </c>
      <c r="D49" s="527">
        <f t="shared" si="17"/>
        <v>1238</v>
      </c>
      <c r="E49" s="526">
        <v>1921</v>
      </c>
      <c r="F49" s="710">
        <f t="shared" si="18"/>
        <v>0.35554398750650701</v>
      </c>
      <c r="G49" s="31"/>
    </row>
    <row r="50" spans="1:7">
      <c r="A50" s="19">
        <f t="shared" si="10"/>
        <v>1999</v>
      </c>
      <c r="B50" s="16">
        <v>36495</v>
      </c>
      <c r="C50" s="529">
        <v>488</v>
      </c>
      <c r="D50" s="529">
        <f t="shared" si="17"/>
        <v>861</v>
      </c>
      <c r="E50" s="528">
        <v>1349</v>
      </c>
      <c r="F50" s="709">
        <f t="shared" si="18"/>
        <v>0.36174944403261677</v>
      </c>
      <c r="G50" s="31"/>
    </row>
    <row r="51" spans="1:7">
      <c r="A51" s="19">
        <f t="shared" si="10"/>
        <v>2000</v>
      </c>
      <c r="B51" s="16">
        <v>36586</v>
      </c>
      <c r="C51" s="527">
        <v>356</v>
      </c>
      <c r="D51" s="527">
        <f t="shared" si="17"/>
        <v>699</v>
      </c>
      <c r="E51" s="526">
        <v>1055</v>
      </c>
      <c r="F51" s="710">
        <f t="shared" si="18"/>
        <v>0.33744075829383885</v>
      </c>
      <c r="G51" s="31"/>
    </row>
    <row r="52" spans="1:7">
      <c r="A52" s="19">
        <f t="shared" si="10"/>
        <v>2000</v>
      </c>
      <c r="B52" s="16">
        <v>36678</v>
      </c>
      <c r="C52" s="529">
        <v>641</v>
      </c>
      <c r="D52" s="529">
        <f t="shared" si="17"/>
        <v>706</v>
      </c>
      <c r="E52" s="528">
        <v>1347</v>
      </c>
      <c r="F52" s="709">
        <f t="shared" si="18"/>
        <v>0.47587230883444692</v>
      </c>
      <c r="G52" s="31"/>
    </row>
    <row r="53" spans="1:7">
      <c r="A53" s="19">
        <f t="shared" si="10"/>
        <v>2000</v>
      </c>
      <c r="B53" s="16">
        <v>36770</v>
      </c>
      <c r="C53" s="527">
        <v>405</v>
      </c>
      <c r="D53" s="527">
        <f t="shared" si="17"/>
        <v>715</v>
      </c>
      <c r="E53" s="526">
        <v>1120</v>
      </c>
      <c r="F53" s="710">
        <f t="shared" si="18"/>
        <v>0.36160714285714285</v>
      </c>
      <c r="G53" s="31"/>
    </row>
    <row r="54" spans="1:7">
      <c r="A54" s="19">
        <f t="shared" si="10"/>
        <v>2000</v>
      </c>
      <c r="B54" s="16">
        <v>36861</v>
      </c>
      <c r="C54" s="529">
        <v>472</v>
      </c>
      <c r="D54" s="529">
        <f t="shared" si="17"/>
        <v>925</v>
      </c>
      <c r="E54" s="528">
        <v>1397</v>
      </c>
      <c r="F54" s="709">
        <f t="shared" si="18"/>
        <v>0.33786685755189694</v>
      </c>
      <c r="G54" s="31"/>
    </row>
    <row r="55" spans="1:7">
      <c r="A55" s="19">
        <f t="shared" si="10"/>
        <v>2001</v>
      </c>
      <c r="B55" s="16">
        <v>36951</v>
      </c>
      <c r="C55" s="527">
        <v>690</v>
      </c>
      <c r="D55" s="527">
        <f t="shared" si="17"/>
        <v>757</v>
      </c>
      <c r="E55" s="526">
        <v>1447</v>
      </c>
      <c r="F55" s="710">
        <f t="shared" si="18"/>
        <v>0.47684865238424329</v>
      </c>
      <c r="G55" s="31"/>
    </row>
    <row r="56" spans="1:7">
      <c r="A56" s="19">
        <f t="shared" si="10"/>
        <v>2001</v>
      </c>
      <c r="B56" s="16">
        <v>37043</v>
      </c>
      <c r="C56" s="529">
        <v>778</v>
      </c>
      <c r="D56" s="529">
        <f t="shared" si="17"/>
        <v>987</v>
      </c>
      <c r="E56" s="528">
        <v>1765</v>
      </c>
      <c r="F56" s="709">
        <f t="shared" si="18"/>
        <v>0.44079320113314446</v>
      </c>
      <c r="G56" s="31"/>
    </row>
    <row r="57" spans="1:7">
      <c r="A57" s="19">
        <f t="shared" si="10"/>
        <v>2001</v>
      </c>
      <c r="B57" s="16">
        <v>37135</v>
      </c>
      <c r="C57" s="527">
        <v>805</v>
      </c>
      <c r="D57" s="527">
        <f t="shared" si="17"/>
        <v>1010</v>
      </c>
      <c r="E57" s="526">
        <v>1815</v>
      </c>
      <c r="F57" s="710">
        <f t="shared" si="18"/>
        <v>0.44352617079889806</v>
      </c>
      <c r="G57" s="31"/>
    </row>
    <row r="58" spans="1:7">
      <c r="A58" s="19">
        <f t="shared" si="10"/>
        <v>2001</v>
      </c>
      <c r="B58" s="16">
        <v>37226</v>
      </c>
      <c r="C58" s="529">
        <v>749</v>
      </c>
      <c r="D58" s="529">
        <f t="shared" si="17"/>
        <v>1234</v>
      </c>
      <c r="E58" s="528">
        <v>1983</v>
      </c>
      <c r="F58" s="709">
        <f t="shared" si="18"/>
        <v>0.37771053958648515</v>
      </c>
      <c r="G58" s="31"/>
    </row>
    <row r="59" spans="1:7">
      <c r="A59" s="19">
        <f t="shared" si="10"/>
        <v>2002</v>
      </c>
      <c r="B59" s="16">
        <v>37316</v>
      </c>
      <c r="C59" s="527">
        <v>532</v>
      </c>
      <c r="D59" s="527">
        <f t="shared" si="17"/>
        <v>1165</v>
      </c>
      <c r="E59" s="526">
        <v>1697</v>
      </c>
      <c r="F59" s="710">
        <f t="shared" si="18"/>
        <v>0.31349440188568062</v>
      </c>
      <c r="G59" s="31"/>
    </row>
    <row r="60" spans="1:7">
      <c r="A60" s="19">
        <f t="shared" si="10"/>
        <v>2002</v>
      </c>
      <c r="B60" s="16">
        <v>37408</v>
      </c>
      <c r="C60" s="529">
        <v>731</v>
      </c>
      <c r="D60" s="529">
        <f t="shared" si="17"/>
        <v>1370</v>
      </c>
      <c r="E60" s="528">
        <v>2101</v>
      </c>
      <c r="F60" s="709">
        <f t="shared" si="18"/>
        <v>0.34792955735364112</v>
      </c>
      <c r="G60" s="31"/>
    </row>
    <row r="61" spans="1:7">
      <c r="A61" s="19">
        <f t="shared" si="10"/>
        <v>2002</v>
      </c>
      <c r="B61" s="16">
        <v>37500</v>
      </c>
      <c r="C61" s="527">
        <v>707</v>
      </c>
      <c r="D61" s="527">
        <f t="shared" si="17"/>
        <v>1368</v>
      </c>
      <c r="E61" s="526">
        <v>2075</v>
      </c>
      <c r="F61" s="710">
        <f t="shared" si="18"/>
        <v>0.34072289156626506</v>
      </c>
      <c r="G61" s="31"/>
    </row>
    <row r="62" spans="1:7">
      <c r="A62" s="19">
        <f t="shared" si="10"/>
        <v>2002</v>
      </c>
      <c r="B62" s="16">
        <v>37591</v>
      </c>
      <c r="C62" s="529">
        <v>882</v>
      </c>
      <c r="D62" s="529">
        <f t="shared" si="17"/>
        <v>1632</v>
      </c>
      <c r="E62" s="528">
        <v>2514</v>
      </c>
      <c r="F62" s="709">
        <f t="shared" si="18"/>
        <v>0.35083532219570407</v>
      </c>
      <c r="G62" s="31"/>
    </row>
    <row r="63" spans="1:7">
      <c r="A63" s="19">
        <f t="shared" si="10"/>
        <v>2003</v>
      </c>
      <c r="B63" s="16">
        <v>37681</v>
      </c>
      <c r="C63" s="527">
        <v>928</v>
      </c>
      <c r="D63" s="527">
        <f t="shared" si="17"/>
        <v>1131</v>
      </c>
      <c r="E63" s="526">
        <v>2059</v>
      </c>
      <c r="F63" s="710">
        <f t="shared" si="18"/>
        <v>0.45070422535211269</v>
      </c>
      <c r="G63" s="31"/>
    </row>
    <row r="64" spans="1:7">
      <c r="A64" s="19">
        <f t="shared" si="10"/>
        <v>2003</v>
      </c>
      <c r="B64" s="16">
        <v>37773</v>
      </c>
      <c r="C64" s="529">
        <v>1093</v>
      </c>
      <c r="D64" s="529">
        <f t="shared" si="17"/>
        <v>1474</v>
      </c>
      <c r="E64" s="528">
        <v>2567</v>
      </c>
      <c r="F64" s="709">
        <f t="shared" si="18"/>
        <v>0.42578885858979354</v>
      </c>
      <c r="G64" s="31"/>
    </row>
    <row r="65" spans="1:7">
      <c r="A65" s="19">
        <f t="shared" si="10"/>
        <v>2003</v>
      </c>
      <c r="B65" s="16">
        <v>37865</v>
      </c>
      <c r="C65" s="527">
        <v>1295</v>
      </c>
      <c r="D65" s="527">
        <f t="shared" si="17"/>
        <v>1169</v>
      </c>
      <c r="E65" s="526">
        <v>2464</v>
      </c>
      <c r="F65" s="710">
        <f t="shared" si="18"/>
        <v>0.52556818181818177</v>
      </c>
      <c r="G65" s="31"/>
    </row>
    <row r="66" spans="1:7">
      <c r="A66" s="19">
        <f t="shared" si="10"/>
        <v>2003</v>
      </c>
      <c r="B66" s="16">
        <v>37956</v>
      </c>
      <c r="C66" s="529">
        <v>1364</v>
      </c>
      <c r="D66" s="529">
        <f t="shared" si="17"/>
        <v>1502</v>
      </c>
      <c r="E66" s="528">
        <v>2866</v>
      </c>
      <c r="F66" s="709">
        <f t="shared" si="18"/>
        <v>0.47592463363572923</v>
      </c>
      <c r="G66" s="31"/>
    </row>
    <row r="67" spans="1:7">
      <c r="A67" s="19">
        <f t="shared" si="10"/>
        <v>2004</v>
      </c>
      <c r="B67" s="16">
        <v>38047</v>
      </c>
      <c r="C67" s="527">
        <v>992</v>
      </c>
      <c r="D67" s="527">
        <f t="shared" si="17"/>
        <v>1106</v>
      </c>
      <c r="E67" s="526">
        <v>2098</v>
      </c>
      <c r="F67" s="710">
        <f t="shared" si="18"/>
        <v>0.47283126787416585</v>
      </c>
      <c r="G67" s="31"/>
    </row>
    <row r="68" spans="1:7">
      <c r="A68" s="19">
        <f t="shared" si="10"/>
        <v>2004</v>
      </c>
      <c r="B68" s="16">
        <v>38139</v>
      </c>
      <c r="C68" s="529">
        <v>1170</v>
      </c>
      <c r="D68" s="529">
        <f t="shared" si="17"/>
        <v>1197</v>
      </c>
      <c r="E68" s="528">
        <v>2367</v>
      </c>
      <c r="F68" s="709">
        <f t="shared" si="18"/>
        <v>0.49429657794676807</v>
      </c>
      <c r="G68" s="31"/>
    </row>
    <row r="69" spans="1:7">
      <c r="A69" s="19">
        <f t="shared" si="10"/>
        <v>2004</v>
      </c>
      <c r="B69" s="16">
        <v>38231</v>
      </c>
      <c r="C69" s="527">
        <v>1282</v>
      </c>
      <c r="D69" s="527">
        <f t="shared" si="17"/>
        <v>1231</v>
      </c>
      <c r="E69" s="526">
        <v>2513</v>
      </c>
      <c r="F69" s="710">
        <f t="shared" si="18"/>
        <v>0.51014723438121767</v>
      </c>
      <c r="G69" s="31"/>
    </row>
    <row r="70" spans="1:7">
      <c r="A70" s="19">
        <f t="shared" si="10"/>
        <v>2004</v>
      </c>
      <c r="B70" s="16">
        <v>38322</v>
      </c>
      <c r="C70" s="529">
        <v>1380</v>
      </c>
      <c r="D70" s="529">
        <f t="shared" si="17"/>
        <v>1375</v>
      </c>
      <c r="E70" s="528">
        <v>2755</v>
      </c>
      <c r="F70" s="709">
        <f t="shared" si="18"/>
        <v>0.50090744101633389</v>
      </c>
      <c r="G70" s="31"/>
    </row>
    <row r="71" spans="1:7">
      <c r="A71" s="19">
        <f t="shared" si="10"/>
        <v>2005</v>
      </c>
      <c r="B71" s="16">
        <v>38412</v>
      </c>
      <c r="C71" s="527">
        <v>1174</v>
      </c>
      <c r="D71" s="527">
        <f t="shared" si="17"/>
        <v>1188</v>
      </c>
      <c r="E71" s="526">
        <v>2362</v>
      </c>
      <c r="F71" s="710">
        <f t="shared" si="18"/>
        <v>0.49703640982218461</v>
      </c>
      <c r="G71" s="31"/>
    </row>
    <row r="72" spans="1:7">
      <c r="A72" s="19">
        <f t="shared" si="10"/>
        <v>2005</v>
      </c>
      <c r="B72" s="16">
        <v>38504</v>
      </c>
      <c r="C72" s="529">
        <v>1469</v>
      </c>
      <c r="D72" s="529">
        <f t="shared" ref="D72:D103" si="19">E72-C72</f>
        <v>1744</v>
      </c>
      <c r="E72" s="528">
        <v>3213</v>
      </c>
      <c r="F72" s="709">
        <f t="shared" ref="F72:F103" si="20">C72/E72</f>
        <v>0.4572051042639278</v>
      </c>
      <c r="G72" s="31"/>
    </row>
    <row r="73" spans="1:7">
      <c r="A73" s="19">
        <f t="shared" ref="A73:A136" si="21">YEAR(B73)</f>
        <v>2005</v>
      </c>
      <c r="B73" s="16">
        <v>38596</v>
      </c>
      <c r="C73" s="527">
        <v>1865</v>
      </c>
      <c r="D73" s="527">
        <f t="shared" si="19"/>
        <v>1837</v>
      </c>
      <c r="E73" s="526">
        <v>3702</v>
      </c>
      <c r="F73" s="710">
        <f t="shared" si="20"/>
        <v>0.50378173960021611</v>
      </c>
      <c r="G73" s="31"/>
    </row>
    <row r="74" spans="1:7">
      <c r="A74" s="19">
        <f t="shared" si="21"/>
        <v>2005</v>
      </c>
      <c r="B74" s="16">
        <v>38687</v>
      </c>
      <c r="C74" s="529">
        <v>2573</v>
      </c>
      <c r="D74" s="529">
        <f t="shared" si="19"/>
        <v>2393</v>
      </c>
      <c r="E74" s="528">
        <v>4966</v>
      </c>
      <c r="F74" s="709">
        <f t="shared" si="20"/>
        <v>0.518123238018526</v>
      </c>
      <c r="G74" s="31"/>
    </row>
    <row r="75" spans="1:7">
      <c r="A75" s="19">
        <f t="shared" si="21"/>
        <v>2006</v>
      </c>
      <c r="B75" s="16">
        <v>38777</v>
      </c>
      <c r="C75" s="527">
        <v>2601</v>
      </c>
      <c r="D75" s="527">
        <f t="shared" si="19"/>
        <v>2277</v>
      </c>
      <c r="E75" s="526">
        <v>4878</v>
      </c>
      <c r="F75" s="710">
        <f t="shared" si="20"/>
        <v>0.53321033210332103</v>
      </c>
      <c r="G75" s="31"/>
    </row>
    <row r="76" spans="1:7">
      <c r="A76" s="19">
        <f t="shared" si="21"/>
        <v>2006</v>
      </c>
      <c r="B76" s="16">
        <v>38869</v>
      </c>
      <c r="C76" s="529">
        <v>3699</v>
      </c>
      <c r="D76" s="529">
        <f t="shared" si="19"/>
        <v>2414</v>
      </c>
      <c r="E76" s="528">
        <v>6113</v>
      </c>
      <c r="F76" s="709">
        <f t="shared" si="20"/>
        <v>0.60510387698347778</v>
      </c>
      <c r="G76" s="31"/>
    </row>
    <row r="77" spans="1:7">
      <c r="A77" s="19">
        <f t="shared" si="21"/>
        <v>2006</v>
      </c>
      <c r="B77" s="16">
        <v>38961</v>
      </c>
      <c r="C77" s="527">
        <v>2876</v>
      </c>
      <c r="D77" s="527">
        <f t="shared" si="19"/>
        <v>2070</v>
      </c>
      <c r="E77" s="526">
        <v>4946</v>
      </c>
      <c r="F77" s="710">
        <f t="shared" si="20"/>
        <v>0.58147998382531341</v>
      </c>
      <c r="G77" s="31"/>
    </row>
    <row r="78" spans="1:7">
      <c r="A78" s="19">
        <f t="shared" si="21"/>
        <v>2006</v>
      </c>
      <c r="B78" s="16">
        <v>39052</v>
      </c>
      <c r="C78" s="529">
        <v>3675</v>
      </c>
      <c r="D78" s="529">
        <f t="shared" si="19"/>
        <v>2564</v>
      </c>
      <c r="E78" s="528">
        <v>6239</v>
      </c>
      <c r="F78" s="709">
        <f t="shared" si="20"/>
        <v>0.58903670460009616</v>
      </c>
      <c r="G78" s="31"/>
    </row>
    <row r="79" spans="1:7">
      <c r="A79" s="19">
        <f t="shared" si="21"/>
        <v>2007</v>
      </c>
      <c r="B79" s="16">
        <v>39142</v>
      </c>
      <c r="C79" s="527">
        <v>3307</v>
      </c>
      <c r="D79" s="527">
        <f t="shared" si="19"/>
        <v>2184</v>
      </c>
      <c r="E79" s="526">
        <v>5491</v>
      </c>
      <c r="F79" s="710">
        <f t="shared" si="20"/>
        <v>0.60225824075760337</v>
      </c>
      <c r="G79" s="31"/>
    </row>
    <row r="80" spans="1:7">
      <c r="A80" s="19">
        <f t="shared" si="21"/>
        <v>2007</v>
      </c>
      <c r="B80" s="16">
        <v>39234</v>
      </c>
      <c r="C80" s="529">
        <v>3982</v>
      </c>
      <c r="D80" s="529">
        <f t="shared" si="19"/>
        <v>2963</v>
      </c>
      <c r="E80" s="528">
        <v>6945</v>
      </c>
      <c r="F80" s="709">
        <f t="shared" si="20"/>
        <v>0.57336213102951761</v>
      </c>
      <c r="G80" s="31"/>
    </row>
    <row r="81" spans="1:7">
      <c r="A81" s="19">
        <f t="shared" si="21"/>
        <v>2007</v>
      </c>
      <c r="B81" s="16">
        <v>39326</v>
      </c>
      <c r="C81" s="527">
        <v>3666</v>
      </c>
      <c r="D81" s="527">
        <f t="shared" si="19"/>
        <v>2500</v>
      </c>
      <c r="E81" s="526">
        <v>6166</v>
      </c>
      <c r="F81" s="710">
        <f t="shared" si="20"/>
        <v>0.59455076224456693</v>
      </c>
      <c r="G81" s="31"/>
    </row>
    <row r="82" spans="1:7">
      <c r="A82" s="19">
        <f t="shared" si="21"/>
        <v>2007</v>
      </c>
      <c r="B82" s="16">
        <v>39417</v>
      </c>
      <c r="C82" s="529">
        <v>4319</v>
      </c>
      <c r="D82" s="529">
        <f t="shared" si="19"/>
        <v>3215</v>
      </c>
      <c r="E82" s="528">
        <v>7534</v>
      </c>
      <c r="F82" s="709">
        <f t="shared" si="20"/>
        <v>0.57326785240244227</v>
      </c>
      <c r="G82" s="31"/>
    </row>
    <row r="83" spans="1:7">
      <c r="A83" s="19">
        <f t="shared" si="21"/>
        <v>2008</v>
      </c>
      <c r="B83" s="16">
        <v>39508</v>
      </c>
      <c r="C83" s="527">
        <v>4318</v>
      </c>
      <c r="D83" s="527">
        <f t="shared" si="19"/>
        <v>2404</v>
      </c>
      <c r="E83" s="526">
        <v>6722</v>
      </c>
      <c r="F83" s="710">
        <f t="shared" si="20"/>
        <v>0.64236834275513244</v>
      </c>
      <c r="G83" s="31"/>
    </row>
    <row r="84" spans="1:7">
      <c r="A84" s="19">
        <f t="shared" si="21"/>
        <v>2008</v>
      </c>
      <c r="B84" s="16">
        <v>39600</v>
      </c>
      <c r="C84" s="529">
        <v>5047</v>
      </c>
      <c r="D84" s="529">
        <f t="shared" si="19"/>
        <v>3732</v>
      </c>
      <c r="E84" s="528">
        <v>8779</v>
      </c>
      <c r="F84" s="709">
        <f t="shared" si="20"/>
        <v>0.57489463492425108</v>
      </c>
      <c r="G84" s="31"/>
    </row>
    <row r="85" spans="1:7">
      <c r="A85" s="19">
        <f t="shared" si="21"/>
        <v>2008</v>
      </c>
      <c r="B85" s="16">
        <v>39692</v>
      </c>
      <c r="C85" s="527">
        <v>5463</v>
      </c>
      <c r="D85" s="527">
        <f t="shared" si="19"/>
        <v>3109</v>
      </c>
      <c r="E85" s="526">
        <v>8572</v>
      </c>
      <c r="F85" s="710">
        <f t="shared" si="20"/>
        <v>0.63730751283247788</v>
      </c>
      <c r="G85" s="31"/>
    </row>
    <row r="86" spans="1:7">
      <c r="A86" s="19">
        <f t="shared" si="21"/>
        <v>2008</v>
      </c>
      <c r="B86" s="16">
        <v>39783</v>
      </c>
      <c r="C86" s="529">
        <v>6710</v>
      </c>
      <c r="D86" s="529">
        <f t="shared" si="19"/>
        <v>4332</v>
      </c>
      <c r="E86" s="528">
        <v>11042</v>
      </c>
      <c r="F86" s="709">
        <f t="shared" si="20"/>
        <v>0.60767976815794245</v>
      </c>
      <c r="G86" s="31"/>
    </row>
    <row r="87" spans="1:7">
      <c r="A87" s="19">
        <f t="shared" si="21"/>
        <v>2009</v>
      </c>
      <c r="B87" s="16">
        <v>39873</v>
      </c>
      <c r="C87" s="527">
        <v>5354</v>
      </c>
      <c r="D87" s="527">
        <f t="shared" si="19"/>
        <v>3736</v>
      </c>
      <c r="E87" s="526">
        <v>9090</v>
      </c>
      <c r="F87" s="710">
        <f t="shared" si="20"/>
        <v>0.58899889988998899</v>
      </c>
      <c r="G87" s="31"/>
    </row>
    <row r="88" spans="1:7">
      <c r="A88" s="19">
        <f t="shared" si="21"/>
        <v>2009</v>
      </c>
      <c r="B88" s="16">
        <v>39965</v>
      </c>
      <c r="C88" s="529">
        <v>5879</v>
      </c>
      <c r="D88" s="529">
        <f t="shared" si="19"/>
        <v>3394</v>
      </c>
      <c r="E88" s="528">
        <v>9273</v>
      </c>
      <c r="F88" s="709">
        <f t="shared" si="20"/>
        <v>0.63399115712282972</v>
      </c>
      <c r="G88" s="31"/>
    </row>
    <row r="89" spans="1:7">
      <c r="A89" s="19">
        <f t="shared" si="21"/>
        <v>2009</v>
      </c>
      <c r="B89" s="16">
        <v>40057</v>
      </c>
      <c r="C89" s="527">
        <v>5100</v>
      </c>
      <c r="D89" s="527">
        <f t="shared" si="19"/>
        <v>2861</v>
      </c>
      <c r="E89" s="526">
        <v>7961</v>
      </c>
      <c r="F89" s="710">
        <f t="shared" si="20"/>
        <v>0.64062303730687098</v>
      </c>
      <c r="G89" s="40"/>
    </row>
    <row r="90" spans="1:7">
      <c r="A90" s="19">
        <f t="shared" si="21"/>
        <v>2009</v>
      </c>
      <c r="B90" s="16">
        <v>40148</v>
      </c>
      <c r="C90" s="529">
        <v>5385</v>
      </c>
      <c r="D90" s="529">
        <f t="shared" si="19"/>
        <v>3941</v>
      </c>
      <c r="E90" s="528">
        <v>9326</v>
      </c>
      <c r="F90" s="709">
        <f t="shared" si="20"/>
        <v>0.57741797126313532</v>
      </c>
      <c r="G90" s="31"/>
    </row>
    <row r="91" spans="1:7">
      <c r="A91" s="19">
        <f t="shared" si="21"/>
        <v>2010</v>
      </c>
      <c r="B91" s="16">
        <v>40238</v>
      </c>
      <c r="C91" s="527">
        <v>5335</v>
      </c>
      <c r="D91" s="527">
        <f t="shared" si="19"/>
        <v>2753</v>
      </c>
      <c r="E91" s="526">
        <v>8088</v>
      </c>
      <c r="F91" s="710">
        <f t="shared" si="20"/>
        <v>0.65961918892185956</v>
      </c>
      <c r="G91" s="31"/>
    </row>
    <row r="92" spans="1:7">
      <c r="A92" s="19">
        <f t="shared" si="21"/>
        <v>2010</v>
      </c>
      <c r="B92" s="16">
        <v>40330</v>
      </c>
      <c r="C92" s="529">
        <v>6108</v>
      </c>
      <c r="D92" s="529">
        <f t="shared" si="19"/>
        <v>3702</v>
      </c>
      <c r="E92" s="528">
        <v>9810</v>
      </c>
      <c r="F92" s="709">
        <f t="shared" si="20"/>
        <v>0.62262996941896021</v>
      </c>
      <c r="G92" s="31"/>
    </row>
    <row r="93" spans="1:7">
      <c r="A93" s="19">
        <f t="shared" si="21"/>
        <v>2010</v>
      </c>
      <c r="B93" s="16">
        <v>40422</v>
      </c>
      <c r="C93" s="527">
        <v>6452</v>
      </c>
      <c r="D93" s="527">
        <f t="shared" si="19"/>
        <v>3968</v>
      </c>
      <c r="E93" s="526">
        <v>10420</v>
      </c>
      <c r="F93" s="710">
        <f t="shared" si="20"/>
        <v>0.61919385796545101</v>
      </c>
      <c r="G93" s="31"/>
    </row>
    <row r="94" spans="1:7">
      <c r="A94" s="19">
        <f t="shared" si="21"/>
        <v>2010</v>
      </c>
      <c r="B94" s="16">
        <v>40513</v>
      </c>
      <c r="C94" s="529">
        <v>6801</v>
      </c>
      <c r="D94" s="529">
        <f t="shared" si="19"/>
        <v>4742</v>
      </c>
      <c r="E94" s="528">
        <v>11543</v>
      </c>
      <c r="F94" s="709">
        <f t="shared" si="20"/>
        <v>0.5891882526206359</v>
      </c>
      <c r="G94" s="31"/>
    </row>
    <row r="95" spans="1:7">
      <c r="A95" s="19">
        <f t="shared" si="21"/>
        <v>2011</v>
      </c>
      <c r="B95" s="16">
        <v>40603</v>
      </c>
      <c r="C95" s="527">
        <v>6577</v>
      </c>
      <c r="D95" s="527">
        <f t="shared" si="19"/>
        <v>3948</v>
      </c>
      <c r="E95" s="526">
        <v>10525</v>
      </c>
      <c r="F95" s="710">
        <f t="shared" si="20"/>
        <v>0.62489311163895489</v>
      </c>
      <c r="G95" s="31"/>
    </row>
    <row r="96" spans="1:7">
      <c r="A96" s="19">
        <f t="shared" si="21"/>
        <v>2011</v>
      </c>
      <c r="B96" s="16">
        <v>40695</v>
      </c>
      <c r="C96" s="529">
        <v>8463</v>
      </c>
      <c r="D96" s="529">
        <f t="shared" si="19"/>
        <v>5896</v>
      </c>
      <c r="E96" s="528">
        <v>14359</v>
      </c>
      <c r="F96" s="709">
        <f t="shared" si="20"/>
        <v>0.58938644752420088</v>
      </c>
      <c r="G96" s="31"/>
    </row>
    <row r="97" spans="1:7">
      <c r="A97" s="19">
        <f t="shared" si="21"/>
        <v>2011</v>
      </c>
      <c r="B97" s="16">
        <v>40787</v>
      </c>
      <c r="C97" s="527">
        <v>9539</v>
      </c>
      <c r="D97" s="527">
        <f t="shared" si="19"/>
        <v>7759</v>
      </c>
      <c r="E97" s="526">
        <v>17298</v>
      </c>
      <c r="F97" s="710">
        <f t="shared" si="20"/>
        <v>0.5514510348017112</v>
      </c>
      <c r="G97" s="31"/>
    </row>
    <row r="98" spans="1:7">
      <c r="A98" s="19">
        <f t="shared" si="21"/>
        <v>2011</v>
      </c>
      <c r="B98" s="16">
        <v>40878</v>
      </c>
      <c r="C98" s="529">
        <v>10452</v>
      </c>
      <c r="D98" s="529">
        <f t="shared" si="19"/>
        <v>9488</v>
      </c>
      <c r="E98" s="528">
        <v>19940</v>
      </c>
      <c r="F98" s="709">
        <f t="shared" si="20"/>
        <v>0.52417251755265792</v>
      </c>
      <c r="G98" s="31"/>
    </row>
    <row r="99" spans="1:7">
      <c r="A99" s="19">
        <f t="shared" si="21"/>
        <v>2012</v>
      </c>
      <c r="B99" s="16">
        <v>40969</v>
      </c>
      <c r="C99" s="527">
        <v>10922</v>
      </c>
      <c r="D99" s="527">
        <f t="shared" si="19"/>
        <v>8690</v>
      </c>
      <c r="E99" s="526">
        <v>19612</v>
      </c>
      <c r="F99" s="710">
        <f t="shared" si="20"/>
        <v>0.55690393636549052</v>
      </c>
      <c r="G99" s="31"/>
    </row>
    <row r="100" spans="1:7">
      <c r="A100" s="19">
        <f t="shared" si="21"/>
        <v>2012</v>
      </c>
      <c r="B100" s="16">
        <v>41061</v>
      </c>
      <c r="C100" s="529">
        <v>14158</v>
      </c>
      <c r="D100" s="529">
        <f t="shared" si="19"/>
        <v>10989</v>
      </c>
      <c r="E100" s="528">
        <v>25147</v>
      </c>
      <c r="F100" s="709">
        <f t="shared" si="20"/>
        <v>0.56300950411579909</v>
      </c>
      <c r="G100" s="31"/>
    </row>
    <row r="101" spans="1:7">
      <c r="A101" s="19">
        <f t="shared" si="21"/>
        <v>2012</v>
      </c>
      <c r="B101" s="16">
        <v>41153</v>
      </c>
      <c r="C101" s="527">
        <v>12757</v>
      </c>
      <c r="D101" s="527">
        <f t="shared" si="19"/>
        <v>10919</v>
      </c>
      <c r="E101" s="526">
        <v>23676</v>
      </c>
      <c r="F101" s="710">
        <f t="shared" si="20"/>
        <v>0.5388156783240412</v>
      </c>
      <c r="G101" s="31"/>
    </row>
    <row r="102" spans="1:7">
      <c r="A102" s="19">
        <f t="shared" si="21"/>
        <v>2012</v>
      </c>
      <c r="B102" s="16">
        <v>41244</v>
      </c>
      <c r="C102" s="529">
        <v>13203</v>
      </c>
      <c r="D102" s="529">
        <f t="shared" si="19"/>
        <v>12842</v>
      </c>
      <c r="E102" s="528">
        <v>26045</v>
      </c>
      <c r="F102" s="709">
        <f t="shared" si="20"/>
        <v>0.50693031291994628</v>
      </c>
      <c r="G102" s="31"/>
    </row>
    <row r="103" spans="1:7">
      <c r="A103" s="19">
        <f t="shared" si="21"/>
        <v>2013</v>
      </c>
      <c r="B103" s="16">
        <v>41334</v>
      </c>
      <c r="C103" s="527">
        <v>9733</v>
      </c>
      <c r="D103" s="527">
        <f t="shared" si="19"/>
        <v>10901</v>
      </c>
      <c r="E103" s="526">
        <v>20634</v>
      </c>
      <c r="F103" s="710">
        <f t="shared" si="20"/>
        <v>0.47169719879810024</v>
      </c>
      <c r="G103" s="31"/>
    </row>
    <row r="104" spans="1:7">
      <c r="A104" s="19">
        <f t="shared" si="21"/>
        <v>2013</v>
      </c>
      <c r="B104" s="16">
        <v>41426</v>
      </c>
      <c r="C104" s="529">
        <v>12507</v>
      </c>
      <c r="D104" s="529">
        <f t="shared" ref="D104:D131" si="22">E104-C104</f>
        <v>11847</v>
      </c>
      <c r="E104" s="528">
        <v>24354</v>
      </c>
      <c r="F104" s="709">
        <f t="shared" ref="F104:F131" si="23">C104/E104</f>
        <v>0.51355013550135498</v>
      </c>
      <c r="G104" s="31"/>
    </row>
    <row r="105" spans="1:7">
      <c r="A105" s="19">
        <f t="shared" si="21"/>
        <v>2013</v>
      </c>
      <c r="B105" s="16">
        <v>41518</v>
      </c>
      <c r="C105" s="527">
        <v>12245</v>
      </c>
      <c r="D105" s="527">
        <f t="shared" si="22"/>
        <v>11958</v>
      </c>
      <c r="E105" s="526">
        <v>24203</v>
      </c>
      <c r="F105" s="710">
        <f t="shared" si="23"/>
        <v>0.50592901706400029</v>
      </c>
      <c r="G105" s="31"/>
    </row>
    <row r="106" spans="1:7">
      <c r="A106" s="19">
        <f t="shared" si="21"/>
        <v>2013</v>
      </c>
      <c r="B106" s="16">
        <v>41609</v>
      </c>
      <c r="C106" s="529">
        <v>12301</v>
      </c>
      <c r="D106" s="529">
        <f t="shared" si="22"/>
        <v>12406</v>
      </c>
      <c r="E106" s="528">
        <v>24707</v>
      </c>
      <c r="F106" s="709">
        <f t="shared" si="23"/>
        <v>0.4978750961266038</v>
      </c>
      <c r="G106" s="31"/>
    </row>
    <row r="107" spans="1:7">
      <c r="A107" s="19">
        <f t="shared" si="21"/>
        <v>2014</v>
      </c>
      <c r="B107" s="16">
        <v>41699</v>
      </c>
      <c r="C107" s="527">
        <v>10246</v>
      </c>
      <c r="D107" s="527">
        <f t="shared" si="22"/>
        <v>8846</v>
      </c>
      <c r="E107" s="526">
        <v>19092</v>
      </c>
      <c r="F107" s="710">
        <f t="shared" si="23"/>
        <v>0.5366645715482925</v>
      </c>
      <c r="G107" s="31"/>
    </row>
    <row r="108" spans="1:7">
      <c r="A108" s="19">
        <f t="shared" si="21"/>
        <v>2014</v>
      </c>
      <c r="B108" s="16">
        <v>41791</v>
      </c>
      <c r="C108" s="529">
        <v>11967</v>
      </c>
      <c r="D108" s="529">
        <f t="shared" si="22"/>
        <v>10423</v>
      </c>
      <c r="E108" s="528">
        <v>22390</v>
      </c>
      <c r="F108" s="709">
        <f t="shared" si="23"/>
        <v>0.53447967842786959</v>
      </c>
      <c r="G108" s="31"/>
    </row>
    <row r="109" spans="1:7">
      <c r="A109" s="19">
        <f t="shared" si="21"/>
        <v>2014</v>
      </c>
      <c r="B109" s="16">
        <v>41883</v>
      </c>
      <c r="C109" s="527">
        <v>11785</v>
      </c>
      <c r="D109" s="527">
        <f t="shared" si="22"/>
        <v>9022</v>
      </c>
      <c r="E109" s="526">
        <v>20807</v>
      </c>
      <c r="F109" s="710">
        <f t="shared" si="23"/>
        <v>0.56639592444850295</v>
      </c>
      <c r="G109" s="31"/>
    </row>
    <row r="110" spans="1:7">
      <c r="A110" s="19">
        <f t="shared" si="21"/>
        <v>2014</v>
      </c>
      <c r="B110" s="16">
        <v>41974</v>
      </c>
      <c r="C110" s="529">
        <v>12213</v>
      </c>
      <c r="D110" s="529">
        <f t="shared" si="22"/>
        <v>9044</v>
      </c>
      <c r="E110" s="528">
        <v>21257</v>
      </c>
      <c r="F110" s="709">
        <f t="shared" si="23"/>
        <v>0.57454015147951265</v>
      </c>
      <c r="G110" s="31"/>
    </row>
    <row r="111" spans="1:7">
      <c r="A111" s="19">
        <f t="shared" si="21"/>
        <v>2015</v>
      </c>
      <c r="B111" s="16">
        <v>42064</v>
      </c>
      <c r="C111" s="527">
        <v>10737</v>
      </c>
      <c r="D111" s="527">
        <f t="shared" si="22"/>
        <v>6074</v>
      </c>
      <c r="E111" s="526">
        <v>16811</v>
      </c>
      <c r="F111" s="710">
        <f t="shared" si="23"/>
        <v>0.63868895366129319</v>
      </c>
      <c r="G111" s="31"/>
    </row>
    <row r="112" spans="1:7">
      <c r="A112" s="19">
        <f t="shared" si="21"/>
        <v>2015</v>
      </c>
      <c r="B112" s="16">
        <v>42156</v>
      </c>
      <c r="C112" s="529">
        <v>11255</v>
      </c>
      <c r="D112" s="529">
        <f t="shared" si="22"/>
        <v>5987</v>
      </c>
      <c r="E112" s="528">
        <v>17242</v>
      </c>
      <c r="F112" s="709">
        <f t="shared" si="23"/>
        <v>0.65276650040598538</v>
      </c>
      <c r="G112" s="31"/>
    </row>
    <row r="113" spans="1:11">
      <c r="A113" s="19">
        <f t="shared" si="21"/>
        <v>2015</v>
      </c>
      <c r="B113" s="16">
        <v>42248</v>
      </c>
      <c r="C113" s="527">
        <v>9813</v>
      </c>
      <c r="D113" s="527">
        <f t="shared" si="22"/>
        <v>5075</v>
      </c>
      <c r="E113" s="526">
        <v>14888</v>
      </c>
      <c r="F113" s="710">
        <f t="shared" si="23"/>
        <v>0.65912144008597529</v>
      </c>
      <c r="G113" s="31"/>
    </row>
    <row r="114" spans="1:11">
      <c r="A114" s="19">
        <f t="shared" si="21"/>
        <v>2015</v>
      </c>
      <c r="B114" s="16">
        <v>42339</v>
      </c>
      <c r="C114" s="529">
        <v>10579</v>
      </c>
      <c r="D114" s="529">
        <f t="shared" si="22"/>
        <v>5648</v>
      </c>
      <c r="E114" s="528">
        <v>16227</v>
      </c>
      <c r="F114" s="709">
        <f t="shared" si="23"/>
        <v>0.65193812781167193</v>
      </c>
      <c r="G114" s="31"/>
    </row>
    <row r="115" spans="1:11">
      <c r="A115" s="19">
        <f t="shared" si="21"/>
        <v>2016</v>
      </c>
      <c r="B115" s="16">
        <v>42430</v>
      </c>
      <c r="C115" s="527">
        <v>7824</v>
      </c>
      <c r="D115" s="527">
        <f t="shared" si="22"/>
        <v>3576</v>
      </c>
      <c r="E115" s="526">
        <v>11400</v>
      </c>
      <c r="F115" s="710">
        <f t="shared" si="23"/>
        <v>0.68631578947368421</v>
      </c>
    </row>
    <row r="116" spans="1:11">
      <c r="A116" s="19">
        <f t="shared" si="21"/>
        <v>2016</v>
      </c>
      <c r="B116" s="16">
        <v>42522</v>
      </c>
      <c r="C116" s="529">
        <v>6995</v>
      </c>
      <c r="D116" s="529">
        <f t="shared" si="22"/>
        <v>3879</v>
      </c>
      <c r="E116" s="528">
        <v>10874</v>
      </c>
      <c r="F116" s="709">
        <f t="shared" si="23"/>
        <v>0.64327754276255289</v>
      </c>
    </row>
    <row r="117" spans="1:11">
      <c r="A117" s="19">
        <f t="shared" si="21"/>
        <v>2016</v>
      </c>
      <c r="B117" s="16">
        <v>42614</v>
      </c>
      <c r="C117" s="527">
        <v>5869</v>
      </c>
      <c r="D117" s="527">
        <f t="shared" si="22"/>
        <v>4200</v>
      </c>
      <c r="E117" s="526">
        <v>10069</v>
      </c>
      <c r="F117" s="710">
        <f t="shared" si="23"/>
        <v>0.58287814082828482</v>
      </c>
    </row>
    <row r="118" spans="1:11">
      <c r="A118" s="19">
        <f t="shared" si="21"/>
        <v>2016</v>
      </c>
      <c r="B118" s="16">
        <v>42705</v>
      </c>
      <c r="C118" s="529">
        <v>6192</v>
      </c>
      <c r="D118" s="529">
        <f t="shared" si="22"/>
        <v>4390</v>
      </c>
      <c r="E118" s="528">
        <v>10582</v>
      </c>
      <c r="F118" s="709">
        <f t="shared" si="23"/>
        <v>0.58514458514458512</v>
      </c>
    </row>
    <row r="119" spans="1:11">
      <c r="A119" s="19">
        <f t="shared" si="21"/>
        <v>2017</v>
      </c>
      <c r="B119" s="16">
        <v>42795</v>
      </c>
      <c r="C119" s="527">
        <v>4820</v>
      </c>
      <c r="D119" s="527">
        <f t="shared" si="22"/>
        <v>3771</v>
      </c>
      <c r="E119" s="526">
        <v>8591</v>
      </c>
      <c r="F119" s="710">
        <f t="shared" si="23"/>
        <v>0.56105226399720642</v>
      </c>
    </row>
    <row r="120" spans="1:11">
      <c r="A120" s="19">
        <f t="shared" si="21"/>
        <v>2017</v>
      </c>
      <c r="B120" s="16">
        <v>42887</v>
      </c>
      <c r="C120" s="529">
        <v>5349</v>
      </c>
      <c r="D120" s="529">
        <f t="shared" si="22"/>
        <v>4159</v>
      </c>
      <c r="E120" s="528">
        <v>9508</v>
      </c>
      <c r="F120" s="709">
        <f t="shared" si="23"/>
        <v>0.5625788809423643</v>
      </c>
    </row>
    <row r="121" spans="1:11">
      <c r="A121" s="19">
        <f t="shared" si="21"/>
        <v>2017</v>
      </c>
      <c r="B121" s="16">
        <v>42979</v>
      </c>
      <c r="C121" s="527">
        <v>5055</v>
      </c>
      <c r="D121" s="527">
        <f t="shared" si="22"/>
        <v>4310</v>
      </c>
      <c r="E121" s="526">
        <v>9365</v>
      </c>
      <c r="F121" s="710">
        <f t="shared" si="23"/>
        <v>0.53977576081153233</v>
      </c>
    </row>
    <row r="122" spans="1:11">
      <c r="A122" s="19">
        <f t="shared" si="21"/>
        <v>2017</v>
      </c>
      <c r="B122" s="16">
        <v>43070</v>
      </c>
      <c r="C122" s="529">
        <v>5234</v>
      </c>
      <c r="D122" s="529">
        <f t="shared" si="22"/>
        <v>4639</v>
      </c>
      <c r="E122" s="528">
        <v>9873</v>
      </c>
      <c r="F122" s="709">
        <f t="shared" si="23"/>
        <v>0.53013268510077993</v>
      </c>
    </row>
    <row r="123" spans="1:11">
      <c r="A123" s="19">
        <f t="shared" si="21"/>
        <v>2018</v>
      </c>
      <c r="B123" s="16">
        <v>43160</v>
      </c>
      <c r="C123" s="527">
        <v>4268</v>
      </c>
      <c r="D123" s="527">
        <f t="shared" si="22"/>
        <v>3907</v>
      </c>
      <c r="E123" s="526">
        <v>8175</v>
      </c>
      <c r="F123" s="710">
        <f t="shared" si="23"/>
        <v>0.52207951070336389</v>
      </c>
    </row>
    <row r="124" spans="1:11">
      <c r="A124" s="19">
        <f t="shared" si="21"/>
        <v>2018</v>
      </c>
      <c r="B124" s="16">
        <v>43252</v>
      </c>
      <c r="C124" s="529">
        <v>4616</v>
      </c>
      <c r="D124" s="529">
        <f t="shared" si="22"/>
        <v>4359</v>
      </c>
      <c r="E124" s="528">
        <v>8975</v>
      </c>
      <c r="F124" s="709">
        <f t="shared" si="23"/>
        <v>0.51431754874651814</v>
      </c>
    </row>
    <row r="125" spans="1:11">
      <c r="A125" s="19">
        <f t="shared" si="21"/>
        <v>2018</v>
      </c>
      <c r="B125" s="16">
        <v>43344</v>
      </c>
      <c r="C125" s="527">
        <v>4249</v>
      </c>
      <c r="D125" s="527">
        <f t="shared" si="22"/>
        <v>4173</v>
      </c>
      <c r="E125" s="526">
        <v>8422</v>
      </c>
      <c r="F125" s="710">
        <f t="shared" si="23"/>
        <v>0.50451199240085487</v>
      </c>
    </row>
    <row r="126" spans="1:11">
      <c r="A126" s="19">
        <f t="shared" si="21"/>
        <v>2018</v>
      </c>
      <c r="B126" s="16">
        <v>43435</v>
      </c>
      <c r="C126" s="529">
        <v>4660</v>
      </c>
      <c r="D126" s="529">
        <f t="shared" si="22"/>
        <v>4363</v>
      </c>
      <c r="E126" s="528">
        <v>9023</v>
      </c>
      <c r="F126" s="709">
        <f t="shared" si="23"/>
        <v>0.51645794081790974</v>
      </c>
    </row>
    <row r="127" spans="1:11">
      <c r="A127" s="19">
        <f t="shared" si="21"/>
        <v>2019</v>
      </c>
      <c r="B127" s="16">
        <v>43525</v>
      </c>
      <c r="C127" s="527">
        <v>3730</v>
      </c>
      <c r="D127" s="527">
        <f t="shared" si="22"/>
        <v>3575</v>
      </c>
      <c r="E127" s="526">
        <v>7305</v>
      </c>
      <c r="F127" s="710">
        <f t="shared" si="23"/>
        <v>0.51060917180013687</v>
      </c>
    </row>
    <row r="128" spans="1:11">
      <c r="A128" s="19">
        <f t="shared" si="21"/>
        <v>2019</v>
      </c>
      <c r="B128" s="16">
        <v>43617</v>
      </c>
      <c r="C128" s="529">
        <v>4329</v>
      </c>
      <c r="D128" s="529">
        <f t="shared" si="22"/>
        <v>4275</v>
      </c>
      <c r="E128" s="528">
        <v>8604</v>
      </c>
      <c r="F128" s="709">
        <f t="shared" si="23"/>
        <v>0.5031380753138075</v>
      </c>
      <c r="J128" s="165" t="s">
        <v>47</v>
      </c>
      <c r="K128" s="181"/>
    </row>
    <row r="129" spans="1:8">
      <c r="A129" s="19">
        <f t="shared" si="21"/>
        <v>2019</v>
      </c>
      <c r="B129" s="16">
        <v>43709</v>
      </c>
      <c r="C129" s="527">
        <v>4429</v>
      </c>
      <c r="D129" s="527">
        <f t="shared" si="22"/>
        <v>4208</v>
      </c>
      <c r="E129" s="526">
        <v>8637</v>
      </c>
      <c r="F129" s="710">
        <f t="shared" si="23"/>
        <v>0.51279379414148429</v>
      </c>
    </row>
    <row r="130" spans="1:8">
      <c r="A130" s="19">
        <f t="shared" si="21"/>
        <v>2019</v>
      </c>
      <c r="B130" s="16">
        <v>43800</v>
      </c>
      <c r="C130" s="529">
        <v>4748</v>
      </c>
      <c r="D130" s="529">
        <f t="shared" si="22"/>
        <v>4598</v>
      </c>
      <c r="E130" s="528">
        <v>9346</v>
      </c>
      <c r="F130" s="709">
        <f t="shared" si="23"/>
        <v>0.508024823453884</v>
      </c>
    </row>
    <row r="131" spans="1:8">
      <c r="A131" s="19">
        <f t="shared" si="21"/>
        <v>2020</v>
      </c>
      <c r="B131" s="16">
        <v>43891</v>
      </c>
      <c r="C131" s="527">
        <v>4592</v>
      </c>
      <c r="D131" s="527">
        <f t="shared" si="22"/>
        <v>3399</v>
      </c>
      <c r="E131" s="526">
        <v>7991</v>
      </c>
      <c r="F131" s="710">
        <f t="shared" si="23"/>
        <v>0.57464647728694784</v>
      </c>
    </row>
    <row r="132" spans="1:8">
      <c r="A132" s="19">
        <f t="shared" si="21"/>
        <v>2020</v>
      </c>
      <c r="B132" s="16">
        <v>43983</v>
      </c>
      <c r="C132" s="529">
        <v>5192</v>
      </c>
      <c r="D132" s="529">
        <f t="shared" ref="D132:D136" si="24">E132-C132</f>
        <v>3989</v>
      </c>
      <c r="E132" s="528">
        <v>9181</v>
      </c>
      <c r="F132" s="709">
        <f t="shared" ref="F132:F136" si="25">C132/E132</f>
        <v>0.56551573902624985</v>
      </c>
    </row>
    <row r="133" spans="1:8">
      <c r="A133" s="19">
        <f t="shared" si="21"/>
        <v>2020</v>
      </c>
      <c r="B133" s="16">
        <v>44075</v>
      </c>
      <c r="C133" s="527">
        <v>4954</v>
      </c>
      <c r="D133" s="527">
        <f t="shared" si="24"/>
        <v>3653</v>
      </c>
      <c r="E133" s="526">
        <v>8607</v>
      </c>
      <c r="F133" s="710">
        <f t="shared" si="25"/>
        <v>0.57557801789241314</v>
      </c>
    </row>
    <row r="134" spans="1:8">
      <c r="A134" s="19">
        <f t="shared" si="21"/>
        <v>2020</v>
      </c>
      <c r="B134" s="16">
        <v>44166</v>
      </c>
      <c r="C134" s="529">
        <v>5255</v>
      </c>
      <c r="D134" s="529">
        <f t="shared" si="24"/>
        <v>4124</v>
      </c>
      <c r="E134" s="528">
        <v>9379</v>
      </c>
      <c r="F134" s="709">
        <f t="shared" si="25"/>
        <v>0.56029427444290436</v>
      </c>
    </row>
    <row r="135" spans="1:8">
      <c r="A135" s="19">
        <f t="shared" si="21"/>
        <v>2021</v>
      </c>
      <c r="B135" s="16">
        <v>44256</v>
      </c>
      <c r="C135" s="527">
        <v>4949</v>
      </c>
      <c r="D135" s="527">
        <f t="shared" si="24"/>
        <v>3111</v>
      </c>
      <c r="E135" s="526">
        <v>8060</v>
      </c>
      <c r="F135" s="710">
        <f t="shared" si="25"/>
        <v>0.61401985111662527</v>
      </c>
      <c r="G135" s="181"/>
      <c r="H135" s="181"/>
    </row>
    <row r="136" spans="1:8" ht="15.75" thickBot="1">
      <c r="A136" s="19">
        <f t="shared" si="21"/>
        <v>2021</v>
      </c>
      <c r="B136" s="759">
        <v>44348</v>
      </c>
      <c r="C136" s="799">
        <v>5426</v>
      </c>
      <c r="D136" s="800">
        <f t="shared" si="24"/>
        <v>4042</v>
      </c>
      <c r="E136" s="801">
        <v>9468</v>
      </c>
      <c r="F136" s="802">
        <f t="shared" si="25"/>
        <v>0.57308829742289813</v>
      </c>
      <c r="G136" s="181"/>
      <c r="H136" s="181"/>
    </row>
    <row r="137" spans="1:8">
      <c r="A137" s="19">
        <f t="shared" ref="A137:A199" si="26">YEAR(B140)</f>
        <v>1900</v>
      </c>
      <c r="B137" s="448"/>
      <c r="C137" s="293"/>
      <c r="D137" s="293"/>
      <c r="E137" s="293"/>
      <c r="F137" s="449"/>
      <c r="G137" s="181"/>
      <c r="H137" s="181"/>
    </row>
    <row r="138" spans="1:8" ht="16.5" customHeight="1">
      <c r="A138" s="19">
        <f t="shared" si="26"/>
        <v>1900</v>
      </c>
      <c r="B138" s="448"/>
      <c r="C138" s="293"/>
      <c r="D138" s="293"/>
      <c r="E138" s="293"/>
      <c r="F138" s="449"/>
    </row>
    <row r="139" spans="1:8">
      <c r="A139" s="19">
        <f t="shared" si="26"/>
        <v>1900</v>
      </c>
      <c r="B139" s="181"/>
      <c r="C139" s="181"/>
      <c r="D139" s="447"/>
      <c r="E139" s="447"/>
      <c r="F139" s="181"/>
    </row>
    <row r="140" spans="1:8">
      <c r="A140" s="19">
        <f t="shared" si="26"/>
        <v>1900</v>
      </c>
      <c r="B140" s="181"/>
      <c r="C140" s="181"/>
      <c r="D140" s="447"/>
      <c r="E140" s="447"/>
      <c r="F140" s="181"/>
    </row>
    <row r="141" spans="1:8">
      <c r="A141" s="19">
        <f t="shared" si="26"/>
        <v>1900</v>
      </c>
      <c r="D141" s="116"/>
      <c r="E141" s="116"/>
    </row>
    <row r="142" spans="1:8">
      <c r="A142" s="19">
        <f t="shared" si="26"/>
        <v>1900</v>
      </c>
      <c r="D142" s="116"/>
      <c r="E142" s="116"/>
    </row>
    <row r="143" spans="1:8">
      <c r="A143" s="19">
        <f t="shared" si="26"/>
        <v>1900</v>
      </c>
      <c r="E143" s="116"/>
    </row>
    <row r="144" spans="1:8">
      <c r="A144" s="19">
        <f t="shared" si="26"/>
        <v>1900</v>
      </c>
      <c r="E144" s="116"/>
    </row>
    <row r="145" spans="1:5">
      <c r="A145" s="19">
        <f t="shared" si="26"/>
        <v>1900</v>
      </c>
      <c r="E145" s="116"/>
    </row>
    <row r="146" spans="1:5">
      <c r="A146" s="19">
        <f t="shared" si="26"/>
        <v>1900</v>
      </c>
      <c r="E146" s="116"/>
    </row>
    <row r="147" spans="1:5">
      <c r="A147" s="19">
        <f t="shared" si="26"/>
        <v>1900</v>
      </c>
      <c r="E147" s="116"/>
    </row>
    <row r="148" spans="1:5">
      <c r="A148" s="19">
        <f t="shared" si="26"/>
        <v>1900</v>
      </c>
      <c r="E148" s="116"/>
    </row>
    <row r="149" spans="1:5">
      <c r="A149" s="19">
        <f t="shared" si="26"/>
        <v>1900</v>
      </c>
      <c r="E149" s="116"/>
    </row>
    <row r="150" spans="1:5">
      <c r="A150" s="19">
        <f t="shared" si="26"/>
        <v>1900</v>
      </c>
      <c r="E150" s="116"/>
    </row>
    <row r="151" spans="1:5">
      <c r="A151" s="19">
        <f t="shared" si="26"/>
        <v>1900</v>
      </c>
      <c r="E151" s="116"/>
    </row>
    <row r="152" spans="1:5">
      <c r="A152" s="19">
        <f t="shared" si="26"/>
        <v>1900</v>
      </c>
      <c r="E152" s="116"/>
    </row>
    <row r="153" spans="1:5">
      <c r="A153" s="19">
        <f t="shared" si="26"/>
        <v>1900</v>
      </c>
      <c r="E153" s="116"/>
    </row>
    <row r="154" spans="1:5">
      <c r="A154" s="19">
        <f t="shared" si="26"/>
        <v>1900</v>
      </c>
      <c r="E154" s="116"/>
    </row>
    <row r="155" spans="1:5">
      <c r="A155" s="19">
        <f t="shared" si="26"/>
        <v>1900</v>
      </c>
      <c r="E155" s="116"/>
    </row>
    <row r="156" spans="1:5">
      <c r="A156" s="19">
        <f t="shared" si="26"/>
        <v>1900</v>
      </c>
      <c r="E156" s="116"/>
    </row>
    <row r="157" spans="1:5">
      <c r="A157" s="19">
        <f t="shared" si="26"/>
        <v>1900</v>
      </c>
      <c r="E157" s="116"/>
    </row>
    <row r="158" spans="1:5">
      <c r="A158" s="19">
        <f t="shared" si="26"/>
        <v>1900</v>
      </c>
      <c r="E158" s="116"/>
    </row>
    <row r="159" spans="1:5">
      <c r="A159" s="19">
        <f t="shared" si="26"/>
        <v>1900</v>
      </c>
      <c r="E159" s="116"/>
    </row>
    <row r="160" spans="1:5">
      <c r="A160" s="19">
        <f t="shared" si="26"/>
        <v>1900</v>
      </c>
      <c r="E160" s="116"/>
    </row>
    <row r="161" spans="1:5">
      <c r="A161" s="19">
        <f t="shared" si="26"/>
        <v>1900</v>
      </c>
      <c r="E161" s="116"/>
    </row>
    <row r="162" spans="1:5">
      <c r="A162" s="19">
        <f t="shared" si="26"/>
        <v>1900</v>
      </c>
      <c r="E162" s="116"/>
    </row>
    <row r="163" spans="1:5">
      <c r="A163" s="19">
        <f t="shared" si="26"/>
        <v>1900</v>
      </c>
      <c r="E163" s="116"/>
    </row>
    <row r="164" spans="1:5">
      <c r="A164" s="19">
        <f t="shared" si="26"/>
        <v>1900</v>
      </c>
      <c r="E164" s="116"/>
    </row>
    <row r="165" spans="1:5">
      <c r="A165" s="19">
        <f t="shared" si="26"/>
        <v>1900</v>
      </c>
      <c r="E165" s="116"/>
    </row>
    <row r="166" spans="1:5">
      <c r="A166" s="19">
        <f t="shared" si="26"/>
        <v>1900</v>
      </c>
      <c r="E166" s="116"/>
    </row>
    <row r="167" spans="1:5">
      <c r="A167" s="19">
        <f t="shared" si="26"/>
        <v>1900</v>
      </c>
      <c r="E167" s="116"/>
    </row>
    <row r="168" spans="1:5">
      <c r="A168" s="19">
        <f t="shared" si="26"/>
        <v>1900</v>
      </c>
      <c r="E168" s="116"/>
    </row>
    <row r="169" spans="1:5">
      <c r="A169" s="19">
        <f t="shared" si="26"/>
        <v>1900</v>
      </c>
      <c r="E169" s="116"/>
    </row>
    <row r="170" spans="1:5">
      <c r="A170" s="19">
        <f t="shared" si="26"/>
        <v>1900</v>
      </c>
      <c r="E170" s="116"/>
    </row>
    <row r="171" spans="1:5">
      <c r="A171" s="19">
        <f t="shared" si="26"/>
        <v>1900</v>
      </c>
      <c r="E171" s="116"/>
    </row>
    <row r="172" spans="1:5">
      <c r="A172" s="19">
        <f t="shared" si="26"/>
        <v>1900</v>
      </c>
      <c r="E172" s="116"/>
    </row>
    <row r="173" spans="1:5">
      <c r="A173" s="19">
        <f t="shared" si="26"/>
        <v>1900</v>
      </c>
      <c r="E173" s="116"/>
    </row>
    <row r="174" spans="1:5">
      <c r="A174" s="19">
        <f t="shared" si="26"/>
        <v>1900</v>
      </c>
      <c r="E174" s="116"/>
    </row>
    <row r="175" spans="1:5">
      <c r="A175" s="19">
        <f t="shared" si="26"/>
        <v>1900</v>
      </c>
      <c r="E175" s="116"/>
    </row>
    <row r="176" spans="1:5">
      <c r="A176" s="19">
        <f t="shared" si="26"/>
        <v>1900</v>
      </c>
      <c r="E176" s="116"/>
    </row>
    <row r="177" spans="1:5">
      <c r="A177" s="19">
        <f t="shared" si="26"/>
        <v>1900</v>
      </c>
      <c r="E177" s="116"/>
    </row>
    <row r="178" spans="1:5">
      <c r="A178" s="19">
        <f t="shared" si="26"/>
        <v>1900</v>
      </c>
      <c r="E178" s="116"/>
    </row>
    <row r="179" spans="1:5">
      <c r="A179" s="19">
        <f t="shared" si="26"/>
        <v>1900</v>
      </c>
      <c r="E179" s="116"/>
    </row>
    <row r="180" spans="1:5">
      <c r="A180" s="19">
        <f t="shared" si="26"/>
        <v>1900</v>
      </c>
      <c r="E180" s="116"/>
    </row>
    <row r="181" spans="1:5">
      <c r="A181" s="19">
        <f t="shared" si="26"/>
        <v>1900</v>
      </c>
      <c r="E181" s="116"/>
    </row>
    <row r="182" spans="1:5">
      <c r="A182" s="19">
        <f t="shared" si="26"/>
        <v>1900</v>
      </c>
      <c r="E182" s="116"/>
    </row>
    <row r="183" spans="1:5">
      <c r="A183" s="19">
        <f t="shared" si="26"/>
        <v>1900</v>
      </c>
      <c r="E183" s="116"/>
    </row>
    <row r="184" spans="1:5">
      <c r="A184" s="19">
        <f t="shared" si="26"/>
        <v>1900</v>
      </c>
      <c r="E184" s="116"/>
    </row>
    <row r="185" spans="1:5">
      <c r="A185" s="19">
        <f t="shared" si="26"/>
        <v>1900</v>
      </c>
    </row>
    <row r="186" spans="1:5">
      <c r="A186" s="19">
        <f t="shared" si="26"/>
        <v>1900</v>
      </c>
    </row>
    <row r="187" spans="1:5">
      <c r="A187" s="19">
        <f t="shared" si="26"/>
        <v>1900</v>
      </c>
    </row>
    <row r="188" spans="1:5">
      <c r="A188" s="19">
        <f t="shared" si="26"/>
        <v>1900</v>
      </c>
    </row>
    <row r="189" spans="1:5">
      <c r="A189" s="19">
        <f t="shared" si="26"/>
        <v>1900</v>
      </c>
    </row>
    <row r="190" spans="1:5">
      <c r="A190" s="19">
        <f t="shared" si="26"/>
        <v>1900</v>
      </c>
    </row>
    <row r="191" spans="1:5">
      <c r="A191" s="19">
        <f t="shared" si="26"/>
        <v>1900</v>
      </c>
    </row>
    <row r="192" spans="1:5">
      <c r="A192" s="19">
        <f t="shared" si="26"/>
        <v>1900</v>
      </c>
    </row>
    <row r="193" spans="1:1">
      <c r="A193" s="19">
        <f t="shared" si="26"/>
        <v>1900</v>
      </c>
    </row>
    <row r="194" spans="1:1">
      <c r="A194" s="19">
        <f t="shared" si="26"/>
        <v>1900</v>
      </c>
    </row>
    <row r="195" spans="1:1">
      <c r="A195" s="19">
        <f t="shared" si="26"/>
        <v>1900</v>
      </c>
    </row>
    <row r="196" spans="1:1">
      <c r="A196" s="19">
        <f t="shared" si="26"/>
        <v>1900</v>
      </c>
    </row>
    <row r="197" spans="1:1">
      <c r="A197" s="19">
        <f t="shared" si="26"/>
        <v>1900</v>
      </c>
    </row>
    <row r="198" spans="1:1">
      <c r="A198" s="19">
        <f t="shared" si="26"/>
        <v>1900</v>
      </c>
    </row>
    <row r="199" spans="1:1">
      <c r="A199" s="19">
        <f t="shared" si="26"/>
        <v>1900</v>
      </c>
    </row>
    <row r="200" spans="1:1">
      <c r="A200" s="19">
        <f t="shared" ref="A200:A263" si="27">YEAR(B203)</f>
        <v>1900</v>
      </c>
    </row>
    <row r="201" spans="1:1">
      <c r="A201" s="19">
        <f t="shared" si="27"/>
        <v>1900</v>
      </c>
    </row>
    <row r="202" spans="1:1">
      <c r="A202" s="19">
        <f t="shared" si="27"/>
        <v>1900</v>
      </c>
    </row>
    <row r="203" spans="1:1">
      <c r="A203" s="19">
        <f t="shared" si="27"/>
        <v>1900</v>
      </c>
    </row>
    <row r="204" spans="1:1">
      <c r="A204" s="19">
        <f t="shared" si="27"/>
        <v>1900</v>
      </c>
    </row>
    <row r="205" spans="1:1">
      <c r="A205" s="19">
        <f t="shared" si="27"/>
        <v>1900</v>
      </c>
    </row>
    <row r="206" spans="1:1">
      <c r="A206" s="19">
        <f t="shared" si="27"/>
        <v>1900</v>
      </c>
    </row>
    <row r="207" spans="1:1">
      <c r="A207" s="19">
        <f t="shared" si="27"/>
        <v>1900</v>
      </c>
    </row>
    <row r="208" spans="1:1">
      <c r="A208" s="19">
        <f t="shared" si="27"/>
        <v>1900</v>
      </c>
    </row>
    <row r="209" spans="1:1">
      <c r="A209" s="19">
        <f t="shared" si="27"/>
        <v>1900</v>
      </c>
    </row>
    <row r="210" spans="1:1">
      <c r="A210" s="19">
        <f t="shared" si="27"/>
        <v>1900</v>
      </c>
    </row>
    <row r="211" spans="1:1">
      <c r="A211" s="19">
        <f t="shared" si="27"/>
        <v>1900</v>
      </c>
    </row>
    <row r="212" spans="1:1">
      <c r="A212" s="19">
        <f t="shared" si="27"/>
        <v>1900</v>
      </c>
    </row>
    <row r="213" spans="1:1">
      <c r="A213" s="19">
        <f t="shared" si="27"/>
        <v>1900</v>
      </c>
    </row>
    <row r="214" spans="1:1">
      <c r="A214" s="19">
        <f t="shared" si="27"/>
        <v>1900</v>
      </c>
    </row>
    <row r="215" spans="1:1">
      <c r="A215" s="19">
        <f t="shared" si="27"/>
        <v>1900</v>
      </c>
    </row>
    <row r="216" spans="1:1">
      <c r="A216" s="19">
        <f t="shared" si="27"/>
        <v>1900</v>
      </c>
    </row>
    <row r="217" spans="1:1">
      <c r="A217" s="19">
        <f t="shared" si="27"/>
        <v>1900</v>
      </c>
    </row>
    <row r="218" spans="1:1">
      <c r="A218" s="19">
        <f t="shared" si="27"/>
        <v>1900</v>
      </c>
    </row>
    <row r="219" spans="1:1">
      <c r="A219" s="19">
        <f t="shared" si="27"/>
        <v>1900</v>
      </c>
    </row>
    <row r="220" spans="1:1">
      <c r="A220" s="19">
        <f t="shared" si="27"/>
        <v>1900</v>
      </c>
    </row>
    <row r="221" spans="1:1">
      <c r="A221" s="19">
        <f t="shared" si="27"/>
        <v>1900</v>
      </c>
    </row>
    <row r="222" spans="1:1">
      <c r="A222" s="19">
        <f t="shared" si="27"/>
        <v>1900</v>
      </c>
    </row>
    <row r="223" spans="1:1">
      <c r="A223" s="19">
        <f t="shared" si="27"/>
        <v>1900</v>
      </c>
    </row>
    <row r="224" spans="1:1">
      <c r="A224" s="19">
        <f t="shared" si="27"/>
        <v>1900</v>
      </c>
    </row>
    <row r="225" spans="1:2">
      <c r="A225" s="19">
        <f t="shared" si="27"/>
        <v>1900</v>
      </c>
    </row>
    <row r="226" spans="1:2">
      <c r="A226" s="19">
        <f t="shared" si="27"/>
        <v>1900</v>
      </c>
    </row>
    <row r="227" spans="1:2">
      <c r="A227" s="19">
        <f t="shared" si="27"/>
        <v>1900</v>
      </c>
    </row>
    <row r="228" spans="1:2">
      <c r="A228" s="19">
        <f t="shared" si="27"/>
        <v>1900</v>
      </c>
    </row>
    <row r="229" spans="1:2">
      <c r="A229" s="19">
        <f t="shared" si="27"/>
        <v>1900</v>
      </c>
    </row>
    <row r="230" spans="1:2">
      <c r="A230" s="19">
        <f t="shared" si="27"/>
        <v>1900</v>
      </c>
    </row>
    <row r="231" spans="1:2">
      <c r="A231" s="19">
        <f t="shared" si="27"/>
        <v>1900</v>
      </c>
    </row>
    <row r="232" spans="1:2">
      <c r="A232" s="19">
        <f t="shared" si="27"/>
        <v>1900</v>
      </c>
    </row>
    <row r="233" spans="1:2">
      <c r="A233" s="19">
        <f t="shared" si="27"/>
        <v>1900</v>
      </c>
    </row>
    <row r="234" spans="1:2">
      <c r="A234" s="19">
        <f t="shared" si="27"/>
        <v>1900</v>
      </c>
    </row>
    <row r="235" spans="1:2">
      <c r="A235" s="19">
        <f t="shared" si="27"/>
        <v>1900</v>
      </c>
    </row>
    <row r="236" spans="1:2">
      <c r="A236" s="19">
        <f t="shared" si="27"/>
        <v>1900</v>
      </c>
    </row>
    <row r="237" spans="1:2">
      <c r="A237" s="19">
        <f t="shared" si="27"/>
        <v>1900</v>
      </c>
    </row>
    <row r="238" spans="1:2">
      <c r="A238" s="19">
        <f t="shared" si="27"/>
        <v>1900</v>
      </c>
    </row>
    <row r="239" spans="1:2">
      <c r="A239" s="19">
        <f t="shared" si="27"/>
        <v>1900</v>
      </c>
      <c r="B239" s="202"/>
    </row>
    <row r="240" spans="1:2">
      <c r="A240" s="19">
        <f t="shared" si="27"/>
        <v>1900</v>
      </c>
      <c r="B240" s="202"/>
    </row>
    <row r="241" spans="1:2">
      <c r="A241" s="19">
        <f t="shared" si="27"/>
        <v>1900</v>
      </c>
      <c r="B241" s="202"/>
    </row>
    <row r="242" spans="1:2">
      <c r="A242" s="19">
        <f t="shared" si="27"/>
        <v>1900</v>
      </c>
      <c r="B242" s="202"/>
    </row>
    <row r="243" spans="1:2">
      <c r="A243" s="19">
        <f t="shared" si="27"/>
        <v>1900</v>
      </c>
      <c r="B243" s="202"/>
    </row>
    <row r="244" spans="1:2">
      <c r="A244" s="19">
        <f t="shared" si="27"/>
        <v>1900</v>
      </c>
      <c r="B244" s="202"/>
    </row>
    <row r="245" spans="1:2">
      <c r="A245" s="19">
        <f t="shared" si="27"/>
        <v>1900</v>
      </c>
      <c r="B245" s="202"/>
    </row>
    <row r="246" spans="1:2">
      <c r="A246" s="19">
        <f t="shared" si="27"/>
        <v>1900</v>
      </c>
      <c r="B246" s="202"/>
    </row>
    <row r="247" spans="1:2">
      <c r="A247" s="19">
        <f t="shared" si="27"/>
        <v>1900</v>
      </c>
      <c r="B247" s="202"/>
    </row>
    <row r="248" spans="1:2">
      <c r="A248" s="19">
        <f t="shared" si="27"/>
        <v>1900</v>
      </c>
      <c r="B248" s="202"/>
    </row>
    <row r="249" spans="1:2">
      <c r="A249" s="19">
        <f t="shared" si="27"/>
        <v>1900</v>
      </c>
      <c r="B249" s="202"/>
    </row>
    <row r="250" spans="1:2">
      <c r="A250" s="19">
        <f t="shared" si="27"/>
        <v>1900</v>
      </c>
      <c r="B250" s="202"/>
    </row>
    <row r="251" spans="1:2">
      <c r="A251" s="19">
        <f t="shared" si="27"/>
        <v>1900</v>
      </c>
    </row>
    <row r="252" spans="1:2">
      <c r="A252" s="19">
        <f t="shared" si="27"/>
        <v>1900</v>
      </c>
    </row>
    <row r="253" spans="1:2">
      <c r="A253" s="19">
        <f t="shared" si="27"/>
        <v>1900</v>
      </c>
    </row>
    <row r="254" spans="1:2">
      <c r="A254" s="19">
        <f t="shared" si="27"/>
        <v>1900</v>
      </c>
    </row>
    <row r="255" spans="1:2">
      <c r="A255" s="19">
        <f t="shared" si="27"/>
        <v>1900</v>
      </c>
    </row>
    <row r="256" spans="1:2">
      <c r="A256" s="19">
        <f t="shared" si="27"/>
        <v>1900</v>
      </c>
    </row>
    <row r="257" spans="1:1">
      <c r="A257" s="19">
        <f t="shared" si="27"/>
        <v>1900</v>
      </c>
    </row>
    <row r="258" spans="1:1">
      <c r="A258" s="19">
        <f t="shared" si="27"/>
        <v>1900</v>
      </c>
    </row>
    <row r="259" spans="1:1">
      <c r="A259" s="19">
        <f t="shared" si="27"/>
        <v>1900</v>
      </c>
    </row>
    <row r="260" spans="1:1">
      <c r="A260" s="19">
        <f t="shared" si="27"/>
        <v>1900</v>
      </c>
    </row>
    <row r="261" spans="1:1">
      <c r="A261" s="19">
        <f t="shared" si="27"/>
        <v>1900</v>
      </c>
    </row>
    <row r="262" spans="1:1">
      <c r="A262" s="19">
        <f t="shared" si="27"/>
        <v>1900</v>
      </c>
    </row>
    <row r="263" spans="1:1">
      <c r="A263" s="19">
        <f t="shared" si="27"/>
        <v>1900</v>
      </c>
    </row>
    <row r="264" spans="1:1">
      <c r="A264" s="19">
        <f t="shared" ref="A264:A327" si="28">YEAR(B267)</f>
        <v>1900</v>
      </c>
    </row>
    <row r="265" spans="1:1">
      <c r="A265" s="19">
        <f t="shared" si="28"/>
        <v>1900</v>
      </c>
    </row>
    <row r="266" spans="1:1">
      <c r="A266" s="19">
        <f t="shared" si="28"/>
        <v>1900</v>
      </c>
    </row>
    <row r="267" spans="1:1">
      <c r="A267" s="19">
        <f t="shared" si="28"/>
        <v>1900</v>
      </c>
    </row>
    <row r="268" spans="1:1">
      <c r="A268" s="19">
        <f t="shared" si="28"/>
        <v>1900</v>
      </c>
    </row>
    <row r="269" spans="1:1">
      <c r="A269" s="19">
        <f t="shared" si="28"/>
        <v>1900</v>
      </c>
    </row>
    <row r="270" spans="1:1">
      <c r="A270" s="19">
        <f t="shared" si="28"/>
        <v>1900</v>
      </c>
    </row>
    <row r="271" spans="1:1">
      <c r="A271" s="19">
        <f t="shared" si="28"/>
        <v>1900</v>
      </c>
    </row>
    <row r="272" spans="1:1">
      <c r="A272" s="19">
        <f t="shared" si="28"/>
        <v>1900</v>
      </c>
    </row>
    <row r="273" spans="1:1">
      <c r="A273" s="19">
        <f t="shared" si="28"/>
        <v>1900</v>
      </c>
    </row>
    <row r="274" spans="1:1">
      <c r="A274" s="19">
        <f t="shared" si="28"/>
        <v>1900</v>
      </c>
    </row>
    <row r="275" spans="1:1">
      <c r="A275" s="19">
        <f t="shared" si="28"/>
        <v>1900</v>
      </c>
    </row>
    <row r="276" spans="1:1">
      <c r="A276" s="19">
        <f t="shared" si="28"/>
        <v>1900</v>
      </c>
    </row>
    <row r="277" spans="1:1">
      <c r="A277" s="19">
        <f t="shared" si="28"/>
        <v>1900</v>
      </c>
    </row>
    <row r="278" spans="1:1">
      <c r="A278" s="19">
        <f t="shared" si="28"/>
        <v>1900</v>
      </c>
    </row>
    <row r="279" spans="1:1">
      <c r="A279" s="19">
        <f t="shared" si="28"/>
        <v>1900</v>
      </c>
    </row>
    <row r="280" spans="1:1">
      <c r="A280" s="19">
        <f t="shared" si="28"/>
        <v>1900</v>
      </c>
    </row>
    <row r="281" spans="1:1">
      <c r="A281" s="19">
        <f t="shared" si="28"/>
        <v>1900</v>
      </c>
    </row>
    <row r="282" spans="1:1">
      <c r="A282" s="19">
        <f t="shared" si="28"/>
        <v>1900</v>
      </c>
    </row>
    <row r="283" spans="1:1">
      <c r="A283" s="19">
        <f t="shared" si="28"/>
        <v>1900</v>
      </c>
    </row>
    <row r="284" spans="1:1">
      <c r="A284" s="19">
        <f t="shared" si="28"/>
        <v>1900</v>
      </c>
    </row>
    <row r="285" spans="1:1">
      <c r="A285" s="19">
        <f t="shared" si="28"/>
        <v>1900</v>
      </c>
    </row>
    <row r="286" spans="1:1">
      <c r="A286" s="19">
        <f t="shared" si="28"/>
        <v>1900</v>
      </c>
    </row>
    <row r="287" spans="1:1">
      <c r="A287" s="19">
        <f t="shared" si="28"/>
        <v>1900</v>
      </c>
    </row>
    <row r="288" spans="1:1">
      <c r="A288" s="19">
        <f t="shared" si="28"/>
        <v>1900</v>
      </c>
    </row>
    <row r="289" spans="1:1">
      <c r="A289" s="19">
        <f t="shared" si="28"/>
        <v>1900</v>
      </c>
    </row>
    <row r="290" spans="1:1">
      <c r="A290" s="19">
        <f t="shared" si="28"/>
        <v>1900</v>
      </c>
    </row>
    <row r="291" spans="1:1">
      <c r="A291" s="19">
        <f t="shared" si="28"/>
        <v>1900</v>
      </c>
    </row>
    <row r="292" spans="1:1">
      <c r="A292" s="19">
        <f t="shared" si="28"/>
        <v>1900</v>
      </c>
    </row>
    <row r="293" spans="1:1">
      <c r="A293" s="19">
        <f t="shared" si="28"/>
        <v>1900</v>
      </c>
    </row>
    <row r="294" spans="1:1">
      <c r="A294" s="19">
        <f t="shared" si="28"/>
        <v>1900</v>
      </c>
    </row>
    <row r="295" spans="1:1">
      <c r="A295" s="19">
        <f t="shared" si="28"/>
        <v>1900</v>
      </c>
    </row>
    <row r="296" spans="1:1">
      <c r="A296" s="19">
        <f t="shared" si="28"/>
        <v>1900</v>
      </c>
    </row>
    <row r="297" spans="1:1">
      <c r="A297" s="19">
        <f t="shared" si="28"/>
        <v>1900</v>
      </c>
    </row>
    <row r="298" spans="1:1">
      <c r="A298" s="19">
        <f t="shared" si="28"/>
        <v>1900</v>
      </c>
    </row>
    <row r="299" spans="1:1">
      <c r="A299" s="19">
        <f t="shared" si="28"/>
        <v>1900</v>
      </c>
    </row>
    <row r="300" spans="1:1">
      <c r="A300" s="19">
        <f t="shared" si="28"/>
        <v>1900</v>
      </c>
    </row>
    <row r="301" spans="1:1">
      <c r="A301" s="19">
        <f t="shared" si="28"/>
        <v>1900</v>
      </c>
    </row>
    <row r="302" spans="1:1">
      <c r="A302" s="19">
        <f t="shared" si="28"/>
        <v>1900</v>
      </c>
    </row>
    <row r="303" spans="1:1">
      <c r="A303" s="19">
        <f t="shared" si="28"/>
        <v>1900</v>
      </c>
    </row>
    <row r="304" spans="1:1">
      <c r="A304" s="19">
        <f t="shared" si="28"/>
        <v>1900</v>
      </c>
    </row>
    <row r="305" spans="1:1">
      <c r="A305" s="19">
        <f t="shared" si="28"/>
        <v>1900</v>
      </c>
    </row>
    <row r="306" spans="1:1">
      <c r="A306" s="19">
        <f t="shared" si="28"/>
        <v>1900</v>
      </c>
    </row>
    <row r="307" spans="1:1">
      <c r="A307" s="19">
        <f t="shared" si="28"/>
        <v>1900</v>
      </c>
    </row>
    <row r="308" spans="1:1">
      <c r="A308" s="19">
        <f t="shared" si="28"/>
        <v>1900</v>
      </c>
    </row>
    <row r="309" spans="1:1">
      <c r="A309" s="19">
        <f t="shared" si="28"/>
        <v>1900</v>
      </c>
    </row>
    <row r="310" spans="1:1">
      <c r="A310" s="19">
        <f t="shared" si="28"/>
        <v>1900</v>
      </c>
    </row>
    <row r="311" spans="1:1">
      <c r="A311" s="19">
        <f t="shared" si="28"/>
        <v>1900</v>
      </c>
    </row>
    <row r="312" spans="1:1">
      <c r="A312" s="19">
        <f t="shared" si="28"/>
        <v>1900</v>
      </c>
    </row>
    <row r="313" spans="1:1">
      <c r="A313" s="19">
        <f t="shared" si="28"/>
        <v>1900</v>
      </c>
    </row>
    <row r="314" spans="1:1">
      <c r="A314" s="19">
        <f t="shared" si="28"/>
        <v>1900</v>
      </c>
    </row>
    <row r="315" spans="1:1">
      <c r="A315" s="19">
        <f t="shared" si="28"/>
        <v>1900</v>
      </c>
    </row>
    <row r="316" spans="1:1">
      <c r="A316" s="19">
        <f t="shared" si="28"/>
        <v>1900</v>
      </c>
    </row>
    <row r="317" spans="1:1">
      <c r="A317" s="19">
        <f t="shared" si="28"/>
        <v>1900</v>
      </c>
    </row>
    <row r="318" spans="1:1">
      <c r="A318" s="19">
        <f t="shared" si="28"/>
        <v>1900</v>
      </c>
    </row>
    <row r="319" spans="1:1">
      <c r="A319" s="19">
        <f t="shared" si="28"/>
        <v>1900</v>
      </c>
    </row>
    <row r="320" spans="1:1">
      <c r="A320" s="19">
        <f t="shared" si="28"/>
        <v>1900</v>
      </c>
    </row>
    <row r="321" spans="1:1">
      <c r="A321" s="19">
        <f t="shared" si="28"/>
        <v>1900</v>
      </c>
    </row>
    <row r="322" spans="1:1">
      <c r="A322" s="19">
        <f t="shared" si="28"/>
        <v>1900</v>
      </c>
    </row>
    <row r="323" spans="1:1">
      <c r="A323" s="19">
        <f t="shared" si="28"/>
        <v>1900</v>
      </c>
    </row>
    <row r="324" spans="1:1">
      <c r="A324" s="19">
        <f t="shared" si="28"/>
        <v>1900</v>
      </c>
    </row>
    <row r="325" spans="1:1">
      <c r="A325" s="19">
        <f t="shared" si="28"/>
        <v>1900</v>
      </c>
    </row>
    <row r="326" spans="1:1">
      <c r="A326" s="19">
        <f t="shared" si="28"/>
        <v>1900</v>
      </c>
    </row>
    <row r="327" spans="1:1">
      <c r="A327" s="19">
        <f t="shared" si="28"/>
        <v>1900</v>
      </c>
    </row>
    <row r="328" spans="1:1">
      <c r="A328" s="19">
        <f t="shared" ref="A328:A391" si="29">YEAR(B331)</f>
        <v>1900</v>
      </c>
    </row>
    <row r="329" spans="1:1">
      <c r="A329" s="19">
        <f t="shared" si="29"/>
        <v>1900</v>
      </c>
    </row>
    <row r="330" spans="1:1">
      <c r="A330" s="19">
        <f t="shared" si="29"/>
        <v>1900</v>
      </c>
    </row>
    <row r="331" spans="1:1">
      <c r="A331" s="19">
        <f t="shared" si="29"/>
        <v>1900</v>
      </c>
    </row>
    <row r="332" spans="1:1">
      <c r="A332" s="19">
        <f t="shared" si="29"/>
        <v>1900</v>
      </c>
    </row>
    <row r="333" spans="1:1">
      <c r="A333" s="19">
        <f t="shared" si="29"/>
        <v>1900</v>
      </c>
    </row>
    <row r="334" spans="1:1">
      <c r="A334" s="19">
        <f t="shared" si="29"/>
        <v>1900</v>
      </c>
    </row>
    <row r="335" spans="1:1">
      <c r="A335" s="19">
        <f t="shared" si="29"/>
        <v>1900</v>
      </c>
    </row>
    <row r="336" spans="1:1">
      <c r="A336" s="19">
        <f t="shared" si="29"/>
        <v>1900</v>
      </c>
    </row>
    <row r="337" spans="1:1">
      <c r="A337" s="19">
        <f t="shared" si="29"/>
        <v>1900</v>
      </c>
    </row>
    <row r="338" spans="1:1">
      <c r="A338" s="19">
        <f t="shared" si="29"/>
        <v>1900</v>
      </c>
    </row>
    <row r="339" spans="1:1">
      <c r="A339" s="19">
        <f t="shared" si="29"/>
        <v>1900</v>
      </c>
    </row>
    <row r="340" spans="1:1">
      <c r="A340" s="19">
        <f t="shared" si="29"/>
        <v>1900</v>
      </c>
    </row>
    <row r="341" spans="1:1">
      <c r="A341" s="19">
        <f t="shared" si="29"/>
        <v>1900</v>
      </c>
    </row>
    <row r="342" spans="1:1">
      <c r="A342" s="19">
        <f t="shared" si="29"/>
        <v>1900</v>
      </c>
    </row>
    <row r="343" spans="1:1">
      <c r="A343" s="19">
        <f t="shared" si="29"/>
        <v>1900</v>
      </c>
    </row>
    <row r="344" spans="1:1">
      <c r="A344" s="19">
        <f t="shared" si="29"/>
        <v>1900</v>
      </c>
    </row>
    <row r="345" spans="1:1">
      <c r="A345" s="19">
        <f t="shared" si="29"/>
        <v>1900</v>
      </c>
    </row>
    <row r="346" spans="1:1">
      <c r="A346" s="19">
        <f t="shared" si="29"/>
        <v>1900</v>
      </c>
    </row>
    <row r="347" spans="1:1">
      <c r="A347" s="19">
        <f t="shared" si="29"/>
        <v>1900</v>
      </c>
    </row>
    <row r="348" spans="1:1">
      <c r="A348" s="19">
        <f t="shared" si="29"/>
        <v>1900</v>
      </c>
    </row>
    <row r="349" spans="1:1">
      <c r="A349" s="19">
        <f t="shared" si="29"/>
        <v>1900</v>
      </c>
    </row>
    <row r="350" spans="1:1">
      <c r="A350" s="19">
        <f t="shared" si="29"/>
        <v>1900</v>
      </c>
    </row>
    <row r="351" spans="1:1">
      <c r="A351" s="19">
        <f t="shared" si="29"/>
        <v>1900</v>
      </c>
    </row>
    <row r="352" spans="1:1">
      <c r="A352" s="19">
        <f t="shared" si="29"/>
        <v>1900</v>
      </c>
    </row>
    <row r="353" spans="1:1">
      <c r="A353" s="19">
        <f t="shared" si="29"/>
        <v>1900</v>
      </c>
    </row>
    <row r="354" spans="1:1">
      <c r="A354" s="19">
        <f t="shared" si="29"/>
        <v>1900</v>
      </c>
    </row>
    <row r="355" spans="1:1">
      <c r="A355" s="19">
        <f t="shared" si="29"/>
        <v>1900</v>
      </c>
    </row>
    <row r="356" spans="1:1">
      <c r="A356" s="19">
        <f t="shared" si="29"/>
        <v>1900</v>
      </c>
    </row>
    <row r="357" spans="1:1">
      <c r="A357" s="19">
        <f t="shared" si="29"/>
        <v>1900</v>
      </c>
    </row>
    <row r="358" spans="1:1">
      <c r="A358" s="19">
        <f t="shared" si="29"/>
        <v>1900</v>
      </c>
    </row>
    <row r="359" spans="1:1">
      <c r="A359" s="19">
        <f t="shared" si="29"/>
        <v>1900</v>
      </c>
    </row>
    <row r="360" spans="1:1">
      <c r="A360" s="19">
        <f t="shared" si="29"/>
        <v>1900</v>
      </c>
    </row>
    <row r="361" spans="1:1">
      <c r="A361" s="19">
        <f t="shared" si="29"/>
        <v>1900</v>
      </c>
    </row>
    <row r="362" spans="1:1">
      <c r="A362" s="19">
        <f t="shared" si="29"/>
        <v>1900</v>
      </c>
    </row>
    <row r="363" spans="1:1">
      <c r="A363" s="19">
        <f t="shared" si="29"/>
        <v>1900</v>
      </c>
    </row>
    <row r="364" spans="1:1">
      <c r="A364" s="19">
        <f t="shared" si="29"/>
        <v>1900</v>
      </c>
    </row>
    <row r="365" spans="1:1">
      <c r="A365" s="19">
        <f t="shared" si="29"/>
        <v>1900</v>
      </c>
    </row>
    <row r="366" spans="1:1">
      <c r="A366" s="19">
        <f t="shared" si="29"/>
        <v>1900</v>
      </c>
    </row>
    <row r="367" spans="1:1">
      <c r="A367" s="19">
        <f t="shared" si="29"/>
        <v>1900</v>
      </c>
    </row>
    <row r="368" spans="1:1">
      <c r="A368" s="19">
        <f t="shared" si="29"/>
        <v>1900</v>
      </c>
    </row>
    <row r="369" spans="1:1">
      <c r="A369" s="19">
        <f t="shared" si="29"/>
        <v>1900</v>
      </c>
    </row>
    <row r="370" spans="1:1">
      <c r="A370" s="19">
        <f t="shared" si="29"/>
        <v>1900</v>
      </c>
    </row>
    <row r="371" spans="1:1">
      <c r="A371" s="19">
        <f t="shared" si="29"/>
        <v>1900</v>
      </c>
    </row>
    <row r="372" spans="1:1">
      <c r="A372" s="19">
        <f t="shared" si="29"/>
        <v>1900</v>
      </c>
    </row>
    <row r="373" spans="1:1">
      <c r="A373" s="19">
        <f t="shared" si="29"/>
        <v>1900</v>
      </c>
    </row>
    <row r="374" spans="1:1">
      <c r="A374" s="19">
        <f t="shared" si="29"/>
        <v>1900</v>
      </c>
    </row>
    <row r="375" spans="1:1">
      <c r="A375" s="19">
        <f t="shared" si="29"/>
        <v>1900</v>
      </c>
    </row>
    <row r="376" spans="1:1">
      <c r="A376" s="19">
        <f t="shared" si="29"/>
        <v>1900</v>
      </c>
    </row>
    <row r="377" spans="1:1">
      <c r="A377" s="19">
        <f t="shared" si="29"/>
        <v>1900</v>
      </c>
    </row>
    <row r="378" spans="1:1">
      <c r="A378" s="19">
        <f t="shared" si="29"/>
        <v>1900</v>
      </c>
    </row>
    <row r="379" spans="1:1">
      <c r="A379" s="19">
        <f t="shared" si="29"/>
        <v>1900</v>
      </c>
    </row>
    <row r="380" spans="1:1">
      <c r="A380" s="19">
        <f t="shared" si="29"/>
        <v>1900</v>
      </c>
    </row>
    <row r="381" spans="1:1">
      <c r="A381" s="19">
        <f t="shared" si="29"/>
        <v>1900</v>
      </c>
    </row>
    <row r="382" spans="1:1">
      <c r="A382" s="19">
        <f t="shared" si="29"/>
        <v>1900</v>
      </c>
    </row>
    <row r="383" spans="1:1">
      <c r="A383" s="19">
        <f t="shared" si="29"/>
        <v>1900</v>
      </c>
    </row>
    <row r="384" spans="1:1">
      <c r="A384" s="19">
        <f t="shared" si="29"/>
        <v>1900</v>
      </c>
    </row>
    <row r="385" spans="1:1">
      <c r="A385" s="19">
        <f t="shared" si="29"/>
        <v>1900</v>
      </c>
    </row>
    <row r="386" spans="1:1">
      <c r="A386" s="19">
        <f t="shared" si="29"/>
        <v>1900</v>
      </c>
    </row>
    <row r="387" spans="1:1">
      <c r="A387" s="19">
        <f t="shared" si="29"/>
        <v>1900</v>
      </c>
    </row>
    <row r="388" spans="1:1">
      <c r="A388" s="19">
        <f t="shared" si="29"/>
        <v>1900</v>
      </c>
    </row>
    <row r="389" spans="1:1">
      <c r="A389" s="19">
        <f t="shared" si="29"/>
        <v>1900</v>
      </c>
    </row>
    <row r="390" spans="1:1">
      <c r="A390" s="19">
        <f t="shared" si="29"/>
        <v>1900</v>
      </c>
    </row>
    <row r="391" spans="1:1">
      <c r="A391" s="19">
        <f t="shared" si="29"/>
        <v>1900</v>
      </c>
    </row>
    <row r="392" spans="1:1">
      <c r="A392" s="19">
        <f t="shared" ref="A392:A455" si="30">YEAR(B395)</f>
        <v>1900</v>
      </c>
    </row>
    <row r="393" spans="1:1">
      <c r="A393" s="19">
        <f t="shared" si="30"/>
        <v>1900</v>
      </c>
    </row>
    <row r="394" spans="1:1">
      <c r="A394" s="19">
        <f t="shared" si="30"/>
        <v>1900</v>
      </c>
    </row>
    <row r="395" spans="1:1">
      <c r="A395" s="19">
        <f t="shared" si="30"/>
        <v>1900</v>
      </c>
    </row>
    <row r="396" spans="1:1">
      <c r="A396" s="19">
        <f t="shared" si="30"/>
        <v>1900</v>
      </c>
    </row>
    <row r="397" spans="1:1">
      <c r="A397" s="19">
        <f t="shared" si="30"/>
        <v>1900</v>
      </c>
    </row>
    <row r="398" spans="1:1">
      <c r="A398" s="19">
        <f t="shared" si="30"/>
        <v>1900</v>
      </c>
    </row>
    <row r="399" spans="1:1">
      <c r="A399" s="19">
        <f t="shared" si="30"/>
        <v>1900</v>
      </c>
    </row>
    <row r="400" spans="1:1">
      <c r="A400" s="19">
        <f t="shared" si="30"/>
        <v>1900</v>
      </c>
    </row>
    <row r="401" spans="1:1">
      <c r="A401" s="19">
        <f t="shared" si="30"/>
        <v>1900</v>
      </c>
    </row>
    <row r="402" spans="1:1">
      <c r="A402" s="19">
        <f t="shared" si="30"/>
        <v>1900</v>
      </c>
    </row>
    <row r="403" spans="1:1">
      <c r="A403" s="19">
        <f t="shared" si="30"/>
        <v>1900</v>
      </c>
    </row>
    <row r="404" spans="1:1">
      <c r="A404" s="19">
        <f t="shared" si="30"/>
        <v>1900</v>
      </c>
    </row>
    <row r="405" spans="1:1">
      <c r="A405" s="19">
        <f t="shared" si="30"/>
        <v>1900</v>
      </c>
    </row>
    <row r="406" spans="1:1">
      <c r="A406" s="19">
        <f t="shared" si="30"/>
        <v>1900</v>
      </c>
    </row>
    <row r="407" spans="1:1">
      <c r="A407" s="19">
        <f t="shared" si="30"/>
        <v>1900</v>
      </c>
    </row>
    <row r="408" spans="1:1">
      <c r="A408" s="19">
        <f t="shared" si="30"/>
        <v>1900</v>
      </c>
    </row>
    <row r="409" spans="1:1">
      <c r="A409" s="19">
        <f t="shared" si="30"/>
        <v>1900</v>
      </c>
    </row>
    <row r="410" spans="1:1">
      <c r="A410" s="19">
        <f t="shared" si="30"/>
        <v>1900</v>
      </c>
    </row>
    <row r="411" spans="1:1">
      <c r="A411" s="19">
        <f t="shared" si="30"/>
        <v>1900</v>
      </c>
    </row>
    <row r="412" spans="1:1">
      <c r="A412" s="19">
        <f t="shared" si="30"/>
        <v>1900</v>
      </c>
    </row>
    <row r="413" spans="1:1">
      <c r="A413" s="19">
        <f t="shared" si="30"/>
        <v>1900</v>
      </c>
    </row>
    <row r="414" spans="1:1">
      <c r="A414" s="19">
        <f t="shared" si="30"/>
        <v>1900</v>
      </c>
    </row>
    <row r="415" spans="1:1">
      <c r="A415" s="19">
        <f t="shared" si="30"/>
        <v>1900</v>
      </c>
    </row>
    <row r="416" spans="1:1">
      <c r="A416" s="19">
        <f t="shared" si="30"/>
        <v>1900</v>
      </c>
    </row>
    <row r="417" spans="1:1">
      <c r="A417" s="19">
        <f t="shared" si="30"/>
        <v>1900</v>
      </c>
    </row>
    <row r="418" spans="1:1">
      <c r="A418" s="19">
        <f t="shared" si="30"/>
        <v>1900</v>
      </c>
    </row>
    <row r="419" spans="1:1">
      <c r="A419" s="19">
        <f t="shared" si="30"/>
        <v>1900</v>
      </c>
    </row>
    <row r="420" spans="1:1">
      <c r="A420" s="19">
        <f t="shared" si="30"/>
        <v>1900</v>
      </c>
    </row>
    <row r="421" spans="1:1">
      <c r="A421" s="19">
        <f t="shared" si="30"/>
        <v>1900</v>
      </c>
    </row>
    <row r="422" spans="1:1">
      <c r="A422" s="19">
        <f t="shared" si="30"/>
        <v>1900</v>
      </c>
    </row>
    <row r="423" spans="1:1">
      <c r="A423" s="19">
        <f t="shared" si="30"/>
        <v>1900</v>
      </c>
    </row>
    <row r="424" spans="1:1">
      <c r="A424" s="19">
        <f t="shared" si="30"/>
        <v>1900</v>
      </c>
    </row>
    <row r="425" spans="1:1">
      <c r="A425" s="19">
        <f t="shared" si="30"/>
        <v>1900</v>
      </c>
    </row>
    <row r="426" spans="1:1">
      <c r="A426" s="19">
        <f t="shared" si="30"/>
        <v>1900</v>
      </c>
    </row>
    <row r="427" spans="1:1">
      <c r="A427" s="19">
        <f t="shared" si="30"/>
        <v>1900</v>
      </c>
    </row>
    <row r="428" spans="1:1">
      <c r="A428" s="19">
        <f t="shared" si="30"/>
        <v>1900</v>
      </c>
    </row>
    <row r="429" spans="1:1">
      <c r="A429" s="19">
        <f t="shared" si="30"/>
        <v>1900</v>
      </c>
    </row>
    <row r="430" spans="1:1">
      <c r="A430" s="19">
        <f t="shared" si="30"/>
        <v>1900</v>
      </c>
    </row>
    <row r="431" spans="1:1">
      <c r="A431" s="19">
        <f t="shared" si="30"/>
        <v>1900</v>
      </c>
    </row>
    <row r="432" spans="1:1">
      <c r="A432" s="19">
        <f t="shared" si="30"/>
        <v>1900</v>
      </c>
    </row>
    <row r="433" spans="1:1">
      <c r="A433" s="19">
        <f t="shared" si="30"/>
        <v>1900</v>
      </c>
    </row>
    <row r="434" spans="1:1">
      <c r="A434" s="19">
        <f t="shared" si="30"/>
        <v>1900</v>
      </c>
    </row>
    <row r="435" spans="1:1">
      <c r="A435" s="19">
        <f t="shared" si="30"/>
        <v>1900</v>
      </c>
    </row>
    <row r="436" spans="1:1">
      <c r="A436" s="19">
        <f t="shared" si="30"/>
        <v>1900</v>
      </c>
    </row>
    <row r="437" spans="1:1">
      <c r="A437" s="19">
        <f t="shared" si="30"/>
        <v>1900</v>
      </c>
    </row>
    <row r="438" spans="1:1">
      <c r="A438" s="19">
        <f t="shared" si="30"/>
        <v>1900</v>
      </c>
    </row>
    <row r="439" spans="1:1">
      <c r="A439" s="19">
        <f t="shared" si="30"/>
        <v>1900</v>
      </c>
    </row>
    <row r="440" spans="1:1">
      <c r="A440" s="19">
        <f t="shared" si="30"/>
        <v>1900</v>
      </c>
    </row>
    <row r="441" spans="1:1">
      <c r="A441" s="19">
        <f t="shared" si="30"/>
        <v>1900</v>
      </c>
    </row>
    <row r="442" spans="1:1">
      <c r="A442" s="19">
        <f t="shared" si="30"/>
        <v>1900</v>
      </c>
    </row>
    <row r="443" spans="1:1">
      <c r="A443" s="19">
        <f t="shared" si="30"/>
        <v>1900</v>
      </c>
    </row>
    <row r="444" spans="1:1">
      <c r="A444" s="19">
        <f t="shared" si="30"/>
        <v>1900</v>
      </c>
    </row>
    <row r="445" spans="1:1">
      <c r="A445" s="19">
        <f t="shared" si="30"/>
        <v>1900</v>
      </c>
    </row>
    <row r="446" spans="1:1">
      <c r="A446" s="19">
        <f t="shared" si="30"/>
        <v>1900</v>
      </c>
    </row>
    <row r="447" spans="1:1">
      <c r="A447" s="19">
        <f t="shared" si="30"/>
        <v>1900</v>
      </c>
    </row>
    <row r="448" spans="1:1">
      <c r="A448" s="19">
        <f t="shared" si="30"/>
        <v>1900</v>
      </c>
    </row>
    <row r="449" spans="1:1">
      <c r="A449" s="19">
        <f t="shared" si="30"/>
        <v>1900</v>
      </c>
    </row>
    <row r="450" spans="1:1">
      <c r="A450" s="19">
        <f t="shared" si="30"/>
        <v>1900</v>
      </c>
    </row>
    <row r="451" spans="1:1">
      <c r="A451" s="19">
        <f t="shared" si="30"/>
        <v>1900</v>
      </c>
    </row>
    <row r="452" spans="1:1">
      <c r="A452" s="19">
        <f t="shared" si="30"/>
        <v>1900</v>
      </c>
    </row>
    <row r="453" spans="1:1">
      <c r="A453" s="19">
        <f t="shared" si="30"/>
        <v>1900</v>
      </c>
    </row>
    <row r="454" spans="1:1">
      <c r="A454" s="19">
        <f t="shared" si="30"/>
        <v>1900</v>
      </c>
    </row>
    <row r="455" spans="1:1">
      <c r="A455" s="19">
        <f t="shared" si="30"/>
        <v>1900</v>
      </c>
    </row>
    <row r="456" spans="1:1">
      <c r="A456" s="19">
        <f t="shared" ref="A456:A507" si="31">YEAR(B459)</f>
        <v>1900</v>
      </c>
    </row>
    <row r="457" spans="1:1">
      <c r="A457" s="19">
        <f t="shared" si="31"/>
        <v>1900</v>
      </c>
    </row>
    <row r="458" spans="1:1">
      <c r="A458" s="19">
        <f t="shared" si="31"/>
        <v>1900</v>
      </c>
    </row>
    <row r="459" spans="1:1">
      <c r="A459" s="19">
        <f t="shared" si="31"/>
        <v>1900</v>
      </c>
    </row>
    <row r="460" spans="1:1">
      <c r="A460" s="19">
        <f t="shared" si="31"/>
        <v>1900</v>
      </c>
    </row>
    <row r="461" spans="1:1">
      <c r="A461" s="19">
        <f t="shared" si="31"/>
        <v>1900</v>
      </c>
    </row>
    <row r="462" spans="1:1">
      <c r="A462" s="19">
        <f t="shared" si="31"/>
        <v>1900</v>
      </c>
    </row>
    <row r="463" spans="1:1">
      <c r="A463" s="19">
        <f t="shared" si="31"/>
        <v>1900</v>
      </c>
    </row>
    <row r="464" spans="1:1">
      <c r="A464" s="19">
        <f t="shared" si="31"/>
        <v>1900</v>
      </c>
    </row>
    <row r="465" spans="1:1">
      <c r="A465" s="19">
        <f t="shared" si="31"/>
        <v>1900</v>
      </c>
    </row>
    <row r="466" spans="1:1">
      <c r="A466" s="19">
        <f t="shared" si="31"/>
        <v>1900</v>
      </c>
    </row>
    <row r="467" spans="1:1">
      <c r="A467" s="19">
        <f t="shared" si="31"/>
        <v>1900</v>
      </c>
    </row>
    <row r="468" spans="1:1">
      <c r="A468" s="19">
        <f t="shared" si="31"/>
        <v>1900</v>
      </c>
    </row>
    <row r="469" spans="1:1">
      <c r="A469" s="19">
        <f t="shared" si="31"/>
        <v>1900</v>
      </c>
    </row>
    <row r="470" spans="1:1">
      <c r="A470" s="19">
        <f t="shared" si="31"/>
        <v>1900</v>
      </c>
    </row>
    <row r="471" spans="1:1">
      <c r="A471" s="19">
        <f t="shared" si="31"/>
        <v>1900</v>
      </c>
    </row>
    <row r="472" spans="1:1">
      <c r="A472" s="19">
        <f t="shared" si="31"/>
        <v>1900</v>
      </c>
    </row>
    <row r="473" spans="1:1">
      <c r="A473" s="19">
        <f t="shared" si="31"/>
        <v>1900</v>
      </c>
    </row>
    <row r="474" spans="1:1">
      <c r="A474" s="19">
        <f t="shared" si="31"/>
        <v>1900</v>
      </c>
    </row>
    <row r="475" spans="1:1">
      <c r="A475" s="19">
        <f t="shared" si="31"/>
        <v>1900</v>
      </c>
    </row>
    <row r="476" spans="1:1">
      <c r="A476" s="19">
        <f t="shared" si="31"/>
        <v>1900</v>
      </c>
    </row>
    <row r="477" spans="1:1">
      <c r="A477" s="19">
        <f t="shared" si="31"/>
        <v>1900</v>
      </c>
    </row>
    <row r="478" spans="1:1">
      <c r="A478" s="19">
        <f t="shared" si="31"/>
        <v>1900</v>
      </c>
    </row>
    <row r="479" spans="1:1">
      <c r="A479" s="19">
        <f t="shared" si="31"/>
        <v>1900</v>
      </c>
    </row>
    <row r="480" spans="1:1">
      <c r="A480" s="19">
        <f t="shared" si="31"/>
        <v>1900</v>
      </c>
    </row>
    <row r="481" spans="1:1">
      <c r="A481" s="19">
        <f t="shared" si="31"/>
        <v>1900</v>
      </c>
    </row>
    <row r="482" spans="1:1">
      <c r="A482" s="19">
        <f t="shared" si="31"/>
        <v>1900</v>
      </c>
    </row>
    <row r="483" spans="1:1">
      <c r="A483" s="19">
        <f t="shared" si="31"/>
        <v>1900</v>
      </c>
    </row>
    <row r="484" spans="1:1">
      <c r="A484" s="19">
        <f t="shared" si="31"/>
        <v>1900</v>
      </c>
    </row>
    <row r="485" spans="1:1">
      <c r="A485" s="19">
        <f t="shared" si="31"/>
        <v>1900</v>
      </c>
    </row>
    <row r="486" spans="1:1">
      <c r="A486" s="19">
        <f t="shared" si="31"/>
        <v>1900</v>
      </c>
    </row>
    <row r="487" spans="1:1">
      <c r="A487" s="19">
        <f t="shared" si="31"/>
        <v>1900</v>
      </c>
    </row>
    <row r="488" spans="1:1">
      <c r="A488" s="19">
        <f t="shared" si="31"/>
        <v>1900</v>
      </c>
    </row>
    <row r="489" spans="1:1">
      <c r="A489" s="19">
        <f t="shared" si="31"/>
        <v>1900</v>
      </c>
    </row>
    <row r="490" spans="1:1">
      <c r="A490" s="19">
        <f t="shared" si="31"/>
        <v>1900</v>
      </c>
    </row>
    <row r="491" spans="1:1">
      <c r="A491" s="19">
        <f t="shared" si="31"/>
        <v>1900</v>
      </c>
    </row>
    <row r="492" spans="1:1">
      <c r="A492" s="19">
        <f t="shared" si="31"/>
        <v>1900</v>
      </c>
    </row>
    <row r="493" spans="1:1">
      <c r="A493" s="19">
        <f t="shared" si="31"/>
        <v>1900</v>
      </c>
    </row>
    <row r="494" spans="1:1">
      <c r="A494" s="19">
        <f t="shared" si="31"/>
        <v>1900</v>
      </c>
    </row>
    <row r="495" spans="1:1">
      <c r="A495" s="19">
        <f t="shared" si="31"/>
        <v>1900</v>
      </c>
    </row>
    <row r="496" spans="1:1">
      <c r="A496" s="19">
        <f t="shared" si="31"/>
        <v>1900</v>
      </c>
    </row>
    <row r="497" spans="1:1">
      <c r="A497" s="19">
        <f t="shared" si="31"/>
        <v>1900</v>
      </c>
    </row>
    <row r="498" spans="1:1">
      <c r="A498" s="19">
        <f t="shared" si="31"/>
        <v>1900</v>
      </c>
    </row>
    <row r="499" spans="1:1">
      <c r="A499" s="19">
        <f t="shared" si="31"/>
        <v>1900</v>
      </c>
    </row>
    <row r="500" spans="1:1">
      <c r="A500" s="19">
        <f t="shared" si="31"/>
        <v>1900</v>
      </c>
    </row>
    <row r="501" spans="1:1">
      <c r="A501" s="19">
        <f t="shared" si="31"/>
        <v>1900</v>
      </c>
    </row>
    <row r="502" spans="1:1">
      <c r="A502" s="19">
        <f t="shared" si="31"/>
        <v>1900</v>
      </c>
    </row>
    <row r="503" spans="1:1">
      <c r="A503" s="19">
        <f t="shared" si="31"/>
        <v>1900</v>
      </c>
    </row>
    <row r="504" spans="1:1">
      <c r="A504" s="19">
        <f t="shared" si="31"/>
        <v>1900</v>
      </c>
    </row>
    <row r="505" spans="1:1">
      <c r="A505" s="19">
        <f t="shared" si="31"/>
        <v>1900</v>
      </c>
    </row>
    <row r="506" spans="1:1">
      <c r="A506" s="19">
        <f t="shared" si="31"/>
        <v>1900</v>
      </c>
    </row>
    <row r="507" spans="1:1">
      <c r="A507" s="19">
        <f t="shared" si="31"/>
        <v>1900</v>
      </c>
    </row>
  </sheetData>
  <mergeCells count="3">
    <mergeCell ref="I6:M6"/>
    <mergeCell ref="O6:S6"/>
    <mergeCell ref="A6:F6"/>
  </mergeCells>
  <pageMargins left="0.7" right="0.7" top="0.75" bottom="0.75" header="0.3" footer="0.3"/>
  <pageSetup paperSize="9" orientation="portrait" r:id="rId1"/>
  <ignoredErrors>
    <ignoredError sqref="P8:P15 R8:R15 P16 R16 P17 R17" formulaRange="1"/>
    <ignoredError sqref="Q8:Q15 K8:K17" formula="1"/>
    <ignoredError sqref="Q16:Q17" formula="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8"/>
  <sheetViews>
    <sheetView showGridLines="0" topLeftCell="B1" zoomScaleNormal="100" workbookViewId="0">
      <pane ySplit="7" topLeftCell="A8" activePane="bottomLeft" state="frozen"/>
      <selection activeCell="B1" sqref="B1"/>
      <selection pane="bottomLeft" activeCell="D108" sqref="D108"/>
    </sheetView>
  </sheetViews>
  <sheetFormatPr defaultColWidth="9.140625" defaultRowHeight="15"/>
  <cols>
    <col min="1" max="1" width="5" style="19" hidden="1" customWidth="1"/>
    <col min="2" max="2" width="13.140625" style="298" bestFit="1" customWidth="1"/>
    <col min="3" max="3" width="14.85546875" style="298" customWidth="1"/>
    <col min="4" max="4" width="16.5703125" style="298" customWidth="1"/>
    <col min="5" max="5" width="20.85546875" style="311" customWidth="1"/>
    <col min="6" max="6" width="21.42578125" style="292" customWidth="1"/>
    <col min="7" max="7" width="16.28515625" style="292" customWidth="1"/>
    <col min="8" max="8" width="5.140625" style="292" customWidth="1"/>
    <col min="9" max="9" width="10.7109375" style="298" bestFit="1" customWidth="1"/>
    <col min="10" max="10" width="17.28515625" style="298" bestFit="1" customWidth="1"/>
    <col min="11" max="11" width="15.42578125" style="298" bestFit="1" customWidth="1"/>
    <col min="12" max="12" width="17.85546875" style="298" bestFit="1" customWidth="1"/>
    <col min="13" max="13" width="17.42578125" style="298" customWidth="1"/>
    <col min="14" max="14" width="19.42578125" style="298" customWidth="1"/>
    <col min="15" max="15" width="2.7109375" style="165" customWidth="1"/>
    <col min="16" max="16" width="15" style="298" customWidth="1"/>
    <col min="17" max="17" width="17.28515625" style="298" bestFit="1" customWidth="1"/>
    <col min="18" max="18" width="15.42578125" style="298" bestFit="1" customWidth="1"/>
    <col min="19" max="19" width="17.85546875" style="298" bestFit="1" customWidth="1"/>
    <col min="20" max="20" width="16.42578125" style="298" customWidth="1"/>
    <col min="21" max="21" width="18.5703125" style="298" customWidth="1"/>
    <col min="22" max="16384" width="9.140625" style="165"/>
  </cols>
  <sheetData>
    <row r="1" spans="1:33">
      <c r="I1" s="199">
        <f>(LARGE(B8:B510,1))</f>
        <v>44348</v>
      </c>
    </row>
    <row r="2" spans="1:33">
      <c r="I2" s="199">
        <f>MATCH(I1,B8:B510,0)+6</f>
        <v>90</v>
      </c>
    </row>
    <row r="3" spans="1:33">
      <c r="I3" s="168" t="str">
        <f ca="1">IF(MONTH(INDIRECT(CONCATENATE("B",I2)))=12, "Calendar Year", "Financial year")</f>
        <v>Financial year</v>
      </c>
    </row>
    <row r="4" spans="1:33">
      <c r="I4" s="168"/>
    </row>
    <row r="5" spans="1:33" s="298" customFormat="1">
      <c r="A5" s="19"/>
      <c r="E5" s="312"/>
      <c r="F5" s="292"/>
      <c r="G5" s="292"/>
      <c r="H5" s="292"/>
      <c r="I5" s="168"/>
    </row>
    <row r="6" spans="1:33" ht="15.75" thickBot="1">
      <c r="B6" s="1019" t="s">
        <v>37</v>
      </c>
      <c r="C6" s="1019"/>
      <c r="D6" s="1019"/>
      <c r="E6" s="1019"/>
      <c r="F6" s="1019"/>
      <c r="G6" s="1019"/>
      <c r="I6" s="1019" t="s">
        <v>1118</v>
      </c>
      <c r="J6" s="1019"/>
      <c r="K6" s="1019"/>
      <c r="L6" s="1019"/>
      <c r="M6" s="1019"/>
      <c r="N6" s="1019"/>
      <c r="O6" s="26"/>
      <c r="P6" s="1019" t="s">
        <v>1117</v>
      </c>
      <c r="Q6" s="1019"/>
      <c r="R6" s="1019"/>
      <c r="S6" s="1019"/>
      <c r="T6" s="1019"/>
      <c r="U6" s="1019"/>
    </row>
    <row r="7" spans="1:33" ht="59.25" customHeight="1">
      <c r="B7" s="355" t="s">
        <v>24</v>
      </c>
      <c r="C7" s="345" t="s">
        <v>1092</v>
      </c>
      <c r="D7" s="345" t="s">
        <v>1129</v>
      </c>
      <c r="E7" s="345" t="s">
        <v>1307</v>
      </c>
      <c r="F7" s="345" t="s">
        <v>1130</v>
      </c>
      <c r="G7" s="326" t="s">
        <v>1128</v>
      </c>
      <c r="H7" s="296"/>
      <c r="I7" s="354" t="s">
        <v>1063</v>
      </c>
      <c r="J7" s="345" t="s">
        <v>1092</v>
      </c>
      <c r="K7" s="325" t="s">
        <v>1129</v>
      </c>
      <c r="L7" s="345" t="s">
        <v>1307</v>
      </c>
      <c r="M7" s="345" t="s">
        <v>1130</v>
      </c>
      <c r="N7" s="326" t="s">
        <v>1128</v>
      </c>
      <c r="O7" s="28"/>
      <c r="P7" s="327" t="s">
        <v>1063</v>
      </c>
      <c r="Q7" s="345" t="s">
        <v>1092</v>
      </c>
      <c r="R7" s="325" t="s">
        <v>1129</v>
      </c>
      <c r="S7" s="345" t="s">
        <v>1307</v>
      </c>
      <c r="T7" s="345" t="s">
        <v>1130</v>
      </c>
      <c r="U7" s="326" t="s">
        <v>1128</v>
      </c>
      <c r="V7" s="167"/>
      <c r="W7" s="167"/>
      <c r="X7" s="167"/>
      <c r="Y7" s="167"/>
      <c r="Z7" s="167"/>
      <c r="AA7" s="167"/>
      <c r="AB7" s="167"/>
      <c r="AC7" s="167"/>
      <c r="AD7" s="167"/>
      <c r="AE7" s="167"/>
      <c r="AF7" s="167"/>
      <c r="AG7" s="167"/>
    </row>
    <row r="8" spans="1:33">
      <c r="A8" s="19">
        <f>YEAR(B8)</f>
        <v>2000</v>
      </c>
      <c r="B8" s="16">
        <v>36770</v>
      </c>
      <c r="C8" s="529">
        <v>1081</v>
      </c>
      <c r="D8" s="529">
        <f t="shared" ref="D8:D39" si="0">E8-C8</f>
        <v>11791</v>
      </c>
      <c r="E8" s="528">
        <v>12872</v>
      </c>
      <c r="F8" s="596">
        <f>'Mining Investment'!C53/'New Capital Expenditure'!C8</f>
        <v>0.37465309898242366</v>
      </c>
      <c r="G8" s="356">
        <f t="shared" ref="G8:G39" si="1">C8/E8</f>
        <v>8.3980733374766942E-2</v>
      </c>
      <c r="I8" s="316">
        <f t="shared" ref="I8:I13" si="2">I9-1</f>
        <v>2011</v>
      </c>
      <c r="J8" s="533">
        <f t="shared" ref="J8:J17" si="3">SUMIF($A$8:$A$508,$I8,C$8:C$510)</f>
        <v>45758</v>
      </c>
      <c r="K8" s="532">
        <f t="shared" ref="K8:K15" si="4">L8-J8</f>
        <v>99361</v>
      </c>
      <c r="L8" s="533">
        <f t="shared" ref="L8:L17" si="5">SUMIF($A$8:$A$508,$I8,E$8:E$510)</f>
        <v>145119</v>
      </c>
      <c r="M8" s="351">
        <f>'Mining Investment'!J8/'New Capital Expenditure'!J8</f>
        <v>0.76557104768565065</v>
      </c>
      <c r="N8" s="332">
        <f t="shared" ref="N8:N15" si="6">J8/L8</f>
        <v>0.31531363915131722</v>
      </c>
      <c r="O8" s="27"/>
      <c r="P8" s="316" t="str">
        <f t="shared" ref="P8:P17" ca="1" si="7">IF($I$3="Calendar Year",CONCATENATE(I8,"-",I8+1),CONCATENATE(I8,"-",I8+1))</f>
        <v>2011-2012</v>
      </c>
      <c r="Q8" s="533">
        <f>SUM(C52:C55)</f>
        <v>57079</v>
      </c>
      <c r="R8" s="532">
        <f t="shared" ref="R8:R15" si="8">S8-Q8</f>
        <v>105919</v>
      </c>
      <c r="S8" s="533">
        <f>SUM(E52:E55)</f>
        <v>162998</v>
      </c>
      <c r="T8" s="351">
        <f>'Mining Investment'!P8/'New Capital Expenditure'!Q8</f>
        <v>0.78962490583226752</v>
      </c>
      <c r="U8" s="332">
        <f t="shared" ref="U8:U15" si="9">Q8/S8</f>
        <v>0.35018221082467271</v>
      </c>
    </row>
    <row r="9" spans="1:33">
      <c r="A9" s="19">
        <f t="shared" ref="A9:A72" si="10">YEAR(B9)</f>
        <v>2000</v>
      </c>
      <c r="B9" s="16">
        <v>36861</v>
      </c>
      <c r="C9" s="527">
        <v>1591</v>
      </c>
      <c r="D9" s="527">
        <f t="shared" si="0"/>
        <v>11915</v>
      </c>
      <c r="E9" s="526">
        <v>13506</v>
      </c>
      <c r="F9" s="597">
        <f>'Mining Investment'!C54/'New Capital Expenditure'!C9</f>
        <v>0.29666876178504087</v>
      </c>
      <c r="G9" s="357">
        <f t="shared" si="1"/>
        <v>0.11779949652006516</v>
      </c>
      <c r="I9" s="317">
        <f t="shared" si="2"/>
        <v>2012</v>
      </c>
      <c r="J9" s="535">
        <f t="shared" si="3"/>
        <v>63126</v>
      </c>
      <c r="K9" s="534">
        <f t="shared" si="4"/>
        <v>108169</v>
      </c>
      <c r="L9" s="535">
        <f t="shared" si="5"/>
        <v>171295</v>
      </c>
      <c r="M9" s="352">
        <f>'Mining Investment'!J9/'New Capital Expenditure'!J9</f>
        <v>0.80854164686500019</v>
      </c>
      <c r="N9" s="333">
        <f t="shared" si="6"/>
        <v>0.3685221401675472</v>
      </c>
      <c r="O9" s="27"/>
      <c r="P9" s="317" t="str">
        <f t="shared" ca="1" si="7"/>
        <v>2012-2013</v>
      </c>
      <c r="Q9" s="535">
        <f>SUM(C56:C59)</f>
        <v>59230</v>
      </c>
      <c r="R9" s="534">
        <f t="shared" si="8"/>
        <v>108873</v>
      </c>
      <c r="S9" s="535">
        <f>SUM(E56:E59)</f>
        <v>168103</v>
      </c>
      <c r="T9" s="352">
        <f>'Mining Investment'!P9/'New Capital Expenditure'!Q9</f>
        <v>0.81377680229613369</v>
      </c>
      <c r="U9" s="333">
        <f t="shared" si="9"/>
        <v>0.35234350368524059</v>
      </c>
    </row>
    <row r="10" spans="1:33">
      <c r="A10" s="19">
        <f t="shared" si="10"/>
        <v>2001</v>
      </c>
      <c r="B10" s="16">
        <v>36951</v>
      </c>
      <c r="C10" s="529">
        <v>1672</v>
      </c>
      <c r="D10" s="529">
        <f t="shared" si="0"/>
        <v>9907</v>
      </c>
      <c r="E10" s="528">
        <v>11579</v>
      </c>
      <c r="F10" s="596">
        <f>'Mining Investment'!C55/'New Capital Expenditure'!C10</f>
        <v>0.41267942583732059</v>
      </c>
      <c r="G10" s="356">
        <f t="shared" si="1"/>
        <v>0.14439934363934709</v>
      </c>
      <c r="I10" s="316">
        <f t="shared" si="2"/>
        <v>2013</v>
      </c>
      <c r="J10" s="533">
        <f t="shared" si="3"/>
        <v>56987</v>
      </c>
      <c r="K10" s="532">
        <f t="shared" si="4"/>
        <v>110125</v>
      </c>
      <c r="L10" s="533">
        <f t="shared" si="5"/>
        <v>167112</v>
      </c>
      <c r="M10" s="351">
        <f>'Mining Investment'!J10/'New Capital Expenditure'!J10</f>
        <v>0.82099426184919366</v>
      </c>
      <c r="N10" s="332">
        <f t="shared" si="6"/>
        <v>0.34101081909138781</v>
      </c>
      <c r="O10" s="27"/>
      <c r="P10" s="316" t="str">
        <f t="shared" ca="1" si="7"/>
        <v>2013-2014</v>
      </c>
      <c r="Q10" s="533">
        <f>SUM(C60:C63)</f>
        <v>56968</v>
      </c>
      <c r="R10" s="532">
        <f t="shared" si="8"/>
        <v>108972</v>
      </c>
      <c r="S10" s="533">
        <f>SUM(E60:E63)</f>
        <v>165940</v>
      </c>
      <c r="T10" s="351">
        <f>'Mining Investment'!P10/'New Capital Expenditure'!Q10</f>
        <v>0.82079413003791601</v>
      </c>
      <c r="U10" s="332">
        <f t="shared" si="9"/>
        <v>0.34330480896709653</v>
      </c>
    </row>
    <row r="11" spans="1:33">
      <c r="A11" s="19">
        <f t="shared" si="10"/>
        <v>2001</v>
      </c>
      <c r="B11" s="16">
        <v>37043</v>
      </c>
      <c r="C11" s="527">
        <v>1640</v>
      </c>
      <c r="D11" s="527">
        <f t="shared" si="0"/>
        <v>11820</v>
      </c>
      <c r="E11" s="526">
        <v>13460</v>
      </c>
      <c r="F11" s="597">
        <f>'Mining Investment'!C56/'New Capital Expenditure'!C11</f>
        <v>0.474390243902439</v>
      </c>
      <c r="G11" s="357">
        <f t="shared" si="1"/>
        <v>0.12184249628528974</v>
      </c>
      <c r="I11" s="317">
        <f t="shared" si="2"/>
        <v>2014</v>
      </c>
      <c r="J11" s="535">
        <f t="shared" si="3"/>
        <v>56931</v>
      </c>
      <c r="K11" s="534">
        <f t="shared" si="4"/>
        <v>107413</v>
      </c>
      <c r="L11" s="535">
        <f t="shared" si="5"/>
        <v>164344</v>
      </c>
      <c r="M11" s="352">
        <f>'Mining Investment'!J11/'New Capital Expenditure'!J11</f>
        <v>0.81170188473766491</v>
      </c>
      <c r="N11" s="333">
        <f t="shared" si="6"/>
        <v>0.34641362021126415</v>
      </c>
      <c r="O11" s="27"/>
      <c r="P11" s="317" t="str">
        <f t="shared" ca="1" si="7"/>
        <v>2014-2015</v>
      </c>
      <c r="Q11" s="535">
        <f>SUM(C64:C67)</f>
        <v>56228</v>
      </c>
      <c r="R11" s="534">
        <f t="shared" si="8"/>
        <v>103559</v>
      </c>
      <c r="S11" s="535">
        <f>SUM(E64:E67)</f>
        <v>159787</v>
      </c>
      <c r="T11" s="352">
        <f>'Mining Investment'!P11/'New Capital Expenditure'!Q11</f>
        <v>0.81791989755993455</v>
      </c>
      <c r="U11" s="333">
        <f t="shared" si="9"/>
        <v>0.35189345816618373</v>
      </c>
    </row>
    <row r="12" spans="1:33">
      <c r="A12" s="19">
        <f t="shared" si="10"/>
        <v>2001</v>
      </c>
      <c r="B12" s="16">
        <v>37135</v>
      </c>
      <c r="C12" s="529">
        <v>1676</v>
      </c>
      <c r="D12" s="529">
        <f t="shared" si="0"/>
        <v>10818</v>
      </c>
      <c r="E12" s="528">
        <v>12494</v>
      </c>
      <c r="F12" s="596">
        <f>'Mining Investment'!C57/'New Capital Expenditure'!C12</f>
        <v>0.48031026252983294</v>
      </c>
      <c r="G12" s="356">
        <f t="shared" si="1"/>
        <v>0.13414438930686728</v>
      </c>
      <c r="I12" s="316">
        <f t="shared" si="2"/>
        <v>2015</v>
      </c>
      <c r="J12" s="533">
        <f t="shared" si="3"/>
        <v>51869</v>
      </c>
      <c r="K12" s="532">
        <f t="shared" si="4"/>
        <v>95782</v>
      </c>
      <c r="L12" s="533">
        <f t="shared" si="5"/>
        <v>147651</v>
      </c>
      <c r="M12" s="351">
        <f>'Mining Investment'!J12/'New Capital Expenditure'!J12</f>
        <v>0.81713547591046676</v>
      </c>
      <c r="N12" s="332">
        <f t="shared" si="6"/>
        <v>0.35129460687702757</v>
      </c>
      <c r="O12" s="27"/>
      <c r="P12" s="316" t="str">
        <f t="shared" ca="1" si="7"/>
        <v>2015-2016</v>
      </c>
      <c r="Q12" s="533">
        <f>SUM(C68:C71)</f>
        <v>44142</v>
      </c>
      <c r="R12" s="532">
        <f t="shared" si="8"/>
        <v>92667</v>
      </c>
      <c r="S12" s="533">
        <f>SUM(E68:E71)</f>
        <v>136809</v>
      </c>
      <c r="T12" s="351">
        <f>'Mining Investment'!P12/'New Capital Expenditure'!Q12</f>
        <v>0.79767568302297132</v>
      </c>
      <c r="U12" s="332">
        <f t="shared" si="9"/>
        <v>0.32265421134574479</v>
      </c>
    </row>
    <row r="13" spans="1:33">
      <c r="A13" s="19">
        <f t="shared" si="10"/>
        <v>2001</v>
      </c>
      <c r="B13" s="16">
        <v>37226</v>
      </c>
      <c r="C13" s="527">
        <v>1727</v>
      </c>
      <c r="D13" s="527">
        <f t="shared" si="0"/>
        <v>12315</v>
      </c>
      <c r="E13" s="526">
        <v>14042</v>
      </c>
      <c r="F13" s="597">
        <f>'Mining Investment'!C58/'New Capital Expenditure'!C13</f>
        <v>0.43370005790387955</v>
      </c>
      <c r="G13" s="357">
        <f t="shared" si="1"/>
        <v>0.12298817832217633</v>
      </c>
      <c r="I13" s="317">
        <f t="shared" si="2"/>
        <v>2016</v>
      </c>
      <c r="J13" s="535">
        <f t="shared" si="3"/>
        <v>34601</v>
      </c>
      <c r="K13" s="534">
        <f t="shared" si="4"/>
        <v>92264</v>
      </c>
      <c r="L13" s="535">
        <f t="shared" si="5"/>
        <v>126865</v>
      </c>
      <c r="M13" s="352">
        <f>'Mining Investment'!J13/'New Capital Expenditure'!J13</f>
        <v>0.77685616022658299</v>
      </c>
      <c r="N13" s="333">
        <f t="shared" si="6"/>
        <v>0.27273873802861309</v>
      </c>
      <c r="O13" s="27"/>
      <c r="P13" s="317" t="str">
        <f t="shared" ca="1" si="7"/>
        <v>2016-2017</v>
      </c>
      <c r="Q13" s="535">
        <f>SUM(C72:C75)</f>
        <v>29836</v>
      </c>
      <c r="R13" s="534">
        <f t="shared" si="8"/>
        <v>93955</v>
      </c>
      <c r="S13" s="535">
        <f>SUM(E72:E75)</f>
        <v>123791</v>
      </c>
      <c r="T13" s="352">
        <f>'Mining Investment'!P13/'New Capital Expenditure'!Q13</f>
        <v>0.74507306609465074</v>
      </c>
      <c r="U13" s="333">
        <f t="shared" si="9"/>
        <v>0.24101913709397291</v>
      </c>
    </row>
    <row r="14" spans="1:33">
      <c r="A14" s="19">
        <f t="shared" si="10"/>
        <v>2002</v>
      </c>
      <c r="B14" s="16">
        <v>37316</v>
      </c>
      <c r="C14" s="529">
        <v>1450</v>
      </c>
      <c r="D14" s="529">
        <f t="shared" si="0"/>
        <v>10621</v>
      </c>
      <c r="E14" s="528">
        <v>12071</v>
      </c>
      <c r="F14" s="596">
        <f>'Mining Investment'!C59/'New Capital Expenditure'!C14</f>
        <v>0.36689655172413793</v>
      </c>
      <c r="G14" s="356">
        <f t="shared" si="1"/>
        <v>0.12012260790323917</v>
      </c>
      <c r="I14" s="316">
        <v>2017</v>
      </c>
      <c r="J14" s="533">
        <f t="shared" si="3"/>
        <v>28807</v>
      </c>
      <c r="K14" s="532">
        <f t="shared" si="4"/>
        <v>97419</v>
      </c>
      <c r="L14" s="533">
        <f t="shared" si="5"/>
        <v>126226</v>
      </c>
      <c r="M14" s="351">
        <f>'Mining Investment'!J14/'New Capital Expenditure'!J14</f>
        <v>0.71017461033776508</v>
      </c>
      <c r="N14" s="332">
        <f t="shared" si="6"/>
        <v>0.22821764137340961</v>
      </c>
      <c r="O14" s="27"/>
      <c r="P14" s="316" t="str">
        <f t="shared" ca="1" si="7"/>
        <v>2017-2018</v>
      </c>
      <c r="Q14" s="533">
        <f>SUM(C76:C79)</f>
        <v>27986</v>
      </c>
      <c r="R14" s="532">
        <f t="shared" si="8"/>
        <v>101102</v>
      </c>
      <c r="S14" s="533">
        <f>SUM(E76:E79)</f>
        <v>129088</v>
      </c>
      <c r="T14" s="351">
        <f>'Mining Investment'!P14/'New Capital Expenditure'!Q14</f>
        <v>0.68509254627313654</v>
      </c>
      <c r="U14" s="332">
        <f t="shared" si="9"/>
        <v>0.2167978433316807</v>
      </c>
    </row>
    <row r="15" spans="1:33">
      <c r="A15" s="19">
        <f t="shared" si="10"/>
        <v>2002</v>
      </c>
      <c r="B15" s="16">
        <v>37408</v>
      </c>
      <c r="C15" s="527">
        <v>1849</v>
      </c>
      <c r="D15" s="527">
        <f t="shared" si="0"/>
        <v>12498</v>
      </c>
      <c r="E15" s="526">
        <v>14347</v>
      </c>
      <c r="F15" s="597">
        <f>'Mining Investment'!C60/'New Capital Expenditure'!C15</f>
        <v>0.39534883720930231</v>
      </c>
      <c r="G15" s="357">
        <f t="shared" si="1"/>
        <v>0.12887711716735206</v>
      </c>
      <c r="I15" s="317">
        <v>2018</v>
      </c>
      <c r="J15" s="535">
        <f t="shared" si="3"/>
        <v>26406</v>
      </c>
      <c r="K15" s="534">
        <f t="shared" si="4"/>
        <v>105380</v>
      </c>
      <c r="L15" s="535">
        <f t="shared" si="5"/>
        <v>131786</v>
      </c>
      <c r="M15" s="352">
        <f>'Mining Investment'!J15/'New Capital Expenditure'!J15</f>
        <v>0.67382413087934556</v>
      </c>
      <c r="N15" s="333">
        <f t="shared" si="6"/>
        <v>0.20037029730016845</v>
      </c>
      <c r="O15" s="27"/>
      <c r="P15" s="317" t="str">
        <f t="shared" ca="1" si="7"/>
        <v>2018-2019</v>
      </c>
      <c r="Q15" s="535">
        <f>SUM(C80:C83)</f>
        <v>25167</v>
      </c>
      <c r="R15" s="534">
        <f t="shared" si="8"/>
        <v>108545</v>
      </c>
      <c r="S15" s="535">
        <f>SUM(E80:E83)</f>
        <v>133712</v>
      </c>
      <c r="T15" s="352">
        <f>'Mining Investment'!P15/'New Capital Expenditure'!Q15</f>
        <v>0.67421623554654908</v>
      </c>
      <c r="U15" s="333">
        <f t="shared" si="9"/>
        <v>0.18821796099078617</v>
      </c>
    </row>
    <row r="16" spans="1:33">
      <c r="A16" s="19">
        <f t="shared" si="10"/>
        <v>2002</v>
      </c>
      <c r="B16" s="16">
        <v>37500</v>
      </c>
      <c r="C16" s="529">
        <v>1673</v>
      </c>
      <c r="D16" s="529">
        <f t="shared" si="0"/>
        <v>12296</v>
      </c>
      <c r="E16" s="528">
        <v>13969</v>
      </c>
      <c r="F16" s="596">
        <f>'Mining Investment'!C61/'New Capital Expenditure'!C16</f>
        <v>0.42259414225941422</v>
      </c>
      <c r="G16" s="356">
        <f t="shared" si="1"/>
        <v>0.11976519435893765</v>
      </c>
      <c r="I16" s="316">
        <v>2019</v>
      </c>
      <c r="J16" s="533">
        <f t="shared" si="3"/>
        <v>25302</v>
      </c>
      <c r="K16" s="532">
        <f t="shared" ref="K16" si="11">L16-J16</f>
        <v>107058</v>
      </c>
      <c r="L16" s="533">
        <f t="shared" si="5"/>
        <v>132360</v>
      </c>
      <c r="M16" s="351">
        <f>'Mining Investment'!J16/'New Capital Expenditure'!J16</f>
        <v>0.68121097146470633</v>
      </c>
      <c r="N16" s="332">
        <f t="shared" ref="N16" si="12">J16/L16</f>
        <v>0.19116047144152312</v>
      </c>
      <c r="O16" s="27"/>
      <c r="P16" s="316" t="str">
        <f t="shared" ca="1" si="7"/>
        <v>2019-2020</v>
      </c>
      <c r="Q16" s="533">
        <f>SUM(C84:C87)</f>
        <v>26864</v>
      </c>
      <c r="R16" s="532">
        <f t="shared" ref="R16" si="13">S16-Q16</f>
        <v>100821</v>
      </c>
      <c r="S16" s="533">
        <f>SUM(E84:E87)</f>
        <v>127685</v>
      </c>
      <c r="T16" s="351">
        <f>'Mining Investment'!P16/'New Capital Expenditure'!Q16</f>
        <v>0.70581447290053601</v>
      </c>
      <c r="U16" s="332">
        <f t="shared" ref="U16" si="14">Q16/S16</f>
        <v>0.21039276344128127</v>
      </c>
    </row>
    <row r="17" spans="1:21" ht="15.75" thickBot="1">
      <c r="A17" s="19">
        <f t="shared" si="10"/>
        <v>2002</v>
      </c>
      <c r="B17" s="16">
        <v>37591</v>
      </c>
      <c r="C17" s="527">
        <v>2071</v>
      </c>
      <c r="D17" s="527">
        <f t="shared" si="0"/>
        <v>14857</v>
      </c>
      <c r="E17" s="526">
        <v>16928</v>
      </c>
      <c r="F17" s="597">
        <f>'Mining Investment'!C62/'New Capital Expenditure'!C17</f>
        <v>0.42588121680347657</v>
      </c>
      <c r="G17" s="357">
        <f t="shared" si="1"/>
        <v>0.12234168241965973</v>
      </c>
      <c r="I17" s="330">
        <v>2020</v>
      </c>
      <c r="J17" s="540">
        <f t="shared" si="3"/>
        <v>27633</v>
      </c>
      <c r="K17" s="600">
        <f t="shared" ref="K17" si="15">L17-J17</f>
        <v>94027</v>
      </c>
      <c r="L17" s="540">
        <f t="shared" si="5"/>
        <v>121660</v>
      </c>
      <c r="M17" s="353">
        <f>'Mining Investment'!J17/'New Capital Expenditure'!J17</f>
        <v>0.7235189809285999</v>
      </c>
      <c r="N17" s="496">
        <f t="shared" ref="N17" si="16">J17/L17</f>
        <v>0.2271329935886898</v>
      </c>
      <c r="O17" s="27"/>
      <c r="P17" s="330" t="str">
        <f t="shared" ca="1" si="7"/>
        <v>2020-2021</v>
      </c>
      <c r="Q17" s="540">
        <f>SUM(C88:C91)</f>
        <v>29247</v>
      </c>
      <c r="R17" s="600">
        <f t="shared" ref="R17" si="17">S17-Q17</f>
        <v>96477</v>
      </c>
      <c r="S17" s="540">
        <f>SUM(E88:E91)</f>
        <v>125724</v>
      </c>
      <c r="T17" s="353">
        <f>'Mining Investment'!P17/'New Capital Expenditure'!Q17</f>
        <v>0.70379868020651692</v>
      </c>
      <c r="U17" s="496">
        <f t="shared" ref="U17" si="18">Q17/S17</f>
        <v>0.23262861506156343</v>
      </c>
    </row>
    <row r="18" spans="1:21">
      <c r="A18" s="19">
        <f t="shared" si="10"/>
        <v>2003</v>
      </c>
      <c r="B18" s="16">
        <v>37681</v>
      </c>
      <c r="C18" s="529">
        <v>1918</v>
      </c>
      <c r="D18" s="529">
        <f t="shared" si="0"/>
        <v>12071</v>
      </c>
      <c r="E18" s="528">
        <v>13989</v>
      </c>
      <c r="F18" s="596">
        <f>'Mining Investment'!C63/'New Capital Expenditure'!C18</f>
        <v>0.48383733055265904</v>
      </c>
      <c r="G18" s="356">
        <f t="shared" si="1"/>
        <v>0.13710772750017872</v>
      </c>
    </row>
    <row r="19" spans="1:21">
      <c r="A19" s="19">
        <f t="shared" si="10"/>
        <v>2003</v>
      </c>
      <c r="B19" s="16">
        <v>37773</v>
      </c>
      <c r="C19" s="527">
        <v>2320</v>
      </c>
      <c r="D19" s="527">
        <f t="shared" si="0"/>
        <v>13591</v>
      </c>
      <c r="E19" s="526">
        <v>15911</v>
      </c>
      <c r="F19" s="597">
        <f>'Mining Investment'!C64/'New Capital Expenditure'!C19</f>
        <v>0.4711206896551724</v>
      </c>
      <c r="G19" s="357">
        <f t="shared" si="1"/>
        <v>0.14581107409967947</v>
      </c>
    </row>
    <row r="20" spans="1:21">
      <c r="A20" s="19">
        <f t="shared" si="10"/>
        <v>2003</v>
      </c>
      <c r="B20" s="16">
        <v>37865</v>
      </c>
      <c r="C20" s="529">
        <v>2484</v>
      </c>
      <c r="D20" s="529">
        <f t="shared" si="0"/>
        <v>12879</v>
      </c>
      <c r="E20" s="528">
        <v>15363</v>
      </c>
      <c r="F20" s="596">
        <f>'Mining Investment'!C65/'New Capital Expenditure'!C20</f>
        <v>0.52133655394524958</v>
      </c>
      <c r="G20" s="356">
        <f t="shared" si="1"/>
        <v>0.16168717047451669</v>
      </c>
    </row>
    <row r="21" spans="1:21">
      <c r="A21" s="19">
        <f t="shared" si="10"/>
        <v>2003</v>
      </c>
      <c r="B21" s="16">
        <v>37956</v>
      </c>
      <c r="C21" s="527">
        <v>2875</v>
      </c>
      <c r="D21" s="527">
        <f t="shared" si="0"/>
        <v>13842</v>
      </c>
      <c r="E21" s="526">
        <v>16717</v>
      </c>
      <c r="F21" s="597">
        <f>'Mining Investment'!C66/'New Capital Expenditure'!C21</f>
        <v>0.47443478260869565</v>
      </c>
      <c r="G21" s="357">
        <f t="shared" si="1"/>
        <v>0.17198061853203325</v>
      </c>
    </row>
    <row r="22" spans="1:21">
      <c r="A22" s="19">
        <f t="shared" si="10"/>
        <v>2004</v>
      </c>
      <c r="B22" s="16">
        <v>38047</v>
      </c>
      <c r="C22" s="529">
        <v>2113</v>
      </c>
      <c r="D22" s="529">
        <f t="shared" si="0"/>
        <v>11325</v>
      </c>
      <c r="E22" s="528">
        <v>13438</v>
      </c>
      <c r="F22" s="596">
        <f>'Mining Investment'!C67/'New Capital Expenditure'!C22</f>
        <v>0.4694746805489825</v>
      </c>
      <c r="G22" s="356">
        <f t="shared" si="1"/>
        <v>0.15724066081262092</v>
      </c>
    </row>
    <row r="23" spans="1:21">
      <c r="A23" s="19">
        <f t="shared" si="10"/>
        <v>2004</v>
      </c>
      <c r="B23" s="16">
        <v>38139</v>
      </c>
      <c r="C23" s="527">
        <v>2573</v>
      </c>
      <c r="D23" s="527">
        <f t="shared" si="0"/>
        <v>13851</v>
      </c>
      <c r="E23" s="526">
        <v>16424</v>
      </c>
      <c r="F23" s="597">
        <f>'Mining Investment'!C68/'New Capital Expenditure'!C23</f>
        <v>0.45472211426350562</v>
      </c>
      <c r="G23" s="357">
        <f t="shared" si="1"/>
        <v>0.15666098392596201</v>
      </c>
    </row>
    <row r="24" spans="1:21">
      <c r="A24" s="19">
        <f t="shared" si="10"/>
        <v>2004</v>
      </c>
      <c r="B24" s="16">
        <v>38231</v>
      </c>
      <c r="C24" s="529">
        <v>2570</v>
      </c>
      <c r="D24" s="529">
        <f t="shared" si="0"/>
        <v>12940</v>
      </c>
      <c r="E24" s="528">
        <v>15510</v>
      </c>
      <c r="F24" s="596">
        <f>'Mining Investment'!C69/'New Capital Expenditure'!C24</f>
        <v>0.49883268482490273</v>
      </c>
      <c r="G24" s="356">
        <f t="shared" si="1"/>
        <v>0.16569954867827208</v>
      </c>
    </row>
    <row r="25" spans="1:21">
      <c r="A25" s="19">
        <f t="shared" si="10"/>
        <v>2004</v>
      </c>
      <c r="B25" s="16">
        <v>38322</v>
      </c>
      <c r="C25" s="527">
        <v>3043</v>
      </c>
      <c r="D25" s="527">
        <f t="shared" si="0"/>
        <v>15867</v>
      </c>
      <c r="E25" s="526">
        <v>18910</v>
      </c>
      <c r="F25" s="597">
        <f>'Mining Investment'!C70/'New Capital Expenditure'!C25</f>
        <v>0.4534998356884653</v>
      </c>
      <c r="G25" s="357">
        <f t="shared" si="1"/>
        <v>0.16092014806980434</v>
      </c>
    </row>
    <row r="26" spans="1:21">
      <c r="A26" s="19">
        <f t="shared" si="10"/>
        <v>2005</v>
      </c>
      <c r="B26" s="16">
        <v>38412</v>
      </c>
      <c r="C26" s="529">
        <v>2681</v>
      </c>
      <c r="D26" s="529">
        <f t="shared" si="0"/>
        <v>13036</v>
      </c>
      <c r="E26" s="528">
        <v>15717</v>
      </c>
      <c r="F26" s="596">
        <f>'Mining Investment'!C71/'New Capital Expenditure'!C26</f>
        <v>0.4378963073480045</v>
      </c>
      <c r="G26" s="356">
        <f t="shared" si="1"/>
        <v>0.17057962715530953</v>
      </c>
    </row>
    <row r="27" spans="1:21">
      <c r="A27" s="19">
        <f t="shared" si="10"/>
        <v>2005</v>
      </c>
      <c r="B27" s="16">
        <v>38504</v>
      </c>
      <c r="C27" s="527">
        <v>2949</v>
      </c>
      <c r="D27" s="527">
        <f t="shared" si="0"/>
        <v>16493</v>
      </c>
      <c r="E27" s="526">
        <v>19442</v>
      </c>
      <c r="F27" s="597">
        <f>'Mining Investment'!C72/'New Capital Expenditure'!C27</f>
        <v>0.49813496100373006</v>
      </c>
      <c r="G27" s="357">
        <f t="shared" si="1"/>
        <v>0.15168192572780578</v>
      </c>
      <c r="J27" s="19"/>
    </row>
    <row r="28" spans="1:21">
      <c r="A28" s="19">
        <f t="shared" si="10"/>
        <v>2005</v>
      </c>
      <c r="B28" s="16">
        <v>38596</v>
      </c>
      <c r="C28" s="529">
        <v>3636</v>
      </c>
      <c r="D28" s="529">
        <f t="shared" si="0"/>
        <v>15600</v>
      </c>
      <c r="E28" s="528">
        <v>19236</v>
      </c>
      <c r="F28" s="596">
        <f>'Mining Investment'!C73/'New Capital Expenditure'!C28</f>
        <v>0.51292629262926293</v>
      </c>
      <c r="G28" s="356">
        <f t="shared" si="1"/>
        <v>0.18902058640049907</v>
      </c>
    </row>
    <row r="29" spans="1:21">
      <c r="A29" s="19">
        <f t="shared" si="10"/>
        <v>2005</v>
      </c>
      <c r="B29" s="16">
        <v>38687</v>
      </c>
      <c r="C29" s="527">
        <v>4480</v>
      </c>
      <c r="D29" s="527">
        <f t="shared" si="0"/>
        <v>19026</v>
      </c>
      <c r="E29" s="526">
        <v>23506</v>
      </c>
      <c r="F29" s="597">
        <f>'Mining Investment'!C74/'New Capital Expenditure'!C29</f>
        <v>0.57433035714285718</v>
      </c>
      <c r="G29" s="357">
        <f t="shared" si="1"/>
        <v>0.19058963668850507</v>
      </c>
    </row>
    <row r="30" spans="1:21">
      <c r="A30" s="19">
        <f t="shared" si="10"/>
        <v>2006</v>
      </c>
      <c r="B30" s="16">
        <v>38777</v>
      </c>
      <c r="C30" s="529">
        <v>4308</v>
      </c>
      <c r="D30" s="529">
        <f t="shared" si="0"/>
        <v>15672</v>
      </c>
      <c r="E30" s="528">
        <v>19980</v>
      </c>
      <c r="F30" s="596">
        <f>'Mining Investment'!C75/'New Capital Expenditure'!C30</f>
        <v>0.60376044568245124</v>
      </c>
      <c r="G30" s="356">
        <f t="shared" si="1"/>
        <v>0.21561561561561562</v>
      </c>
    </row>
    <row r="31" spans="1:21">
      <c r="A31" s="19">
        <f t="shared" si="10"/>
        <v>2006</v>
      </c>
      <c r="B31" s="16">
        <v>38869</v>
      </c>
      <c r="C31" s="527">
        <v>5747</v>
      </c>
      <c r="D31" s="527">
        <f t="shared" si="0"/>
        <v>18026</v>
      </c>
      <c r="E31" s="526">
        <v>23773</v>
      </c>
      <c r="F31" s="597">
        <f>'Mining Investment'!C76/'New Capital Expenditure'!C31</f>
        <v>0.64364016008352187</v>
      </c>
      <c r="G31" s="357">
        <f t="shared" si="1"/>
        <v>0.24174483657931267</v>
      </c>
    </row>
    <row r="32" spans="1:21">
      <c r="A32" s="19">
        <f t="shared" si="10"/>
        <v>2006</v>
      </c>
      <c r="B32" s="16">
        <v>38961</v>
      </c>
      <c r="C32" s="529">
        <v>4567</v>
      </c>
      <c r="D32" s="529">
        <f t="shared" si="0"/>
        <v>16687</v>
      </c>
      <c r="E32" s="528">
        <v>21254</v>
      </c>
      <c r="F32" s="596">
        <f>'Mining Investment'!C77/'New Capital Expenditure'!C32</f>
        <v>0.62973505583534051</v>
      </c>
      <c r="G32" s="356">
        <f t="shared" si="1"/>
        <v>0.2148771995859603</v>
      </c>
    </row>
    <row r="33" spans="1:8">
      <c r="A33" s="19">
        <f t="shared" si="10"/>
        <v>2006</v>
      </c>
      <c r="B33" s="16">
        <v>39052</v>
      </c>
      <c r="C33" s="527">
        <v>5618</v>
      </c>
      <c r="D33" s="527">
        <f t="shared" si="0"/>
        <v>17895</v>
      </c>
      <c r="E33" s="526">
        <v>23513</v>
      </c>
      <c r="F33" s="597">
        <f>'Mining Investment'!C78/'New Capital Expenditure'!C33</f>
        <v>0.65414738341046641</v>
      </c>
      <c r="G33" s="357">
        <f t="shared" si="1"/>
        <v>0.23893165482924339</v>
      </c>
    </row>
    <row r="34" spans="1:8">
      <c r="A34" s="19">
        <f t="shared" si="10"/>
        <v>2007</v>
      </c>
      <c r="B34" s="16">
        <v>39142</v>
      </c>
      <c r="C34" s="529">
        <v>5301</v>
      </c>
      <c r="D34" s="529">
        <f t="shared" si="0"/>
        <v>16700</v>
      </c>
      <c r="E34" s="528">
        <v>22001</v>
      </c>
      <c r="F34" s="596">
        <f>'Mining Investment'!C79/'New Capital Expenditure'!C34</f>
        <v>0.62384455763063573</v>
      </c>
      <c r="G34" s="356">
        <f t="shared" si="1"/>
        <v>0.24094359347302396</v>
      </c>
    </row>
    <row r="35" spans="1:8">
      <c r="A35" s="19">
        <f t="shared" si="10"/>
        <v>2007</v>
      </c>
      <c r="B35" s="16">
        <v>39234</v>
      </c>
      <c r="C35" s="527">
        <v>6613</v>
      </c>
      <c r="D35" s="527">
        <f t="shared" si="0"/>
        <v>20806</v>
      </c>
      <c r="E35" s="526">
        <v>27419</v>
      </c>
      <c r="F35" s="597">
        <f>'Mining Investment'!C80/'New Capital Expenditure'!C35</f>
        <v>0.60214728564947828</v>
      </c>
      <c r="G35" s="357">
        <f t="shared" si="1"/>
        <v>0.2411831211933331</v>
      </c>
    </row>
    <row r="36" spans="1:8">
      <c r="A36" s="19">
        <f t="shared" si="10"/>
        <v>2007</v>
      </c>
      <c r="B36" s="16">
        <v>39326</v>
      </c>
      <c r="C36" s="529">
        <v>5661</v>
      </c>
      <c r="D36" s="529">
        <f t="shared" si="0"/>
        <v>17857</v>
      </c>
      <c r="E36" s="528">
        <v>23518</v>
      </c>
      <c r="F36" s="596">
        <f>'Mining Investment'!C81/'New Capital Expenditure'!C36</f>
        <v>0.64758876523582409</v>
      </c>
      <c r="G36" s="356">
        <f t="shared" si="1"/>
        <v>0.24070924398333191</v>
      </c>
    </row>
    <row r="37" spans="1:8">
      <c r="A37" s="19">
        <f t="shared" si="10"/>
        <v>2007</v>
      </c>
      <c r="B37" s="16">
        <v>39417</v>
      </c>
      <c r="C37" s="527">
        <v>6798</v>
      </c>
      <c r="D37" s="527">
        <f t="shared" si="0"/>
        <v>21062</v>
      </c>
      <c r="E37" s="526">
        <v>27860</v>
      </c>
      <c r="F37" s="597">
        <f>'Mining Investment'!C82/'New Capital Expenditure'!C37</f>
        <v>0.63533392174168868</v>
      </c>
      <c r="G37" s="357">
        <f t="shared" si="1"/>
        <v>0.24400574300071787</v>
      </c>
    </row>
    <row r="38" spans="1:8">
      <c r="A38" s="19">
        <f t="shared" si="10"/>
        <v>2008</v>
      </c>
      <c r="B38" s="16">
        <v>39508</v>
      </c>
      <c r="C38" s="529">
        <v>6178</v>
      </c>
      <c r="D38" s="529">
        <f t="shared" si="0"/>
        <v>17014</v>
      </c>
      <c r="E38" s="528">
        <v>23192</v>
      </c>
      <c r="F38" s="596">
        <f>'Mining Investment'!C83/'New Capital Expenditure'!C38</f>
        <v>0.6989316931045646</v>
      </c>
      <c r="G38" s="356">
        <f t="shared" si="1"/>
        <v>0.26638496033114867</v>
      </c>
    </row>
    <row r="39" spans="1:8">
      <c r="A39" s="19">
        <f t="shared" si="10"/>
        <v>2008</v>
      </c>
      <c r="B39" s="16">
        <v>39600</v>
      </c>
      <c r="C39" s="527">
        <v>7343</v>
      </c>
      <c r="D39" s="527">
        <f t="shared" si="0"/>
        <v>22254</v>
      </c>
      <c r="E39" s="526">
        <v>29597</v>
      </c>
      <c r="F39" s="597">
        <f>'Mining Investment'!C84/'New Capital Expenditure'!C39</f>
        <v>0.68732125834127744</v>
      </c>
      <c r="G39" s="357">
        <f t="shared" si="1"/>
        <v>0.24809946954083184</v>
      </c>
    </row>
    <row r="40" spans="1:8">
      <c r="A40" s="19">
        <f t="shared" si="10"/>
        <v>2008</v>
      </c>
      <c r="B40" s="16">
        <v>39692</v>
      </c>
      <c r="C40" s="529">
        <v>7629</v>
      </c>
      <c r="D40" s="529">
        <f t="shared" ref="D40:D71" si="19">E40-C40</f>
        <v>20069</v>
      </c>
      <c r="E40" s="528">
        <v>27698</v>
      </c>
      <c r="F40" s="596">
        <f>'Mining Investment'!C85/'New Capital Expenditure'!C40</f>
        <v>0.71608336610302792</v>
      </c>
      <c r="G40" s="356">
        <f t="shared" ref="G40:G71" si="20">C40/E40</f>
        <v>0.27543504946205505</v>
      </c>
    </row>
    <row r="41" spans="1:8">
      <c r="A41" s="19">
        <f t="shared" si="10"/>
        <v>2008</v>
      </c>
      <c r="B41" s="16">
        <v>39783</v>
      </c>
      <c r="C41" s="527">
        <v>9494</v>
      </c>
      <c r="D41" s="527">
        <f t="shared" si="19"/>
        <v>24775</v>
      </c>
      <c r="E41" s="526">
        <v>34269</v>
      </c>
      <c r="F41" s="597">
        <f>'Mining Investment'!C86/'New Capital Expenditure'!C41</f>
        <v>0.70676216557825999</v>
      </c>
      <c r="G41" s="357">
        <f t="shared" si="20"/>
        <v>0.27704339198692696</v>
      </c>
    </row>
    <row r="42" spans="1:8">
      <c r="A42" s="19">
        <f t="shared" si="10"/>
        <v>2009</v>
      </c>
      <c r="B42" s="16">
        <v>39873</v>
      </c>
      <c r="C42" s="529">
        <v>7379</v>
      </c>
      <c r="D42" s="529">
        <f t="shared" si="19"/>
        <v>19497</v>
      </c>
      <c r="E42" s="528">
        <v>26876</v>
      </c>
      <c r="F42" s="596">
        <f>'Mining Investment'!C87/'New Capital Expenditure'!C42</f>
        <v>0.72557257080905269</v>
      </c>
      <c r="G42" s="356">
        <f t="shared" si="20"/>
        <v>0.27455722577764546</v>
      </c>
    </row>
    <row r="43" spans="1:8">
      <c r="A43" s="19">
        <f t="shared" si="10"/>
        <v>2009</v>
      </c>
      <c r="B43" s="16">
        <v>39965</v>
      </c>
      <c r="C43" s="527">
        <v>9564</v>
      </c>
      <c r="D43" s="527">
        <f t="shared" si="19"/>
        <v>23163</v>
      </c>
      <c r="E43" s="526">
        <v>32727</v>
      </c>
      <c r="F43" s="597">
        <f>'Mining Investment'!C88/'New Capital Expenditure'!C43</f>
        <v>0.61470096194061064</v>
      </c>
      <c r="G43" s="357">
        <f t="shared" si="20"/>
        <v>0.29223576863140527</v>
      </c>
    </row>
    <row r="44" spans="1:8">
      <c r="A44" s="19">
        <f t="shared" si="10"/>
        <v>2009</v>
      </c>
      <c r="B44" s="16">
        <v>40057</v>
      </c>
      <c r="C44" s="529">
        <v>7254</v>
      </c>
      <c r="D44" s="529">
        <f t="shared" si="19"/>
        <v>19268</v>
      </c>
      <c r="E44" s="528">
        <v>26522</v>
      </c>
      <c r="F44" s="596">
        <f>'Mining Investment'!C89/'New Capital Expenditure'!C44</f>
        <v>0.70306038047973529</v>
      </c>
      <c r="G44" s="356">
        <f t="shared" si="20"/>
        <v>0.27350878515949023</v>
      </c>
    </row>
    <row r="45" spans="1:8">
      <c r="A45" s="19">
        <f t="shared" si="10"/>
        <v>2009</v>
      </c>
      <c r="B45" s="16">
        <v>40148</v>
      </c>
      <c r="C45" s="527">
        <v>8191</v>
      </c>
      <c r="D45" s="527">
        <f t="shared" si="19"/>
        <v>24161</v>
      </c>
      <c r="E45" s="526">
        <v>32352</v>
      </c>
      <c r="F45" s="597">
        <f>'Mining Investment'!C90/'New Capital Expenditure'!C45</f>
        <v>0.65742888536198263</v>
      </c>
      <c r="G45" s="357">
        <f t="shared" si="20"/>
        <v>0.25318372898120672</v>
      </c>
    </row>
    <row r="46" spans="1:8">
      <c r="A46" s="19">
        <f t="shared" si="10"/>
        <v>2010</v>
      </c>
      <c r="B46" s="16">
        <v>40238</v>
      </c>
      <c r="C46" s="529">
        <v>7368</v>
      </c>
      <c r="D46" s="529">
        <f t="shared" si="19"/>
        <v>18320</v>
      </c>
      <c r="E46" s="528">
        <v>25688</v>
      </c>
      <c r="F46" s="596">
        <f>'Mining Investment'!C91/'New Capital Expenditure'!C46</f>
        <v>0.72407709011943544</v>
      </c>
      <c r="G46" s="356">
        <f t="shared" si="20"/>
        <v>0.28682653379009654</v>
      </c>
      <c r="H46" s="297"/>
    </row>
    <row r="47" spans="1:8">
      <c r="A47" s="19">
        <f t="shared" si="10"/>
        <v>2010</v>
      </c>
      <c r="B47" s="16">
        <v>40330</v>
      </c>
      <c r="C47" s="527">
        <v>8594</v>
      </c>
      <c r="D47" s="527">
        <f t="shared" si="19"/>
        <v>21913</v>
      </c>
      <c r="E47" s="526">
        <v>30507</v>
      </c>
      <c r="F47" s="597">
        <f>'Mining Investment'!C92/'New Capital Expenditure'!C47</f>
        <v>0.71072841517337682</v>
      </c>
      <c r="G47" s="357">
        <f t="shared" si="20"/>
        <v>0.28170583800439242</v>
      </c>
      <c r="H47" s="297"/>
    </row>
    <row r="48" spans="1:8">
      <c r="A48" s="19">
        <f t="shared" si="10"/>
        <v>2010</v>
      </c>
      <c r="B48" s="16">
        <v>40422</v>
      </c>
      <c r="C48" s="529">
        <v>8532</v>
      </c>
      <c r="D48" s="529">
        <f t="shared" si="19"/>
        <v>20069</v>
      </c>
      <c r="E48" s="528">
        <v>28601</v>
      </c>
      <c r="F48" s="596">
        <f>'Mining Investment'!C93/'New Capital Expenditure'!C48</f>
        <v>0.75621190811064232</v>
      </c>
      <c r="G48" s="356">
        <f t="shared" si="20"/>
        <v>0.29831124785846647</v>
      </c>
      <c r="H48" s="297"/>
    </row>
    <row r="49" spans="1:8">
      <c r="A49" s="19">
        <f t="shared" si="10"/>
        <v>2010</v>
      </c>
      <c r="B49" s="16">
        <v>40513</v>
      </c>
      <c r="C49" s="527">
        <v>9284</v>
      </c>
      <c r="D49" s="527">
        <f t="shared" si="19"/>
        <v>24316</v>
      </c>
      <c r="E49" s="526">
        <v>33600</v>
      </c>
      <c r="F49" s="597">
        <f>'Mining Investment'!C94/'New Capital Expenditure'!C49</f>
        <v>0.73255062473071952</v>
      </c>
      <c r="G49" s="357">
        <f t="shared" si="20"/>
        <v>0.27630952380952378</v>
      </c>
      <c r="H49" s="297"/>
    </row>
    <row r="50" spans="1:8">
      <c r="A50" s="19">
        <f t="shared" si="10"/>
        <v>2011</v>
      </c>
      <c r="B50" s="16">
        <v>40603</v>
      </c>
      <c r="C50" s="529">
        <v>8785</v>
      </c>
      <c r="D50" s="529">
        <f t="shared" si="19"/>
        <v>20158</v>
      </c>
      <c r="E50" s="528">
        <v>28943</v>
      </c>
      <c r="F50" s="596">
        <f>'Mining Investment'!C95/'New Capital Expenditure'!C50</f>
        <v>0.74866249288560049</v>
      </c>
      <c r="G50" s="356">
        <f t="shared" si="20"/>
        <v>0.30352762325951005</v>
      </c>
      <c r="H50" s="297"/>
    </row>
    <row r="51" spans="1:8">
      <c r="A51" s="19">
        <f t="shared" si="10"/>
        <v>2011</v>
      </c>
      <c r="B51" s="16">
        <v>40695</v>
      </c>
      <c r="C51" s="527">
        <v>11054</v>
      </c>
      <c r="D51" s="527">
        <f t="shared" si="19"/>
        <v>25383</v>
      </c>
      <c r="E51" s="526">
        <v>36437</v>
      </c>
      <c r="F51" s="597">
        <f>'Mining Investment'!C96/'New Capital Expenditure'!C51</f>
        <v>0.7656052107834268</v>
      </c>
      <c r="G51" s="357">
        <f t="shared" si="20"/>
        <v>0.30337294508329443</v>
      </c>
      <c r="H51" s="297"/>
    </row>
    <row r="52" spans="1:8">
      <c r="A52" s="19">
        <f t="shared" si="10"/>
        <v>2011</v>
      </c>
      <c r="B52" s="16">
        <v>40787</v>
      </c>
      <c r="C52" s="529">
        <v>12246</v>
      </c>
      <c r="D52" s="529">
        <f t="shared" si="19"/>
        <v>25266</v>
      </c>
      <c r="E52" s="528">
        <v>37512</v>
      </c>
      <c r="F52" s="596">
        <f>'Mining Investment'!C97/'New Capital Expenditure'!C52</f>
        <v>0.77894822799281394</v>
      </c>
      <c r="G52" s="356">
        <f t="shared" si="20"/>
        <v>0.32645553422904672</v>
      </c>
      <c r="H52" s="297"/>
    </row>
    <row r="53" spans="1:8">
      <c r="A53" s="19">
        <f t="shared" si="10"/>
        <v>2011</v>
      </c>
      <c r="B53" s="16">
        <v>40878</v>
      </c>
      <c r="C53" s="527">
        <v>13673</v>
      </c>
      <c r="D53" s="527">
        <f t="shared" si="19"/>
        <v>28554</v>
      </c>
      <c r="E53" s="526">
        <v>42227</v>
      </c>
      <c r="F53" s="597">
        <f>'Mining Investment'!C98/'New Capital Expenditure'!C53</f>
        <v>0.76442624149784244</v>
      </c>
      <c r="G53" s="357">
        <f t="shared" si="20"/>
        <v>0.32379757027494255</v>
      </c>
      <c r="H53" s="297"/>
    </row>
    <row r="54" spans="1:8">
      <c r="A54" s="19">
        <f t="shared" si="10"/>
        <v>2012</v>
      </c>
      <c r="B54" s="16">
        <v>40969</v>
      </c>
      <c r="C54" s="529">
        <v>13781</v>
      </c>
      <c r="D54" s="529">
        <f t="shared" si="19"/>
        <v>23752</v>
      </c>
      <c r="E54" s="528">
        <v>37533</v>
      </c>
      <c r="F54" s="596">
        <f>'Mining Investment'!C99/'New Capital Expenditure'!C54</f>
        <v>0.7925404542486032</v>
      </c>
      <c r="G54" s="356">
        <f t="shared" si="20"/>
        <v>0.3671702235366211</v>
      </c>
      <c r="H54" s="297"/>
    </row>
    <row r="55" spans="1:8">
      <c r="A55" s="19">
        <f t="shared" si="10"/>
        <v>2012</v>
      </c>
      <c r="B55" s="16">
        <v>41061</v>
      </c>
      <c r="C55" s="527">
        <v>17379</v>
      </c>
      <c r="D55" s="527">
        <f t="shared" si="19"/>
        <v>28347</v>
      </c>
      <c r="E55" s="526">
        <v>45726</v>
      </c>
      <c r="F55" s="597">
        <f>'Mining Investment'!C100/'New Capital Expenditure'!C55</f>
        <v>0.81466137292134189</v>
      </c>
      <c r="G55" s="357">
        <f t="shared" si="20"/>
        <v>0.38006823251541794</v>
      </c>
      <c r="H55" s="297"/>
    </row>
    <row r="56" spans="1:8">
      <c r="A56" s="19">
        <f t="shared" si="10"/>
        <v>2012</v>
      </c>
      <c r="B56" s="16">
        <v>41153</v>
      </c>
      <c r="C56" s="529">
        <v>15594</v>
      </c>
      <c r="D56" s="529">
        <f t="shared" si="19"/>
        <v>26627</v>
      </c>
      <c r="E56" s="528">
        <v>42221</v>
      </c>
      <c r="F56" s="596">
        <f>'Mining Investment'!C101/'New Capital Expenditure'!C56</f>
        <v>0.81807105296909066</v>
      </c>
      <c r="G56" s="356">
        <f t="shared" si="20"/>
        <v>0.36934227043414414</v>
      </c>
      <c r="H56" s="297"/>
    </row>
    <row r="57" spans="1:8">
      <c r="A57" s="19">
        <f t="shared" si="10"/>
        <v>2012</v>
      </c>
      <c r="B57" s="16">
        <v>41244</v>
      </c>
      <c r="C57" s="527">
        <v>16372</v>
      </c>
      <c r="D57" s="527">
        <f t="shared" si="19"/>
        <v>29443</v>
      </c>
      <c r="E57" s="526">
        <v>45815</v>
      </c>
      <c r="F57" s="597">
        <f>'Mining Investment'!C102/'New Capital Expenditure'!C57</f>
        <v>0.80643782066943559</v>
      </c>
      <c r="G57" s="357">
        <f t="shared" si="20"/>
        <v>0.35735021281239771</v>
      </c>
    </row>
    <row r="58" spans="1:8">
      <c r="A58" s="19">
        <f t="shared" si="10"/>
        <v>2013</v>
      </c>
      <c r="B58" s="16">
        <v>41334</v>
      </c>
      <c r="C58" s="529">
        <v>12082</v>
      </c>
      <c r="D58" s="529">
        <f t="shared" si="19"/>
        <v>24339</v>
      </c>
      <c r="E58" s="528">
        <v>36421</v>
      </c>
      <c r="F58" s="596">
        <f>'Mining Investment'!C103/'New Capital Expenditure'!C58</f>
        <v>0.80557854659824535</v>
      </c>
      <c r="G58" s="356">
        <f t="shared" si="20"/>
        <v>0.33173169325389201</v>
      </c>
    </row>
    <row r="59" spans="1:8">
      <c r="A59" s="19">
        <f t="shared" si="10"/>
        <v>2013</v>
      </c>
      <c r="B59" s="16">
        <v>41426</v>
      </c>
      <c r="C59" s="527">
        <v>15182</v>
      </c>
      <c r="D59" s="527">
        <f t="shared" si="19"/>
        <v>28464</v>
      </c>
      <c r="E59" s="526">
        <v>43646</v>
      </c>
      <c r="F59" s="597">
        <f>'Mining Investment'!C104/'New Capital Expenditure'!C59</f>
        <v>0.82380450533526539</v>
      </c>
      <c r="G59" s="357">
        <f t="shared" si="20"/>
        <v>0.34784401777940704</v>
      </c>
      <c r="H59" s="310"/>
    </row>
    <row r="60" spans="1:8">
      <c r="A60" s="19">
        <f t="shared" si="10"/>
        <v>2013</v>
      </c>
      <c r="B60" s="16">
        <v>41518</v>
      </c>
      <c r="C60" s="529">
        <v>14810</v>
      </c>
      <c r="D60" s="529">
        <f t="shared" si="19"/>
        <v>27776</v>
      </c>
      <c r="E60" s="528">
        <v>42586</v>
      </c>
      <c r="F60" s="596">
        <f>'Mining Investment'!C105/'New Capital Expenditure'!C60</f>
        <v>0.82680621201890614</v>
      </c>
      <c r="G60" s="356">
        <f t="shared" si="20"/>
        <v>0.34776687174188703</v>
      </c>
    </row>
    <row r="61" spans="1:8">
      <c r="A61" s="19">
        <f t="shared" si="10"/>
        <v>2013</v>
      </c>
      <c r="B61" s="16">
        <v>41609</v>
      </c>
      <c r="C61" s="527">
        <v>14913</v>
      </c>
      <c r="D61" s="527">
        <f t="shared" si="19"/>
        <v>29546</v>
      </c>
      <c r="E61" s="526">
        <v>44459</v>
      </c>
      <c r="F61" s="597">
        <f>'Mining Investment'!C106/'New Capital Expenditure'!C61</f>
        <v>0.82485080131428956</v>
      </c>
      <c r="G61" s="357">
        <f t="shared" si="20"/>
        <v>0.33543264580849774</v>
      </c>
    </row>
    <row r="62" spans="1:8">
      <c r="A62" s="19">
        <f t="shared" si="10"/>
        <v>2014</v>
      </c>
      <c r="B62" s="16">
        <v>41699</v>
      </c>
      <c r="C62" s="529">
        <v>12609</v>
      </c>
      <c r="D62" s="529">
        <f t="shared" si="19"/>
        <v>23198</v>
      </c>
      <c r="E62" s="528">
        <v>35807</v>
      </c>
      <c r="F62" s="596">
        <f>'Mining Investment'!C107/'New Capital Expenditure'!C62</f>
        <v>0.81259417876120232</v>
      </c>
      <c r="G62" s="356">
        <f t="shared" si="20"/>
        <v>0.35213785014103388</v>
      </c>
    </row>
    <row r="63" spans="1:8">
      <c r="A63" s="19">
        <f t="shared" si="10"/>
        <v>2014</v>
      </c>
      <c r="B63" s="16">
        <v>41791</v>
      </c>
      <c r="C63" s="527">
        <v>14636</v>
      </c>
      <c r="D63" s="527">
        <f t="shared" si="19"/>
        <v>28452</v>
      </c>
      <c r="E63" s="526">
        <v>43088</v>
      </c>
      <c r="F63" s="597">
        <f>'Mining Investment'!C108/'New Capital Expenditure'!C63</f>
        <v>0.81764143208526918</v>
      </c>
      <c r="G63" s="357">
        <f t="shared" si="20"/>
        <v>0.3396769402153732</v>
      </c>
    </row>
    <row r="64" spans="1:8">
      <c r="A64" s="19">
        <f t="shared" si="10"/>
        <v>2014</v>
      </c>
      <c r="B64" s="16">
        <v>41883</v>
      </c>
      <c r="C64" s="529">
        <v>14505</v>
      </c>
      <c r="D64" s="529">
        <f t="shared" si="19"/>
        <v>26788</v>
      </c>
      <c r="E64" s="528">
        <v>41293</v>
      </c>
      <c r="F64" s="596">
        <f>'Mining Investment'!C109/'New Capital Expenditure'!C64</f>
        <v>0.81247845570492938</v>
      </c>
      <c r="G64" s="356">
        <f t="shared" si="20"/>
        <v>0.35127019107354757</v>
      </c>
    </row>
    <row r="65" spans="1:7">
      <c r="A65" s="19">
        <f t="shared" si="10"/>
        <v>2014</v>
      </c>
      <c r="B65" s="16">
        <v>41974</v>
      </c>
      <c r="C65" s="527">
        <v>15181</v>
      </c>
      <c r="D65" s="527">
        <f t="shared" si="19"/>
        <v>28975</v>
      </c>
      <c r="E65" s="526">
        <v>44156</v>
      </c>
      <c r="F65" s="597">
        <f>'Mining Investment'!C110/'New Capital Expenditure'!C65</f>
        <v>0.80449245767735988</v>
      </c>
      <c r="G65" s="357">
        <f t="shared" si="20"/>
        <v>0.34380378657487093</v>
      </c>
    </row>
    <row r="66" spans="1:7">
      <c r="A66" s="19">
        <f t="shared" si="10"/>
        <v>2015</v>
      </c>
      <c r="B66" s="16">
        <v>42064</v>
      </c>
      <c r="C66" s="529">
        <v>12835</v>
      </c>
      <c r="D66" s="529">
        <f t="shared" si="19"/>
        <v>21608</v>
      </c>
      <c r="E66" s="528">
        <v>34443</v>
      </c>
      <c r="F66" s="596">
        <f>'Mining Investment'!C111/'New Capital Expenditure'!C66</f>
        <v>0.83654070899883137</v>
      </c>
      <c r="G66" s="356">
        <f t="shared" si="20"/>
        <v>0.37264465929216384</v>
      </c>
    </row>
    <row r="67" spans="1:7">
      <c r="A67" s="19">
        <f t="shared" si="10"/>
        <v>2015</v>
      </c>
      <c r="B67" s="16">
        <v>42156</v>
      </c>
      <c r="C67" s="527">
        <v>13707</v>
      </c>
      <c r="D67" s="527">
        <f t="shared" si="19"/>
        <v>26188</v>
      </c>
      <c r="E67" s="526">
        <v>39895</v>
      </c>
      <c r="F67" s="597">
        <f>'Mining Investment'!C112/'New Capital Expenditure'!C67</f>
        <v>0.82111329977383818</v>
      </c>
      <c r="G67" s="357">
        <f t="shared" si="20"/>
        <v>0.34357688933450309</v>
      </c>
    </row>
    <row r="68" spans="1:7">
      <c r="A68" s="19">
        <f t="shared" si="10"/>
        <v>2015</v>
      </c>
      <c r="B68" s="16">
        <v>42248</v>
      </c>
      <c r="C68" s="529">
        <v>12165</v>
      </c>
      <c r="D68" s="529">
        <f t="shared" si="19"/>
        <v>22389</v>
      </c>
      <c r="E68" s="528">
        <v>34554</v>
      </c>
      <c r="F68" s="596">
        <f>'Mining Investment'!C113/'New Capital Expenditure'!C68</f>
        <v>0.80665844636251538</v>
      </c>
      <c r="G68" s="356">
        <f t="shared" si="20"/>
        <v>0.35205764889737801</v>
      </c>
    </row>
    <row r="69" spans="1:7">
      <c r="A69" s="19">
        <f t="shared" si="10"/>
        <v>2015</v>
      </c>
      <c r="B69" s="16">
        <v>42339</v>
      </c>
      <c r="C69" s="527">
        <v>13162</v>
      </c>
      <c r="D69" s="527">
        <f t="shared" si="19"/>
        <v>25597</v>
      </c>
      <c r="E69" s="526">
        <v>38759</v>
      </c>
      <c r="F69" s="597">
        <f>'Mining Investment'!C114/'New Capital Expenditure'!C69</f>
        <v>0.8037532289925543</v>
      </c>
      <c r="G69" s="357">
        <f t="shared" si="20"/>
        <v>0.33958564462447433</v>
      </c>
    </row>
    <row r="70" spans="1:7">
      <c r="A70" s="19">
        <f t="shared" si="10"/>
        <v>2016</v>
      </c>
      <c r="B70" s="16">
        <v>42430</v>
      </c>
      <c r="C70" s="529">
        <v>9666</v>
      </c>
      <c r="D70" s="529">
        <f t="shared" si="19"/>
        <v>19984</v>
      </c>
      <c r="E70" s="528">
        <v>29650</v>
      </c>
      <c r="F70" s="596">
        <f>'Mining Investment'!C115/'New Capital Expenditure'!C70</f>
        <v>0.80943513345747986</v>
      </c>
      <c r="G70" s="356">
        <f t="shared" si="20"/>
        <v>0.3260033726812816</v>
      </c>
    </row>
    <row r="71" spans="1:7">
      <c r="A71" s="19">
        <f t="shared" si="10"/>
        <v>2016</v>
      </c>
      <c r="B71" s="16">
        <v>42522</v>
      </c>
      <c r="C71" s="527">
        <v>9149</v>
      </c>
      <c r="D71" s="527">
        <f t="shared" si="19"/>
        <v>24697</v>
      </c>
      <c r="E71" s="526">
        <v>33846</v>
      </c>
      <c r="F71" s="597">
        <f>'Mining Investment'!C116/'New Capital Expenditure'!C71</f>
        <v>0.76456443327139578</v>
      </c>
      <c r="G71" s="357">
        <f t="shared" si="20"/>
        <v>0.27031259232996513</v>
      </c>
    </row>
    <row r="72" spans="1:7">
      <c r="A72" s="19">
        <f t="shared" si="10"/>
        <v>2016</v>
      </c>
      <c r="B72" s="16">
        <v>42614</v>
      </c>
      <c r="C72" s="529">
        <v>7593</v>
      </c>
      <c r="D72" s="529">
        <f t="shared" ref="D72:D88" si="21">E72-C72</f>
        <v>22491</v>
      </c>
      <c r="E72" s="528">
        <v>30084</v>
      </c>
      <c r="F72" s="596">
        <f>'Mining Investment'!C117/'New Capital Expenditure'!C72</f>
        <v>0.77294876860266037</v>
      </c>
      <c r="G72" s="356">
        <f t="shared" ref="G72:G87" si="22">C72/E72</f>
        <v>0.25239329876346228</v>
      </c>
    </row>
    <row r="73" spans="1:7">
      <c r="A73" s="19">
        <f t="shared" ref="A73:A91" si="23">YEAR(B73)</f>
        <v>2016</v>
      </c>
      <c r="B73" s="16">
        <v>42705</v>
      </c>
      <c r="C73" s="527">
        <v>8193</v>
      </c>
      <c r="D73" s="527">
        <f t="shared" si="21"/>
        <v>25092</v>
      </c>
      <c r="E73" s="526">
        <v>33285</v>
      </c>
      <c r="F73" s="597">
        <f>'Mining Investment'!C118/'New Capital Expenditure'!C73</f>
        <v>0.7557671182716954</v>
      </c>
      <c r="G73" s="357">
        <f t="shared" si="22"/>
        <v>0.24614691302388464</v>
      </c>
    </row>
    <row r="74" spans="1:7">
      <c r="A74" s="19">
        <f t="shared" si="23"/>
        <v>2017</v>
      </c>
      <c r="B74" s="16">
        <v>42795</v>
      </c>
      <c r="C74" s="529">
        <v>6616</v>
      </c>
      <c r="D74" s="529">
        <f t="shared" si="21"/>
        <v>20504</v>
      </c>
      <c r="E74" s="528">
        <v>27120</v>
      </c>
      <c r="F74" s="596">
        <f>'Mining Investment'!C119/'New Capital Expenditure'!C74</f>
        <v>0.72853688029020558</v>
      </c>
      <c r="G74" s="356">
        <f t="shared" si="22"/>
        <v>0.24395280235988201</v>
      </c>
    </row>
    <row r="75" spans="1:7">
      <c r="A75" s="19">
        <f t="shared" si="23"/>
        <v>2017</v>
      </c>
      <c r="B75" s="16">
        <v>42887</v>
      </c>
      <c r="C75" s="527">
        <v>7434</v>
      </c>
      <c r="D75" s="527">
        <f t="shared" si="21"/>
        <v>25868</v>
      </c>
      <c r="E75" s="526">
        <v>33302</v>
      </c>
      <c r="F75" s="597">
        <f>'Mining Investment'!C120/'New Capital Expenditure'!C75</f>
        <v>0.71953188054882966</v>
      </c>
      <c r="G75" s="357">
        <f t="shared" si="22"/>
        <v>0.22322983604588312</v>
      </c>
    </row>
    <row r="76" spans="1:7">
      <c r="A76" s="19">
        <f t="shared" si="23"/>
        <v>2017</v>
      </c>
      <c r="B76" s="16">
        <v>42979</v>
      </c>
      <c r="C76" s="529">
        <v>7211</v>
      </c>
      <c r="D76" s="529">
        <f t="shared" si="21"/>
        <v>23758</v>
      </c>
      <c r="E76" s="528">
        <v>30969</v>
      </c>
      <c r="F76" s="596">
        <f>'Mining Investment'!C121/'New Capital Expenditure'!C76</f>
        <v>0.7010123422548884</v>
      </c>
      <c r="G76" s="356">
        <f t="shared" si="22"/>
        <v>0.23284574897478122</v>
      </c>
    </row>
    <row r="77" spans="1:7">
      <c r="A77" s="19">
        <f t="shared" si="23"/>
        <v>2017</v>
      </c>
      <c r="B77" s="16">
        <v>43070</v>
      </c>
      <c r="C77" s="527">
        <v>7546</v>
      </c>
      <c r="D77" s="527">
        <f t="shared" si="21"/>
        <v>27289</v>
      </c>
      <c r="E77" s="526">
        <v>34835</v>
      </c>
      <c r="F77" s="597">
        <f>'Mining Investment'!C122/'New Capital Expenditure'!C77</f>
        <v>0.69361250993904056</v>
      </c>
      <c r="G77" s="357">
        <f t="shared" si="22"/>
        <v>0.2166212142959667</v>
      </c>
    </row>
    <row r="78" spans="1:7">
      <c r="A78" s="19">
        <f t="shared" si="23"/>
        <v>2018</v>
      </c>
      <c r="B78" s="16">
        <v>43160</v>
      </c>
      <c r="C78" s="529">
        <v>6436</v>
      </c>
      <c r="D78" s="529">
        <f t="shared" si="21"/>
        <v>22037</v>
      </c>
      <c r="E78" s="528">
        <v>28473</v>
      </c>
      <c r="F78" s="596">
        <f>'Mining Investment'!C123/'New Capital Expenditure'!C78</f>
        <v>0.66314481044126783</v>
      </c>
      <c r="G78" s="356">
        <f t="shared" si="22"/>
        <v>0.22603870333298212</v>
      </c>
    </row>
    <row r="79" spans="1:7">
      <c r="A79" s="19">
        <f t="shared" si="23"/>
        <v>2018</v>
      </c>
      <c r="B79" s="16">
        <v>43252</v>
      </c>
      <c r="C79" s="527">
        <v>6793</v>
      </c>
      <c r="D79" s="527">
        <f t="shared" si="21"/>
        <v>28018</v>
      </c>
      <c r="E79" s="526">
        <v>34811</v>
      </c>
      <c r="F79" s="597">
        <f>'Mining Investment'!C124/'New Capital Expenditure'!C79</f>
        <v>0.67952303842190487</v>
      </c>
      <c r="G79" s="357">
        <f t="shared" si="22"/>
        <v>0.19513946740972682</v>
      </c>
    </row>
    <row r="80" spans="1:7">
      <c r="A80" s="19">
        <f t="shared" si="23"/>
        <v>2018</v>
      </c>
      <c r="B80" s="16">
        <v>43344</v>
      </c>
      <c r="C80" s="529">
        <v>6312</v>
      </c>
      <c r="D80" s="529">
        <f t="shared" si="21"/>
        <v>25721</v>
      </c>
      <c r="E80" s="528">
        <v>32033</v>
      </c>
      <c r="F80" s="596">
        <f>'Mining Investment'!C125/'New Capital Expenditure'!C80</f>
        <v>0.67316223067173642</v>
      </c>
      <c r="G80" s="356">
        <f t="shared" si="22"/>
        <v>0.19704679549214874</v>
      </c>
    </row>
    <row r="81" spans="1:7">
      <c r="A81" s="19">
        <f t="shared" si="23"/>
        <v>2018</v>
      </c>
      <c r="B81" s="16">
        <v>43435</v>
      </c>
      <c r="C81" s="527">
        <v>6865</v>
      </c>
      <c r="D81" s="527">
        <f t="shared" si="21"/>
        <v>29604</v>
      </c>
      <c r="E81" s="526">
        <v>36469</v>
      </c>
      <c r="F81" s="597">
        <f>'Mining Investment'!C126/'New Capital Expenditure'!C81</f>
        <v>0.67880553532410781</v>
      </c>
      <c r="G81" s="357">
        <f t="shared" si="22"/>
        <v>0.18824206860621351</v>
      </c>
    </row>
    <row r="82" spans="1:7">
      <c r="A82" s="19">
        <f t="shared" si="23"/>
        <v>2019</v>
      </c>
      <c r="B82" s="16">
        <v>43525</v>
      </c>
      <c r="C82" s="529">
        <v>5378</v>
      </c>
      <c r="D82" s="529">
        <f t="shared" si="21"/>
        <v>23893</v>
      </c>
      <c r="E82" s="528">
        <v>29271</v>
      </c>
      <c r="F82" s="596">
        <f>'Mining Investment'!C127/'New Capital Expenditure'!C82</f>
        <v>0.69356638155448125</v>
      </c>
      <c r="G82" s="356">
        <f t="shared" si="22"/>
        <v>0.18373133818455126</v>
      </c>
    </row>
    <row r="83" spans="1:7">
      <c r="A83" s="19">
        <f t="shared" si="23"/>
        <v>2019</v>
      </c>
      <c r="B83" s="16">
        <v>43617</v>
      </c>
      <c r="C83" s="527">
        <v>6612</v>
      </c>
      <c r="D83" s="527">
        <f t="shared" si="21"/>
        <v>29327</v>
      </c>
      <c r="E83" s="526">
        <v>35939</v>
      </c>
      <c r="F83" s="597">
        <f>'Mining Investment'!C128/'New Capital Expenditure'!C83</f>
        <v>0.65471869328493648</v>
      </c>
      <c r="G83" s="357">
        <f t="shared" si="22"/>
        <v>0.18397840785775899</v>
      </c>
    </row>
    <row r="84" spans="1:7">
      <c r="A84" s="19">
        <f t="shared" si="23"/>
        <v>2019</v>
      </c>
      <c r="B84" s="16">
        <v>43709</v>
      </c>
      <c r="C84" s="594">
        <v>6287</v>
      </c>
      <c r="D84" s="594">
        <f t="shared" si="21"/>
        <v>25705</v>
      </c>
      <c r="E84" s="595">
        <v>31992</v>
      </c>
      <c r="F84" s="598">
        <f>'Mining Investment'!C129/'New Capital Expenditure'!C84</f>
        <v>0.70446954032129794</v>
      </c>
      <c r="G84" s="374">
        <f t="shared" si="22"/>
        <v>0.19651787946986746</v>
      </c>
    </row>
    <row r="85" spans="1:7">
      <c r="A85" s="19">
        <f t="shared" si="23"/>
        <v>2019</v>
      </c>
      <c r="B85" s="16">
        <v>43800</v>
      </c>
      <c r="C85" s="527">
        <v>7025</v>
      </c>
      <c r="D85" s="527">
        <f t="shared" si="21"/>
        <v>28133</v>
      </c>
      <c r="E85" s="526">
        <v>35158</v>
      </c>
      <c r="F85" s="597">
        <f>'Mining Investment'!C130/'New Capital Expenditure'!C85</f>
        <v>0.67587188612099647</v>
      </c>
      <c r="G85" s="357">
        <f t="shared" si="22"/>
        <v>0.19981227601114968</v>
      </c>
    </row>
    <row r="86" spans="1:7">
      <c r="A86" s="19">
        <f t="shared" si="23"/>
        <v>2020</v>
      </c>
      <c r="B86" s="16">
        <v>43891</v>
      </c>
      <c r="C86" s="531">
        <v>6304</v>
      </c>
      <c r="D86" s="531">
        <f t="shared" si="21"/>
        <v>21762</v>
      </c>
      <c r="E86" s="530">
        <v>28066</v>
      </c>
      <c r="F86" s="599">
        <f>'Mining Investment'!C131/'New Capital Expenditure'!C86</f>
        <v>0.72842639593908631</v>
      </c>
      <c r="G86" s="358">
        <f t="shared" si="22"/>
        <v>0.22461341124492268</v>
      </c>
    </row>
    <row r="87" spans="1:7">
      <c r="A87" s="19">
        <f t="shared" si="23"/>
        <v>2020</v>
      </c>
      <c r="B87" s="682">
        <v>43983</v>
      </c>
      <c r="C87" s="527">
        <v>7248</v>
      </c>
      <c r="D87" s="527">
        <f t="shared" si="21"/>
        <v>25221</v>
      </c>
      <c r="E87" s="526">
        <v>32469</v>
      </c>
      <c r="F87" s="597">
        <f>'Mining Investment'!C132/'New Capital Expenditure'!C87</f>
        <v>0.71633554083885209</v>
      </c>
      <c r="G87" s="357">
        <f t="shared" si="22"/>
        <v>0.22322831008038438</v>
      </c>
    </row>
    <row r="88" spans="1:7">
      <c r="A88" s="19">
        <f t="shared" si="23"/>
        <v>2020</v>
      </c>
      <c r="B88" s="16">
        <v>44075</v>
      </c>
      <c r="C88" s="531">
        <v>6720</v>
      </c>
      <c r="D88" s="531">
        <f t="shared" si="21"/>
        <v>21577</v>
      </c>
      <c r="E88" s="530">
        <v>28297</v>
      </c>
      <c r="F88" s="599">
        <f>'Mining Investment'!C133/'New Capital Expenditure'!C88</f>
        <v>0.737202380952381</v>
      </c>
      <c r="G88" s="358">
        <f t="shared" ref="G88" si="24">C88/E88</f>
        <v>0.23748100505353925</v>
      </c>
    </row>
    <row r="89" spans="1:7">
      <c r="A89" s="19">
        <f t="shared" si="23"/>
        <v>2020</v>
      </c>
      <c r="B89" s="682">
        <v>44166</v>
      </c>
      <c r="C89" s="527">
        <v>7361</v>
      </c>
      <c r="D89" s="527">
        <f t="shared" ref="D89:D91" si="25">E89-C89</f>
        <v>25467</v>
      </c>
      <c r="E89" s="526">
        <v>32828</v>
      </c>
      <c r="F89" s="597">
        <f>'Mining Investment'!C134/'New Capital Expenditure'!C89</f>
        <v>0.71389756826518136</v>
      </c>
      <c r="G89" s="357">
        <f t="shared" ref="G89" si="26">C89/E89</f>
        <v>0.22422931643718777</v>
      </c>
    </row>
    <row r="90" spans="1:7">
      <c r="A90" s="19">
        <f t="shared" si="23"/>
        <v>2021</v>
      </c>
      <c r="B90" s="682">
        <v>44256</v>
      </c>
      <c r="C90" s="531">
        <v>6991</v>
      </c>
      <c r="D90" s="531">
        <f t="shared" si="25"/>
        <v>21224</v>
      </c>
      <c r="E90" s="530">
        <v>28215</v>
      </c>
      <c r="F90" s="599">
        <f>'Mining Investment'!C135/'New Capital Expenditure'!C90</f>
        <v>0.70791017021885283</v>
      </c>
      <c r="G90" s="358">
        <f t="shared" ref="G90:G91" si="27">C90/E90</f>
        <v>0.24777600567074251</v>
      </c>
    </row>
    <row r="91" spans="1:7" ht="15.75" thickBot="1">
      <c r="A91" s="19">
        <f t="shared" si="23"/>
        <v>2021</v>
      </c>
      <c r="B91" s="757">
        <v>44348</v>
      </c>
      <c r="C91" s="803">
        <v>8175</v>
      </c>
      <c r="D91" s="803">
        <f t="shared" si="25"/>
        <v>28209</v>
      </c>
      <c r="E91" s="804">
        <v>36384</v>
      </c>
      <c r="F91" s="805">
        <f>'Mining Investment'!C136/'New Capital Expenditure'!C91</f>
        <v>0.66373088685015291</v>
      </c>
      <c r="G91" s="806">
        <f t="shared" si="27"/>
        <v>0.22468667546174143</v>
      </c>
    </row>
    <row r="92" spans="1:7">
      <c r="A92" s="19">
        <f t="shared" ref="A92:A136" si="28">YEAR(B94)</f>
        <v>1900</v>
      </c>
      <c r="E92" s="309"/>
      <c r="F92" s="293"/>
    </row>
    <row r="93" spans="1:7">
      <c r="A93" s="19">
        <f t="shared" si="28"/>
        <v>1900</v>
      </c>
      <c r="E93" s="309"/>
      <c r="F93" s="293"/>
    </row>
    <row r="94" spans="1:7">
      <c r="A94" s="19">
        <f t="shared" si="28"/>
        <v>1900</v>
      </c>
      <c r="E94" s="309"/>
      <c r="F94" s="293"/>
    </row>
    <row r="95" spans="1:7">
      <c r="A95" s="19">
        <f t="shared" si="28"/>
        <v>1900</v>
      </c>
      <c r="E95" s="309"/>
      <c r="F95" s="293"/>
    </row>
    <row r="96" spans="1:7">
      <c r="A96" s="19">
        <f t="shared" si="28"/>
        <v>1900</v>
      </c>
      <c r="E96" s="309"/>
      <c r="F96" s="293"/>
    </row>
    <row r="97" spans="1:6">
      <c r="A97" s="19">
        <f t="shared" si="28"/>
        <v>1900</v>
      </c>
      <c r="E97" s="309"/>
      <c r="F97" s="293"/>
    </row>
    <row r="98" spans="1:6">
      <c r="A98" s="19">
        <f t="shared" si="28"/>
        <v>1900</v>
      </c>
      <c r="E98" s="309"/>
      <c r="F98" s="293"/>
    </row>
    <row r="99" spans="1:6">
      <c r="A99" s="19">
        <f t="shared" si="28"/>
        <v>1900</v>
      </c>
      <c r="E99" s="309"/>
      <c r="F99" s="293"/>
    </row>
    <row r="100" spans="1:6">
      <c r="A100" s="19">
        <f t="shared" si="28"/>
        <v>1900</v>
      </c>
      <c r="E100" s="309"/>
      <c r="F100" s="293"/>
    </row>
    <row r="101" spans="1:6">
      <c r="A101" s="19">
        <f t="shared" si="28"/>
        <v>1900</v>
      </c>
      <c r="E101" s="309"/>
      <c r="F101" s="293"/>
    </row>
    <row r="102" spans="1:6">
      <c r="A102" s="19">
        <f t="shared" si="28"/>
        <v>1900</v>
      </c>
      <c r="E102" s="309"/>
      <c r="F102" s="293"/>
    </row>
    <row r="103" spans="1:6">
      <c r="A103" s="19">
        <f t="shared" si="28"/>
        <v>1900</v>
      </c>
      <c r="E103" s="309"/>
      <c r="F103" s="293"/>
    </row>
    <row r="104" spans="1:6">
      <c r="A104" s="19">
        <f t="shared" si="28"/>
        <v>1900</v>
      </c>
      <c r="E104" s="309"/>
      <c r="F104" s="293"/>
    </row>
    <row r="105" spans="1:6">
      <c r="A105" s="19">
        <f t="shared" si="28"/>
        <v>1900</v>
      </c>
      <c r="E105" s="309"/>
      <c r="F105" s="293"/>
    </row>
    <row r="106" spans="1:6">
      <c r="A106" s="19">
        <f t="shared" si="28"/>
        <v>1900</v>
      </c>
      <c r="E106" s="309"/>
      <c r="F106" s="293"/>
    </row>
    <row r="107" spans="1:6">
      <c r="A107" s="19">
        <f t="shared" si="28"/>
        <v>1900</v>
      </c>
      <c r="E107" s="309"/>
      <c r="F107" s="293"/>
    </row>
    <row r="108" spans="1:6">
      <c r="A108" s="19">
        <f t="shared" si="28"/>
        <v>1900</v>
      </c>
      <c r="E108" s="309"/>
      <c r="F108" s="293"/>
    </row>
    <row r="109" spans="1:6">
      <c r="A109" s="19">
        <f t="shared" si="28"/>
        <v>1900</v>
      </c>
      <c r="E109" s="309"/>
      <c r="F109" s="293"/>
    </row>
    <row r="110" spans="1:6">
      <c r="A110" s="19">
        <f t="shared" si="28"/>
        <v>1900</v>
      </c>
      <c r="E110" s="309"/>
      <c r="F110" s="293"/>
    </row>
    <row r="111" spans="1:6">
      <c r="A111" s="19">
        <f t="shared" si="28"/>
        <v>1900</v>
      </c>
      <c r="E111" s="309"/>
      <c r="F111" s="293"/>
    </row>
    <row r="112" spans="1:6">
      <c r="A112" s="19">
        <f t="shared" si="28"/>
        <v>1900</v>
      </c>
      <c r="E112" s="309"/>
      <c r="F112" s="293"/>
    </row>
    <row r="113" spans="1:6">
      <c r="A113" s="19">
        <f t="shared" si="28"/>
        <v>1900</v>
      </c>
      <c r="E113" s="309"/>
      <c r="F113" s="293"/>
    </row>
    <row r="114" spans="1:6">
      <c r="A114" s="19">
        <f t="shared" si="28"/>
        <v>1900</v>
      </c>
      <c r="E114" s="309"/>
      <c r="F114" s="293"/>
    </row>
    <row r="115" spans="1:6">
      <c r="A115" s="19">
        <f t="shared" si="28"/>
        <v>1900</v>
      </c>
      <c r="E115" s="309"/>
      <c r="F115" s="293"/>
    </row>
    <row r="116" spans="1:6">
      <c r="A116" s="19">
        <f t="shared" si="28"/>
        <v>1900</v>
      </c>
      <c r="E116" s="309"/>
      <c r="F116" s="293"/>
    </row>
    <row r="117" spans="1:6">
      <c r="A117" s="19">
        <f t="shared" si="28"/>
        <v>1900</v>
      </c>
      <c r="E117" s="309"/>
      <c r="F117" s="293"/>
    </row>
    <row r="118" spans="1:6">
      <c r="A118" s="19">
        <f t="shared" si="28"/>
        <v>1900</v>
      </c>
      <c r="E118" s="309"/>
      <c r="F118" s="293"/>
    </row>
    <row r="119" spans="1:6">
      <c r="A119" s="19">
        <f t="shared" si="28"/>
        <v>1900</v>
      </c>
      <c r="E119" s="309"/>
      <c r="F119" s="293"/>
    </row>
    <row r="120" spans="1:6">
      <c r="A120" s="19">
        <f t="shared" si="28"/>
        <v>1900</v>
      </c>
      <c r="E120" s="309"/>
      <c r="F120" s="293"/>
    </row>
    <row r="121" spans="1:6">
      <c r="A121" s="19">
        <f t="shared" si="28"/>
        <v>1900</v>
      </c>
      <c r="E121" s="309"/>
      <c r="F121" s="293"/>
    </row>
    <row r="122" spans="1:6">
      <c r="A122" s="19">
        <f t="shared" si="28"/>
        <v>1900</v>
      </c>
      <c r="E122" s="309"/>
      <c r="F122" s="293"/>
    </row>
    <row r="123" spans="1:6">
      <c r="A123" s="19">
        <f t="shared" si="28"/>
        <v>1900</v>
      </c>
      <c r="E123" s="309"/>
      <c r="F123" s="293"/>
    </row>
    <row r="124" spans="1:6">
      <c r="A124" s="19">
        <f t="shared" si="28"/>
        <v>1900</v>
      </c>
      <c r="E124" s="309"/>
      <c r="F124" s="293"/>
    </row>
    <row r="125" spans="1:6">
      <c r="A125" s="19">
        <f t="shared" si="28"/>
        <v>1900</v>
      </c>
      <c r="E125" s="309"/>
      <c r="F125" s="293"/>
    </row>
    <row r="126" spans="1:6">
      <c r="A126" s="19">
        <f t="shared" si="28"/>
        <v>1900</v>
      </c>
      <c r="E126" s="309"/>
      <c r="F126" s="293"/>
    </row>
    <row r="127" spans="1:6">
      <c r="A127" s="19">
        <f t="shared" si="28"/>
        <v>1900</v>
      </c>
      <c r="E127" s="309"/>
      <c r="F127" s="293"/>
    </row>
    <row r="128" spans="1:6">
      <c r="A128" s="19">
        <f t="shared" si="28"/>
        <v>1900</v>
      </c>
      <c r="E128" s="309"/>
      <c r="F128" s="293"/>
    </row>
    <row r="129" spans="1:6">
      <c r="A129" s="19">
        <f t="shared" si="28"/>
        <v>1900</v>
      </c>
      <c r="E129" s="309"/>
      <c r="F129" s="293"/>
    </row>
    <row r="130" spans="1:6">
      <c r="A130" s="19">
        <f t="shared" si="28"/>
        <v>1900</v>
      </c>
      <c r="E130" s="309"/>
      <c r="F130" s="293"/>
    </row>
    <row r="131" spans="1:6">
      <c r="A131" s="19">
        <f t="shared" si="28"/>
        <v>1900</v>
      </c>
      <c r="E131" s="309"/>
      <c r="F131" s="293"/>
    </row>
    <row r="132" spans="1:6">
      <c r="A132" s="19">
        <f t="shared" si="28"/>
        <v>1900</v>
      </c>
      <c r="E132" s="309"/>
      <c r="F132" s="293"/>
    </row>
    <row r="133" spans="1:6">
      <c r="A133" s="19">
        <f t="shared" si="28"/>
        <v>1900</v>
      </c>
      <c r="E133" s="309"/>
      <c r="F133" s="294"/>
    </row>
    <row r="134" spans="1:6">
      <c r="A134" s="19">
        <f t="shared" si="28"/>
        <v>1900</v>
      </c>
      <c r="E134" s="309"/>
      <c r="F134" s="294"/>
    </row>
    <row r="135" spans="1:6">
      <c r="A135" s="19">
        <f t="shared" si="28"/>
        <v>1900</v>
      </c>
      <c r="E135" s="309"/>
      <c r="F135" s="294"/>
    </row>
    <row r="136" spans="1:6">
      <c r="A136" s="19">
        <f t="shared" si="28"/>
        <v>1900</v>
      </c>
      <c r="E136" s="309"/>
      <c r="F136" s="295"/>
    </row>
    <row r="137" spans="1:6">
      <c r="A137" s="19">
        <f t="shared" ref="A137:A200" si="29">YEAR(B139)</f>
        <v>1900</v>
      </c>
      <c r="E137" s="309"/>
      <c r="F137" s="295"/>
    </row>
    <row r="138" spans="1:6">
      <c r="A138" s="19">
        <f t="shared" si="29"/>
        <v>1900</v>
      </c>
      <c r="E138" s="309"/>
      <c r="F138" s="295"/>
    </row>
    <row r="139" spans="1:6">
      <c r="A139" s="19">
        <f t="shared" si="29"/>
        <v>1900</v>
      </c>
      <c r="E139" s="309"/>
      <c r="F139" s="295"/>
    </row>
    <row r="140" spans="1:6">
      <c r="A140" s="19">
        <f t="shared" si="29"/>
        <v>1900</v>
      </c>
      <c r="E140" s="309"/>
      <c r="F140" s="295"/>
    </row>
    <row r="141" spans="1:6">
      <c r="A141" s="19">
        <f t="shared" si="29"/>
        <v>1900</v>
      </c>
      <c r="E141" s="309"/>
      <c r="F141" s="295"/>
    </row>
    <row r="142" spans="1:6">
      <c r="A142" s="19">
        <f t="shared" si="29"/>
        <v>1900</v>
      </c>
      <c r="E142" s="309"/>
      <c r="F142" s="295"/>
    </row>
    <row r="143" spans="1:6">
      <c r="A143" s="19">
        <f t="shared" si="29"/>
        <v>1900</v>
      </c>
      <c r="E143" s="309"/>
      <c r="F143" s="295"/>
    </row>
    <row r="144" spans="1:6">
      <c r="A144" s="19">
        <f t="shared" si="29"/>
        <v>1900</v>
      </c>
      <c r="E144" s="309"/>
      <c r="F144" s="295"/>
    </row>
    <row r="145" spans="1:6">
      <c r="A145" s="19">
        <f t="shared" si="29"/>
        <v>1900</v>
      </c>
      <c r="E145" s="309"/>
      <c r="F145" s="295"/>
    </row>
    <row r="146" spans="1:6">
      <c r="A146" s="19">
        <f t="shared" si="29"/>
        <v>1900</v>
      </c>
      <c r="E146" s="309"/>
      <c r="F146" s="295"/>
    </row>
    <row r="147" spans="1:6">
      <c r="A147" s="19">
        <f t="shared" si="29"/>
        <v>1900</v>
      </c>
      <c r="E147" s="309"/>
      <c r="F147" s="295"/>
    </row>
    <row r="148" spans="1:6">
      <c r="A148" s="19">
        <f t="shared" si="29"/>
        <v>1900</v>
      </c>
      <c r="E148" s="309"/>
      <c r="F148" s="295"/>
    </row>
    <row r="149" spans="1:6">
      <c r="A149" s="19">
        <f t="shared" si="29"/>
        <v>1900</v>
      </c>
      <c r="E149" s="309"/>
      <c r="F149" s="295"/>
    </row>
    <row r="150" spans="1:6">
      <c r="A150" s="19">
        <f t="shared" si="29"/>
        <v>1900</v>
      </c>
      <c r="E150" s="309"/>
      <c r="F150" s="295"/>
    </row>
    <row r="151" spans="1:6">
      <c r="A151" s="19">
        <f t="shared" si="29"/>
        <v>1900</v>
      </c>
      <c r="E151" s="309"/>
      <c r="F151" s="295"/>
    </row>
    <row r="152" spans="1:6">
      <c r="A152" s="19">
        <f t="shared" si="29"/>
        <v>1900</v>
      </c>
      <c r="E152" s="309"/>
      <c r="F152" s="295"/>
    </row>
    <row r="153" spans="1:6">
      <c r="A153" s="19">
        <f t="shared" si="29"/>
        <v>1900</v>
      </c>
      <c r="E153" s="309"/>
      <c r="F153" s="295"/>
    </row>
    <row r="154" spans="1:6">
      <c r="A154" s="19">
        <f t="shared" si="29"/>
        <v>1900</v>
      </c>
      <c r="E154" s="309"/>
      <c r="F154" s="295"/>
    </row>
    <row r="155" spans="1:6">
      <c r="A155" s="19">
        <f t="shared" si="29"/>
        <v>1900</v>
      </c>
      <c r="E155" s="309"/>
      <c r="F155" s="295"/>
    </row>
    <row r="156" spans="1:6">
      <c r="A156" s="19">
        <f t="shared" si="29"/>
        <v>1900</v>
      </c>
      <c r="E156" s="309"/>
      <c r="F156" s="295"/>
    </row>
    <row r="157" spans="1:6">
      <c r="A157" s="19">
        <f t="shared" si="29"/>
        <v>1900</v>
      </c>
      <c r="E157" s="309"/>
      <c r="F157" s="295"/>
    </row>
    <row r="158" spans="1:6">
      <c r="A158" s="19">
        <f t="shared" si="29"/>
        <v>1900</v>
      </c>
      <c r="E158" s="309"/>
      <c r="F158" s="295"/>
    </row>
    <row r="159" spans="1:6">
      <c r="A159" s="19">
        <f t="shared" si="29"/>
        <v>1900</v>
      </c>
      <c r="E159" s="309"/>
      <c r="F159" s="295"/>
    </row>
    <row r="160" spans="1:6">
      <c r="A160" s="19">
        <f t="shared" si="29"/>
        <v>1900</v>
      </c>
      <c r="E160" s="309"/>
      <c r="F160" s="295"/>
    </row>
    <row r="161" spans="1:6">
      <c r="A161" s="19">
        <f t="shared" si="29"/>
        <v>1900</v>
      </c>
      <c r="E161" s="309"/>
      <c r="F161" s="295"/>
    </row>
    <row r="162" spans="1:6">
      <c r="A162" s="19">
        <f t="shared" si="29"/>
        <v>1900</v>
      </c>
      <c r="E162" s="309"/>
      <c r="F162" s="295"/>
    </row>
    <row r="163" spans="1:6">
      <c r="A163" s="19">
        <f t="shared" si="29"/>
        <v>1900</v>
      </c>
      <c r="E163" s="309"/>
      <c r="F163" s="295"/>
    </row>
    <row r="164" spans="1:6">
      <c r="A164" s="19">
        <f t="shared" si="29"/>
        <v>1900</v>
      </c>
      <c r="E164" s="309"/>
      <c r="F164" s="295"/>
    </row>
    <row r="165" spans="1:6">
      <c r="A165" s="19">
        <f t="shared" si="29"/>
        <v>1900</v>
      </c>
      <c r="E165" s="309"/>
      <c r="F165" s="295"/>
    </row>
    <row r="166" spans="1:6">
      <c r="A166" s="19">
        <f t="shared" si="29"/>
        <v>1900</v>
      </c>
      <c r="E166" s="309"/>
      <c r="F166" s="295"/>
    </row>
    <row r="167" spans="1:6">
      <c r="A167" s="19">
        <f t="shared" si="29"/>
        <v>1900</v>
      </c>
      <c r="E167" s="309"/>
      <c r="F167" s="295"/>
    </row>
    <row r="168" spans="1:6">
      <c r="A168" s="19">
        <f t="shared" si="29"/>
        <v>1900</v>
      </c>
      <c r="E168" s="309"/>
      <c r="F168" s="295"/>
    </row>
    <row r="169" spans="1:6">
      <c r="A169" s="19">
        <f t="shared" si="29"/>
        <v>1900</v>
      </c>
      <c r="E169" s="309"/>
      <c r="F169" s="295"/>
    </row>
    <row r="170" spans="1:6">
      <c r="A170" s="19">
        <f t="shared" si="29"/>
        <v>1900</v>
      </c>
      <c r="E170" s="309"/>
      <c r="F170" s="295"/>
    </row>
    <row r="171" spans="1:6">
      <c r="A171" s="19">
        <f t="shared" si="29"/>
        <v>1900</v>
      </c>
      <c r="E171" s="309"/>
      <c r="F171" s="295"/>
    </row>
    <row r="172" spans="1:6">
      <c r="A172" s="19">
        <f t="shared" si="29"/>
        <v>1900</v>
      </c>
      <c r="E172" s="309"/>
      <c r="F172" s="295"/>
    </row>
    <row r="173" spans="1:6">
      <c r="A173" s="19">
        <f t="shared" si="29"/>
        <v>1900</v>
      </c>
      <c r="E173" s="309"/>
      <c r="F173" s="295"/>
    </row>
    <row r="174" spans="1:6">
      <c r="A174" s="19">
        <f t="shared" si="29"/>
        <v>1900</v>
      </c>
      <c r="E174" s="309"/>
      <c r="F174" s="295"/>
    </row>
    <row r="175" spans="1:6">
      <c r="A175" s="19">
        <f t="shared" si="29"/>
        <v>1900</v>
      </c>
      <c r="F175" s="295"/>
    </row>
    <row r="176" spans="1:6">
      <c r="A176" s="19">
        <f t="shared" si="29"/>
        <v>1900</v>
      </c>
      <c r="F176" s="295"/>
    </row>
    <row r="177" spans="1:6">
      <c r="A177" s="19">
        <f t="shared" si="29"/>
        <v>1900</v>
      </c>
      <c r="F177" s="295"/>
    </row>
    <row r="178" spans="1:6">
      <c r="A178" s="19">
        <f t="shared" si="29"/>
        <v>1900</v>
      </c>
      <c r="F178" s="295"/>
    </row>
    <row r="179" spans="1:6">
      <c r="A179" s="19">
        <f t="shared" si="29"/>
        <v>1900</v>
      </c>
      <c r="F179" s="295"/>
    </row>
    <row r="180" spans="1:6">
      <c r="A180" s="19">
        <f t="shared" si="29"/>
        <v>1900</v>
      </c>
      <c r="F180" s="295"/>
    </row>
    <row r="181" spans="1:6">
      <c r="A181" s="19">
        <f t="shared" si="29"/>
        <v>1900</v>
      </c>
      <c r="F181" s="295"/>
    </row>
    <row r="182" spans="1:6">
      <c r="A182" s="19">
        <f t="shared" si="29"/>
        <v>1900</v>
      </c>
      <c r="F182" s="295"/>
    </row>
    <row r="183" spans="1:6">
      <c r="A183" s="19">
        <f t="shared" si="29"/>
        <v>1900</v>
      </c>
      <c r="F183" s="295"/>
    </row>
    <row r="184" spans="1:6">
      <c r="A184" s="19">
        <f t="shared" si="29"/>
        <v>1900</v>
      </c>
      <c r="F184" s="295"/>
    </row>
    <row r="185" spans="1:6">
      <c r="A185" s="19">
        <f t="shared" si="29"/>
        <v>1900</v>
      </c>
      <c r="F185" s="295"/>
    </row>
    <row r="186" spans="1:6">
      <c r="A186" s="19">
        <f t="shared" si="29"/>
        <v>1900</v>
      </c>
      <c r="F186" s="295"/>
    </row>
    <row r="187" spans="1:6">
      <c r="A187" s="19">
        <f t="shared" si="29"/>
        <v>1900</v>
      </c>
      <c r="F187" s="295"/>
    </row>
    <row r="188" spans="1:6">
      <c r="A188" s="19">
        <f t="shared" si="29"/>
        <v>1900</v>
      </c>
      <c r="F188" s="295"/>
    </row>
    <row r="189" spans="1:6">
      <c r="A189" s="19">
        <f t="shared" si="29"/>
        <v>1900</v>
      </c>
      <c r="F189" s="295"/>
    </row>
    <row r="190" spans="1:6">
      <c r="A190" s="19">
        <f t="shared" si="29"/>
        <v>1900</v>
      </c>
      <c r="F190" s="295"/>
    </row>
    <row r="191" spans="1:6">
      <c r="A191" s="19">
        <f t="shared" si="29"/>
        <v>1900</v>
      </c>
      <c r="F191" s="295"/>
    </row>
    <row r="192" spans="1:6">
      <c r="A192" s="19">
        <f t="shared" si="29"/>
        <v>1900</v>
      </c>
      <c r="F192" s="295"/>
    </row>
    <row r="193" spans="1:6">
      <c r="A193" s="19">
        <f t="shared" si="29"/>
        <v>1900</v>
      </c>
      <c r="F193" s="295"/>
    </row>
    <row r="194" spans="1:6">
      <c r="A194" s="19">
        <f t="shared" si="29"/>
        <v>1900</v>
      </c>
      <c r="F194" s="295"/>
    </row>
    <row r="195" spans="1:6">
      <c r="A195" s="19">
        <f t="shared" si="29"/>
        <v>1900</v>
      </c>
      <c r="F195" s="295"/>
    </row>
    <row r="196" spans="1:6">
      <c r="A196" s="19">
        <f t="shared" si="29"/>
        <v>1900</v>
      </c>
      <c r="F196" s="295"/>
    </row>
    <row r="197" spans="1:6">
      <c r="A197" s="19">
        <f t="shared" si="29"/>
        <v>1900</v>
      </c>
      <c r="F197" s="295"/>
    </row>
    <row r="198" spans="1:6">
      <c r="A198" s="19">
        <f t="shared" si="29"/>
        <v>1900</v>
      </c>
      <c r="F198" s="295"/>
    </row>
    <row r="199" spans="1:6">
      <c r="A199" s="19">
        <f t="shared" si="29"/>
        <v>1900</v>
      </c>
      <c r="F199" s="295"/>
    </row>
    <row r="200" spans="1:6">
      <c r="A200" s="19">
        <f t="shared" si="29"/>
        <v>1900</v>
      </c>
      <c r="F200" s="295"/>
    </row>
    <row r="201" spans="1:6">
      <c r="A201" s="19">
        <f t="shared" ref="A201:A264" si="30">YEAR(B203)</f>
        <v>1900</v>
      </c>
      <c r="F201" s="295"/>
    </row>
    <row r="202" spans="1:6">
      <c r="A202" s="19">
        <f t="shared" si="30"/>
        <v>1900</v>
      </c>
      <c r="F202" s="295"/>
    </row>
    <row r="203" spans="1:6">
      <c r="A203" s="19">
        <f t="shared" si="30"/>
        <v>1900</v>
      </c>
      <c r="F203" s="295"/>
    </row>
    <row r="204" spans="1:6">
      <c r="A204" s="19">
        <f t="shared" si="30"/>
        <v>1900</v>
      </c>
      <c r="F204" s="295"/>
    </row>
    <row r="205" spans="1:6">
      <c r="A205" s="19">
        <f t="shared" si="30"/>
        <v>1900</v>
      </c>
      <c r="F205" s="295"/>
    </row>
    <row r="206" spans="1:6">
      <c r="A206" s="19">
        <f t="shared" si="30"/>
        <v>1900</v>
      </c>
      <c r="F206" s="295"/>
    </row>
    <row r="207" spans="1:6">
      <c r="A207" s="19">
        <f t="shared" si="30"/>
        <v>1900</v>
      </c>
      <c r="F207" s="295"/>
    </row>
    <row r="208" spans="1:6">
      <c r="A208" s="19">
        <f t="shared" si="30"/>
        <v>1900</v>
      </c>
      <c r="F208" s="295"/>
    </row>
    <row r="209" spans="1:6">
      <c r="A209" s="19">
        <f t="shared" si="30"/>
        <v>1900</v>
      </c>
      <c r="F209" s="295"/>
    </row>
    <row r="210" spans="1:6">
      <c r="A210" s="19">
        <f t="shared" si="30"/>
        <v>1900</v>
      </c>
      <c r="F210" s="295"/>
    </row>
    <row r="211" spans="1:6">
      <c r="A211" s="19">
        <f t="shared" si="30"/>
        <v>1900</v>
      </c>
      <c r="F211" s="295"/>
    </row>
    <row r="212" spans="1:6">
      <c r="A212" s="19">
        <f t="shared" si="30"/>
        <v>1900</v>
      </c>
      <c r="F212" s="295"/>
    </row>
    <row r="213" spans="1:6">
      <c r="A213" s="19">
        <f t="shared" si="30"/>
        <v>1900</v>
      </c>
      <c r="F213" s="295"/>
    </row>
    <row r="214" spans="1:6">
      <c r="A214" s="19">
        <f t="shared" si="30"/>
        <v>1900</v>
      </c>
      <c r="F214" s="295"/>
    </row>
    <row r="215" spans="1:6">
      <c r="A215" s="19">
        <f t="shared" si="30"/>
        <v>1900</v>
      </c>
      <c r="F215" s="295"/>
    </row>
    <row r="216" spans="1:6">
      <c r="A216" s="19">
        <f t="shared" si="30"/>
        <v>1900</v>
      </c>
      <c r="F216" s="295"/>
    </row>
    <row r="217" spans="1:6">
      <c r="A217" s="19">
        <f t="shared" si="30"/>
        <v>1900</v>
      </c>
      <c r="F217" s="295"/>
    </row>
    <row r="218" spans="1:6">
      <c r="A218" s="19">
        <f t="shared" si="30"/>
        <v>1900</v>
      </c>
      <c r="F218" s="295"/>
    </row>
    <row r="219" spans="1:6">
      <c r="A219" s="19">
        <f t="shared" si="30"/>
        <v>1900</v>
      </c>
      <c r="F219" s="295"/>
    </row>
    <row r="220" spans="1:6">
      <c r="A220" s="19">
        <f t="shared" si="30"/>
        <v>1900</v>
      </c>
      <c r="F220" s="295"/>
    </row>
    <row r="221" spans="1:6">
      <c r="A221" s="19">
        <f t="shared" si="30"/>
        <v>1900</v>
      </c>
      <c r="F221" s="295"/>
    </row>
    <row r="222" spans="1:6">
      <c r="A222" s="19">
        <f t="shared" si="30"/>
        <v>1900</v>
      </c>
      <c r="F222" s="295"/>
    </row>
    <row r="223" spans="1:6">
      <c r="A223" s="19">
        <f t="shared" si="30"/>
        <v>1900</v>
      </c>
      <c r="F223" s="295"/>
    </row>
    <row r="224" spans="1:6">
      <c r="A224" s="19">
        <f t="shared" si="30"/>
        <v>1900</v>
      </c>
      <c r="F224" s="295"/>
    </row>
    <row r="225" spans="1:6">
      <c r="A225" s="19">
        <f t="shared" si="30"/>
        <v>1900</v>
      </c>
      <c r="F225" s="295"/>
    </row>
    <row r="226" spans="1:6">
      <c r="A226" s="19">
        <f t="shared" si="30"/>
        <v>1900</v>
      </c>
      <c r="F226" s="295"/>
    </row>
    <row r="227" spans="1:6">
      <c r="A227" s="19">
        <f t="shared" si="30"/>
        <v>1900</v>
      </c>
      <c r="F227" s="295"/>
    </row>
    <row r="228" spans="1:6">
      <c r="A228" s="19">
        <f t="shared" si="30"/>
        <v>1900</v>
      </c>
      <c r="F228" s="295"/>
    </row>
    <row r="229" spans="1:6">
      <c r="A229" s="19">
        <f t="shared" si="30"/>
        <v>1900</v>
      </c>
      <c r="F229" s="295"/>
    </row>
    <row r="230" spans="1:6">
      <c r="A230" s="19">
        <f t="shared" si="30"/>
        <v>1900</v>
      </c>
      <c r="F230" s="295"/>
    </row>
    <row r="231" spans="1:6">
      <c r="A231" s="19">
        <f t="shared" si="30"/>
        <v>1900</v>
      </c>
      <c r="F231" s="295"/>
    </row>
    <row r="232" spans="1:6">
      <c r="A232" s="19">
        <f t="shared" si="30"/>
        <v>1900</v>
      </c>
      <c r="F232" s="295"/>
    </row>
    <row r="233" spans="1:6">
      <c r="A233" s="19">
        <f t="shared" si="30"/>
        <v>1900</v>
      </c>
      <c r="F233" s="295"/>
    </row>
    <row r="234" spans="1:6">
      <c r="A234" s="19">
        <f t="shared" si="30"/>
        <v>1900</v>
      </c>
      <c r="F234" s="295"/>
    </row>
    <row r="235" spans="1:6">
      <c r="A235" s="19">
        <f t="shared" si="30"/>
        <v>1900</v>
      </c>
      <c r="F235" s="295"/>
    </row>
    <row r="236" spans="1:6">
      <c r="A236" s="19">
        <f t="shared" si="30"/>
        <v>1900</v>
      </c>
      <c r="F236" s="295"/>
    </row>
    <row r="237" spans="1:6">
      <c r="A237" s="19">
        <f t="shared" si="30"/>
        <v>1900</v>
      </c>
      <c r="F237" s="295"/>
    </row>
    <row r="238" spans="1:6">
      <c r="A238" s="19">
        <f t="shared" si="30"/>
        <v>1900</v>
      </c>
      <c r="F238" s="295"/>
    </row>
    <row r="239" spans="1:6">
      <c r="A239" s="19">
        <f t="shared" si="30"/>
        <v>1900</v>
      </c>
      <c r="F239" s="295"/>
    </row>
    <row r="240" spans="1:6">
      <c r="A240" s="19">
        <f t="shared" si="30"/>
        <v>1900</v>
      </c>
      <c r="F240" s="295"/>
    </row>
    <row r="241" spans="1:6">
      <c r="A241" s="19">
        <f t="shared" si="30"/>
        <v>1900</v>
      </c>
      <c r="F241" s="295"/>
    </row>
    <row r="242" spans="1:6">
      <c r="A242" s="19">
        <f t="shared" si="30"/>
        <v>1900</v>
      </c>
      <c r="F242" s="295"/>
    </row>
    <row r="243" spans="1:6">
      <c r="A243" s="19">
        <f t="shared" si="30"/>
        <v>1900</v>
      </c>
      <c r="F243" s="295"/>
    </row>
    <row r="244" spans="1:6">
      <c r="A244" s="19">
        <f t="shared" si="30"/>
        <v>1900</v>
      </c>
      <c r="F244" s="295"/>
    </row>
    <row r="245" spans="1:6">
      <c r="A245" s="19">
        <f t="shared" si="30"/>
        <v>1900</v>
      </c>
      <c r="F245" s="295"/>
    </row>
    <row r="246" spans="1:6">
      <c r="A246" s="19">
        <f t="shared" si="30"/>
        <v>1900</v>
      </c>
      <c r="F246" s="295"/>
    </row>
    <row r="247" spans="1:6">
      <c r="A247" s="19">
        <f t="shared" si="30"/>
        <v>1900</v>
      </c>
      <c r="F247" s="295"/>
    </row>
    <row r="248" spans="1:6">
      <c r="A248" s="19">
        <f t="shared" si="30"/>
        <v>1900</v>
      </c>
      <c r="F248" s="295"/>
    </row>
    <row r="249" spans="1:6">
      <c r="A249" s="19">
        <f t="shared" si="30"/>
        <v>1900</v>
      </c>
      <c r="F249" s="295"/>
    </row>
    <row r="250" spans="1:6">
      <c r="A250" s="19">
        <f t="shared" si="30"/>
        <v>1900</v>
      </c>
      <c r="F250" s="295"/>
    </row>
    <row r="251" spans="1:6">
      <c r="A251" s="19">
        <f t="shared" si="30"/>
        <v>1900</v>
      </c>
      <c r="F251" s="295"/>
    </row>
    <row r="252" spans="1:6">
      <c r="A252" s="19">
        <f t="shared" si="30"/>
        <v>1900</v>
      </c>
      <c r="F252" s="295"/>
    </row>
    <row r="253" spans="1:6">
      <c r="A253" s="19">
        <f t="shared" si="30"/>
        <v>1900</v>
      </c>
      <c r="F253" s="295"/>
    </row>
    <row r="254" spans="1:6">
      <c r="A254" s="19">
        <f t="shared" si="30"/>
        <v>1900</v>
      </c>
      <c r="F254" s="295"/>
    </row>
    <row r="255" spans="1:6">
      <c r="A255" s="19">
        <f t="shared" si="30"/>
        <v>1900</v>
      </c>
      <c r="F255" s="295"/>
    </row>
    <row r="256" spans="1:6">
      <c r="A256" s="19">
        <f t="shared" si="30"/>
        <v>1900</v>
      </c>
      <c r="F256" s="295"/>
    </row>
    <row r="257" spans="1:6">
      <c r="A257" s="19">
        <f t="shared" si="30"/>
        <v>1900</v>
      </c>
      <c r="F257" s="295"/>
    </row>
    <row r="258" spans="1:6">
      <c r="A258" s="19">
        <f t="shared" si="30"/>
        <v>1900</v>
      </c>
      <c r="F258" s="295"/>
    </row>
    <row r="259" spans="1:6">
      <c r="A259" s="19">
        <f t="shared" si="30"/>
        <v>1900</v>
      </c>
      <c r="F259" s="295"/>
    </row>
    <row r="260" spans="1:6">
      <c r="A260" s="19">
        <f t="shared" si="30"/>
        <v>1900</v>
      </c>
      <c r="F260" s="295"/>
    </row>
    <row r="261" spans="1:6">
      <c r="A261" s="19">
        <f t="shared" si="30"/>
        <v>1900</v>
      </c>
      <c r="F261" s="295"/>
    </row>
    <row r="262" spans="1:6">
      <c r="A262" s="19">
        <f t="shared" si="30"/>
        <v>1900</v>
      </c>
      <c r="F262" s="295"/>
    </row>
    <row r="263" spans="1:6">
      <c r="A263" s="19">
        <f t="shared" si="30"/>
        <v>1900</v>
      </c>
      <c r="F263" s="295"/>
    </row>
    <row r="264" spans="1:6">
      <c r="A264" s="19">
        <f t="shared" si="30"/>
        <v>1900</v>
      </c>
      <c r="F264" s="295"/>
    </row>
    <row r="265" spans="1:6">
      <c r="A265" s="19">
        <f t="shared" ref="A265:A328" si="31">YEAR(B267)</f>
        <v>1900</v>
      </c>
      <c r="F265" s="295"/>
    </row>
    <row r="266" spans="1:6">
      <c r="A266" s="19">
        <f t="shared" si="31"/>
        <v>1900</v>
      </c>
      <c r="F266" s="295"/>
    </row>
    <row r="267" spans="1:6">
      <c r="A267" s="19">
        <f t="shared" si="31"/>
        <v>1900</v>
      </c>
    </row>
    <row r="268" spans="1:6">
      <c r="A268" s="19">
        <f t="shared" si="31"/>
        <v>1900</v>
      </c>
    </row>
    <row r="269" spans="1:6">
      <c r="A269" s="19">
        <f t="shared" si="31"/>
        <v>1900</v>
      </c>
    </row>
    <row r="270" spans="1:6">
      <c r="A270" s="19">
        <f t="shared" si="31"/>
        <v>1900</v>
      </c>
    </row>
    <row r="271" spans="1:6">
      <c r="A271" s="19">
        <f t="shared" si="31"/>
        <v>1900</v>
      </c>
    </row>
    <row r="272" spans="1:6">
      <c r="A272" s="19">
        <f t="shared" si="31"/>
        <v>1900</v>
      </c>
    </row>
    <row r="273" spans="1:1">
      <c r="A273" s="19">
        <f t="shared" si="31"/>
        <v>1900</v>
      </c>
    </row>
    <row r="274" spans="1:1">
      <c r="A274" s="19">
        <f t="shared" si="31"/>
        <v>1900</v>
      </c>
    </row>
    <row r="275" spans="1:1">
      <c r="A275" s="19">
        <f t="shared" si="31"/>
        <v>1900</v>
      </c>
    </row>
    <row r="276" spans="1:1">
      <c r="A276" s="19">
        <f t="shared" si="31"/>
        <v>1900</v>
      </c>
    </row>
    <row r="277" spans="1:1">
      <c r="A277" s="19">
        <f t="shared" si="31"/>
        <v>1900</v>
      </c>
    </row>
    <row r="278" spans="1:1">
      <c r="A278" s="19">
        <f t="shared" si="31"/>
        <v>1900</v>
      </c>
    </row>
    <row r="279" spans="1:1">
      <c r="A279" s="19">
        <f t="shared" si="31"/>
        <v>1900</v>
      </c>
    </row>
    <row r="280" spans="1:1">
      <c r="A280" s="19">
        <f t="shared" si="31"/>
        <v>1900</v>
      </c>
    </row>
    <row r="281" spans="1:1">
      <c r="A281" s="19">
        <f t="shared" si="31"/>
        <v>1900</v>
      </c>
    </row>
    <row r="282" spans="1:1">
      <c r="A282" s="19">
        <f t="shared" si="31"/>
        <v>1900</v>
      </c>
    </row>
    <row r="283" spans="1:1">
      <c r="A283" s="19">
        <f t="shared" si="31"/>
        <v>1900</v>
      </c>
    </row>
    <row r="284" spans="1:1">
      <c r="A284" s="19">
        <f t="shared" si="31"/>
        <v>1900</v>
      </c>
    </row>
    <row r="285" spans="1:1">
      <c r="A285" s="19">
        <f t="shared" si="31"/>
        <v>1900</v>
      </c>
    </row>
    <row r="286" spans="1:1">
      <c r="A286" s="19">
        <f t="shared" si="31"/>
        <v>1900</v>
      </c>
    </row>
    <row r="287" spans="1:1">
      <c r="A287" s="19">
        <f t="shared" si="31"/>
        <v>1900</v>
      </c>
    </row>
    <row r="288" spans="1:1">
      <c r="A288" s="19">
        <f t="shared" si="31"/>
        <v>1900</v>
      </c>
    </row>
    <row r="289" spans="1:1">
      <c r="A289" s="19">
        <f t="shared" si="31"/>
        <v>1900</v>
      </c>
    </row>
    <row r="290" spans="1:1">
      <c r="A290" s="19">
        <f t="shared" si="31"/>
        <v>1900</v>
      </c>
    </row>
    <row r="291" spans="1:1">
      <c r="A291" s="19">
        <f t="shared" si="31"/>
        <v>1900</v>
      </c>
    </row>
    <row r="292" spans="1:1">
      <c r="A292" s="19">
        <f t="shared" si="31"/>
        <v>1900</v>
      </c>
    </row>
    <row r="293" spans="1:1">
      <c r="A293" s="19">
        <f t="shared" si="31"/>
        <v>1900</v>
      </c>
    </row>
    <row r="294" spans="1:1">
      <c r="A294" s="19">
        <f t="shared" si="31"/>
        <v>1900</v>
      </c>
    </row>
    <row r="295" spans="1:1">
      <c r="A295" s="19">
        <f t="shared" si="31"/>
        <v>1900</v>
      </c>
    </row>
    <row r="296" spans="1:1">
      <c r="A296" s="19">
        <f t="shared" si="31"/>
        <v>1900</v>
      </c>
    </row>
    <row r="297" spans="1:1">
      <c r="A297" s="19">
        <f t="shared" si="31"/>
        <v>1900</v>
      </c>
    </row>
    <row r="298" spans="1:1">
      <c r="A298" s="19">
        <f t="shared" si="31"/>
        <v>1900</v>
      </c>
    </row>
    <row r="299" spans="1:1">
      <c r="A299" s="19">
        <f t="shared" si="31"/>
        <v>1900</v>
      </c>
    </row>
    <row r="300" spans="1:1">
      <c r="A300" s="19">
        <f t="shared" si="31"/>
        <v>1900</v>
      </c>
    </row>
    <row r="301" spans="1:1">
      <c r="A301" s="19">
        <f t="shared" si="31"/>
        <v>1900</v>
      </c>
    </row>
    <row r="302" spans="1:1">
      <c r="A302" s="19">
        <f t="shared" si="31"/>
        <v>1900</v>
      </c>
    </row>
    <row r="303" spans="1:1">
      <c r="A303" s="19">
        <f t="shared" si="31"/>
        <v>1900</v>
      </c>
    </row>
    <row r="304" spans="1:1">
      <c r="A304" s="19">
        <f t="shared" si="31"/>
        <v>1900</v>
      </c>
    </row>
    <row r="305" spans="1:1">
      <c r="A305" s="19">
        <f t="shared" si="31"/>
        <v>1900</v>
      </c>
    </row>
    <row r="306" spans="1:1">
      <c r="A306" s="19">
        <f t="shared" si="31"/>
        <v>1900</v>
      </c>
    </row>
    <row r="307" spans="1:1">
      <c r="A307" s="19">
        <f t="shared" si="31"/>
        <v>1900</v>
      </c>
    </row>
    <row r="308" spans="1:1">
      <c r="A308" s="19">
        <f t="shared" si="31"/>
        <v>1900</v>
      </c>
    </row>
    <row r="309" spans="1:1">
      <c r="A309" s="19">
        <f t="shared" si="31"/>
        <v>1900</v>
      </c>
    </row>
    <row r="310" spans="1:1">
      <c r="A310" s="19">
        <f t="shared" si="31"/>
        <v>1900</v>
      </c>
    </row>
    <row r="311" spans="1:1">
      <c r="A311" s="19">
        <f t="shared" si="31"/>
        <v>1900</v>
      </c>
    </row>
    <row r="312" spans="1:1">
      <c r="A312" s="19">
        <f t="shared" si="31"/>
        <v>1900</v>
      </c>
    </row>
    <row r="313" spans="1:1">
      <c r="A313" s="19">
        <f t="shared" si="31"/>
        <v>1900</v>
      </c>
    </row>
    <row r="314" spans="1:1">
      <c r="A314" s="19">
        <f t="shared" si="31"/>
        <v>1900</v>
      </c>
    </row>
    <row r="315" spans="1:1">
      <c r="A315" s="19">
        <f t="shared" si="31"/>
        <v>1900</v>
      </c>
    </row>
    <row r="316" spans="1:1">
      <c r="A316" s="19">
        <f t="shared" si="31"/>
        <v>1900</v>
      </c>
    </row>
    <row r="317" spans="1:1">
      <c r="A317" s="19">
        <f t="shared" si="31"/>
        <v>1900</v>
      </c>
    </row>
    <row r="318" spans="1:1">
      <c r="A318" s="19">
        <f t="shared" si="31"/>
        <v>1900</v>
      </c>
    </row>
    <row r="319" spans="1:1">
      <c r="A319" s="19">
        <f t="shared" si="31"/>
        <v>1900</v>
      </c>
    </row>
    <row r="320" spans="1:1">
      <c r="A320" s="19">
        <f t="shared" si="31"/>
        <v>1900</v>
      </c>
    </row>
    <row r="321" spans="1:1">
      <c r="A321" s="19">
        <f t="shared" si="31"/>
        <v>1900</v>
      </c>
    </row>
    <row r="322" spans="1:1">
      <c r="A322" s="19">
        <f t="shared" si="31"/>
        <v>1900</v>
      </c>
    </row>
    <row r="323" spans="1:1">
      <c r="A323" s="19">
        <f t="shared" si="31"/>
        <v>1900</v>
      </c>
    </row>
    <row r="324" spans="1:1">
      <c r="A324" s="19">
        <f t="shared" si="31"/>
        <v>1900</v>
      </c>
    </row>
    <row r="325" spans="1:1">
      <c r="A325" s="19">
        <f t="shared" si="31"/>
        <v>1900</v>
      </c>
    </row>
    <row r="326" spans="1:1">
      <c r="A326" s="19">
        <f t="shared" si="31"/>
        <v>1900</v>
      </c>
    </row>
    <row r="327" spans="1:1">
      <c r="A327" s="19">
        <f t="shared" si="31"/>
        <v>1900</v>
      </c>
    </row>
    <row r="328" spans="1:1">
      <c r="A328" s="19">
        <f t="shared" si="31"/>
        <v>1900</v>
      </c>
    </row>
    <row r="329" spans="1:1">
      <c r="A329" s="19">
        <f t="shared" ref="A329:A392" si="32">YEAR(B331)</f>
        <v>1900</v>
      </c>
    </row>
    <row r="330" spans="1:1">
      <c r="A330" s="19">
        <f t="shared" si="32"/>
        <v>1900</v>
      </c>
    </row>
    <row r="331" spans="1:1">
      <c r="A331" s="19">
        <f t="shared" si="32"/>
        <v>1900</v>
      </c>
    </row>
    <row r="332" spans="1:1">
      <c r="A332" s="19">
        <f t="shared" si="32"/>
        <v>1900</v>
      </c>
    </row>
    <row r="333" spans="1:1">
      <c r="A333" s="19">
        <f t="shared" si="32"/>
        <v>1900</v>
      </c>
    </row>
    <row r="334" spans="1:1">
      <c r="A334" s="19">
        <f t="shared" si="32"/>
        <v>1900</v>
      </c>
    </row>
    <row r="335" spans="1:1">
      <c r="A335" s="19">
        <f t="shared" si="32"/>
        <v>1900</v>
      </c>
    </row>
    <row r="336" spans="1:1">
      <c r="A336" s="19">
        <f t="shared" si="32"/>
        <v>1900</v>
      </c>
    </row>
    <row r="337" spans="1:1">
      <c r="A337" s="19">
        <f t="shared" si="32"/>
        <v>1900</v>
      </c>
    </row>
    <row r="338" spans="1:1">
      <c r="A338" s="19">
        <f t="shared" si="32"/>
        <v>1900</v>
      </c>
    </row>
    <row r="339" spans="1:1">
      <c r="A339" s="19">
        <f t="shared" si="32"/>
        <v>1900</v>
      </c>
    </row>
    <row r="340" spans="1:1">
      <c r="A340" s="19">
        <f t="shared" si="32"/>
        <v>1900</v>
      </c>
    </row>
    <row r="341" spans="1:1">
      <c r="A341" s="19">
        <f t="shared" si="32"/>
        <v>1900</v>
      </c>
    </row>
    <row r="342" spans="1:1">
      <c r="A342" s="19">
        <f t="shared" si="32"/>
        <v>1900</v>
      </c>
    </row>
    <row r="343" spans="1:1">
      <c r="A343" s="19">
        <f t="shared" si="32"/>
        <v>1900</v>
      </c>
    </row>
    <row r="344" spans="1:1">
      <c r="A344" s="19">
        <f t="shared" si="32"/>
        <v>1900</v>
      </c>
    </row>
    <row r="345" spans="1:1">
      <c r="A345" s="19">
        <f t="shared" si="32"/>
        <v>1900</v>
      </c>
    </row>
    <row r="346" spans="1:1">
      <c r="A346" s="19">
        <f t="shared" si="32"/>
        <v>1900</v>
      </c>
    </row>
    <row r="347" spans="1:1">
      <c r="A347" s="19">
        <f t="shared" si="32"/>
        <v>1900</v>
      </c>
    </row>
    <row r="348" spans="1:1">
      <c r="A348" s="19">
        <f t="shared" si="32"/>
        <v>1900</v>
      </c>
    </row>
    <row r="349" spans="1:1">
      <c r="A349" s="19">
        <f t="shared" si="32"/>
        <v>1900</v>
      </c>
    </row>
    <row r="350" spans="1:1">
      <c r="A350" s="19">
        <f t="shared" si="32"/>
        <v>1900</v>
      </c>
    </row>
    <row r="351" spans="1:1">
      <c r="A351" s="19">
        <f t="shared" si="32"/>
        <v>1900</v>
      </c>
    </row>
    <row r="352" spans="1:1">
      <c r="A352" s="19">
        <f t="shared" si="32"/>
        <v>1900</v>
      </c>
    </row>
    <row r="353" spans="1:1">
      <c r="A353" s="19">
        <f t="shared" si="32"/>
        <v>1900</v>
      </c>
    </row>
    <row r="354" spans="1:1">
      <c r="A354" s="19">
        <f t="shared" si="32"/>
        <v>1900</v>
      </c>
    </row>
    <row r="355" spans="1:1">
      <c r="A355" s="19">
        <f t="shared" si="32"/>
        <v>1900</v>
      </c>
    </row>
    <row r="356" spans="1:1">
      <c r="A356" s="19">
        <f t="shared" si="32"/>
        <v>1900</v>
      </c>
    </row>
    <row r="357" spans="1:1">
      <c r="A357" s="19">
        <f t="shared" si="32"/>
        <v>1900</v>
      </c>
    </row>
    <row r="358" spans="1:1">
      <c r="A358" s="19">
        <f t="shared" si="32"/>
        <v>1900</v>
      </c>
    </row>
    <row r="359" spans="1:1">
      <c r="A359" s="19">
        <f t="shared" si="32"/>
        <v>1900</v>
      </c>
    </row>
    <row r="360" spans="1:1">
      <c r="A360" s="19">
        <f t="shared" si="32"/>
        <v>1900</v>
      </c>
    </row>
    <row r="361" spans="1:1">
      <c r="A361" s="19">
        <f t="shared" si="32"/>
        <v>1900</v>
      </c>
    </row>
    <row r="362" spans="1:1">
      <c r="A362" s="19">
        <f t="shared" si="32"/>
        <v>1900</v>
      </c>
    </row>
    <row r="363" spans="1:1">
      <c r="A363" s="19">
        <f t="shared" si="32"/>
        <v>1900</v>
      </c>
    </row>
    <row r="364" spans="1:1">
      <c r="A364" s="19">
        <f t="shared" si="32"/>
        <v>1900</v>
      </c>
    </row>
    <row r="365" spans="1:1">
      <c r="A365" s="19">
        <f t="shared" si="32"/>
        <v>1900</v>
      </c>
    </row>
    <row r="366" spans="1:1">
      <c r="A366" s="19">
        <f t="shared" si="32"/>
        <v>1900</v>
      </c>
    </row>
    <row r="367" spans="1:1">
      <c r="A367" s="19">
        <f t="shared" si="32"/>
        <v>1900</v>
      </c>
    </row>
    <row r="368" spans="1:1">
      <c r="A368" s="19">
        <f t="shared" si="32"/>
        <v>1900</v>
      </c>
    </row>
    <row r="369" spans="1:1">
      <c r="A369" s="19">
        <f t="shared" si="32"/>
        <v>1900</v>
      </c>
    </row>
    <row r="370" spans="1:1">
      <c r="A370" s="19">
        <f t="shared" si="32"/>
        <v>1900</v>
      </c>
    </row>
    <row r="371" spans="1:1">
      <c r="A371" s="19">
        <f t="shared" si="32"/>
        <v>1900</v>
      </c>
    </row>
    <row r="372" spans="1:1">
      <c r="A372" s="19">
        <f t="shared" si="32"/>
        <v>1900</v>
      </c>
    </row>
    <row r="373" spans="1:1">
      <c r="A373" s="19">
        <f t="shared" si="32"/>
        <v>1900</v>
      </c>
    </row>
    <row r="374" spans="1:1">
      <c r="A374" s="19">
        <f t="shared" si="32"/>
        <v>1900</v>
      </c>
    </row>
    <row r="375" spans="1:1">
      <c r="A375" s="19">
        <f t="shared" si="32"/>
        <v>1900</v>
      </c>
    </row>
    <row r="376" spans="1:1">
      <c r="A376" s="19">
        <f t="shared" si="32"/>
        <v>1900</v>
      </c>
    </row>
    <row r="377" spans="1:1">
      <c r="A377" s="19">
        <f t="shared" si="32"/>
        <v>1900</v>
      </c>
    </row>
    <row r="378" spans="1:1">
      <c r="A378" s="19">
        <f t="shared" si="32"/>
        <v>1900</v>
      </c>
    </row>
    <row r="379" spans="1:1">
      <c r="A379" s="19">
        <f t="shared" si="32"/>
        <v>1900</v>
      </c>
    </row>
    <row r="380" spans="1:1">
      <c r="A380" s="19">
        <f t="shared" si="32"/>
        <v>1900</v>
      </c>
    </row>
    <row r="381" spans="1:1">
      <c r="A381" s="19">
        <f t="shared" si="32"/>
        <v>1900</v>
      </c>
    </row>
    <row r="382" spans="1:1">
      <c r="A382" s="19">
        <f t="shared" si="32"/>
        <v>1900</v>
      </c>
    </row>
    <row r="383" spans="1:1">
      <c r="A383" s="19">
        <f t="shared" si="32"/>
        <v>1900</v>
      </c>
    </row>
    <row r="384" spans="1:1">
      <c r="A384" s="19">
        <f t="shared" si="32"/>
        <v>1900</v>
      </c>
    </row>
    <row r="385" spans="1:1">
      <c r="A385" s="19">
        <f t="shared" si="32"/>
        <v>1900</v>
      </c>
    </row>
    <row r="386" spans="1:1">
      <c r="A386" s="19">
        <f t="shared" si="32"/>
        <v>1900</v>
      </c>
    </row>
    <row r="387" spans="1:1">
      <c r="A387" s="19">
        <f t="shared" si="32"/>
        <v>1900</v>
      </c>
    </row>
    <row r="388" spans="1:1">
      <c r="A388" s="19">
        <f t="shared" si="32"/>
        <v>1900</v>
      </c>
    </row>
    <row r="389" spans="1:1">
      <c r="A389" s="19">
        <f t="shared" si="32"/>
        <v>1900</v>
      </c>
    </row>
    <row r="390" spans="1:1">
      <c r="A390" s="19">
        <f t="shared" si="32"/>
        <v>1900</v>
      </c>
    </row>
    <row r="391" spans="1:1">
      <c r="A391" s="19">
        <f t="shared" si="32"/>
        <v>1900</v>
      </c>
    </row>
    <row r="392" spans="1:1">
      <c r="A392" s="19">
        <f t="shared" si="32"/>
        <v>1900</v>
      </c>
    </row>
    <row r="393" spans="1:1">
      <c r="A393" s="19">
        <f t="shared" ref="A393:A456" si="33">YEAR(B395)</f>
        <v>1900</v>
      </c>
    </row>
    <row r="394" spans="1:1">
      <c r="A394" s="19">
        <f t="shared" si="33"/>
        <v>1900</v>
      </c>
    </row>
    <row r="395" spans="1:1">
      <c r="A395" s="19">
        <f t="shared" si="33"/>
        <v>1900</v>
      </c>
    </row>
    <row r="396" spans="1:1">
      <c r="A396" s="19">
        <f t="shared" si="33"/>
        <v>1900</v>
      </c>
    </row>
    <row r="397" spans="1:1">
      <c r="A397" s="19">
        <f t="shared" si="33"/>
        <v>1900</v>
      </c>
    </row>
    <row r="398" spans="1:1">
      <c r="A398" s="19">
        <f t="shared" si="33"/>
        <v>1900</v>
      </c>
    </row>
    <row r="399" spans="1:1">
      <c r="A399" s="19">
        <f t="shared" si="33"/>
        <v>1900</v>
      </c>
    </row>
    <row r="400" spans="1:1">
      <c r="A400" s="19">
        <f t="shared" si="33"/>
        <v>1900</v>
      </c>
    </row>
    <row r="401" spans="1:1">
      <c r="A401" s="19">
        <f t="shared" si="33"/>
        <v>1900</v>
      </c>
    </row>
    <row r="402" spans="1:1">
      <c r="A402" s="19">
        <f t="shared" si="33"/>
        <v>1900</v>
      </c>
    </row>
    <row r="403" spans="1:1">
      <c r="A403" s="19">
        <f t="shared" si="33"/>
        <v>1900</v>
      </c>
    </row>
    <row r="404" spans="1:1">
      <c r="A404" s="19">
        <f t="shared" si="33"/>
        <v>1900</v>
      </c>
    </row>
    <row r="405" spans="1:1">
      <c r="A405" s="19">
        <f t="shared" si="33"/>
        <v>1900</v>
      </c>
    </row>
    <row r="406" spans="1:1">
      <c r="A406" s="19">
        <f t="shared" si="33"/>
        <v>1900</v>
      </c>
    </row>
    <row r="407" spans="1:1">
      <c r="A407" s="19">
        <f t="shared" si="33"/>
        <v>1900</v>
      </c>
    </row>
    <row r="408" spans="1:1">
      <c r="A408" s="19">
        <f t="shared" si="33"/>
        <v>1900</v>
      </c>
    </row>
    <row r="409" spans="1:1">
      <c r="A409" s="19">
        <f t="shared" si="33"/>
        <v>1900</v>
      </c>
    </row>
    <row r="410" spans="1:1">
      <c r="A410" s="19">
        <f t="shared" si="33"/>
        <v>1900</v>
      </c>
    </row>
    <row r="411" spans="1:1">
      <c r="A411" s="19">
        <f t="shared" si="33"/>
        <v>1900</v>
      </c>
    </row>
    <row r="412" spans="1:1">
      <c r="A412" s="19">
        <f t="shared" si="33"/>
        <v>1900</v>
      </c>
    </row>
    <row r="413" spans="1:1">
      <c r="A413" s="19">
        <f t="shared" si="33"/>
        <v>1900</v>
      </c>
    </row>
    <row r="414" spans="1:1">
      <c r="A414" s="19">
        <f t="shared" si="33"/>
        <v>1900</v>
      </c>
    </row>
    <row r="415" spans="1:1">
      <c r="A415" s="19">
        <f t="shared" si="33"/>
        <v>1900</v>
      </c>
    </row>
    <row r="416" spans="1:1">
      <c r="A416" s="19">
        <f t="shared" si="33"/>
        <v>1900</v>
      </c>
    </row>
    <row r="417" spans="1:1">
      <c r="A417" s="19">
        <f t="shared" si="33"/>
        <v>1900</v>
      </c>
    </row>
    <row r="418" spans="1:1">
      <c r="A418" s="19">
        <f t="shared" si="33"/>
        <v>1900</v>
      </c>
    </row>
    <row r="419" spans="1:1">
      <c r="A419" s="19">
        <f t="shared" si="33"/>
        <v>1900</v>
      </c>
    </row>
    <row r="420" spans="1:1">
      <c r="A420" s="19">
        <f t="shared" si="33"/>
        <v>1900</v>
      </c>
    </row>
    <row r="421" spans="1:1">
      <c r="A421" s="19">
        <f t="shared" si="33"/>
        <v>1900</v>
      </c>
    </row>
    <row r="422" spans="1:1">
      <c r="A422" s="19">
        <f t="shared" si="33"/>
        <v>1900</v>
      </c>
    </row>
    <row r="423" spans="1:1">
      <c r="A423" s="19">
        <f t="shared" si="33"/>
        <v>1900</v>
      </c>
    </row>
    <row r="424" spans="1:1">
      <c r="A424" s="19">
        <f t="shared" si="33"/>
        <v>1900</v>
      </c>
    </row>
    <row r="425" spans="1:1">
      <c r="A425" s="19">
        <f t="shared" si="33"/>
        <v>1900</v>
      </c>
    </row>
    <row r="426" spans="1:1">
      <c r="A426" s="19">
        <f t="shared" si="33"/>
        <v>1900</v>
      </c>
    </row>
    <row r="427" spans="1:1">
      <c r="A427" s="19">
        <f t="shared" si="33"/>
        <v>1900</v>
      </c>
    </row>
    <row r="428" spans="1:1">
      <c r="A428" s="19">
        <f t="shared" si="33"/>
        <v>1900</v>
      </c>
    </row>
    <row r="429" spans="1:1">
      <c r="A429" s="19">
        <f t="shared" si="33"/>
        <v>1900</v>
      </c>
    </row>
    <row r="430" spans="1:1">
      <c r="A430" s="19">
        <f t="shared" si="33"/>
        <v>1900</v>
      </c>
    </row>
    <row r="431" spans="1:1">
      <c r="A431" s="19">
        <f t="shared" si="33"/>
        <v>1900</v>
      </c>
    </row>
    <row r="432" spans="1:1">
      <c r="A432" s="19">
        <f t="shared" si="33"/>
        <v>1900</v>
      </c>
    </row>
    <row r="433" spans="1:1">
      <c r="A433" s="19">
        <f t="shared" si="33"/>
        <v>1900</v>
      </c>
    </row>
    <row r="434" spans="1:1">
      <c r="A434" s="19">
        <f t="shared" si="33"/>
        <v>1900</v>
      </c>
    </row>
    <row r="435" spans="1:1">
      <c r="A435" s="19">
        <f t="shared" si="33"/>
        <v>1900</v>
      </c>
    </row>
    <row r="436" spans="1:1">
      <c r="A436" s="19">
        <f t="shared" si="33"/>
        <v>1900</v>
      </c>
    </row>
    <row r="437" spans="1:1">
      <c r="A437" s="19">
        <f t="shared" si="33"/>
        <v>1900</v>
      </c>
    </row>
    <row r="438" spans="1:1">
      <c r="A438" s="19">
        <f t="shared" si="33"/>
        <v>1900</v>
      </c>
    </row>
    <row r="439" spans="1:1">
      <c r="A439" s="19">
        <f t="shared" si="33"/>
        <v>1900</v>
      </c>
    </row>
    <row r="440" spans="1:1">
      <c r="A440" s="19">
        <f t="shared" si="33"/>
        <v>1900</v>
      </c>
    </row>
    <row r="441" spans="1:1">
      <c r="A441" s="19">
        <f t="shared" si="33"/>
        <v>1900</v>
      </c>
    </row>
    <row r="442" spans="1:1">
      <c r="A442" s="19">
        <f t="shared" si="33"/>
        <v>1900</v>
      </c>
    </row>
    <row r="443" spans="1:1">
      <c r="A443" s="19">
        <f t="shared" si="33"/>
        <v>1900</v>
      </c>
    </row>
    <row r="444" spans="1:1">
      <c r="A444" s="19">
        <f t="shared" si="33"/>
        <v>1900</v>
      </c>
    </row>
    <row r="445" spans="1:1">
      <c r="A445" s="19">
        <f t="shared" si="33"/>
        <v>1900</v>
      </c>
    </row>
    <row r="446" spans="1:1">
      <c r="A446" s="19">
        <f t="shared" si="33"/>
        <v>1900</v>
      </c>
    </row>
    <row r="447" spans="1:1">
      <c r="A447" s="19">
        <f t="shared" si="33"/>
        <v>1900</v>
      </c>
    </row>
    <row r="448" spans="1:1">
      <c r="A448" s="19">
        <f t="shared" si="33"/>
        <v>1900</v>
      </c>
    </row>
    <row r="449" spans="1:1">
      <c r="A449" s="19">
        <f t="shared" si="33"/>
        <v>1900</v>
      </c>
    </row>
    <row r="450" spans="1:1">
      <c r="A450" s="19">
        <f t="shared" si="33"/>
        <v>1900</v>
      </c>
    </row>
    <row r="451" spans="1:1">
      <c r="A451" s="19">
        <f t="shared" si="33"/>
        <v>1900</v>
      </c>
    </row>
    <row r="452" spans="1:1">
      <c r="A452" s="19">
        <f t="shared" si="33"/>
        <v>1900</v>
      </c>
    </row>
    <row r="453" spans="1:1">
      <c r="A453" s="19">
        <f t="shared" si="33"/>
        <v>1900</v>
      </c>
    </row>
    <row r="454" spans="1:1">
      <c r="A454" s="19">
        <f t="shared" si="33"/>
        <v>1900</v>
      </c>
    </row>
    <row r="455" spans="1:1">
      <c r="A455" s="19">
        <f t="shared" si="33"/>
        <v>1900</v>
      </c>
    </row>
    <row r="456" spans="1:1">
      <c r="A456" s="19">
        <f t="shared" si="33"/>
        <v>1900</v>
      </c>
    </row>
    <row r="457" spans="1:1">
      <c r="A457" s="19">
        <f t="shared" ref="A457:A508" si="34">YEAR(B459)</f>
        <v>1900</v>
      </c>
    </row>
    <row r="458" spans="1:1">
      <c r="A458" s="19">
        <f t="shared" si="34"/>
        <v>1900</v>
      </c>
    </row>
    <row r="459" spans="1:1">
      <c r="A459" s="19">
        <f t="shared" si="34"/>
        <v>1900</v>
      </c>
    </row>
    <row r="460" spans="1:1">
      <c r="A460" s="19">
        <f t="shared" si="34"/>
        <v>1900</v>
      </c>
    </row>
    <row r="461" spans="1:1">
      <c r="A461" s="19">
        <f t="shared" si="34"/>
        <v>1900</v>
      </c>
    </row>
    <row r="462" spans="1:1">
      <c r="A462" s="19">
        <f t="shared" si="34"/>
        <v>1900</v>
      </c>
    </row>
    <row r="463" spans="1:1">
      <c r="A463" s="19">
        <f t="shared" si="34"/>
        <v>1900</v>
      </c>
    </row>
    <row r="464" spans="1:1">
      <c r="A464" s="19">
        <f t="shared" si="34"/>
        <v>1900</v>
      </c>
    </row>
    <row r="465" spans="1:1">
      <c r="A465" s="19">
        <f t="shared" si="34"/>
        <v>1900</v>
      </c>
    </row>
    <row r="466" spans="1:1">
      <c r="A466" s="19">
        <f t="shared" si="34"/>
        <v>1900</v>
      </c>
    </row>
    <row r="467" spans="1:1">
      <c r="A467" s="19">
        <f t="shared" si="34"/>
        <v>1900</v>
      </c>
    </row>
    <row r="468" spans="1:1">
      <c r="A468" s="19">
        <f t="shared" si="34"/>
        <v>1900</v>
      </c>
    </row>
    <row r="469" spans="1:1">
      <c r="A469" s="19">
        <f t="shared" si="34"/>
        <v>1900</v>
      </c>
    </row>
    <row r="470" spans="1:1">
      <c r="A470" s="19">
        <f t="shared" si="34"/>
        <v>1900</v>
      </c>
    </row>
    <row r="471" spans="1:1">
      <c r="A471" s="19">
        <f t="shared" si="34"/>
        <v>1900</v>
      </c>
    </row>
    <row r="472" spans="1:1">
      <c r="A472" s="19">
        <f t="shared" si="34"/>
        <v>1900</v>
      </c>
    </row>
    <row r="473" spans="1:1">
      <c r="A473" s="19">
        <f t="shared" si="34"/>
        <v>1900</v>
      </c>
    </row>
    <row r="474" spans="1:1">
      <c r="A474" s="19">
        <f t="shared" si="34"/>
        <v>1900</v>
      </c>
    </row>
    <row r="475" spans="1:1">
      <c r="A475" s="19">
        <f t="shared" si="34"/>
        <v>1900</v>
      </c>
    </row>
    <row r="476" spans="1:1">
      <c r="A476" s="19">
        <f t="shared" si="34"/>
        <v>1900</v>
      </c>
    </row>
    <row r="477" spans="1:1">
      <c r="A477" s="19">
        <f t="shared" si="34"/>
        <v>1900</v>
      </c>
    </row>
    <row r="478" spans="1:1">
      <c r="A478" s="19">
        <f t="shared" si="34"/>
        <v>1900</v>
      </c>
    </row>
    <row r="479" spans="1:1">
      <c r="A479" s="19">
        <f t="shared" si="34"/>
        <v>1900</v>
      </c>
    </row>
    <row r="480" spans="1:1">
      <c r="A480" s="19">
        <f t="shared" si="34"/>
        <v>1900</v>
      </c>
    </row>
    <row r="481" spans="1:1">
      <c r="A481" s="19">
        <f t="shared" si="34"/>
        <v>1900</v>
      </c>
    </row>
    <row r="482" spans="1:1">
      <c r="A482" s="19">
        <f t="shared" si="34"/>
        <v>1900</v>
      </c>
    </row>
    <row r="483" spans="1:1">
      <c r="A483" s="19">
        <f t="shared" si="34"/>
        <v>1900</v>
      </c>
    </row>
    <row r="484" spans="1:1">
      <c r="A484" s="19">
        <f t="shared" si="34"/>
        <v>1900</v>
      </c>
    </row>
    <row r="485" spans="1:1">
      <c r="A485" s="19">
        <f t="shared" si="34"/>
        <v>1900</v>
      </c>
    </row>
    <row r="486" spans="1:1">
      <c r="A486" s="19">
        <f t="shared" si="34"/>
        <v>1900</v>
      </c>
    </row>
    <row r="487" spans="1:1">
      <c r="A487" s="19">
        <f t="shared" si="34"/>
        <v>1900</v>
      </c>
    </row>
    <row r="488" spans="1:1">
      <c r="A488" s="19">
        <f t="shared" si="34"/>
        <v>1900</v>
      </c>
    </row>
    <row r="489" spans="1:1">
      <c r="A489" s="19">
        <f t="shared" si="34"/>
        <v>1900</v>
      </c>
    </row>
    <row r="490" spans="1:1">
      <c r="A490" s="19">
        <f t="shared" si="34"/>
        <v>1900</v>
      </c>
    </row>
    <row r="491" spans="1:1">
      <c r="A491" s="19">
        <f t="shared" si="34"/>
        <v>1900</v>
      </c>
    </row>
    <row r="492" spans="1:1">
      <c r="A492" s="19">
        <f t="shared" si="34"/>
        <v>1900</v>
      </c>
    </row>
    <row r="493" spans="1:1">
      <c r="A493" s="19">
        <f t="shared" si="34"/>
        <v>1900</v>
      </c>
    </row>
    <row r="494" spans="1:1">
      <c r="A494" s="19">
        <f t="shared" si="34"/>
        <v>1900</v>
      </c>
    </row>
    <row r="495" spans="1:1">
      <c r="A495" s="19">
        <f t="shared" si="34"/>
        <v>1900</v>
      </c>
    </row>
    <row r="496" spans="1:1">
      <c r="A496" s="19">
        <f t="shared" si="34"/>
        <v>1900</v>
      </c>
    </row>
    <row r="497" spans="1:1">
      <c r="A497" s="19">
        <f t="shared" si="34"/>
        <v>1900</v>
      </c>
    </row>
    <row r="498" spans="1:1">
      <c r="A498" s="19">
        <f t="shared" si="34"/>
        <v>1900</v>
      </c>
    </row>
    <row r="499" spans="1:1">
      <c r="A499" s="19">
        <f t="shared" si="34"/>
        <v>1900</v>
      </c>
    </row>
    <row r="500" spans="1:1">
      <c r="A500" s="19">
        <f t="shared" si="34"/>
        <v>1900</v>
      </c>
    </row>
    <row r="501" spans="1:1">
      <c r="A501" s="19">
        <f t="shared" si="34"/>
        <v>1900</v>
      </c>
    </row>
    <row r="502" spans="1:1">
      <c r="A502" s="19">
        <f t="shared" si="34"/>
        <v>1900</v>
      </c>
    </row>
    <row r="503" spans="1:1">
      <c r="A503" s="19">
        <f t="shared" si="34"/>
        <v>1900</v>
      </c>
    </row>
    <row r="504" spans="1:1">
      <c r="A504" s="19">
        <f t="shared" si="34"/>
        <v>1900</v>
      </c>
    </row>
    <row r="505" spans="1:1">
      <c r="A505" s="19">
        <f t="shared" si="34"/>
        <v>1900</v>
      </c>
    </row>
    <row r="506" spans="1:1">
      <c r="A506" s="19">
        <f t="shared" si="34"/>
        <v>1900</v>
      </c>
    </row>
    <row r="507" spans="1:1">
      <c r="A507" s="19">
        <f t="shared" si="34"/>
        <v>1900</v>
      </c>
    </row>
    <row r="508" spans="1:1">
      <c r="A508" s="19">
        <f t="shared" si="34"/>
        <v>1900</v>
      </c>
    </row>
  </sheetData>
  <mergeCells count="3">
    <mergeCell ref="P6:U6"/>
    <mergeCell ref="I6:N6"/>
    <mergeCell ref="B6:G6"/>
  </mergeCells>
  <pageMargins left="0.7" right="0.7" top="0.75" bottom="0.75" header="0.3" footer="0.3"/>
  <pageSetup paperSize="9" orientation="portrait" r:id="rId1"/>
  <ignoredErrors>
    <ignoredError sqref="Q8:Q15 S8:S16 Q16 Q17 S17" formulaRange="1"/>
    <ignoredError sqref="R8:R16 K8:K17" formula="1"/>
    <ignoredError sqref="R17"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10"/>
  <sheetViews>
    <sheetView showGridLines="0" topLeftCell="B1" zoomScaleNormal="100" workbookViewId="0">
      <pane ySplit="7" topLeftCell="A8" activePane="bottomLeft" state="frozen"/>
      <selection activeCell="B1" sqref="B1"/>
      <selection pane="bottomLeft" activeCell="D277" sqref="D277"/>
    </sheetView>
  </sheetViews>
  <sheetFormatPr defaultColWidth="9.140625" defaultRowHeight="15"/>
  <cols>
    <col min="1" max="1" width="5" style="19" hidden="1" customWidth="1"/>
    <col min="2" max="2" width="11.28515625" style="298" customWidth="1"/>
    <col min="3" max="3" width="13.140625" style="206" customWidth="1"/>
    <col min="4" max="4" width="13.5703125" style="206" customWidth="1"/>
    <col min="5" max="5" width="12.42578125" style="206" customWidth="1"/>
    <col min="6" max="6" width="14.28515625" style="298" customWidth="1"/>
    <col min="7" max="7" width="8.85546875" style="165" customWidth="1"/>
    <col min="8" max="8" width="9.140625" style="165"/>
    <col min="9" max="9" width="17.28515625" style="165" bestFit="1" customWidth="1"/>
    <col min="10" max="10" width="15.42578125" style="165" bestFit="1" customWidth="1"/>
    <col min="11" max="11" width="17.85546875" style="165" bestFit="1" customWidth="1"/>
    <col min="12" max="12" width="16.7109375" style="165" customWidth="1"/>
    <col min="13" max="13" width="2.7109375" style="165" customWidth="1"/>
    <col min="14" max="14" width="12.7109375" style="165" customWidth="1"/>
    <col min="15" max="15" width="17.28515625" style="165" bestFit="1" customWidth="1"/>
    <col min="16" max="16" width="15.42578125" style="165" bestFit="1" customWidth="1"/>
    <col min="17" max="17" width="17.85546875" style="165" bestFit="1" customWidth="1"/>
    <col min="18" max="18" width="16.7109375" style="165" customWidth="1"/>
    <col min="19" max="16384" width="9.140625" style="165"/>
  </cols>
  <sheetData>
    <row r="1" spans="1:106">
      <c r="H1" s="168">
        <f>(LARGE(B8:B513,1))</f>
        <v>44348</v>
      </c>
      <c r="M1" s="116"/>
    </row>
    <row r="2" spans="1:106">
      <c r="H2" s="168">
        <f>MATCH(H1,B8:B513,0)+8</f>
        <v>140</v>
      </c>
    </row>
    <row r="3" spans="1:106">
      <c r="H3" s="168" t="str">
        <f ca="1">IF(MONTH(INDIRECT(CONCATENATE("B",H2)))=12, "Calendar Year", "Financial year")</f>
        <v>Financial year</v>
      </c>
    </row>
    <row r="4" spans="1:106">
      <c r="H4" s="33"/>
    </row>
    <row r="5" spans="1:106">
      <c r="A5" s="30"/>
      <c r="B5" s="30"/>
      <c r="C5" s="29"/>
      <c r="D5" s="29"/>
      <c r="E5" s="29"/>
      <c r="F5" s="30"/>
      <c r="G5" s="30"/>
      <c r="H5" s="793"/>
      <c r="I5" s="30"/>
      <c r="J5" s="30"/>
      <c r="K5" s="30"/>
      <c r="L5" s="30"/>
      <c r="M5" s="30"/>
      <c r="N5" s="30"/>
      <c r="O5" s="30"/>
      <c r="P5" s="30"/>
      <c r="Q5" s="30"/>
      <c r="R5" s="30"/>
      <c r="S5" s="30"/>
      <c r="T5" s="30"/>
      <c r="U5" s="30"/>
      <c r="V5" s="30"/>
      <c r="W5" s="30"/>
      <c r="X5" s="30"/>
      <c r="Y5" s="30"/>
      <c r="Z5" s="30"/>
      <c r="AA5" s="30"/>
      <c r="AB5" s="30"/>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40"/>
      <c r="CD5" s="31"/>
      <c r="CE5" s="31"/>
      <c r="CF5" s="31"/>
      <c r="CG5" s="31"/>
      <c r="CH5" s="31"/>
      <c r="CI5" s="31"/>
      <c r="CJ5" s="31"/>
      <c r="CK5" s="31"/>
      <c r="CL5" s="31"/>
      <c r="CM5" s="31"/>
      <c r="CN5" s="31"/>
      <c r="CO5" s="31"/>
      <c r="CP5" s="31"/>
      <c r="CQ5" s="31"/>
      <c r="CR5" s="31"/>
      <c r="CS5" s="31"/>
      <c r="CT5" s="31"/>
      <c r="CU5" s="31"/>
      <c r="CV5" s="31"/>
      <c r="CW5" s="31"/>
      <c r="CX5" s="31"/>
      <c r="CY5" s="31"/>
      <c r="CZ5" s="31"/>
      <c r="DA5" s="31"/>
      <c r="DB5" s="31"/>
    </row>
    <row r="6" spans="1:106" ht="15.75" thickBot="1">
      <c r="B6" s="1019" t="s">
        <v>1042</v>
      </c>
      <c r="C6" s="1019"/>
      <c r="D6" s="1019"/>
      <c r="E6" s="1019"/>
      <c r="F6" s="1019"/>
      <c r="H6" s="1019" t="s">
        <v>1118</v>
      </c>
      <c r="I6" s="1019"/>
      <c r="J6" s="1019"/>
      <c r="K6" s="1019"/>
      <c r="L6" s="1019"/>
      <c r="M6" s="26"/>
      <c r="N6" s="1019" t="s">
        <v>1117</v>
      </c>
      <c r="O6" s="1019"/>
      <c r="P6" s="1019"/>
      <c r="Q6" s="1019"/>
      <c r="R6" s="1019"/>
    </row>
    <row r="7" spans="1:106" ht="59.25" customHeight="1">
      <c r="B7" s="355" t="s">
        <v>24</v>
      </c>
      <c r="C7" s="345" t="s">
        <v>36</v>
      </c>
      <c r="D7" s="325" t="s">
        <v>1131</v>
      </c>
      <c r="E7" s="345" t="s">
        <v>1039</v>
      </c>
      <c r="F7" s="326" t="s">
        <v>1128</v>
      </c>
      <c r="G7" s="167"/>
      <c r="H7" s="359" t="s">
        <v>1063</v>
      </c>
      <c r="I7" s="345" t="s">
        <v>36</v>
      </c>
      <c r="J7" s="325" t="s">
        <v>1131</v>
      </c>
      <c r="K7" s="345" t="s">
        <v>1039</v>
      </c>
      <c r="L7" s="326" t="s">
        <v>1128</v>
      </c>
      <c r="M7" s="28"/>
      <c r="N7" s="359" t="s">
        <v>1063</v>
      </c>
      <c r="O7" s="345" t="s">
        <v>36</v>
      </c>
      <c r="P7" s="325" t="s">
        <v>1131</v>
      </c>
      <c r="Q7" s="345" t="s">
        <v>1039</v>
      </c>
      <c r="R7" s="326" t="s">
        <v>1128</v>
      </c>
      <c r="S7" s="167"/>
      <c r="T7" s="167"/>
      <c r="U7" s="167"/>
      <c r="V7" s="167"/>
      <c r="W7" s="167"/>
      <c r="X7" s="167"/>
      <c r="Y7" s="167"/>
      <c r="Z7" s="167"/>
      <c r="AA7" s="167"/>
      <c r="AB7" s="167"/>
      <c r="AC7" s="167"/>
      <c r="AD7" s="167"/>
      <c r="AE7" s="167"/>
      <c r="AF7" s="167"/>
    </row>
    <row r="8" spans="1:106">
      <c r="A8" s="19">
        <f>YEAR(B8)</f>
        <v>1989</v>
      </c>
      <c r="B8" s="16">
        <v>32752</v>
      </c>
      <c r="C8" s="529">
        <v>104.7</v>
      </c>
      <c r="D8" s="528">
        <f t="shared" ref="D8:D39" si="0">E8-C8</f>
        <v>77.2</v>
      </c>
      <c r="E8" s="529">
        <v>181.9</v>
      </c>
      <c r="F8" s="356">
        <f t="shared" ref="F8:F39" si="1">C8/E8</f>
        <v>0.57559098405717424</v>
      </c>
      <c r="H8" s="316">
        <v>2011</v>
      </c>
      <c r="I8" s="360">
        <f t="shared" ref="I8:I17" si="2">SUMIF($A$8:$A$508,$H8,C$8:C$510)</f>
        <v>1825.3000000000002</v>
      </c>
      <c r="J8" s="361">
        <f t="shared" ref="J8:J17" si="3">K8-I8</f>
        <v>1748</v>
      </c>
      <c r="K8" s="360">
        <f t="shared" ref="K8:K17" si="4">SUMIF($A$8:$A$508,$H8,E$8:E$510)</f>
        <v>3573.3</v>
      </c>
      <c r="L8" s="362">
        <f t="shared" ref="L8:L17" si="5">I8/K8</f>
        <v>0.51081633224190526</v>
      </c>
      <c r="M8" s="27"/>
      <c r="N8" s="711" t="str">
        <f ca="1">IF($H$3="Calendar Year",CONCATENATE(H9-1,"-",H8),CONCATENATE(H8,"-",H8+1))</f>
        <v>2011-2012</v>
      </c>
      <c r="O8" s="712">
        <f ca="1">IF($H$3="Calendar Year",SUMIF($B$8:$B$508,LARGE($B$8:$B$508,39),C$8:C$508)+SUMIF($B$8:$B$508,LARGE($B$8:$B$508,40),C$8:C$508)+SUMIF($B$8:$B$508,LARGE($B$8:$B$508,41),C$8:C$508)+SUMIF($B$8:$B$508,LARGE($B$8:$B$508,42),C$8:C$508),SUMIF($B$8:$B$508,LARGE($B$8:$B$508,37),C$8:C$508)+SUMIF($B$8:$B$508,LARGE($B$8:$B$508,38),C$8:C$508)+SUMIF($B$8:$B$508,LARGE($B$8:$B$508,39),C$8:C$508)+SUMIF($B$8:$B$508,LARGE($B$8:$B$508,40),C$8:C$508))</f>
        <v>2106.8000000000002</v>
      </c>
      <c r="P8" s="713">
        <f t="shared" ref="P8:P17" ca="1" si="6">Q8-O8</f>
        <v>1846.1999999999998</v>
      </c>
      <c r="Q8" s="712">
        <f ca="1">IF($H$3="Calendar Year",SUMIF($B$8:$B$508,LARGE($B$8:$B$508,39),E$8:E$508)+SUMIF($B$8:$B$508,LARGE($B$8:$B$508,40),E$8:E$508)+SUMIF($B$8:$B$508,LARGE($B$8:$B$508,41),E$8:E$508)+SUMIF($B$8:$B$508,LARGE($B$8:$B$508,42),E$8:E$508),SUMIF($B$8:$B$508,LARGE($B$8:$B$508,37),E$8:E$508)+SUMIF($B$8:$B$508,LARGE($B$8:$B$508,38),E$8:E$508)+SUMIF($B$8:$B$508,LARGE($B$8:$B$508,39),E$8:E$508)+SUMIF($B$8:$B$508,LARGE($B$8:$B$508,40),E$8:E$508))</f>
        <v>3953</v>
      </c>
      <c r="R8" s="714">
        <f t="shared" ref="R8:R17" ca="1" si="7">O8/Q8</f>
        <v>0.53296230710852521</v>
      </c>
    </row>
    <row r="9" spans="1:106">
      <c r="A9" s="19">
        <f t="shared" ref="A9:A72" si="8">YEAR(B9)</f>
        <v>1988</v>
      </c>
      <c r="B9" s="16">
        <v>32478</v>
      </c>
      <c r="C9" s="527">
        <v>106.3</v>
      </c>
      <c r="D9" s="526">
        <f t="shared" si="0"/>
        <v>88.8</v>
      </c>
      <c r="E9" s="527">
        <v>195.1</v>
      </c>
      <c r="F9" s="357">
        <f t="shared" si="1"/>
        <v>0.54484879548949261</v>
      </c>
      <c r="H9" s="317">
        <v>2012</v>
      </c>
      <c r="I9" s="363">
        <f t="shared" si="2"/>
        <v>2052.6</v>
      </c>
      <c r="J9" s="364">
        <f t="shared" si="3"/>
        <v>1603.1999999999998</v>
      </c>
      <c r="K9" s="363">
        <f t="shared" si="4"/>
        <v>3655.7999999999997</v>
      </c>
      <c r="L9" s="365">
        <f t="shared" si="5"/>
        <v>0.56146397505333989</v>
      </c>
      <c r="M9" s="27"/>
      <c r="N9" s="715" t="str">
        <f t="shared" ref="N9:N17" ca="1" si="9">IF($H$3="Calendar Year",CONCATENATE(H10-1,"-",H9),CONCATENATE(H9,"-",H9+1))</f>
        <v>2012-2013</v>
      </c>
      <c r="O9" s="718">
        <f ca="1">IF($H$3="Calendar Year",SUMIF($B$8:$B$508,LARGE($B$8:$B$508,35),C$8:C$508)+SUMIF($B$8:$B$508,LARGE($B$8:$B$508,36),C$8:C$508)+SUMIF($B$8:$B$508,LARGE($B$8:$B$508,37),C$8:C$508)+SUMIF($B$8:$B$508,LARGE($B$8:$B$508,38),C$8:C$508),SUMIF($B$8:$B$508,LARGE($B$8:$B$508,33),C$8:C$508)+SUMIF($B$8:$B$508,LARGE($B$8:$B$508,34),C$8:C$508)+SUMIF($B$8:$B$508,LARGE($B$8:$B$508,35),C$8:C$508)+SUMIF($B$8:$B$508,LARGE($B$8:$B$508,36),C$8:C$508))</f>
        <v>1763.4</v>
      </c>
      <c r="P9" s="716">
        <f ca="1">Q9-O9</f>
        <v>1292.0000000000005</v>
      </c>
      <c r="Q9" s="718">
        <f ca="1">IF($H$3="Calendar Year",SUMIF($B$8:$B$508,LARGE($B$8:$B$508,35),E$8:E$508)+SUMIF($B$8:$B$508,LARGE($B$8:$B$508,36),E$8:E$508)+SUMIF($B$8:$B$508,LARGE($B$8:$B$508,37),E$8:E$508)+SUMIF($B$8:$B$508,LARGE($B$8:$B$508,38),E$8:E$508),SUMIF($B$8:$B$508,LARGE($B$8:$B$508,33),E$8:E$508)+SUMIF($B$8:$B$508,LARGE($B$8:$B$508,34),E$8:E$508)+SUMIF($B$8:$B$508,LARGE($B$8:$B$508,35),E$8:E$508)+SUMIF($B$8:$B$508,LARGE($B$8:$B$508,36),E$8:E$508))</f>
        <v>3055.4000000000005</v>
      </c>
      <c r="R9" s="717">
        <f ca="1">O9/Q9</f>
        <v>0.57714210905282448</v>
      </c>
    </row>
    <row r="10" spans="1:106">
      <c r="A10" s="19">
        <f t="shared" si="8"/>
        <v>1989</v>
      </c>
      <c r="B10" s="16">
        <v>32568</v>
      </c>
      <c r="C10" s="529">
        <v>84.2</v>
      </c>
      <c r="D10" s="528">
        <f t="shared" si="0"/>
        <v>66.2</v>
      </c>
      <c r="E10" s="529">
        <v>150.4</v>
      </c>
      <c r="F10" s="356">
        <f t="shared" si="1"/>
        <v>0.55984042553191493</v>
      </c>
      <c r="H10" s="316">
        <v>2013</v>
      </c>
      <c r="I10" s="360">
        <f t="shared" si="2"/>
        <v>1508.2</v>
      </c>
      <c r="J10" s="361">
        <f t="shared" si="3"/>
        <v>1014.4000000000003</v>
      </c>
      <c r="K10" s="360">
        <f t="shared" si="4"/>
        <v>2522.6000000000004</v>
      </c>
      <c r="L10" s="362">
        <f t="shared" si="5"/>
        <v>0.59787520811860773</v>
      </c>
      <c r="M10" s="27"/>
      <c r="N10" s="711" t="str">
        <f t="shared" ca="1" si="9"/>
        <v>2013-2014</v>
      </c>
      <c r="O10" s="712">
        <f ca="1">IF($H$3="Calendar Year",SUMIF($B$8:$B$508,LARGE($B$8:$B$508,31),C$8:C$508)+SUMIF($B$8:$B$508,LARGE($B$8:$B$508,32),C$8:C$508)+SUMIF($B$8:$B$508,LARGE($B$8:$B$508,33),C$8:C$508)+SUMIF($B$8:$B$508,LARGE($B$8:$B$508,34),C$8:C$508),SUMIF($B$8:$B$508,LARGE($B$8:$B$508,29),C$8:C$508)+SUMIF($B$8:$B$508,LARGE($B$8:$B$508,30),C$8:C$508)+SUMIF($B$8:$B$508,LARGE($B$8:$B$508,31),C$8:C$508)+SUMIF($B$8:$B$508,LARGE($B$8:$B$508,32),C$8:C$508))</f>
        <v>1220</v>
      </c>
      <c r="P10" s="713">
        <f t="shared" ca="1" si="6"/>
        <v>888.80000000000018</v>
      </c>
      <c r="Q10" s="712">
        <f ca="1">IF($H$3="Calendar Year",SUMIF($B$8:$B$508,LARGE($B$8:$B$508,31),E$8:E$508)+SUMIF($B$8:$B$508,LARGE($B$8:$B$508,32),E$8:E$508)+SUMIF($B$8:$B$508,LARGE($B$8:$B$508,33),E$8:E$508)+SUMIF($B$8:$B$508,LARGE($B$8:$B$508,34),E$8:E$508),SUMIF($B$8:$B$508,LARGE($B$8:$B$508,29),E$8:E$508)+SUMIF($B$8:$B$508,LARGE($B$8:$B$508,30),E$8:E$508)+SUMIF($B$8:$B$508,LARGE($B$8:$B$508,31),E$8:E$508)+SUMIF($B$8:$B$508,LARGE($B$8:$B$508,32),E$8:E$508))</f>
        <v>2108.8000000000002</v>
      </c>
      <c r="R10" s="714">
        <f t="shared" ca="1" si="7"/>
        <v>0.57852807283763275</v>
      </c>
    </row>
    <row r="11" spans="1:106">
      <c r="A11" s="19">
        <f t="shared" si="8"/>
        <v>1989</v>
      </c>
      <c r="B11" s="16">
        <v>32660</v>
      </c>
      <c r="C11" s="527">
        <v>92</v>
      </c>
      <c r="D11" s="526">
        <f t="shared" si="0"/>
        <v>78.199999999999989</v>
      </c>
      <c r="E11" s="527">
        <v>170.2</v>
      </c>
      <c r="F11" s="357">
        <f t="shared" si="1"/>
        <v>0.54054054054054057</v>
      </c>
      <c r="H11" s="317">
        <v>2014</v>
      </c>
      <c r="I11" s="363">
        <f t="shared" si="2"/>
        <v>1045.3</v>
      </c>
      <c r="J11" s="364">
        <f t="shared" si="3"/>
        <v>794.60000000000014</v>
      </c>
      <c r="K11" s="363">
        <f t="shared" si="4"/>
        <v>1839.9</v>
      </c>
      <c r="L11" s="365">
        <f t="shared" si="5"/>
        <v>0.56812870264688298</v>
      </c>
      <c r="M11" s="27"/>
      <c r="N11" s="715" t="str">
        <f t="shared" ca="1" si="9"/>
        <v>2014-2015</v>
      </c>
      <c r="O11" s="718">
        <f ca="1">IF($H$3="Calendar Year",SUMIF($B$8:$B$508,LARGE($B$8:$B$508,27),C$8:C$508)+SUMIF($B$8:$B$508,LARGE($B$8:$B$508,28),C$8:C$508)+SUMIF($B$8:$B$508,LARGE($B$8:$B$508,29),C$8:C$508)+SUMIF($B$8:$B$508,LARGE($B$8:$B$508,30),C$8:C$508),SUMIF($B$8:$B$508,LARGE($B$8:$B$508,25),C$8:C$508)+SUMIF($B$8:$B$508,LARGE($B$8:$B$508,26),C$8:C$508)+SUMIF($B$8:$B$508,LARGE($B$8:$B$508,27),C$8:C$508)+SUMIF($B$8:$B$508,LARGE($B$8:$B$508,28),C$8:C$508))</f>
        <v>917.4</v>
      </c>
      <c r="P11" s="716">
        <f t="shared" ca="1" si="6"/>
        <v>661.30000000000007</v>
      </c>
      <c r="Q11" s="718">
        <f ca="1">IF($H$3="Calendar Year",SUMIF($B$8:$B$508,LARGE($B$8:$B$508,27),E$8:E$508)+SUMIF($B$8:$B$508,LARGE($B$8:$B$508,28),E$8:E$508)+SUMIF($B$8:$B$508,LARGE($B$8:$B$508,29),E$8:E$508)+SUMIF($B$8:$B$508,LARGE($B$8:$B$508,30),E$8:E$508),SUMIF($B$8:$B$508,LARGE($B$8:$B$508,25),E$8:E$508)+SUMIF($B$8:$B$508,LARGE($B$8:$B$508,26),E$8:E$508)+SUMIF($B$8:$B$508,LARGE($B$8:$B$508,27),E$8:E$508)+SUMIF($B$8:$B$508,LARGE($B$8:$B$508,28),E$8:E$508))</f>
        <v>1578.7</v>
      </c>
      <c r="R11" s="717">
        <f t="shared" ca="1" si="7"/>
        <v>0.58111104072971431</v>
      </c>
    </row>
    <row r="12" spans="1:106">
      <c r="A12" s="19">
        <f t="shared" si="8"/>
        <v>1989</v>
      </c>
      <c r="B12" s="16">
        <v>32752</v>
      </c>
      <c r="C12" s="529">
        <v>78.900000000000006</v>
      </c>
      <c r="D12" s="528">
        <f t="shared" si="0"/>
        <v>71.900000000000006</v>
      </c>
      <c r="E12" s="529">
        <v>150.80000000000001</v>
      </c>
      <c r="F12" s="356">
        <f t="shared" si="1"/>
        <v>0.52320954907161799</v>
      </c>
      <c r="H12" s="316">
        <v>2015</v>
      </c>
      <c r="I12" s="360">
        <f t="shared" si="2"/>
        <v>843.7</v>
      </c>
      <c r="J12" s="361">
        <f t="shared" si="3"/>
        <v>594.89999999999986</v>
      </c>
      <c r="K12" s="360">
        <f t="shared" si="4"/>
        <v>1438.6</v>
      </c>
      <c r="L12" s="362">
        <f t="shared" si="5"/>
        <v>0.58647295982204928</v>
      </c>
      <c r="M12" s="27"/>
      <c r="N12" s="711" t="str">
        <f t="shared" ca="1" si="9"/>
        <v>2015-2016</v>
      </c>
      <c r="O12" s="712">
        <f ca="1">IF($H$3="Calendar Year",SUMIF($B$8:$B$508,LARGE($B$8:$B$508,23),C$8:C$508)+SUMIF($B$8:$B$508,LARGE($B$8:$B$508,24),C$8:C$508)+SUMIF($B$8:$B$508,LARGE($B$8:$B$508,25),C$8:C$508)+SUMIF($B$8:$B$508,LARGE($B$8:$B$508,26),C$8:C$508),SUMIF($B$8:$B$508,LARGE($B$8:$B$508,21),C$8:C$508)+SUMIF($B$8:$B$508,LARGE($B$8:$B$508,22),C$8:C$508)+SUMIF($B$8:$B$508,LARGE($B$8:$B$508,23),C$8:C$508)+SUMIF($B$8:$B$508,LARGE($B$8:$B$508,24),C$8:C$508))</f>
        <v>871</v>
      </c>
      <c r="P12" s="713">
        <f t="shared" ca="1" si="6"/>
        <v>550.09999999999991</v>
      </c>
      <c r="Q12" s="712">
        <f ca="1">IF($H$3="Calendar Year",SUMIF($B$8:$B$508,LARGE($B$8:$B$508,23),E$8:E$508)+SUMIF($B$8:$B$508,LARGE($B$8:$B$508,24),E$8:E$508)+SUMIF($B$8:$B$508,LARGE($B$8:$B$508,25),E$8:E$508)+SUMIF($B$8:$B$508,LARGE($B$8:$B$508,26),E$8:E$508),SUMIF($B$8:$B$508,LARGE($B$8:$B$508,21),E$8:E$508)+SUMIF($B$8:$B$508,LARGE($B$8:$B$508,22),E$8:E$508)+SUMIF($B$8:$B$508,LARGE($B$8:$B$508,23),E$8:E$508)+SUMIF($B$8:$B$508,LARGE($B$8:$B$508,24),E$8:E$508))</f>
        <v>1421.1</v>
      </c>
      <c r="R12" s="714">
        <f t="shared" ca="1" si="7"/>
        <v>0.61290549574273456</v>
      </c>
    </row>
    <row r="13" spans="1:106">
      <c r="A13" s="19">
        <f t="shared" si="8"/>
        <v>1989</v>
      </c>
      <c r="B13" s="16">
        <v>32843</v>
      </c>
      <c r="C13" s="527">
        <v>80.900000000000006</v>
      </c>
      <c r="D13" s="526">
        <f t="shared" si="0"/>
        <v>84.199999999999989</v>
      </c>
      <c r="E13" s="527">
        <v>165.1</v>
      </c>
      <c r="F13" s="357">
        <f t="shared" si="1"/>
        <v>0.49000605693519084</v>
      </c>
      <c r="H13" s="317">
        <v>2016</v>
      </c>
      <c r="I13" s="363">
        <f t="shared" si="2"/>
        <v>927.59999999999991</v>
      </c>
      <c r="J13" s="364">
        <f t="shared" si="3"/>
        <v>499.30000000000018</v>
      </c>
      <c r="K13" s="363">
        <f t="shared" si="4"/>
        <v>1426.9</v>
      </c>
      <c r="L13" s="365">
        <f t="shared" si="5"/>
        <v>0.65008059429532539</v>
      </c>
      <c r="M13" s="27"/>
      <c r="N13" s="715" t="str">
        <f t="shared" ca="1" si="9"/>
        <v>2016-2017</v>
      </c>
      <c r="O13" s="718">
        <f ca="1">IF($H$3="Calendar Year",SUMIF($B$8:$B$508,LARGE($B$8:$B$508,19),C$8:C$508)+SUMIF($B$8:$B$508,LARGE($B$8:$B$508,20),C$8:C$508)+SUMIF($B$8:$B$508,LARGE($B$8:$B$508,21),C$8:C$508)+SUMIF($B$8:$B$508,LARGE($B$8:$B$508,22),C$8:C$508),SUMIF($B$8:$B$508,LARGE($B$8:$B$508,17),C$8:C$508)+SUMIF($B$8:$B$508,LARGE($B$8:$B$508,18),C$8:C$508)+SUMIF($B$8:$B$508,LARGE($B$8:$B$508,19),C$8:C$508)+SUMIF($B$8:$B$508,LARGE($B$8:$B$508,20),C$8:C$508))</f>
        <v>1028.3</v>
      </c>
      <c r="P13" s="716">
        <f t="shared" ca="1" si="6"/>
        <v>536.79999999999995</v>
      </c>
      <c r="Q13" s="718">
        <f ca="1">IF($H$3="Calendar Year",SUMIF($B$8:$B$508,LARGE($B$8:$B$508,19),E$8:E$508)+SUMIF($B$8:$B$508,LARGE($B$8:$B$508,20),E$8:E$508)+SUMIF($B$8:$B$508,LARGE($B$8:$B$508,21),E$8:E$508)+SUMIF($B$8:$B$508,LARGE($B$8:$B$508,22),E$8:E$508),SUMIF($B$8:$B$508,LARGE($B$8:$B$508,17),E$8:E$508)+SUMIF($B$8:$B$508,LARGE($B$8:$B$508,18),E$8:E$508)+SUMIF($B$8:$B$508,LARGE($B$8:$B$508,19),E$8:E$508)+SUMIF($B$8:$B$508,LARGE($B$8:$B$508,20),E$8:E$508))</f>
        <v>1565.1</v>
      </c>
      <c r="R13" s="717">
        <f t="shared" ca="1" si="7"/>
        <v>0.6570187208485081</v>
      </c>
    </row>
    <row r="14" spans="1:106">
      <c r="A14" s="19">
        <f t="shared" si="8"/>
        <v>1990</v>
      </c>
      <c r="B14" s="16">
        <v>32933</v>
      </c>
      <c r="C14" s="529">
        <v>67.3</v>
      </c>
      <c r="D14" s="528">
        <f t="shared" si="0"/>
        <v>62.2</v>
      </c>
      <c r="E14" s="529">
        <v>129.5</v>
      </c>
      <c r="F14" s="356">
        <f t="shared" si="1"/>
        <v>0.5196911196911197</v>
      </c>
      <c r="H14" s="316">
        <v>2017</v>
      </c>
      <c r="I14" s="360">
        <f t="shared" si="2"/>
        <v>1108.7</v>
      </c>
      <c r="J14" s="361">
        <f t="shared" si="3"/>
        <v>645.10000000000014</v>
      </c>
      <c r="K14" s="360">
        <f t="shared" si="4"/>
        <v>1753.8000000000002</v>
      </c>
      <c r="L14" s="362">
        <f t="shared" si="5"/>
        <v>0.63217014482837264</v>
      </c>
      <c r="M14" s="27"/>
      <c r="N14" s="711" t="str">
        <f t="shared" ca="1" si="9"/>
        <v>2017-2018</v>
      </c>
      <c r="O14" s="712">
        <f ca="1">IF($H$3="Calendar Year",SUMIF($B$8:$B$508,LARGE($B$8:$B$508,15),C$8:C$508)+SUMIF($B$8:$B$508,LARGE($B$8:$B$508,16),C$8:C$508)+SUMIF($B$8:$B$508,LARGE($B$8:$B$508,17),C$8:C$508)+SUMIF($B$8:$B$508,LARGE($B$8:$B$508,18),C$8:C$508),SUMIF($B$8:$B$508,LARGE($B$8:$B$508,13),C$8:C$508)+SUMIF($B$8:$B$508,LARGE($B$8:$B$508,14),C$8:C$508)+SUMIF($B$8:$B$508,LARGE($B$8:$B$508,15),C$8:C$508)+SUMIF($B$8:$B$508,LARGE($B$8:$B$508,16),C$8:C$508))</f>
        <v>1203.5</v>
      </c>
      <c r="P14" s="713">
        <f t="shared" ca="1" si="6"/>
        <v>774.3</v>
      </c>
      <c r="Q14" s="712">
        <f ca="1">IF($H$3="Calendar Year",SUMIF($B$8:$B$508,LARGE($B$8:$B$508,15),E$8:E$508)+SUMIF($B$8:$B$508,LARGE($B$8:$B$508,16),E$8:E$508)+SUMIF($B$8:$B$508,LARGE($B$8:$B$508,17),E$8:E$508)+SUMIF($B$8:$B$508,LARGE($B$8:$B$508,18),E$8:E$508),SUMIF($B$8:$B$508,LARGE($B$8:$B$508,13),E$8:E$508)+SUMIF($B$8:$B$508,LARGE($B$8:$B$508,14),E$8:E$508)+SUMIF($B$8:$B$508,LARGE($B$8:$B$508,15),E$8:E$508)+SUMIF($B$8:$B$508,LARGE($B$8:$B$508,16),E$8:E$508))</f>
        <v>1977.8</v>
      </c>
      <c r="R14" s="714">
        <f t="shared" ca="1" si="7"/>
        <v>0.60850439882697949</v>
      </c>
    </row>
    <row r="15" spans="1:106">
      <c r="A15" s="19">
        <f t="shared" si="8"/>
        <v>1990</v>
      </c>
      <c r="B15" s="16">
        <v>33025</v>
      </c>
      <c r="C15" s="527">
        <v>88.3</v>
      </c>
      <c r="D15" s="526">
        <f t="shared" si="0"/>
        <v>73.8</v>
      </c>
      <c r="E15" s="527">
        <v>162.1</v>
      </c>
      <c r="F15" s="357">
        <f t="shared" si="1"/>
        <v>0.54472547809993832</v>
      </c>
      <c r="H15" s="317">
        <v>2018</v>
      </c>
      <c r="I15" s="363">
        <f t="shared" si="2"/>
        <v>1318.1</v>
      </c>
      <c r="J15" s="364">
        <f t="shared" si="3"/>
        <v>865.50000000000045</v>
      </c>
      <c r="K15" s="363">
        <f t="shared" si="4"/>
        <v>2183.6000000000004</v>
      </c>
      <c r="L15" s="365">
        <f t="shared" si="5"/>
        <v>0.60363619710569683</v>
      </c>
      <c r="M15" s="27"/>
      <c r="N15" s="715" t="str">
        <f t="shared" ca="1" si="9"/>
        <v>2018-2019</v>
      </c>
      <c r="O15" s="718">
        <f ca="1">IF($H$3="Calendar Year",SUMIF($B$8:$B$508,LARGE($B$8:$B$508,11),C$8:C$508)+SUMIF($B$8:$B$508,LARGE($B$8:$B$508,12),C$8:C$508)+SUMIF($B$8:$B$508,LARGE($B$8:$B$508,13),C$8:C$508)+SUMIF($B$8:$B$508,LARGE($B$8:$B$508,14),C$8:C$508),SUMIF($B$8:$B$508,LARGE($B$8:$B$508,9),C$8:C$508)+SUMIF($B$8:$B$508,LARGE($B$8:$B$508,10),C$8:C$508)+SUMIF($B$8:$B$508,LARGE($B$8:$B$508,11),C$8:C$508)+SUMIF($B$8:$B$508,LARGE($B$8:$B$508,12),C$8:C$508))</f>
        <v>1441.9</v>
      </c>
      <c r="P15" s="716">
        <f t="shared" ca="1" si="6"/>
        <v>905.69999999999982</v>
      </c>
      <c r="Q15" s="718">
        <f ca="1">IF($H$3="Calendar Year",SUMIF($B$8:$B$508,LARGE($B$8:$B$508,11),E$8:E$508)+SUMIF($B$8:$B$508,LARGE($B$8:$B$508,12),E$8:E$508)+SUMIF($B$8:$B$508,LARGE($B$8:$B$508,13),E$8:E$508)+SUMIF($B$8:$B$508,LARGE($B$8:$B$508,14),E$8:E$508),SUMIF($B$8:$B$508,LARGE($B$8:$B$508,9),E$8:E$508)+SUMIF($B$8:$B$508,LARGE($B$8:$B$508,10),E$8:E$508)+SUMIF($B$8:$B$508,LARGE($B$8:$B$508,11),E$8:E$508)+SUMIF($B$8:$B$508,LARGE($B$8:$B$508,12),E$8:E$508))</f>
        <v>2347.6</v>
      </c>
      <c r="R15" s="717">
        <f t="shared" ca="1" si="7"/>
        <v>0.61420173794513555</v>
      </c>
    </row>
    <row r="16" spans="1:106">
      <c r="A16" s="19">
        <f t="shared" si="8"/>
        <v>1990</v>
      </c>
      <c r="B16" s="16">
        <v>33117</v>
      </c>
      <c r="C16" s="529">
        <v>78.8</v>
      </c>
      <c r="D16" s="528">
        <f t="shared" si="0"/>
        <v>64.899999999999991</v>
      </c>
      <c r="E16" s="529">
        <v>143.69999999999999</v>
      </c>
      <c r="F16" s="356">
        <f t="shared" si="1"/>
        <v>0.54836464857341682</v>
      </c>
      <c r="H16" s="316">
        <v>2019</v>
      </c>
      <c r="I16" s="360">
        <f t="shared" si="2"/>
        <v>1648.1999999999998</v>
      </c>
      <c r="J16" s="361">
        <f t="shared" ref="J16" si="10">K16-I16</f>
        <v>1000.2000000000003</v>
      </c>
      <c r="K16" s="360">
        <f t="shared" si="4"/>
        <v>2648.4</v>
      </c>
      <c r="L16" s="362">
        <f t="shared" ref="L16" si="11">I16/K16</f>
        <v>0.6223380154055278</v>
      </c>
      <c r="M16" s="27"/>
      <c r="N16" s="711" t="str">
        <f t="shared" ca="1" si="9"/>
        <v>2019-2020</v>
      </c>
      <c r="O16" s="712">
        <f ca="1">IF($H$3="Calendar Year",SUMIF($B$8:$B$508,LARGE($B$8:$B$508,7),C$8:C$508)+SUMIF($B$8:$B$508,LARGE($B$8:$B$508,8),C$8:C$508)+SUMIF($B$8:$B$508,LARGE($B$8:$B$508,9),C$8:C$508)+SUMIF($B$8:$B$508,LARGE($B$8:$B$508,10),C$8:C$508),SUMIF($B$8:$B$508,LARGE($B$8:$B$508,5),C$8:C$508)+SUMIF($B$8:$B$508,LARGE($B$8:$B$508,6),C$8:C$508)+SUMIF($B$8:$B$508,LARGE($B$8:$B$508,7),C$8:C$508)+SUMIF($B$8:$B$508,LARGE($B$8:$B$508,8),C$8:C$508))</f>
        <v>1693.1000000000001</v>
      </c>
      <c r="P16" s="713">
        <f t="shared" ca="1" si="6"/>
        <v>1078.7</v>
      </c>
      <c r="Q16" s="712">
        <f ca="1">IF($H$3="Calendar Year",SUMIF($B$8:$B$508,LARGE($B$8:$B$508,7),E$8:E$508)+SUMIF($B$8:$B$508,LARGE($B$8:$B$508,8),E$8:E$508)+SUMIF($B$8:$B$508,LARGE($B$8:$B$508,9),E$8:E$508)+SUMIF($B$8:$B$508,LARGE($B$8:$B$508,10),E$8:E$508),SUMIF($B$8:$B$508,LARGE($B$8:$B$508,5),E$8:E$508)+SUMIF($B$8:$B$508,LARGE($B$8:$B$508,6),E$8:E$508)+SUMIF($B$8:$B$508,LARGE($B$8:$B$508,7),E$8:E$508)+SUMIF($B$8:$B$508,LARGE($B$8:$B$508,8),E$8:E$508))</f>
        <v>2771.8</v>
      </c>
      <c r="R16" s="714">
        <f t="shared" ca="1" si="7"/>
        <v>0.61083050725160548</v>
      </c>
    </row>
    <row r="17" spans="1:21" ht="15.75" thickBot="1">
      <c r="A17" s="19">
        <f t="shared" si="8"/>
        <v>1990</v>
      </c>
      <c r="B17" s="16">
        <v>33208</v>
      </c>
      <c r="C17" s="527">
        <v>84.2</v>
      </c>
      <c r="D17" s="526">
        <f t="shared" si="0"/>
        <v>82.600000000000009</v>
      </c>
      <c r="E17" s="527">
        <v>166.8</v>
      </c>
      <c r="F17" s="357">
        <f t="shared" si="1"/>
        <v>0.50479616306954433</v>
      </c>
      <c r="H17" s="487">
        <v>2020</v>
      </c>
      <c r="I17" s="488">
        <f t="shared" si="2"/>
        <v>1757.5</v>
      </c>
      <c r="J17" s="486">
        <f t="shared" si="3"/>
        <v>1051.3000000000002</v>
      </c>
      <c r="K17" s="488">
        <f t="shared" si="4"/>
        <v>2808.8</v>
      </c>
      <c r="L17" s="485">
        <f t="shared" si="5"/>
        <v>0.62571204784961543</v>
      </c>
      <c r="M17" s="27"/>
      <c r="N17" s="487" t="str">
        <f t="shared" ca="1" si="9"/>
        <v>2020-2021</v>
      </c>
      <c r="O17" s="488">
        <f ca="1">IF($H$3="Calendar Year",SUMIF($B$8:$B$508,LARGE($B$8:$B$508,3),C$8:C$508)+SUMIF($B$8:$B$508,LARGE($B$8:$B$508,4),C$8:C$508)+SUMIF($B$8:$B$508,LARGE($B$8:$B$508,5),C$8:C$508)+SUMIF($B$8:$B$508,LARGE($B$8:$B$508,6),C$8:C$508),SUMIF($B$8:$B$508,LARGE($B$8:$B$508,1),C$8:C$508)+SUMIF($B$8:$B$508,LARGE($B$8:$B$508,2),C$8:C$508)+SUMIF($B$8:$B$508,LARGE($B$8:$B$508,3),C$8:C$508)+SUMIF($B$8:$B$508,LARGE($B$8:$B$508,4),C$8:C$508))</f>
        <v>2052.1</v>
      </c>
      <c r="P17" s="486">
        <f t="shared" ca="1" si="6"/>
        <v>1109.6000000000004</v>
      </c>
      <c r="Q17" s="488">
        <f ca="1">IF($H$3="Calendar Year",SUMIF($B$8:$B$508,LARGE($B$8:$B$508,3),E$8:E$508)+SUMIF($B$8:$B$508,LARGE($B$8:$B$508,4),E$8:E$508)+SUMIF($B$8:$B$508,LARGE($B$8:$B$508,5),E$8:E$508)+SUMIF($B$8:$B$508,LARGE($B$8:$B$508,6),E$8:E$508),SUMIF($B$8:$B$508,LARGE($B$8:$B$508,1),E$8:E$508)+SUMIF($B$8:$B$508,LARGE($B$8:$B$508,2),E$8:E$508)+SUMIF($B$8:$B$508,LARGE($B$8:$B$508,3),E$8:E$508)+SUMIF($B$8:$B$508,LARGE($B$8:$B$508,4),E$8:E$508))</f>
        <v>3161.7000000000003</v>
      </c>
      <c r="R17" s="485">
        <f t="shared" ca="1" si="7"/>
        <v>0.64904956194452346</v>
      </c>
      <c r="T17" s="116"/>
      <c r="U17" s="116"/>
    </row>
    <row r="18" spans="1:21">
      <c r="A18" s="19">
        <f t="shared" si="8"/>
        <v>1991</v>
      </c>
      <c r="B18" s="16">
        <v>33298</v>
      </c>
      <c r="C18" s="529">
        <v>68</v>
      </c>
      <c r="D18" s="528">
        <f t="shared" si="0"/>
        <v>58.599999999999994</v>
      </c>
      <c r="E18" s="529">
        <v>126.6</v>
      </c>
      <c r="F18" s="356">
        <f t="shared" si="1"/>
        <v>0.53712480252764616</v>
      </c>
      <c r="I18" s="234"/>
      <c r="L18" s="235"/>
    </row>
    <row r="19" spans="1:21">
      <c r="A19" s="19">
        <f t="shared" si="8"/>
        <v>1991</v>
      </c>
      <c r="B19" s="16">
        <v>33390</v>
      </c>
      <c r="C19" s="527">
        <v>93.8</v>
      </c>
      <c r="D19" s="526">
        <f t="shared" si="0"/>
        <v>70.8</v>
      </c>
      <c r="E19" s="527">
        <v>164.6</v>
      </c>
      <c r="F19" s="357">
        <f t="shared" si="1"/>
        <v>0.56986634264884573</v>
      </c>
    </row>
    <row r="20" spans="1:21">
      <c r="A20" s="19">
        <f t="shared" si="8"/>
        <v>1991</v>
      </c>
      <c r="B20" s="16">
        <v>33482</v>
      </c>
      <c r="C20" s="529">
        <v>87.9</v>
      </c>
      <c r="D20" s="528">
        <f t="shared" si="0"/>
        <v>65.5</v>
      </c>
      <c r="E20" s="529">
        <v>153.4</v>
      </c>
      <c r="F20" s="356">
        <f t="shared" si="1"/>
        <v>0.57301173402868322</v>
      </c>
    </row>
    <row r="21" spans="1:21">
      <c r="A21" s="19">
        <f t="shared" si="8"/>
        <v>1991</v>
      </c>
      <c r="B21" s="16">
        <v>33573</v>
      </c>
      <c r="C21" s="527">
        <v>88.1</v>
      </c>
      <c r="D21" s="526">
        <f t="shared" si="0"/>
        <v>76.099999999999994</v>
      </c>
      <c r="E21" s="527">
        <v>164.2</v>
      </c>
      <c r="F21" s="357">
        <f t="shared" si="1"/>
        <v>0.53654080389768577</v>
      </c>
    </row>
    <row r="22" spans="1:21">
      <c r="A22" s="19">
        <f t="shared" si="8"/>
        <v>1992</v>
      </c>
      <c r="B22" s="16">
        <v>33664</v>
      </c>
      <c r="C22" s="529">
        <v>69.3</v>
      </c>
      <c r="D22" s="528">
        <f t="shared" si="0"/>
        <v>56</v>
      </c>
      <c r="E22" s="529">
        <v>125.3</v>
      </c>
      <c r="F22" s="356">
        <f t="shared" si="1"/>
        <v>0.55307262569832405</v>
      </c>
    </row>
    <row r="23" spans="1:21">
      <c r="A23" s="19">
        <f t="shared" si="8"/>
        <v>1992</v>
      </c>
      <c r="B23" s="16">
        <v>33756</v>
      </c>
      <c r="C23" s="527">
        <v>87.4</v>
      </c>
      <c r="D23" s="526">
        <f t="shared" si="0"/>
        <v>73.599999999999994</v>
      </c>
      <c r="E23" s="527">
        <v>161</v>
      </c>
      <c r="F23" s="357">
        <f t="shared" si="1"/>
        <v>0.54285714285714293</v>
      </c>
    </row>
    <row r="24" spans="1:21">
      <c r="A24" s="19">
        <f t="shared" si="8"/>
        <v>1992</v>
      </c>
      <c r="B24" s="16">
        <v>33848</v>
      </c>
      <c r="C24" s="529">
        <v>86.5</v>
      </c>
      <c r="D24" s="528">
        <f t="shared" si="0"/>
        <v>74.400000000000006</v>
      </c>
      <c r="E24" s="529">
        <v>160.9</v>
      </c>
      <c r="F24" s="356">
        <f t="shared" si="1"/>
        <v>0.53760099440646358</v>
      </c>
    </row>
    <row r="25" spans="1:21">
      <c r="A25" s="19">
        <f t="shared" si="8"/>
        <v>1992</v>
      </c>
      <c r="B25" s="16">
        <v>33939</v>
      </c>
      <c r="C25" s="527">
        <v>91.6</v>
      </c>
      <c r="D25" s="526">
        <f t="shared" si="0"/>
        <v>83</v>
      </c>
      <c r="E25" s="527">
        <v>174.6</v>
      </c>
      <c r="F25" s="357">
        <f t="shared" si="1"/>
        <v>0.52462772050400919</v>
      </c>
    </row>
    <row r="26" spans="1:21">
      <c r="A26" s="19">
        <f t="shared" si="8"/>
        <v>1993</v>
      </c>
      <c r="B26" s="16">
        <v>34029</v>
      </c>
      <c r="C26" s="529">
        <v>74.2</v>
      </c>
      <c r="D26" s="528">
        <f t="shared" si="0"/>
        <v>48.8</v>
      </c>
      <c r="E26" s="529">
        <v>123</v>
      </c>
      <c r="F26" s="356">
        <f t="shared" si="1"/>
        <v>0.60325203252032522</v>
      </c>
    </row>
    <row r="27" spans="1:21">
      <c r="A27" s="19">
        <f t="shared" si="8"/>
        <v>1993</v>
      </c>
      <c r="B27" s="16">
        <v>34121</v>
      </c>
      <c r="C27" s="527">
        <v>95.8</v>
      </c>
      <c r="D27" s="526">
        <f t="shared" si="0"/>
        <v>77.500000000000014</v>
      </c>
      <c r="E27" s="527">
        <v>173.3</v>
      </c>
      <c r="F27" s="357">
        <f t="shared" si="1"/>
        <v>0.55279861511829198</v>
      </c>
      <c r="I27" s="19"/>
    </row>
    <row r="28" spans="1:21">
      <c r="A28" s="19">
        <f t="shared" si="8"/>
        <v>1993</v>
      </c>
      <c r="B28" s="16">
        <v>34213</v>
      </c>
      <c r="C28" s="529">
        <v>110.4</v>
      </c>
      <c r="D28" s="528">
        <f t="shared" si="0"/>
        <v>77.099999999999994</v>
      </c>
      <c r="E28" s="529">
        <v>187.5</v>
      </c>
      <c r="F28" s="356">
        <f t="shared" si="1"/>
        <v>0.58879999999999999</v>
      </c>
    </row>
    <row r="29" spans="1:21">
      <c r="A29" s="19">
        <f t="shared" si="8"/>
        <v>1993</v>
      </c>
      <c r="B29" s="16">
        <v>34304</v>
      </c>
      <c r="C29" s="527">
        <v>119</v>
      </c>
      <c r="D29" s="526">
        <f t="shared" si="0"/>
        <v>89.9</v>
      </c>
      <c r="E29" s="527">
        <v>208.9</v>
      </c>
      <c r="F29" s="357">
        <f t="shared" si="1"/>
        <v>0.5696505505026328</v>
      </c>
    </row>
    <row r="30" spans="1:21">
      <c r="A30" s="19">
        <f t="shared" si="8"/>
        <v>1994</v>
      </c>
      <c r="B30" s="16">
        <v>34394</v>
      </c>
      <c r="C30" s="529">
        <v>100.9</v>
      </c>
      <c r="D30" s="528">
        <f t="shared" si="0"/>
        <v>74.699999999999989</v>
      </c>
      <c r="E30" s="529">
        <v>175.6</v>
      </c>
      <c r="F30" s="356">
        <f t="shared" si="1"/>
        <v>0.57460136674259688</v>
      </c>
    </row>
    <row r="31" spans="1:21">
      <c r="A31" s="19">
        <f t="shared" si="8"/>
        <v>1994</v>
      </c>
      <c r="B31" s="16">
        <v>34486</v>
      </c>
      <c r="C31" s="527">
        <v>123.4</v>
      </c>
      <c r="D31" s="526">
        <f t="shared" si="0"/>
        <v>97.199999999999989</v>
      </c>
      <c r="E31" s="527">
        <v>220.6</v>
      </c>
      <c r="F31" s="357">
        <f t="shared" si="1"/>
        <v>0.55938349954669087</v>
      </c>
    </row>
    <row r="32" spans="1:21">
      <c r="A32" s="19">
        <f t="shared" si="8"/>
        <v>1994</v>
      </c>
      <c r="B32" s="16">
        <v>34578</v>
      </c>
      <c r="C32" s="529">
        <v>127.5</v>
      </c>
      <c r="D32" s="528">
        <f t="shared" si="0"/>
        <v>98.6</v>
      </c>
      <c r="E32" s="529">
        <v>226.1</v>
      </c>
      <c r="F32" s="356">
        <f t="shared" si="1"/>
        <v>0.56390977443609025</v>
      </c>
    </row>
    <row r="33" spans="1:6">
      <c r="A33" s="19">
        <f t="shared" si="8"/>
        <v>1994</v>
      </c>
      <c r="B33" s="16">
        <v>34669</v>
      </c>
      <c r="C33" s="527">
        <v>126.4</v>
      </c>
      <c r="D33" s="526">
        <f t="shared" si="0"/>
        <v>105.79999999999998</v>
      </c>
      <c r="E33" s="527">
        <v>232.2</v>
      </c>
      <c r="F33" s="357">
        <f t="shared" si="1"/>
        <v>0.54435831180017236</v>
      </c>
    </row>
    <row r="34" spans="1:6">
      <c r="A34" s="19">
        <f t="shared" si="8"/>
        <v>1995</v>
      </c>
      <c r="B34" s="16">
        <v>34759</v>
      </c>
      <c r="C34" s="529">
        <v>106.3</v>
      </c>
      <c r="D34" s="528">
        <f t="shared" si="0"/>
        <v>84.000000000000014</v>
      </c>
      <c r="E34" s="529">
        <v>190.3</v>
      </c>
      <c r="F34" s="356">
        <f t="shared" si="1"/>
        <v>0.55859169732002101</v>
      </c>
    </row>
    <row r="35" spans="1:6">
      <c r="A35" s="19">
        <f t="shared" si="8"/>
        <v>1995</v>
      </c>
      <c r="B35" s="16">
        <v>34851</v>
      </c>
      <c r="C35" s="527">
        <v>135.30000000000001</v>
      </c>
      <c r="D35" s="526">
        <f t="shared" si="0"/>
        <v>109.29999999999998</v>
      </c>
      <c r="E35" s="527">
        <v>244.6</v>
      </c>
      <c r="F35" s="357">
        <f t="shared" si="1"/>
        <v>0.55314799672935411</v>
      </c>
    </row>
    <row r="36" spans="1:6">
      <c r="A36" s="19">
        <f t="shared" si="8"/>
        <v>1995</v>
      </c>
      <c r="B36" s="16">
        <v>34943</v>
      </c>
      <c r="C36" s="529">
        <v>125</v>
      </c>
      <c r="D36" s="528">
        <f t="shared" si="0"/>
        <v>102.1</v>
      </c>
      <c r="E36" s="529">
        <v>227.1</v>
      </c>
      <c r="F36" s="356">
        <f t="shared" si="1"/>
        <v>0.55041831792162044</v>
      </c>
    </row>
    <row r="37" spans="1:6">
      <c r="A37" s="19">
        <f t="shared" si="8"/>
        <v>1995</v>
      </c>
      <c r="B37" s="16">
        <v>35034</v>
      </c>
      <c r="C37" s="527">
        <v>128.9</v>
      </c>
      <c r="D37" s="526">
        <f t="shared" si="0"/>
        <v>100.4</v>
      </c>
      <c r="E37" s="527">
        <v>229.3</v>
      </c>
      <c r="F37" s="357">
        <f t="shared" si="1"/>
        <v>0.56214566070649807</v>
      </c>
    </row>
    <row r="38" spans="1:6">
      <c r="A38" s="19">
        <f t="shared" si="8"/>
        <v>1996</v>
      </c>
      <c r="B38" s="16">
        <v>35125</v>
      </c>
      <c r="C38" s="529">
        <v>118.6</v>
      </c>
      <c r="D38" s="528">
        <f t="shared" si="0"/>
        <v>100.4</v>
      </c>
      <c r="E38" s="529">
        <v>219</v>
      </c>
      <c r="F38" s="356">
        <f t="shared" si="1"/>
        <v>0.54155251141552507</v>
      </c>
    </row>
    <row r="39" spans="1:6">
      <c r="A39" s="19">
        <f t="shared" si="8"/>
        <v>1996</v>
      </c>
      <c r="B39" s="16">
        <v>35217</v>
      </c>
      <c r="C39" s="527">
        <v>147</v>
      </c>
      <c r="D39" s="526">
        <f t="shared" si="0"/>
        <v>137.89999999999998</v>
      </c>
      <c r="E39" s="527">
        <v>284.89999999999998</v>
      </c>
      <c r="F39" s="357">
        <f t="shared" si="1"/>
        <v>0.51597051597051602</v>
      </c>
    </row>
    <row r="40" spans="1:6">
      <c r="A40" s="19">
        <f t="shared" si="8"/>
        <v>1996</v>
      </c>
      <c r="B40" s="16">
        <v>35309</v>
      </c>
      <c r="C40" s="529">
        <v>162.80000000000001</v>
      </c>
      <c r="D40" s="528">
        <f t="shared" ref="D40:D71" si="12">E40-C40</f>
        <v>111.39999999999998</v>
      </c>
      <c r="E40" s="529">
        <v>274.2</v>
      </c>
      <c r="F40" s="356">
        <f t="shared" ref="F40:F71" si="13">C40/E40</f>
        <v>0.5937272064186726</v>
      </c>
    </row>
    <row r="41" spans="1:6">
      <c r="A41" s="19">
        <f t="shared" si="8"/>
        <v>1996</v>
      </c>
      <c r="B41" s="16">
        <v>35400</v>
      </c>
      <c r="C41" s="527">
        <v>173.1</v>
      </c>
      <c r="D41" s="526">
        <f t="shared" si="12"/>
        <v>118.50000000000003</v>
      </c>
      <c r="E41" s="527">
        <v>291.60000000000002</v>
      </c>
      <c r="F41" s="357">
        <f t="shared" si="13"/>
        <v>0.59362139917695467</v>
      </c>
    </row>
    <row r="42" spans="1:6">
      <c r="A42" s="19">
        <f t="shared" si="8"/>
        <v>1997</v>
      </c>
      <c r="B42" s="16">
        <v>35490</v>
      </c>
      <c r="C42" s="529">
        <v>144.19999999999999</v>
      </c>
      <c r="D42" s="528">
        <f t="shared" si="12"/>
        <v>91.4</v>
      </c>
      <c r="E42" s="529">
        <v>235.6</v>
      </c>
      <c r="F42" s="356">
        <f t="shared" si="13"/>
        <v>0.61205432937181659</v>
      </c>
    </row>
    <row r="43" spans="1:6">
      <c r="A43" s="19">
        <f t="shared" si="8"/>
        <v>1997</v>
      </c>
      <c r="B43" s="16">
        <v>35582</v>
      </c>
      <c r="C43" s="527">
        <v>211.6</v>
      </c>
      <c r="D43" s="526">
        <f t="shared" si="12"/>
        <v>135.6</v>
      </c>
      <c r="E43" s="527">
        <v>347.2</v>
      </c>
      <c r="F43" s="357">
        <f t="shared" si="13"/>
        <v>0.60944700460829493</v>
      </c>
    </row>
    <row r="44" spans="1:6">
      <c r="A44" s="19">
        <f t="shared" si="8"/>
        <v>1997</v>
      </c>
      <c r="B44" s="16">
        <v>35674</v>
      </c>
      <c r="C44" s="529">
        <v>182.7</v>
      </c>
      <c r="D44" s="528">
        <f t="shared" si="12"/>
        <v>119.10000000000002</v>
      </c>
      <c r="E44" s="529">
        <v>301.8</v>
      </c>
      <c r="F44" s="356">
        <f t="shared" si="13"/>
        <v>0.60536779324055656</v>
      </c>
    </row>
    <row r="45" spans="1:6">
      <c r="A45" s="19">
        <f t="shared" si="8"/>
        <v>1997</v>
      </c>
      <c r="B45" s="16">
        <v>35765</v>
      </c>
      <c r="C45" s="527">
        <v>162.30000000000001</v>
      </c>
      <c r="D45" s="526">
        <f t="shared" si="12"/>
        <v>119.69999999999999</v>
      </c>
      <c r="E45" s="527">
        <v>282</v>
      </c>
      <c r="F45" s="357">
        <f t="shared" si="13"/>
        <v>0.5755319148936171</v>
      </c>
    </row>
    <row r="46" spans="1:6">
      <c r="A46" s="19">
        <f t="shared" si="8"/>
        <v>1998</v>
      </c>
      <c r="B46" s="16">
        <v>35855</v>
      </c>
      <c r="C46" s="529">
        <v>142</v>
      </c>
      <c r="D46" s="528">
        <f t="shared" si="12"/>
        <v>78.400000000000006</v>
      </c>
      <c r="E46" s="529">
        <v>220.4</v>
      </c>
      <c r="F46" s="356">
        <f t="shared" si="13"/>
        <v>0.64428312159709622</v>
      </c>
    </row>
    <row r="47" spans="1:6">
      <c r="A47" s="19">
        <f t="shared" si="8"/>
        <v>1998</v>
      </c>
      <c r="B47" s="16">
        <v>35947</v>
      </c>
      <c r="C47" s="527">
        <v>173.4</v>
      </c>
      <c r="D47" s="526">
        <f t="shared" si="12"/>
        <v>89.200000000000017</v>
      </c>
      <c r="E47" s="527">
        <v>262.60000000000002</v>
      </c>
      <c r="F47" s="357">
        <f t="shared" si="13"/>
        <v>0.66031987814166027</v>
      </c>
    </row>
    <row r="48" spans="1:6">
      <c r="A48" s="19">
        <f t="shared" si="8"/>
        <v>1998</v>
      </c>
      <c r="B48" s="16">
        <v>36039</v>
      </c>
      <c r="C48" s="529">
        <v>154.1</v>
      </c>
      <c r="D48" s="528">
        <f t="shared" si="12"/>
        <v>81.800000000000011</v>
      </c>
      <c r="E48" s="529">
        <v>235.9</v>
      </c>
      <c r="F48" s="356">
        <f t="shared" si="13"/>
        <v>0.65324289953370063</v>
      </c>
    </row>
    <row r="49" spans="1:6">
      <c r="A49" s="19">
        <f t="shared" si="8"/>
        <v>1998</v>
      </c>
      <c r="B49" s="16">
        <v>36130</v>
      </c>
      <c r="C49" s="527">
        <v>157.30000000000001</v>
      </c>
      <c r="D49" s="526">
        <f t="shared" si="12"/>
        <v>82.299999999999983</v>
      </c>
      <c r="E49" s="527">
        <v>239.6</v>
      </c>
      <c r="F49" s="357">
        <f t="shared" si="13"/>
        <v>0.65651085141903176</v>
      </c>
    </row>
    <row r="50" spans="1:6">
      <c r="A50" s="19">
        <f t="shared" si="8"/>
        <v>1999</v>
      </c>
      <c r="B50" s="16">
        <v>36220</v>
      </c>
      <c r="C50" s="529">
        <v>102.3</v>
      </c>
      <c r="D50" s="528">
        <f t="shared" si="12"/>
        <v>65.000000000000014</v>
      </c>
      <c r="E50" s="529">
        <v>167.3</v>
      </c>
      <c r="F50" s="356">
        <f t="shared" si="13"/>
        <v>0.61147638971906748</v>
      </c>
    </row>
    <row r="51" spans="1:6">
      <c r="A51" s="19">
        <f t="shared" si="8"/>
        <v>1999</v>
      </c>
      <c r="B51" s="16">
        <v>36312</v>
      </c>
      <c r="C51" s="527">
        <v>109.4</v>
      </c>
      <c r="D51" s="526">
        <f t="shared" si="12"/>
        <v>85.6</v>
      </c>
      <c r="E51" s="527">
        <v>195</v>
      </c>
      <c r="F51" s="357">
        <f t="shared" si="13"/>
        <v>0.56102564102564101</v>
      </c>
    </row>
    <row r="52" spans="1:6">
      <c r="A52" s="19">
        <f t="shared" si="8"/>
        <v>1999</v>
      </c>
      <c r="B52" s="16">
        <v>36404</v>
      </c>
      <c r="C52" s="529">
        <v>107.9</v>
      </c>
      <c r="D52" s="528">
        <f t="shared" si="12"/>
        <v>72.199999999999989</v>
      </c>
      <c r="E52" s="529">
        <v>180.1</v>
      </c>
      <c r="F52" s="356">
        <f t="shared" si="13"/>
        <v>0.59911160466407554</v>
      </c>
    </row>
    <row r="53" spans="1:6">
      <c r="A53" s="19">
        <f t="shared" si="8"/>
        <v>1999</v>
      </c>
      <c r="B53" s="16">
        <v>36495</v>
      </c>
      <c r="C53" s="527">
        <v>108.8</v>
      </c>
      <c r="D53" s="526">
        <f t="shared" si="12"/>
        <v>68.100000000000009</v>
      </c>
      <c r="E53" s="527">
        <v>176.9</v>
      </c>
      <c r="F53" s="357">
        <f t="shared" si="13"/>
        <v>0.61503674392312035</v>
      </c>
    </row>
    <row r="54" spans="1:6">
      <c r="A54" s="19">
        <f t="shared" si="8"/>
        <v>2000</v>
      </c>
      <c r="B54" s="16">
        <v>36586</v>
      </c>
      <c r="C54" s="529">
        <v>85</v>
      </c>
      <c r="D54" s="528">
        <f t="shared" si="12"/>
        <v>51.699999999999989</v>
      </c>
      <c r="E54" s="529">
        <v>136.69999999999999</v>
      </c>
      <c r="F54" s="356">
        <f t="shared" si="13"/>
        <v>0.62179956108266277</v>
      </c>
    </row>
    <row r="55" spans="1:6">
      <c r="A55" s="19">
        <f t="shared" si="8"/>
        <v>2000</v>
      </c>
      <c r="B55" s="16">
        <v>36678</v>
      </c>
      <c r="C55" s="527">
        <v>113.3</v>
      </c>
      <c r="D55" s="526">
        <f t="shared" si="12"/>
        <v>69.399999999999991</v>
      </c>
      <c r="E55" s="527">
        <v>182.7</v>
      </c>
      <c r="F55" s="357">
        <f t="shared" si="13"/>
        <v>0.62014230979748219</v>
      </c>
    </row>
    <row r="56" spans="1:6">
      <c r="A56" s="19">
        <f t="shared" si="8"/>
        <v>2000</v>
      </c>
      <c r="B56" s="16">
        <v>36770</v>
      </c>
      <c r="C56" s="529">
        <v>104.4</v>
      </c>
      <c r="D56" s="528">
        <f t="shared" si="12"/>
        <v>65.400000000000006</v>
      </c>
      <c r="E56" s="529">
        <v>169.8</v>
      </c>
      <c r="F56" s="356">
        <f t="shared" si="13"/>
        <v>0.61484098939929333</v>
      </c>
    </row>
    <row r="57" spans="1:6">
      <c r="A57" s="19">
        <f t="shared" si="8"/>
        <v>2000</v>
      </c>
      <c r="B57" s="16">
        <v>36861</v>
      </c>
      <c r="C57" s="527">
        <v>118</v>
      </c>
      <c r="D57" s="526">
        <f t="shared" si="12"/>
        <v>69.199999999999989</v>
      </c>
      <c r="E57" s="527">
        <v>187.2</v>
      </c>
      <c r="F57" s="357">
        <f t="shared" si="13"/>
        <v>0.63034188034188043</v>
      </c>
    </row>
    <row r="58" spans="1:6">
      <c r="A58" s="19">
        <f t="shared" si="8"/>
        <v>2001</v>
      </c>
      <c r="B58" s="16">
        <v>36951</v>
      </c>
      <c r="C58" s="529">
        <v>90.8</v>
      </c>
      <c r="D58" s="528">
        <f t="shared" si="12"/>
        <v>52.7</v>
      </c>
      <c r="E58" s="529">
        <v>143.5</v>
      </c>
      <c r="F58" s="356">
        <f t="shared" si="13"/>
        <v>0.63275261324041809</v>
      </c>
    </row>
    <row r="59" spans="1:6">
      <c r="A59" s="19">
        <f t="shared" si="8"/>
        <v>2001</v>
      </c>
      <c r="B59" s="16">
        <v>37043</v>
      </c>
      <c r="C59" s="527">
        <v>110.9</v>
      </c>
      <c r="D59" s="526">
        <f t="shared" si="12"/>
        <v>71.900000000000006</v>
      </c>
      <c r="E59" s="527">
        <v>182.8</v>
      </c>
      <c r="F59" s="357">
        <f t="shared" si="13"/>
        <v>0.60667396061269141</v>
      </c>
    </row>
    <row r="60" spans="1:6">
      <c r="A60" s="19">
        <f t="shared" si="8"/>
        <v>2001</v>
      </c>
      <c r="B60" s="16">
        <v>37135</v>
      </c>
      <c r="C60" s="529">
        <v>103.3</v>
      </c>
      <c r="D60" s="528">
        <f t="shared" si="12"/>
        <v>64.100000000000009</v>
      </c>
      <c r="E60" s="529">
        <v>167.4</v>
      </c>
      <c r="F60" s="356">
        <f t="shared" si="13"/>
        <v>0.61708482676224607</v>
      </c>
    </row>
    <row r="61" spans="1:6">
      <c r="A61" s="19">
        <f t="shared" si="8"/>
        <v>2001</v>
      </c>
      <c r="B61" s="16">
        <v>37226</v>
      </c>
      <c r="C61" s="527">
        <v>103.5</v>
      </c>
      <c r="D61" s="526">
        <f t="shared" si="12"/>
        <v>67.199999999999989</v>
      </c>
      <c r="E61" s="527">
        <v>170.7</v>
      </c>
      <c r="F61" s="357">
        <f t="shared" si="13"/>
        <v>0.60632688927943768</v>
      </c>
    </row>
    <row r="62" spans="1:6">
      <c r="A62" s="19">
        <f t="shared" si="8"/>
        <v>2002</v>
      </c>
      <c r="B62" s="16">
        <v>37316</v>
      </c>
      <c r="C62" s="529">
        <v>82.5</v>
      </c>
      <c r="D62" s="528">
        <f t="shared" si="12"/>
        <v>51.699999999999989</v>
      </c>
      <c r="E62" s="529">
        <v>134.19999999999999</v>
      </c>
      <c r="F62" s="356">
        <f t="shared" si="13"/>
        <v>0.61475409836065575</v>
      </c>
    </row>
    <row r="63" spans="1:6">
      <c r="A63" s="19">
        <f t="shared" si="8"/>
        <v>2002</v>
      </c>
      <c r="B63" s="16">
        <v>37408</v>
      </c>
      <c r="C63" s="527">
        <v>91.8</v>
      </c>
      <c r="D63" s="526">
        <f t="shared" si="12"/>
        <v>76.500000000000014</v>
      </c>
      <c r="E63" s="527">
        <v>168.3</v>
      </c>
      <c r="F63" s="357">
        <f t="shared" si="13"/>
        <v>0.54545454545454541</v>
      </c>
    </row>
    <row r="64" spans="1:6">
      <c r="A64" s="19">
        <f t="shared" si="8"/>
        <v>2002</v>
      </c>
      <c r="B64" s="16">
        <v>37500</v>
      </c>
      <c r="C64" s="529">
        <v>110.1</v>
      </c>
      <c r="D64" s="528">
        <f t="shared" si="12"/>
        <v>72.800000000000011</v>
      </c>
      <c r="E64" s="529">
        <v>182.9</v>
      </c>
      <c r="F64" s="356">
        <f t="shared" si="13"/>
        <v>0.60196828868233998</v>
      </c>
    </row>
    <row r="65" spans="1:6">
      <c r="A65" s="19">
        <f t="shared" si="8"/>
        <v>2002</v>
      </c>
      <c r="B65" s="16">
        <v>37591</v>
      </c>
      <c r="C65" s="527">
        <v>111.1</v>
      </c>
      <c r="D65" s="526">
        <f t="shared" si="12"/>
        <v>81.700000000000017</v>
      </c>
      <c r="E65" s="527">
        <v>192.8</v>
      </c>
      <c r="F65" s="357">
        <f t="shared" si="13"/>
        <v>0.57624481327800825</v>
      </c>
    </row>
    <row r="66" spans="1:6">
      <c r="A66" s="19">
        <f t="shared" si="8"/>
        <v>2003</v>
      </c>
      <c r="B66" s="16">
        <v>37681</v>
      </c>
      <c r="C66" s="529">
        <v>90.8</v>
      </c>
      <c r="D66" s="528">
        <f t="shared" si="12"/>
        <v>62.600000000000009</v>
      </c>
      <c r="E66" s="529">
        <v>153.4</v>
      </c>
      <c r="F66" s="356">
        <f t="shared" si="13"/>
        <v>0.59191655801825294</v>
      </c>
    </row>
    <row r="67" spans="1:6">
      <c r="A67" s="19">
        <f t="shared" si="8"/>
        <v>2003</v>
      </c>
      <c r="B67" s="16">
        <v>37773</v>
      </c>
      <c r="C67" s="527">
        <v>111.6</v>
      </c>
      <c r="D67" s="526">
        <f t="shared" si="12"/>
        <v>92.1</v>
      </c>
      <c r="E67" s="527">
        <v>203.7</v>
      </c>
      <c r="F67" s="357">
        <f t="shared" si="13"/>
        <v>0.54786450662739328</v>
      </c>
    </row>
    <row r="68" spans="1:6">
      <c r="A68" s="19">
        <f t="shared" si="8"/>
        <v>2003</v>
      </c>
      <c r="B68" s="16">
        <v>37865</v>
      </c>
      <c r="C68" s="529">
        <v>108.5</v>
      </c>
      <c r="D68" s="528">
        <f t="shared" si="12"/>
        <v>71.199999999999989</v>
      </c>
      <c r="E68" s="529">
        <v>179.7</v>
      </c>
      <c r="F68" s="356">
        <f t="shared" si="13"/>
        <v>0.60378408458542021</v>
      </c>
    </row>
    <row r="69" spans="1:6">
      <c r="A69" s="19">
        <f t="shared" si="8"/>
        <v>2003</v>
      </c>
      <c r="B69" s="16">
        <v>37956</v>
      </c>
      <c r="C69" s="527">
        <v>122</v>
      </c>
      <c r="D69" s="526">
        <f t="shared" si="12"/>
        <v>77.5</v>
      </c>
      <c r="E69" s="527">
        <v>199.5</v>
      </c>
      <c r="F69" s="357">
        <f t="shared" si="13"/>
        <v>0.61152882205513781</v>
      </c>
    </row>
    <row r="70" spans="1:6">
      <c r="A70" s="19">
        <f t="shared" si="8"/>
        <v>2004</v>
      </c>
      <c r="B70" s="16">
        <v>38047</v>
      </c>
      <c r="C70" s="529">
        <v>96.5</v>
      </c>
      <c r="D70" s="528">
        <f t="shared" si="12"/>
        <v>70.800000000000011</v>
      </c>
      <c r="E70" s="529">
        <v>167.3</v>
      </c>
      <c r="F70" s="356">
        <f t="shared" si="13"/>
        <v>0.57680812910938428</v>
      </c>
    </row>
    <row r="71" spans="1:6">
      <c r="A71" s="19">
        <f t="shared" si="8"/>
        <v>2004</v>
      </c>
      <c r="B71" s="16">
        <v>38139</v>
      </c>
      <c r="C71" s="527">
        <v>138.80000000000001</v>
      </c>
      <c r="D71" s="526">
        <f t="shared" si="12"/>
        <v>101.39999999999998</v>
      </c>
      <c r="E71" s="527">
        <v>240.2</v>
      </c>
      <c r="F71" s="357">
        <f t="shared" si="13"/>
        <v>0.57785179017485433</v>
      </c>
    </row>
    <row r="72" spans="1:6">
      <c r="A72" s="19">
        <f t="shared" si="8"/>
        <v>2004</v>
      </c>
      <c r="B72" s="16">
        <v>38231</v>
      </c>
      <c r="C72" s="529">
        <v>147.9</v>
      </c>
      <c r="D72" s="528">
        <f t="shared" ref="D72:D103" si="14">E72-C72</f>
        <v>103.19999999999999</v>
      </c>
      <c r="E72" s="529">
        <v>251.1</v>
      </c>
      <c r="F72" s="356">
        <f t="shared" ref="F72:F103" si="15">C72/E72</f>
        <v>0.58900836320191163</v>
      </c>
    </row>
    <row r="73" spans="1:6">
      <c r="A73" s="19">
        <f t="shared" ref="A73:A135" si="16">YEAR(B73)</f>
        <v>2004</v>
      </c>
      <c r="B73" s="16">
        <v>38322</v>
      </c>
      <c r="C73" s="527">
        <v>156.69999999999999</v>
      </c>
      <c r="D73" s="526">
        <f t="shared" si="14"/>
        <v>104.10000000000002</v>
      </c>
      <c r="E73" s="527">
        <v>260.8</v>
      </c>
      <c r="F73" s="357">
        <f t="shared" si="15"/>
        <v>0.60084355828220848</v>
      </c>
    </row>
    <row r="74" spans="1:6">
      <c r="A74" s="19">
        <f t="shared" si="16"/>
        <v>2005</v>
      </c>
      <c r="B74" s="16">
        <v>38412</v>
      </c>
      <c r="C74" s="529">
        <v>134.4</v>
      </c>
      <c r="D74" s="528">
        <f t="shared" si="14"/>
        <v>91.4</v>
      </c>
      <c r="E74" s="529">
        <v>225.8</v>
      </c>
      <c r="F74" s="356">
        <f t="shared" si="15"/>
        <v>0.59521700620017715</v>
      </c>
    </row>
    <row r="75" spans="1:6">
      <c r="A75" s="19">
        <f t="shared" si="16"/>
        <v>2005</v>
      </c>
      <c r="B75" s="16">
        <v>38504</v>
      </c>
      <c r="C75" s="527">
        <v>167</v>
      </c>
      <c r="D75" s="526">
        <f t="shared" si="14"/>
        <v>123.69999999999999</v>
      </c>
      <c r="E75" s="527">
        <v>290.7</v>
      </c>
      <c r="F75" s="357">
        <f t="shared" si="15"/>
        <v>0.57447540419676646</v>
      </c>
    </row>
    <row r="76" spans="1:6">
      <c r="A76" s="19">
        <f t="shared" si="16"/>
        <v>2005</v>
      </c>
      <c r="B76" s="16">
        <v>38596</v>
      </c>
      <c r="C76" s="529">
        <v>154.4</v>
      </c>
      <c r="D76" s="528">
        <f t="shared" si="14"/>
        <v>137.6</v>
      </c>
      <c r="E76" s="529">
        <v>292</v>
      </c>
      <c r="F76" s="356">
        <f t="shared" si="15"/>
        <v>0.52876712328767128</v>
      </c>
    </row>
    <row r="77" spans="1:6">
      <c r="A77" s="19">
        <f t="shared" si="16"/>
        <v>2005</v>
      </c>
      <c r="B77" s="16">
        <v>38687</v>
      </c>
      <c r="C77" s="527">
        <v>158</v>
      </c>
      <c r="D77" s="526">
        <f t="shared" si="14"/>
        <v>169.60000000000002</v>
      </c>
      <c r="E77" s="527">
        <v>327.60000000000002</v>
      </c>
      <c r="F77" s="357">
        <f t="shared" si="15"/>
        <v>0.48229548229548225</v>
      </c>
    </row>
    <row r="78" spans="1:6">
      <c r="A78" s="19">
        <f t="shared" si="16"/>
        <v>2006</v>
      </c>
      <c r="B78" s="16">
        <v>38777</v>
      </c>
      <c r="C78" s="529">
        <v>121.5</v>
      </c>
      <c r="D78" s="528">
        <f t="shared" si="14"/>
        <v>142.19999999999999</v>
      </c>
      <c r="E78" s="529">
        <v>263.7</v>
      </c>
      <c r="F78" s="356">
        <f t="shared" si="15"/>
        <v>0.46075085324232085</v>
      </c>
    </row>
    <row r="79" spans="1:6">
      <c r="A79" s="19">
        <f t="shared" si="16"/>
        <v>2006</v>
      </c>
      <c r="B79" s="16">
        <v>38869</v>
      </c>
      <c r="C79" s="527">
        <v>156.30000000000001</v>
      </c>
      <c r="D79" s="526">
        <f t="shared" si="14"/>
        <v>201.09999999999997</v>
      </c>
      <c r="E79" s="527">
        <v>357.4</v>
      </c>
      <c r="F79" s="357">
        <f t="shared" si="15"/>
        <v>0.43732512590934536</v>
      </c>
    </row>
    <row r="80" spans="1:6">
      <c r="A80" s="19">
        <f t="shared" si="16"/>
        <v>2006</v>
      </c>
      <c r="B80" s="16">
        <v>38961</v>
      </c>
      <c r="C80" s="529">
        <v>190.2</v>
      </c>
      <c r="D80" s="528">
        <f t="shared" si="14"/>
        <v>204.40000000000003</v>
      </c>
      <c r="E80" s="529">
        <v>394.6</v>
      </c>
      <c r="F80" s="356">
        <f t="shared" si="15"/>
        <v>0.48200709579320827</v>
      </c>
    </row>
    <row r="81" spans="1:6">
      <c r="A81" s="19">
        <f t="shared" si="16"/>
        <v>2006</v>
      </c>
      <c r="B81" s="16">
        <v>39052</v>
      </c>
      <c r="C81" s="527">
        <v>217.3</v>
      </c>
      <c r="D81" s="526">
        <f t="shared" si="14"/>
        <v>230.89999999999998</v>
      </c>
      <c r="E81" s="527">
        <v>448.2</v>
      </c>
      <c r="F81" s="357">
        <f t="shared" si="15"/>
        <v>0.48482820169567159</v>
      </c>
    </row>
    <row r="82" spans="1:6">
      <c r="A82" s="19">
        <f t="shared" si="16"/>
        <v>2007</v>
      </c>
      <c r="B82" s="16">
        <v>39142</v>
      </c>
      <c r="C82" s="529">
        <v>179.9</v>
      </c>
      <c r="D82" s="528">
        <f t="shared" si="14"/>
        <v>189.4</v>
      </c>
      <c r="E82" s="529">
        <v>369.3</v>
      </c>
      <c r="F82" s="356">
        <f t="shared" si="15"/>
        <v>0.48713782832385594</v>
      </c>
    </row>
    <row r="83" spans="1:6">
      <c r="A83" s="19">
        <f t="shared" si="16"/>
        <v>2007</v>
      </c>
      <c r="B83" s="16">
        <v>39234</v>
      </c>
      <c r="C83" s="527">
        <v>251.8</v>
      </c>
      <c r="D83" s="526">
        <f t="shared" si="14"/>
        <v>250.7</v>
      </c>
      <c r="E83" s="527">
        <v>502.5</v>
      </c>
      <c r="F83" s="357">
        <f t="shared" si="15"/>
        <v>0.50109452736318405</v>
      </c>
    </row>
    <row r="84" spans="1:6">
      <c r="A84" s="19">
        <f t="shared" si="16"/>
        <v>2007</v>
      </c>
      <c r="B84" s="16">
        <v>39326</v>
      </c>
      <c r="C84" s="529">
        <v>293.3</v>
      </c>
      <c r="D84" s="528">
        <f t="shared" si="14"/>
        <v>270.09999999999997</v>
      </c>
      <c r="E84" s="529">
        <v>563.4</v>
      </c>
      <c r="F84" s="356">
        <f t="shared" si="15"/>
        <v>0.52058927937522192</v>
      </c>
    </row>
    <row r="85" spans="1:6">
      <c r="A85" s="19">
        <f t="shared" si="16"/>
        <v>2007</v>
      </c>
      <c r="B85" s="16">
        <v>39417</v>
      </c>
      <c r="C85" s="527">
        <v>313.8</v>
      </c>
      <c r="D85" s="526">
        <f t="shared" si="14"/>
        <v>312.09999999999997</v>
      </c>
      <c r="E85" s="527">
        <v>625.9</v>
      </c>
      <c r="F85" s="357">
        <f t="shared" si="15"/>
        <v>0.50135804441604093</v>
      </c>
    </row>
    <row r="86" spans="1:6">
      <c r="A86" s="19">
        <f t="shared" si="16"/>
        <v>2008</v>
      </c>
      <c r="B86" s="16">
        <v>39508</v>
      </c>
      <c r="C86" s="529">
        <v>271.39999999999998</v>
      </c>
      <c r="D86" s="528">
        <f t="shared" si="14"/>
        <v>272.60000000000002</v>
      </c>
      <c r="E86" s="529">
        <v>544</v>
      </c>
      <c r="F86" s="356">
        <f t="shared" si="15"/>
        <v>0.49889705882352936</v>
      </c>
    </row>
    <row r="87" spans="1:6">
      <c r="A87" s="19">
        <f t="shared" si="16"/>
        <v>2008</v>
      </c>
      <c r="B87" s="16">
        <v>39600</v>
      </c>
      <c r="C87" s="527">
        <v>381.2</v>
      </c>
      <c r="D87" s="526">
        <f t="shared" si="14"/>
        <v>346.90000000000003</v>
      </c>
      <c r="E87" s="527">
        <v>728.1</v>
      </c>
      <c r="F87" s="357">
        <f t="shared" si="15"/>
        <v>0.52355445680538382</v>
      </c>
    </row>
    <row r="88" spans="1:6">
      <c r="A88" s="19">
        <f t="shared" si="16"/>
        <v>2008</v>
      </c>
      <c r="B88" s="16">
        <v>39692</v>
      </c>
      <c r="C88" s="529">
        <v>383.8</v>
      </c>
      <c r="D88" s="528">
        <f t="shared" si="14"/>
        <v>303.90000000000003</v>
      </c>
      <c r="E88" s="529">
        <v>687.7</v>
      </c>
      <c r="F88" s="356">
        <f t="shared" si="15"/>
        <v>0.55809219136251276</v>
      </c>
    </row>
    <row r="89" spans="1:6">
      <c r="A89" s="19">
        <f t="shared" si="16"/>
        <v>2008</v>
      </c>
      <c r="B89" s="16">
        <v>39783</v>
      </c>
      <c r="C89" s="527">
        <v>364</v>
      </c>
      <c r="D89" s="526">
        <f t="shared" si="14"/>
        <v>284.5</v>
      </c>
      <c r="E89" s="527">
        <v>648.5</v>
      </c>
      <c r="F89" s="357">
        <f t="shared" si="15"/>
        <v>0.56129529683885893</v>
      </c>
    </row>
    <row r="90" spans="1:6">
      <c r="A90" s="19">
        <f t="shared" si="16"/>
        <v>2009</v>
      </c>
      <c r="B90" s="16">
        <v>39873</v>
      </c>
      <c r="C90" s="529">
        <v>224.2</v>
      </c>
      <c r="D90" s="528">
        <f t="shared" si="14"/>
        <v>179.3</v>
      </c>
      <c r="E90" s="529">
        <v>403.5</v>
      </c>
      <c r="F90" s="356">
        <f t="shared" si="15"/>
        <v>0.55563816604708793</v>
      </c>
    </row>
    <row r="91" spans="1:6">
      <c r="A91" s="19">
        <f t="shared" si="16"/>
        <v>2009</v>
      </c>
      <c r="B91" s="16">
        <v>39965</v>
      </c>
      <c r="C91" s="527">
        <v>274.8</v>
      </c>
      <c r="D91" s="526">
        <f t="shared" si="14"/>
        <v>208.7</v>
      </c>
      <c r="E91" s="527">
        <v>483.5</v>
      </c>
      <c r="F91" s="357">
        <f t="shared" si="15"/>
        <v>0.56835573940020689</v>
      </c>
    </row>
    <row r="92" spans="1:6">
      <c r="A92" s="19">
        <f t="shared" si="16"/>
        <v>2009</v>
      </c>
      <c r="B92" s="16">
        <v>40057</v>
      </c>
      <c r="C92" s="529">
        <v>298.89999999999998</v>
      </c>
      <c r="D92" s="528">
        <f t="shared" si="14"/>
        <v>258.5</v>
      </c>
      <c r="E92" s="529">
        <v>557.4</v>
      </c>
      <c r="F92" s="356">
        <f t="shared" si="15"/>
        <v>0.5362396842482956</v>
      </c>
    </row>
    <row r="93" spans="1:6">
      <c r="A93" s="19">
        <f t="shared" si="16"/>
        <v>2009</v>
      </c>
      <c r="B93" s="16">
        <v>40148</v>
      </c>
      <c r="C93" s="527">
        <v>321.7</v>
      </c>
      <c r="D93" s="526">
        <f t="shared" si="14"/>
        <v>257.09999999999997</v>
      </c>
      <c r="E93" s="527">
        <v>578.79999999999995</v>
      </c>
      <c r="F93" s="357">
        <f t="shared" si="15"/>
        <v>0.55580511402902555</v>
      </c>
    </row>
    <row r="94" spans="1:6">
      <c r="A94" s="19">
        <f t="shared" si="16"/>
        <v>2010</v>
      </c>
      <c r="B94" s="16">
        <v>40238</v>
      </c>
      <c r="C94" s="529">
        <v>257.10000000000002</v>
      </c>
      <c r="D94" s="528">
        <f t="shared" si="14"/>
        <v>202.2</v>
      </c>
      <c r="E94" s="529">
        <v>459.3</v>
      </c>
      <c r="F94" s="356">
        <f t="shared" si="15"/>
        <v>0.5597648595689092</v>
      </c>
    </row>
    <row r="95" spans="1:6">
      <c r="A95" s="19">
        <f t="shared" si="16"/>
        <v>2010</v>
      </c>
      <c r="B95" s="16">
        <v>40330</v>
      </c>
      <c r="C95" s="527">
        <v>366.3</v>
      </c>
      <c r="D95" s="526">
        <f t="shared" si="14"/>
        <v>270.8</v>
      </c>
      <c r="E95" s="527">
        <v>637.1</v>
      </c>
      <c r="F95" s="357">
        <f t="shared" si="15"/>
        <v>0.57494898760006274</v>
      </c>
    </row>
    <row r="96" spans="1:6">
      <c r="A96" s="19">
        <f t="shared" si="16"/>
        <v>2010</v>
      </c>
      <c r="B96" s="16">
        <v>40422</v>
      </c>
      <c r="C96" s="529">
        <v>384.6</v>
      </c>
      <c r="D96" s="528">
        <f t="shared" si="14"/>
        <v>284.79999999999995</v>
      </c>
      <c r="E96" s="529">
        <v>669.4</v>
      </c>
      <c r="F96" s="356">
        <f t="shared" si="15"/>
        <v>0.57454436809082765</v>
      </c>
    </row>
    <row r="97" spans="1:6">
      <c r="A97" s="19">
        <f t="shared" si="16"/>
        <v>2010</v>
      </c>
      <c r="B97" s="16">
        <v>40513</v>
      </c>
      <c r="C97" s="527">
        <v>393.7</v>
      </c>
      <c r="D97" s="526">
        <f t="shared" si="14"/>
        <v>330.7</v>
      </c>
      <c r="E97" s="527">
        <v>724.4</v>
      </c>
      <c r="F97" s="357">
        <f t="shared" si="15"/>
        <v>0.54348426283821094</v>
      </c>
    </row>
    <row r="98" spans="1:6">
      <c r="A98" s="19">
        <f t="shared" si="16"/>
        <v>2011</v>
      </c>
      <c r="B98" s="16">
        <v>40603</v>
      </c>
      <c r="C98" s="529">
        <v>362.2</v>
      </c>
      <c r="D98" s="528">
        <f t="shared" si="14"/>
        <v>287.90000000000003</v>
      </c>
      <c r="E98" s="529">
        <v>650.1</v>
      </c>
      <c r="F98" s="356">
        <f t="shared" si="15"/>
        <v>0.55714505460698349</v>
      </c>
    </row>
    <row r="99" spans="1:6">
      <c r="A99" s="19">
        <f t="shared" si="16"/>
        <v>2011</v>
      </c>
      <c r="B99" s="16">
        <v>40695</v>
      </c>
      <c r="C99" s="527">
        <v>449.6</v>
      </c>
      <c r="D99" s="526">
        <f t="shared" si="14"/>
        <v>457.79999999999995</v>
      </c>
      <c r="E99" s="527">
        <v>907.4</v>
      </c>
      <c r="F99" s="357">
        <f t="shared" si="15"/>
        <v>0.49548159576812878</v>
      </c>
    </row>
    <row r="100" spans="1:6">
      <c r="A100" s="19">
        <f t="shared" si="16"/>
        <v>2011</v>
      </c>
      <c r="B100" s="16">
        <v>40787</v>
      </c>
      <c r="C100" s="529">
        <v>481.6</v>
      </c>
      <c r="D100" s="528">
        <f t="shared" si="14"/>
        <v>501.79999999999995</v>
      </c>
      <c r="E100" s="529">
        <v>983.4</v>
      </c>
      <c r="F100" s="356">
        <f t="shared" si="15"/>
        <v>0.48972950986373809</v>
      </c>
    </row>
    <row r="101" spans="1:6">
      <c r="A101" s="19">
        <f t="shared" si="16"/>
        <v>2011</v>
      </c>
      <c r="B101" s="16">
        <v>40878</v>
      </c>
      <c r="C101" s="527">
        <v>531.9</v>
      </c>
      <c r="D101" s="526">
        <f t="shared" si="14"/>
        <v>500.50000000000011</v>
      </c>
      <c r="E101" s="527">
        <v>1032.4000000000001</v>
      </c>
      <c r="F101" s="357">
        <f t="shared" si="15"/>
        <v>0.51520728399845017</v>
      </c>
    </row>
    <row r="102" spans="1:6">
      <c r="A102" s="19">
        <f t="shared" si="16"/>
        <v>2012</v>
      </c>
      <c r="B102" s="16">
        <v>40969</v>
      </c>
      <c r="C102" s="529">
        <v>490.1</v>
      </c>
      <c r="D102" s="528">
        <f t="shared" si="14"/>
        <v>386</v>
      </c>
      <c r="E102" s="529">
        <v>876.1</v>
      </c>
      <c r="F102" s="356">
        <f t="shared" si="15"/>
        <v>0.55941102613856863</v>
      </c>
    </row>
    <row r="103" spans="1:6">
      <c r="A103" s="19">
        <f t="shared" si="16"/>
        <v>2012</v>
      </c>
      <c r="B103" s="16">
        <v>41061</v>
      </c>
      <c r="C103" s="527">
        <v>603.20000000000005</v>
      </c>
      <c r="D103" s="526">
        <f t="shared" si="14"/>
        <v>457.89999999999986</v>
      </c>
      <c r="E103" s="527">
        <v>1061.0999999999999</v>
      </c>
      <c r="F103" s="357">
        <f t="shared" si="15"/>
        <v>0.56846668551503166</v>
      </c>
    </row>
    <row r="104" spans="1:6">
      <c r="A104" s="19">
        <f t="shared" si="16"/>
        <v>2012</v>
      </c>
      <c r="B104" s="16">
        <v>41153</v>
      </c>
      <c r="C104" s="529">
        <v>488.6</v>
      </c>
      <c r="D104" s="528">
        <f t="shared" ref="D104:D139" si="17">E104-C104</f>
        <v>406.1</v>
      </c>
      <c r="E104" s="529">
        <v>894.7</v>
      </c>
      <c r="F104" s="356">
        <f t="shared" ref="F104:F139" si="18">C104/E104</f>
        <v>0.54610483961104284</v>
      </c>
    </row>
    <row r="105" spans="1:6">
      <c r="A105" s="19">
        <f t="shared" si="16"/>
        <v>2012</v>
      </c>
      <c r="B105" s="16">
        <v>41244</v>
      </c>
      <c r="C105" s="527">
        <v>470.7</v>
      </c>
      <c r="D105" s="526">
        <f t="shared" si="17"/>
        <v>353.2</v>
      </c>
      <c r="E105" s="527">
        <v>823.9</v>
      </c>
      <c r="F105" s="357">
        <f t="shared" si="18"/>
        <v>0.5713071974754218</v>
      </c>
    </row>
    <row r="106" spans="1:6">
      <c r="A106" s="19">
        <f t="shared" si="16"/>
        <v>2013</v>
      </c>
      <c r="B106" s="16">
        <v>41334</v>
      </c>
      <c r="C106" s="529">
        <v>421.8</v>
      </c>
      <c r="D106" s="528">
        <f t="shared" si="17"/>
        <v>250.40000000000003</v>
      </c>
      <c r="E106" s="529">
        <v>672.2</v>
      </c>
      <c r="F106" s="356">
        <f t="shared" si="18"/>
        <v>0.6274918179113359</v>
      </c>
    </row>
    <row r="107" spans="1:6">
      <c r="A107" s="19">
        <f t="shared" si="16"/>
        <v>2013</v>
      </c>
      <c r="B107" s="16">
        <v>41426</v>
      </c>
      <c r="C107" s="527">
        <v>382.3</v>
      </c>
      <c r="D107" s="526">
        <f t="shared" si="17"/>
        <v>282.3</v>
      </c>
      <c r="E107" s="527">
        <v>664.6</v>
      </c>
      <c r="F107" s="357">
        <f t="shared" si="18"/>
        <v>0.575233222991273</v>
      </c>
    </row>
    <row r="108" spans="1:6">
      <c r="A108" s="19">
        <f t="shared" si="16"/>
        <v>2013</v>
      </c>
      <c r="B108" s="16">
        <v>41518</v>
      </c>
      <c r="C108" s="529">
        <v>395.8</v>
      </c>
      <c r="D108" s="528">
        <f t="shared" si="17"/>
        <v>242.59999999999997</v>
      </c>
      <c r="E108" s="529">
        <v>638.4</v>
      </c>
      <c r="F108" s="356">
        <f t="shared" si="18"/>
        <v>0.6199874686716792</v>
      </c>
    </row>
    <row r="109" spans="1:6">
      <c r="A109" s="19">
        <f t="shared" si="16"/>
        <v>2013</v>
      </c>
      <c r="B109" s="16">
        <v>41609</v>
      </c>
      <c r="C109" s="527">
        <v>308.3</v>
      </c>
      <c r="D109" s="526">
        <f t="shared" si="17"/>
        <v>239.09999999999997</v>
      </c>
      <c r="E109" s="527">
        <v>547.4</v>
      </c>
      <c r="F109" s="357">
        <f t="shared" si="18"/>
        <v>0.56320789185239317</v>
      </c>
    </row>
    <row r="110" spans="1:6">
      <c r="A110" s="19">
        <f t="shared" si="16"/>
        <v>2014</v>
      </c>
      <c r="B110" s="16">
        <v>41699</v>
      </c>
      <c r="C110" s="529">
        <v>206.2</v>
      </c>
      <c r="D110" s="528">
        <f t="shared" si="17"/>
        <v>201.8</v>
      </c>
      <c r="E110" s="529">
        <v>408</v>
      </c>
      <c r="F110" s="356">
        <f t="shared" si="18"/>
        <v>0.50539215686274508</v>
      </c>
    </row>
    <row r="111" spans="1:6">
      <c r="A111" s="19">
        <f t="shared" si="16"/>
        <v>2014</v>
      </c>
      <c r="B111" s="16">
        <v>41791</v>
      </c>
      <c r="C111" s="527">
        <v>309.7</v>
      </c>
      <c r="D111" s="526">
        <f t="shared" si="17"/>
        <v>205.3</v>
      </c>
      <c r="E111" s="527">
        <v>515</v>
      </c>
      <c r="F111" s="357">
        <f t="shared" si="18"/>
        <v>0.6013592233009708</v>
      </c>
    </row>
    <row r="112" spans="1:6">
      <c r="A112" s="19">
        <f t="shared" si="16"/>
        <v>2014</v>
      </c>
      <c r="B112" s="16">
        <v>41883</v>
      </c>
      <c r="C112" s="529">
        <v>267.10000000000002</v>
      </c>
      <c r="D112" s="528">
        <f t="shared" si="17"/>
        <v>190.59999999999997</v>
      </c>
      <c r="E112" s="529">
        <v>457.7</v>
      </c>
      <c r="F112" s="356">
        <f t="shared" si="18"/>
        <v>0.58357002403320957</v>
      </c>
    </row>
    <row r="113" spans="1:6">
      <c r="A113" s="19">
        <f t="shared" si="16"/>
        <v>2014</v>
      </c>
      <c r="B113" s="16">
        <v>41974</v>
      </c>
      <c r="C113" s="527">
        <v>262.3</v>
      </c>
      <c r="D113" s="526">
        <f t="shared" si="17"/>
        <v>196.89999999999998</v>
      </c>
      <c r="E113" s="527">
        <v>459.2</v>
      </c>
      <c r="F113" s="357">
        <f t="shared" si="18"/>
        <v>0.57121080139372826</v>
      </c>
    </row>
    <row r="114" spans="1:6">
      <c r="A114" s="19">
        <f t="shared" si="16"/>
        <v>2015</v>
      </c>
      <c r="B114" s="16">
        <v>42064</v>
      </c>
      <c r="C114" s="529">
        <v>183.2</v>
      </c>
      <c r="D114" s="528">
        <f t="shared" si="17"/>
        <v>134.5</v>
      </c>
      <c r="E114" s="529">
        <v>317.7</v>
      </c>
      <c r="F114" s="356">
        <f t="shared" si="18"/>
        <v>0.57664463330185711</v>
      </c>
    </row>
    <row r="115" spans="1:6">
      <c r="A115" s="19">
        <f t="shared" si="16"/>
        <v>2015</v>
      </c>
      <c r="B115" s="16">
        <v>42156</v>
      </c>
      <c r="C115" s="527">
        <v>204.8</v>
      </c>
      <c r="D115" s="526">
        <f t="shared" si="17"/>
        <v>139.30000000000001</v>
      </c>
      <c r="E115" s="527">
        <v>344.1</v>
      </c>
      <c r="F115" s="357">
        <f t="shared" si="18"/>
        <v>0.59517582098227262</v>
      </c>
    </row>
    <row r="116" spans="1:6">
      <c r="A116" s="19">
        <f t="shared" si="16"/>
        <v>2015</v>
      </c>
      <c r="B116" s="16">
        <v>42248</v>
      </c>
      <c r="C116" s="529">
        <v>233.1</v>
      </c>
      <c r="D116" s="528">
        <f t="shared" si="17"/>
        <v>160.9</v>
      </c>
      <c r="E116" s="529">
        <v>394</v>
      </c>
      <c r="F116" s="356">
        <f t="shared" si="18"/>
        <v>0.59162436548223352</v>
      </c>
    </row>
    <row r="117" spans="1:6">
      <c r="A117" s="19">
        <f t="shared" si="16"/>
        <v>2015</v>
      </c>
      <c r="B117" s="16">
        <v>42339</v>
      </c>
      <c r="C117" s="527">
        <v>222.6</v>
      </c>
      <c r="D117" s="526">
        <f t="shared" si="17"/>
        <v>160.20000000000002</v>
      </c>
      <c r="E117" s="527">
        <v>382.8</v>
      </c>
      <c r="F117" s="357">
        <f t="shared" si="18"/>
        <v>0.58150470219435735</v>
      </c>
    </row>
    <row r="118" spans="1:6">
      <c r="A118" s="19">
        <f t="shared" si="16"/>
        <v>2016</v>
      </c>
      <c r="B118" s="16">
        <v>42430</v>
      </c>
      <c r="C118" s="529">
        <v>187.1</v>
      </c>
      <c r="D118" s="528">
        <f t="shared" si="17"/>
        <v>103.29999999999998</v>
      </c>
      <c r="E118" s="529">
        <v>290.39999999999998</v>
      </c>
      <c r="F118" s="356">
        <f t="shared" si="18"/>
        <v>0.64428374655647391</v>
      </c>
    </row>
    <row r="119" spans="1:6">
      <c r="A119" s="19">
        <f t="shared" si="16"/>
        <v>2016</v>
      </c>
      <c r="B119" s="16">
        <v>42522</v>
      </c>
      <c r="C119" s="527">
        <v>228.2</v>
      </c>
      <c r="D119" s="526">
        <f t="shared" si="17"/>
        <v>125.69999999999999</v>
      </c>
      <c r="E119" s="527">
        <v>353.9</v>
      </c>
      <c r="F119" s="357">
        <f t="shared" si="18"/>
        <v>0.64481491946877645</v>
      </c>
    </row>
    <row r="120" spans="1:6">
      <c r="A120" s="19">
        <f t="shared" si="16"/>
        <v>2016</v>
      </c>
      <c r="B120" s="16">
        <v>42614</v>
      </c>
      <c r="C120" s="529">
        <v>248.8</v>
      </c>
      <c r="D120" s="528">
        <f t="shared" si="17"/>
        <v>130.69999999999999</v>
      </c>
      <c r="E120" s="529">
        <v>379.5</v>
      </c>
      <c r="F120" s="356">
        <f t="shared" si="18"/>
        <v>0.65559947299077737</v>
      </c>
    </row>
    <row r="121" spans="1:6">
      <c r="A121" s="19">
        <f t="shared" si="16"/>
        <v>2016</v>
      </c>
      <c r="B121" s="16">
        <v>42705</v>
      </c>
      <c r="C121" s="527">
        <v>263.5</v>
      </c>
      <c r="D121" s="526">
        <f t="shared" si="17"/>
        <v>139.60000000000002</v>
      </c>
      <c r="E121" s="527">
        <v>403.1</v>
      </c>
      <c r="F121" s="357">
        <f t="shared" si="18"/>
        <v>0.65368394939221031</v>
      </c>
    </row>
    <row r="122" spans="1:6">
      <c r="A122" s="19">
        <f t="shared" si="16"/>
        <v>2017</v>
      </c>
      <c r="B122" s="16">
        <v>42795</v>
      </c>
      <c r="C122" s="529">
        <v>225</v>
      </c>
      <c r="D122" s="528">
        <f t="shared" si="17"/>
        <v>112.60000000000002</v>
      </c>
      <c r="E122" s="529">
        <v>337.6</v>
      </c>
      <c r="F122" s="356">
        <f t="shared" si="18"/>
        <v>0.66646919431279616</v>
      </c>
    </row>
    <row r="123" spans="1:6">
      <c r="A123" s="19">
        <f t="shared" si="16"/>
        <v>2017</v>
      </c>
      <c r="B123" s="16">
        <v>42887</v>
      </c>
      <c r="C123" s="527">
        <v>291</v>
      </c>
      <c r="D123" s="526">
        <f t="shared" si="17"/>
        <v>153.89999999999998</v>
      </c>
      <c r="E123" s="527">
        <v>444.9</v>
      </c>
      <c r="F123" s="357">
        <f t="shared" si="18"/>
        <v>0.6540795684423466</v>
      </c>
    </row>
    <row r="124" spans="1:6">
      <c r="A124" s="19">
        <f t="shared" si="16"/>
        <v>2017</v>
      </c>
      <c r="B124" s="16">
        <v>42979</v>
      </c>
      <c r="C124" s="648">
        <v>294.2</v>
      </c>
      <c r="D124" s="670">
        <f t="shared" si="17"/>
        <v>181</v>
      </c>
      <c r="E124" s="648">
        <v>475.2</v>
      </c>
      <c r="F124" s="356">
        <f t="shared" si="18"/>
        <v>0.61910774410774405</v>
      </c>
    </row>
    <row r="125" spans="1:6">
      <c r="A125" s="19">
        <f t="shared" si="16"/>
        <v>2017</v>
      </c>
      <c r="B125" s="16">
        <v>43070</v>
      </c>
      <c r="C125" s="527">
        <v>298.5</v>
      </c>
      <c r="D125" s="526">
        <f t="shared" si="17"/>
        <v>197.60000000000002</v>
      </c>
      <c r="E125" s="527">
        <v>496.1</v>
      </c>
      <c r="F125" s="357">
        <f t="shared" si="18"/>
        <v>0.60169320701471474</v>
      </c>
    </row>
    <row r="126" spans="1:6">
      <c r="A126" s="19">
        <f t="shared" si="16"/>
        <v>2018</v>
      </c>
      <c r="B126" s="16">
        <v>43160</v>
      </c>
      <c r="C126" s="648">
        <v>261</v>
      </c>
      <c r="D126" s="670">
        <f t="shared" si="17"/>
        <v>177.7</v>
      </c>
      <c r="E126" s="648">
        <v>438.7</v>
      </c>
      <c r="F126" s="356">
        <f t="shared" si="18"/>
        <v>0.59493959425575571</v>
      </c>
    </row>
    <row r="127" spans="1:6">
      <c r="A127" s="19">
        <f t="shared" si="16"/>
        <v>2018</v>
      </c>
      <c r="B127" s="16">
        <v>43252</v>
      </c>
      <c r="C127" s="671">
        <v>349.8</v>
      </c>
      <c r="D127" s="672">
        <f t="shared" si="17"/>
        <v>217.99999999999994</v>
      </c>
      <c r="E127" s="671">
        <v>567.79999999999995</v>
      </c>
      <c r="F127" s="357">
        <f t="shared" si="18"/>
        <v>0.61606199365973946</v>
      </c>
    </row>
    <row r="128" spans="1:6">
      <c r="A128" s="19">
        <f t="shared" si="16"/>
        <v>2018</v>
      </c>
      <c r="B128" s="16">
        <v>43344</v>
      </c>
      <c r="C128" s="648">
        <v>361</v>
      </c>
      <c r="D128" s="670">
        <f t="shared" si="17"/>
        <v>223.39999999999998</v>
      </c>
      <c r="E128" s="648">
        <v>584.4</v>
      </c>
      <c r="F128" s="356">
        <f t="shared" si="18"/>
        <v>0.61772758384668036</v>
      </c>
    </row>
    <row r="129" spans="1:7">
      <c r="A129" s="19">
        <f t="shared" si="16"/>
        <v>2018</v>
      </c>
      <c r="B129" s="16">
        <v>43435</v>
      </c>
      <c r="C129" s="671">
        <v>346.3</v>
      </c>
      <c r="D129" s="672">
        <f t="shared" si="17"/>
        <v>246.40000000000003</v>
      </c>
      <c r="E129" s="671">
        <v>592.70000000000005</v>
      </c>
      <c r="F129" s="357">
        <f t="shared" si="18"/>
        <v>0.58427535009279563</v>
      </c>
    </row>
    <row r="130" spans="1:7">
      <c r="A130" s="19">
        <f t="shared" si="16"/>
        <v>2019</v>
      </c>
      <c r="B130" s="16">
        <v>43525</v>
      </c>
      <c r="C130" s="648">
        <v>319.5</v>
      </c>
      <c r="D130" s="670">
        <f t="shared" si="17"/>
        <v>186.2</v>
      </c>
      <c r="E130" s="648">
        <v>505.7</v>
      </c>
      <c r="F130" s="356">
        <f t="shared" si="18"/>
        <v>0.63179750840419224</v>
      </c>
    </row>
    <row r="131" spans="1:7">
      <c r="A131" s="19">
        <f t="shared" si="16"/>
        <v>2019</v>
      </c>
      <c r="B131" s="16">
        <v>43617</v>
      </c>
      <c r="C131" s="671">
        <v>415.1</v>
      </c>
      <c r="D131" s="672">
        <f t="shared" si="17"/>
        <v>249.69999999999993</v>
      </c>
      <c r="E131" s="671">
        <v>664.8</v>
      </c>
      <c r="F131" s="357">
        <f t="shared" si="18"/>
        <v>0.62439831528279188</v>
      </c>
      <c r="G131" s="250"/>
    </row>
    <row r="132" spans="1:7">
      <c r="A132" s="19">
        <f t="shared" si="16"/>
        <v>2019</v>
      </c>
      <c r="B132" s="16">
        <v>43709</v>
      </c>
      <c r="C132" s="673">
        <v>459.7</v>
      </c>
      <c r="D132" s="674">
        <f t="shared" si="17"/>
        <v>265.09999999999997</v>
      </c>
      <c r="E132" s="673">
        <v>724.8</v>
      </c>
      <c r="F132" s="358">
        <f t="shared" si="18"/>
        <v>0.63424392935982343</v>
      </c>
    </row>
    <row r="133" spans="1:7">
      <c r="A133" s="19">
        <f t="shared" si="16"/>
        <v>2019</v>
      </c>
      <c r="B133" s="16">
        <v>43800</v>
      </c>
      <c r="C133" s="671">
        <v>453.9</v>
      </c>
      <c r="D133" s="672">
        <f t="shared" si="17"/>
        <v>299.20000000000005</v>
      </c>
      <c r="E133" s="671">
        <v>753.1</v>
      </c>
      <c r="F133" s="357">
        <f t="shared" si="18"/>
        <v>0.60270880361173806</v>
      </c>
    </row>
    <row r="134" spans="1:7">
      <c r="A134" s="19">
        <f t="shared" si="16"/>
        <v>2020</v>
      </c>
      <c r="B134" s="16">
        <v>43891</v>
      </c>
      <c r="C134" s="648">
        <v>367.1</v>
      </c>
      <c r="D134" s="674">
        <f t="shared" si="17"/>
        <v>243.5</v>
      </c>
      <c r="E134" s="673">
        <v>610.6</v>
      </c>
      <c r="F134" s="358">
        <f t="shared" si="18"/>
        <v>0.6012119226989846</v>
      </c>
    </row>
    <row r="135" spans="1:7">
      <c r="A135" s="19">
        <f t="shared" si="16"/>
        <v>2020</v>
      </c>
      <c r="B135" s="682">
        <v>43983</v>
      </c>
      <c r="C135" s="671">
        <v>412.4</v>
      </c>
      <c r="D135" s="672">
        <f t="shared" si="17"/>
        <v>270.89999999999998</v>
      </c>
      <c r="E135" s="671">
        <v>683.3</v>
      </c>
      <c r="F135" s="357">
        <f t="shared" si="18"/>
        <v>0.60354163617737455</v>
      </c>
    </row>
    <row r="136" spans="1:7">
      <c r="A136" s="19">
        <v>2020</v>
      </c>
      <c r="B136" s="16">
        <v>44075</v>
      </c>
      <c r="C136" s="673">
        <v>483.3</v>
      </c>
      <c r="D136" s="674">
        <f t="shared" si="17"/>
        <v>261.59999999999997</v>
      </c>
      <c r="E136" s="673">
        <v>744.9</v>
      </c>
      <c r="F136" s="358">
        <f t="shared" si="18"/>
        <v>0.64881192106323005</v>
      </c>
    </row>
    <row r="137" spans="1:7">
      <c r="A137" s="19">
        <v>2020</v>
      </c>
      <c r="B137" s="682">
        <v>44166</v>
      </c>
      <c r="C137" s="980">
        <v>494.7</v>
      </c>
      <c r="D137" s="981">
        <f t="shared" si="17"/>
        <v>275.3</v>
      </c>
      <c r="E137" s="980">
        <v>770</v>
      </c>
      <c r="F137" s="357">
        <f t="shared" si="18"/>
        <v>0.64246753246753241</v>
      </c>
    </row>
    <row r="138" spans="1:7">
      <c r="A138" s="19">
        <v>2021</v>
      </c>
      <c r="B138" s="16">
        <v>44256</v>
      </c>
      <c r="C138" s="813">
        <v>480.2</v>
      </c>
      <c r="D138" s="982">
        <f t="shared" si="17"/>
        <v>254.59999999999997</v>
      </c>
      <c r="E138" s="983">
        <v>734.8</v>
      </c>
      <c r="F138" s="358">
        <f t="shared" si="18"/>
        <v>0.65351115949918348</v>
      </c>
    </row>
    <row r="139" spans="1:7" ht="15.75" thickBot="1">
      <c r="A139" s="19">
        <v>2021</v>
      </c>
      <c r="B139" s="759">
        <v>44348</v>
      </c>
      <c r="C139" s="984">
        <v>593.9</v>
      </c>
      <c r="D139" s="985">
        <f t="shared" si="17"/>
        <v>318.10000000000002</v>
      </c>
      <c r="E139" s="984">
        <v>912</v>
      </c>
      <c r="F139" s="986">
        <f t="shared" si="18"/>
        <v>0.65120614035087721</v>
      </c>
    </row>
    <row r="140" spans="1:7">
      <c r="A140" s="19">
        <f t="shared" ref="A140:A200" si="19">YEAR(B142)</f>
        <v>1900</v>
      </c>
      <c r="C140" s="298"/>
      <c r="D140" s="298"/>
      <c r="E140" s="298"/>
    </row>
    <row r="141" spans="1:7">
      <c r="A141" s="19">
        <f t="shared" si="19"/>
        <v>1900</v>
      </c>
      <c r="C141" s="298"/>
      <c r="D141" s="298"/>
      <c r="E141" s="298"/>
    </row>
    <row r="142" spans="1:7">
      <c r="A142" s="19">
        <f t="shared" si="19"/>
        <v>1900</v>
      </c>
      <c r="C142" s="298"/>
      <c r="D142" s="298"/>
      <c r="E142" s="298"/>
    </row>
    <row r="143" spans="1:7">
      <c r="A143" s="19">
        <f t="shared" si="19"/>
        <v>1900</v>
      </c>
      <c r="C143" s="298"/>
      <c r="D143" s="298"/>
      <c r="E143" s="298"/>
    </row>
    <row r="144" spans="1:7">
      <c r="A144" s="19">
        <f t="shared" si="19"/>
        <v>1900</v>
      </c>
      <c r="C144" s="298"/>
      <c r="D144" s="298"/>
      <c r="E144" s="298"/>
    </row>
    <row r="145" spans="1:5">
      <c r="A145" s="19">
        <f t="shared" si="19"/>
        <v>1900</v>
      </c>
      <c r="C145" s="298"/>
      <c r="D145" s="298"/>
      <c r="E145" s="298"/>
    </row>
    <row r="146" spans="1:5">
      <c r="A146" s="19">
        <f t="shared" si="19"/>
        <v>1900</v>
      </c>
      <c r="C146" s="298"/>
      <c r="D146" s="298"/>
      <c r="E146" s="298"/>
    </row>
    <row r="147" spans="1:5">
      <c r="A147" s="19">
        <f t="shared" si="19"/>
        <v>1900</v>
      </c>
      <c r="C147" s="298"/>
      <c r="D147" s="298"/>
      <c r="E147" s="298"/>
    </row>
    <row r="148" spans="1:5">
      <c r="A148" s="19">
        <f t="shared" si="19"/>
        <v>1900</v>
      </c>
      <c r="C148" s="298"/>
      <c r="D148" s="298"/>
      <c r="E148" s="298"/>
    </row>
    <row r="149" spans="1:5">
      <c r="A149" s="19">
        <f t="shared" si="19"/>
        <v>1900</v>
      </c>
      <c r="C149" s="298"/>
      <c r="D149" s="298"/>
      <c r="E149" s="298"/>
    </row>
    <row r="150" spans="1:5">
      <c r="A150" s="19">
        <f t="shared" si="19"/>
        <v>1900</v>
      </c>
      <c r="C150" s="298"/>
      <c r="D150" s="298"/>
      <c r="E150" s="298"/>
    </row>
    <row r="151" spans="1:5">
      <c r="A151" s="19">
        <f t="shared" si="19"/>
        <v>1900</v>
      </c>
      <c r="C151" s="298"/>
      <c r="D151" s="298"/>
      <c r="E151" s="298"/>
    </row>
    <row r="152" spans="1:5">
      <c r="A152" s="19">
        <f t="shared" si="19"/>
        <v>1900</v>
      </c>
      <c r="C152" s="298"/>
      <c r="D152" s="298"/>
      <c r="E152" s="298"/>
    </row>
    <row r="153" spans="1:5">
      <c r="A153" s="19">
        <f t="shared" si="19"/>
        <v>1900</v>
      </c>
      <c r="C153" s="298"/>
      <c r="D153" s="298"/>
      <c r="E153" s="298"/>
    </row>
    <row r="154" spans="1:5">
      <c r="A154" s="19">
        <f t="shared" si="19"/>
        <v>1900</v>
      </c>
      <c r="C154" s="298"/>
      <c r="D154" s="298"/>
      <c r="E154" s="298"/>
    </row>
    <row r="155" spans="1:5">
      <c r="A155" s="19">
        <f t="shared" si="19"/>
        <v>1900</v>
      </c>
      <c r="C155" s="298"/>
      <c r="D155" s="298"/>
      <c r="E155" s="298"/>
    </row>
    <row r="156" spans="1:5">
      <c r="A156" s="19">
        <f t="shared" si="19"/>
        <v>1900</v>
      </c>
      <c r="C156" s="298"/>
      <c r="D156" s="298"/>
      <c r="E156" s="298"/>
    </row>
    <row r="157" spans="1:5">
      <c r="A157" s="19">
        <f t="shared" si="19"/>
        <v>1900</v>
      </c>
      <c r="C157" s="298"/>
      <c r="D157" s="298"/>
      <c r="E157" s="298"/>
    </row>
    <row r="158" spans="1:5">
      <c r="A158" s="19">
        <f t="shared" si="19"/>
        <v>1900</v>
      </c>
      <c r="C158" s="298"/>
      <c r="D158" s="298"/>
      <c r="E158" s="298"/>
    </row>
    <row r="159" spans="1:5">
      <c r="A159" s="19">
        <f t="shared" si="19"/>
        <v>1900</v>
      </c>
      <c r="C159" s="298"/>
      <c r="D159" s="298"/>
      <c r="E159" s="298"/>
    </row>
    <row r="160" spans="1:5">
      <c r="A160" s="19">
        <f t="shared" si="19"/>
        <v>1900</v>
      </c>
      <c r="C160" s="298"/>
      <c r="D160" s="298"/>
      <c r="E160" s="298"/>
    </row>
    <row r="161" spans="1:5">
      <c r="A161" s="19">
        <f t="shared" si="19"/>
        <v>1900</v>
      </c>
      <c r="C161" s="298"/>
      <c r="D161" s="298"/>
      <c r="E161" s="298"/>
    </row>
    <row r="162" spans="1:5">
      <c r="A162" s="19">
        <f t="shared" si="19"/>
        <v>1900</v>
      </c>
      <c r="C162" s="298"/>
      <c r="D162" s="298"/>
      <c r="E162" s="298"/>
    </row>
    <row r="163" spans="1:5">
      <c r="A163" s="19">
        <f t="shared" si="19"/>
        <v>1900</v>
      </c>
      <c r="C163" s="298"/>
      <c r="D163" s="298"/>
      <c r="E163" s="298"/>
    </row>
    <row r="164" spans="1:5">
      <c r="A164" s="19">
        <f t="shared" si="19"/>
        <v>1900</v>
      </c>
      <c r="C164" s="298"/>
      <c r="D164" s="298"/>
      <c r="E164" s="298"/>
    </row>
    <row r="165" spans="1:5">
      <c r="A165" s="19">
        <f t="shared" si="19"/>
        <v>1900</v>
      </c>
      <c r="C165" s="298"/>
      <c r="D165" s="298"/>
      <c r="E165" s="298"/>
    </row>
    <row r="166" spans="1:5">
      <c r="A166" s="19">
        <f t="shared" si="19"/>
        <v>1900</v>
      </c>
      <c r="C166" s="298"/>
      <c r="D166" s="298"/>
      <c r="E166" s="298"/>
    </row>
    <row r="167" spans="1:5">
      <c r="A167" s="19">
        <f t="shared" si="19"/>
        <v>1900</v>
      </c>
      <c r="C167" s="298"/>
      <c r="D167" s="298"/>
      <c r="E167" s="298"/>
    </row>
    <row r="168" spans="1:5">
      <c r="A168" s="19">
        <f t="shared" si="19"/>
        <v>1900</v>
      </c>
      <c r="C168" s="298"/>
      <c r="D168" s="298"/>
      <c r="E168" s="298"/>
    </row>
    <row r="169" spans="1:5">
      <c r="A169" s="19">
        <f t="shared" si="19"/>
        <v>1900</v>
      </c>
      <c r="C169" s="298"/>
      <c r="D169" s="298"/>
      <c r="E169" s="298"/>
    </row>
    <row r="170" spans="1:5">
      <c r="A170" s="19">
        <f t="shared" si="19"/>
        <v>1900</v>
      </c>
      <c r="C170" s="298"/>
      <c r="D170" s="298"/>
      <c r="E170" s="298"/>
    </row>
    <row r="171" spans="1:5">
      <c r="A171" s="19">
        <f t="shared" si="19"/>
        <v>1900</v>
      </c>
      <c r="C171" s="298"/>
      <c r="D171" s="298"/>
      <c r="E171" s="298"/>
    </row>
    <row r="172" spans="1:5">
      <c r="A172" s="19">
        <f t="shared" si="19"/>
        <v>1900</v>
      </c>
      <c r="C172" s="298"/>
      <c r="D172" s="298"/>
      <c r="E172" s="298"/>
    </row>
    <row r="173" spans="1:5">
      <c r="A173" s="19">
        <f t="shared" si="19"/>
        <v>1900</v>
      </c>
      <c r="C173" s="298"/>
      <c r="D173" s="298"/>
      <c r="E173" s="298"/>
    </row>
    <row r="174" spans="1:5">
      <c r="A174" s="19">
        <f t="shared" si="19"/>
        <v>1900</v>
      </c>
      <c r="C174" s="298"/>
      <c r="D174" s="298"/>
      <c r="E174" s="298"/>
    </row>
    <row r="175" spans="1:5">
      <c r="A175" s="19">
        <f t="shared" si="19"/>
        <v>1900</v>
      </c>
      <c r="C175" s="298"/>
      <c r="D175" s="298"/>
      <c r="E175" s="298"/>
    </row>
    <row r="176" spans="1:5">
      <c r="A176" s="19">
        <f t="shared" si="19"/>
        <v>1900</v>
      </c>
      <c r="C176" s="298"/>
      <c r="D176" s="298"/>
      <c r="E176" s="298"/>
    </row>
    <row r="177" spans="1:5">
      <c r="A177" s="19">
        <f t="shared" si="19"/>
        <v>1900</v>
      </c>
      <c r="C177" s="298"/>
      <c r="D177" s="298"/>
      <c r="E177" s="298"/>
    </row>
    <row r="178" spans="1:5">
      <c r="A178" s="19">
        <f t="shared" si="19"/>
        <v>1900</v>
      </c>
      <c r="C178" s="298"/>
      <c r="D178" s="298"/>
      <c r="E178" s="298"/>
    </row>
    <row r="179" spans="1:5">
      <c r="A179" s="19">
        <f t="shared" si="19"/>
        <v>1900</v>
      </c>
      <c r="C179" s="298"/>
      <c r="D179" s="298"/>
      <c r="E179" s="298"/>
    </row>
    <row r="180" spans="1:5">
      <c r="A180" s="19">
        <f t="shared" si="19"/>
        <v>1900</v>
      </c>
      <c r="C180" s="298"/>
      <c r="D180" s="298"/>
      <c r="E180" s="298"/>
    </row>
    <row r="181" spans="1:5">
      <c r="A181" s="19">
        <f t="shared" si="19"/>
        <v>1900</v>
      </c>
      <c r="C181" s="298"/>
      <c r="D181" s="298"/>
      <c r="E181" s="298"/>
    </row>
    <row r="182" spans="1:5">
      <c r="A182" s="19">
        <f t="shared" si="19"/>
        <v>1900</v>
      </c>
      <c r="C182" s="298"/>
      <c r="D182" s="298"/>
      <c r="E182" s="298"/>
    </row>
    <row r="183" spans="1:5">
      <c r="A183" s="19">
        <f t="shared" si="19"/>
        <v>1900</v>
      </c>
      <c r="C183" s="298"/>
      <c r="D183" s="298"/>
      <c r="E183" s="298"/>
    </row>
    <row r="184" spans="1:5">
      <c r="A184" s="19">
        <f t="shared" si="19"/>
        <v>1900</v>
      </c>
      <c r="C184" s="298"/>
      <c r="D184" s="298"/>
      <c r="E184" s="298"/>
    </row>
    <row r="185" spans="1:5">
      <c r="A185" s="19">
        <f t="shared" si="19"/>
        <v>1900</v>
      </c>
      <c r="C185" s="298"/>
      <c r="D185" s="298"/>
      <c r="E185" s="298"/>
    </row>
    <row r="186" spans="1:5">
      <c r="A186" s="19">
        <f t="shared" si="19"/>
        <v>1900</v>
      </c>
      <c r="C186" s="298"/>
      <c r="D186" s="298"/>
      <c r="E186" s="298"/>
    </row>
    <row r="187" spans="1:5">
      <c r="A187" s="19">
        <f t="shared" si="19"/>
        <v>1900</v>
      </c>
      <c r="C187" s="298"/>
      <c r="D187" s="298"/>
      <c r="E187" s="298"/>
    </row>
    <row r="188" spans="1:5">
      <c r="A188" s="19">
        <f t="shared" si="19"/>
        <v>1900</v>
      </c>
      <c r="C188" s="298"/>
      <c r="D188" s="298"/>
      <c r="E188" s="298"/>
    </row>
    <row r="189" spans="1:5">
      <c r="A189" s="19">
        <f t="shared" si="19"/>
        <v>1900</v>
      </c>
      <c r="C189" s="298"/>
      <c r="D189" s="298"/>
      <c r="E189" s="298"/>
    </row>
    <row r="190" spans="1:5">
      <c r="A190" s="19">
        <f t="shared" si="19"/>
        <v>1900</v>
      </c>
      <c r="C190" s="298"/>
      <c r="D190" s="298"/>
      <c r="E190" s="298"/>
    </row>
    <row r="191" spans="1:5">
      <c r="A191" s="19">
        <f t="shared" si="19"/>
        <v>1900</v>
      </c>
      <c r="C191" s="298"/>
      <c r="D191" s="298"/>
      <c r="E191" s="298"/>
    </row>
    <row r="192" spans="1:5">
      <c r="A192" s="19">
        <f t="shared" si="19"/>
        <v>1900</v>
      </c>
      <c r="C192" s="298"/>
      <c r="D192" s="298"/>
      <c r="E192" s="298"/>
    </row>
    <row r="193" spans="1:5">
      <c r="A193" s="19">
        <f t="shared" si="19"/>
        <v>1900</v>
      </c>
      <c r="C193" s="298"/>
      <c r="D193" s="298"/>
      <c r="E193" s="298"/>
    </row>
    <row r="194" spans="1:5">
      <c r="A194" s="19">
        <f t="shared" si="19"/>
        <v>1900</v>
      </c>
      <c r="C194" s="298"/>
      <c r="D194" s="298"/>
      <c r="E194" s="298"/>
    </row>
    <row r="195" spans="1:5">
      <c r="A195" s="19">
        <f t="shared" si="19"/>
        <v>1900</v>
      </c>
      <c r="C195" s="298"/>
      <c r="D195" s="298"/>
      <c r="E195" s="298"/>
    </row>
    <row r="196" spans="1:5">
      <c r="A196" s="19">
        <f t="shared" si="19"/>
        <v>1900</v>
      </c>
      <c r="C196" s="298"/>
      <c r="D196" s="298"/>
      <c r="E196" s="298"/>
    </row>
    <row r="197" spans="1:5">
      <c r="A197" s="19">
        <f t="shared" si="19"/>
        <v>1900</v>
      </c>
      <c r="C197" s="298"/>
      <c r="D197" s="298"/>
      <c r="E197" s="298"/>
    </row>
    <row r="198" spans="1:5">
      <c r="A198" s="19">
        <f t="shared" si="19"/>
        <v>1900</v>
      </c>
      <c r="C198" s="298"/>
      <c r="D198" s="298"/>
      <c r="E198" s="298"/>
    </row>
    <row r="199" spans="1:5">
      <c r="A199" s="19">
        <f t="shared" si="19"/>
        <v>1900</v>
      </c>
      <c r="C199" s="298"/>
      <c r="D199" s="298"/>
      <c r="E199" s="298"/>
    </row>
    <row r="200" spans="1:5">
      <c r="A200" s="19">
        <f t="shared" si="19"/>
        <v>1900</v>
      </c>
      <c r="C200" s="298"/>
      <c r="D200" s="298"/>
      <c r="E200" s="298"/>
    </row>
    <row r="201" spans="1:5">
      <c r="A201" s="19">
        <f t="shared" ref="A201:A264" si="20">YEAR(B203)</f>
        <v>1900</v>
      </c>
      <c r="C201" s="298"/>
      <c r="D201" s="298"/>
      <c r="E201" s="298"/>
    </row>
    <row r="202" spans="1:5">
      <c r="A202" s="19">
        <f t="shared" si="20"/>
        <v>1900</v>
      </c>
      <c r="C202" s="298"/>
      <c r="D202" s="298"/>
      <c r="E202" s="298"/>
    </row>
    <row r="203" spans="1:5">
      <c r="A203" s="19">
        <f t="shared" si="20"/>
        <v>1900</v>
      </c>
      <c r="C203" s="298"/>
      <c r="D203" s="298"/>
      <c r="E203" s="298"/>
    </row>
    <row r="204" spans="1:5">
      <c r="A204" s="19">
        <f t="shared" si="20"/>
        <v>1900</v>
      </c>
      <c r="C204" s="298"/>
      <c r="D204" s="298"/>
      <c r="E204" s="298"/>
    </row>
    <row r="205" spans="1:5">
      <c r="A205" s="19">
        <f t="shared" si="20"/>
        <v>1900</v>
      </c>
      <c r="C205" s="298"/>
      <c r="D205" s="298"/>
      <c r="E205" s="298"/>
    </row>
    <row r="206" spans="1:5">
      <c r="A206" s="19">
        <f t="shared" si="20"/>
        <v>1900</v>
      </c>
      <c r="C206" s="298"/>
      <c r="D206" s="298"/>
      <c r="E206" s="298"/>
    </row>
    <row r="207" spans="1:5">
      <c r="A207" s="19">
        <f t="shared" si="20"/>
        <v>1900</v>
      </c>
      <c r="C207" s="298"/>
      <c r="D207" s="298"/>
      <c r="E207" s="298"/>
    </row>
    <row r="208" spans="1:5">
      <c r="A208" s="19">
        <f t="shared" si="20"/>
        <v>1900</v>
      </c>
      <c r="C208" s="298"/>
      <c r="D208" s="298"/>
      <c r="E208" s="298"/>
    </row>
    <row r="209" spans="1:5">
      <c r="A209" s="19">
        <f t="shared" si="20"/>
        <v>1900</v>
      </c>
      <c r="C209" s="298"/>
      <c r="D209" s="298"/>
      <c r="E209" s="298"/>
    </row>
    <row r="210" spans="1:5">
      <c r="A210" s="19">
        <f t="shared" si="20"/>
        <v>1900</v>
      </c>
      <c r="C210" s="298"/>
      <c r="D210" s="298"/>
      <c r="E210" s="298"/>
    </row>
    <row r="211" spans="1:5">
      <c r="A211" s="19">
        <f t="shared" si="20"/>
        <v>1900</v>
      </c>
      <c r="C211" s="298"/>
      <c r="D211" s="298"/>
      <c r="E211" s="298"/>
    </row>
    <row r="212" spans="1:5">
      <c r="A212" s="19">
        <f t="shared" si="20"/>
        <v>1900</v>
      </c>
      <c r="C212" s="298"/>
      <c r="D212" s="298"/>
      <c r="E212" s="298"/>
    </row>
    <row r="213" spans="1:5">
      <c r="A213" s="19">
        <f t="shared" si="20"/>
        <v>1900</v>
      </c>
      <c r="C213" s="298"/>
      <c r="D213" s="298"/>
      <c r="E213" s="298"/>
    </row>
    <row r="214" spans="1:5">
      <c r="A214" s="19">
        <f t="shared" si="20"/>
        <v>1900</v>
      </c>
      <c r="C214" s="298"/>
      <c r="D214" s="298"/>
      <c r="E214" s="298"/>
    </row>
    <row r="215" spans="1:5">
      <c r="A215" s="19">
        <f t="shared" si="20"/>
        <v>1900</v>
      </c>
      <c r="C215" s="298"/>
      <c r="D215" s="298"/>
      <c r="E215" s="298"/>
    </row>
    <row r="216" spans="1:5">
      <c r="A216" s="19">
        <f t="shared" si="20"/>
        <v>1900</v>
      </c>
      <c r="C216" s="298"/>
      <c r="D216" s="298"/>
      <c r="E216" s="298"/>
    </row>
    <row r="217" spans="1:5">
      <c r="A217" s="19">
        <f t="shared" si="20"/>
        <v>1900</v>
      </c>
      <c r="C217" s="298"/>
      <c r="D217" s="298"/>
      <c r="E217" s="298"/>
    </row>
    <row r="218" spans="1:5">
      <c r="A218" s="19">
        <f t="shared" si="20"/>
        <v>1900</v>
      </c>
      <c r="C218" s="298"/>
      <c r="D218" s="298"/>
      <c r="E218" s="298"/>
    </row>
    <row r="219" spans="1:5">
      <c r="A219" s="19">
        <f t="shared" si="20"/>
        <v>1900</v>
      </c>
      <c r="C219" s="298"/>
      <c r="D219" s="298"/>
      <c r="E219" s="298"/>
    </row>
    <row r="220" spans="1:5">
      <c r="A220" s="19">
        <f t="shared" si="20"/>
        <v>1900</v>
      </c>
      <c r="C220" s="298"/>
      <c r="D220" s="298"/>
      <c r="E220" s="298"/>
    </row>
    <row r="221" spans="1:5">
      <c r="A221" s="19">
        <f t="shared" si="20"/>
        <v>1900</v>
      </c>
      <c r="C221" s="298"/>
      <c r="D221" s="298"/>
      <c r="E221" s="298"/>
    </row>
    <row r="222" spans="1:5">
      <c r="A222" s="19">
        <f t="shared" si="20"/>
        <v>1900</v>
      </c>
      <c r="C222" s="298"/>
      <c r="D222" s="298"/>
      <c r="E222" s="298"/>
    </row>
    <row r="223" spans="1:5">
      <c r="A223" s="19">
        <f t="shared" si="20"/>
        <v>1900</v>
      </c>
      <c r="C223" s="298"/>
      <c r="D223" s="298"/>
      <c r="E223" s="298"/>
    </row>
    <row r="224" spans="1:5">
      <c r="A224" s="19">
        <f t="shared" si="20"/>
        <v>1900</v>
      </c>
      <c r="C224" s="298"/>
      <c r="D224" s="298"/>
      <c r="E224" s="298"/>
    </row>
    <row r="225" spans="1:5">
      <c r="A225" s="19">
        <f t="shared" si="20"/>
        <v>1900</v>
      </c>
      <c r="C225" s="298"/>
      <c r="D225" s="298"/>
      <c r="E225" s="298"/>
    </row>
    <row r="226" spans="1:5">
      <c r="A226" s="19">
        <f t="shared" si="20"/>
        <v>1900</v>
      </c>
      <c r="C226" s="298"/>
      <c r="D226" s="298"/>
      <c r="E226" s="298"/>
    </row>
    <row r="227" spans="1:5">
      <c r="A227" s="19">
        <f t="shared" si="20"/>
        <v>1900</v>
      </c>
      <c r="C227" s="298"/>
      <c r="D227" s="298"/>
      <c r="E227" s="298"/>
    </row>
    <row r="228" spans="1:5">
      <c r="A228" s="19">
        <f t="shared" si="20"/>
        <v>1900</v>
      </c>
      <c r="C228" s="298"/>
      <c r="D228" s="298"/>
      <c r="E228" s="298"/>
    </row>
    <row r="229" spans="1:5">
      <c r="A229" s="19">
        <f t="shared" si="20"/>
        <v>1900</v>
      </c>
      <c r="C229" s="298"/>
      <c r="D229" s="298"/>
      <c r="E229" s="298"/>
    </row>
    <row r="230" spans="1:5">
      <c r="A230" s="19">
        <f t="shared" si="20"/>
        <v>1900</v>
      </c>
      <c r="C230" s="298"/>
      <c r="D230" s="298"/>
      <c r="E230" s="298"/>
    </row>
    <row r="231" spans="1:5">
      <c r="A231" s="19">
        <f t="shared" si="20"/>
        <v>1900</v>
      </c>
      <c r="C231" s="298"/>
      <c r="D231" s="298"/>
      <c r="E231" s="298"/>
    </row>
    <row r="232" spans="1:5">
      <c r="A232" s="19">
        <f t="shared" si="20"/>
        <v>1900</v>
      </c>
      <c r="C232" s="298"/>
      <c r="D232" s="298"/>
      <c r="E232" s="298"/>
    </row>
    <row r="233" spans="1:5">
      <c r="A233" s="19">
        <f t="shared" si="20"/>
        <v>1900</v>
      </c>
      <c r="C233" s="298"/>
      <c r="D233" s="298"/>
      <c r="E233" s="298"/>
    </row>
    <row r="234" spans="1:5">
      <c r="A234" s="19">
        <f t="shared" si="20"/>
        <v>1900</v>
      </c>
      <c r="C234" s="298"/>
      <c r="D234" s="298"/>
      <c r="E234" s="298"/>
    </row>
    <row r="235" spans="1:5">
      <c r="A235" s="19">
        <f t="shared" si="20"/>
        <v>1900</v>
      </c>
      <c r="C235" s="298"/>
      <c r="D235" s="298"/>
      <c r="E235" s="298"/>
    </row>
    <row r="236" spans="1:5">
      <c r="A236" s="19">
        <f t="shared" si="20"/>
        <v>1900</v>
      </c>
      <c r="C236" s="298"/>
      <c r="D236" s="298"/>
      <c r="E236" s="298"/>
    </row>
    <row r="237" spans="1:5">
      <c r="A237" s="19">
        <f t="shared" si="20"/>
        <v>1900</v>
      </c>
      <c r="C237" s="298"/>
      <c r="D237" s="298"/>
      <c r="E237" s="298"/>
    </row>
    <row r="238" spans="1:5">
      <c r="A238" s="19">
        <f t="shared" si="20"/>
        <v>1900</v>
      </c>
      <c r="C238" s="298"/>
      <c r="D238" s="298"/>
      <c r="E238" s="298"/>
    </row>
    <row r="239" spans="1:5">
      <c r="A239" s="19">
        <f t="shared" si="20"/>
        <v>1900</v>
      </c>
      <c r="C239" s="298"/>
      <c r="D239" s="298"/>
      <c r="E239" s="298"/>
    </row>
    <row r="240" spans="1:5">
      <c r="A240" s="19">
        <f t="shared" si="20"/>
        <v>1900</v>
      </c>
      <c r="C240" s="298"/>
      <c r="D240" s="298"/>
      <c r="E240" s="298"/>
    </row>
    <row r="241" spans="1:5">
      <c r="A241" s="19">
        <f t="shared" si="20"/>
        <v>1900</v>
      </c>
      <c r="C241" s="298"/>
      <c r="D241" s="298"/>
      <c r="E241" s="298"/>
    </row>
    <row r="242" spans="1:5">
      <c r="A242" s="19">
        <f t="shared" si="20"/>
        <v>1900</v>
      </c>
      <c r="C242" s="298"/>
      <c r="D242" s="298"/>
      <c r="E242" s="298"/>
    </row>
    <row r="243" spans="1:5">
      <c r="A243" s="19">
        <f t="shared" si="20"/>
        <v>1900</v>
      </c>
      <c r="C243" s="298"/>
      <c r="D243" s="298"/>
      <c r="E243" s="298"/>
    </row>
    <row r="244" spans="1:5">
      <c r="A244" s="19">
        <f t="shared" si="20"/>
        <v>1900</v>
      </c>
      <c r="C244" s="298"/>
      <c r="D244" s="298"/>
      <c r="E244" s="298"/>
    </row>
    <row r="245" spans="1:5">
      <c r="A245" s="19">
        <f t="shared" si="20"/>
        <v>1900</v>
      </c>
      <c r="C245" s="298"/>
      <c r="D245" s="298"/>
      <c r="E245" s="298"/>
    </row>
    <row r="246" spans="1:5">
      <c r="A246" s="19">
        <f t="shared" si="20"/>
        <v>1900</v>
      </c>
      <c r="C246" s="298"/>
      <c r="D246" s="298"/>
      <c r="E246" s="298"/>
    </row>
    <row r="247" spans="1:5">
      <c r="A247" s="19">
        <f t="shared" si="20"/>
        <v>1900</v>
      </c>
      <c r="C247" s="298"/>
      <c r="D247" s="298"/>
      <c r="E247" s="298"/>
    </row>
    <row r="248" spans="1:5">
      <c r="A248" s="19">
        <f t="shared" si="20"/>
        <v>1900</v>
      </c>
      <c r="C248" s="298"/>
      <c r="D248" s="298"/>
      <c r="E248" s="298"/>
    </row>
    <row r="249" spans="1:5">
      <c r="A249" s="19">
        <f t="shared" si="20"/>
        <v>1900</v>
      </c>
      <c r="C249" s="298"/>
      <c r="D249" s="298"/>
      <c r="E249" s="298"/>
    </row>
    <row r="250" spans="1:5">
      <c r="A250" s="19">
        <f t="shared" si="20"/>
        <v>1900</v>
      </c>
      <c r="C250" s="298"/>
      <c r="D250" s="298"/>
      <c r="E250" s="298"/>
    </row>
    <row r="251" spans="1:5">
      <c r="A251" s="19">
        <f t="shared" si="20"/>
        <v>1900</v>
      </c>
      <c r="C251" s="298"/>
      <c r="D251" s="298"/>
      <c r="E251" s="298"/>
    </row>
    <row r="252" spans="1:5">
      <c r="A252" s="19">
        <f t="shared" si="20"/>
        <v>1900</v>
      </c>
      <c r="C252" s="298"/>
      <c r="D252" s="298"/>
      <c r="E252" s="298"/>
    </row>
    <row r="253" spans="1:5">
      <c r="A253" s="19">
        <f t="shared" si="20"/>
        <v>1900</v>
      </c>
      <c r="C253" s="298"/>
      <c r="D253" s="298"/>
      <c r="E253" s="298"/>
    </row>
    <row r="254" spans="1:5">
      <c r="A254" s="19">
        <f t="shared" si="20"/>
        <v>1900</v>
      </c>
      <c r="C254" s="298"/>
      <c r="D254" s="298"/>
      <c r="E254" s="298"/>
    </row>
    <row r="255" spans="1:5">
      <c r="A255" s="19">
        <f t="shared" si="20"/>
        <v>1900</v>
      </c>
      <c r="C255" s="298"/>
      <c r="D255" s="298"/>
      <c r="E255" s="298"/>
    </row>
    <row r="256" spans="1:5">
      <c r="A256" s="19">
        <f t="shared" si="20"/>
        <v>1900</v>
      </c>
      <c r="C256" s="298"/>
      <c r="D256" s="298"/>
      <c r="E256" s="298"/>
    </row>
    <row r="257" spans="1:5">
      <c r="A257" s="19">
        <f t="shared" si="20"/>
        <v>1900</v>
      </c>
      <c r="C257" s="298"/>
      <c r="D257" s="298"/>
      <c r="E257" s="298"/>
    </row>
    <row r="258" spans="1:5">
      <c r="A258" s="19">
        <f t="shared" si="20"/>
        <v>1900</v>
      </c>
      <c r="C258" s="298"/>
      <c r="D258" s="298"/>
      <c r="E258" s="298"/>
    </row>
    <row r="259" spans="1:5">
      <c r="A259" s="19">
        <f t="shared" si="20"/>
        <v>1900</v>
      </c>
      <c r="C259" s="298"/>
      <c r="D259" s="298"/>
      <c r="E259" s="298"/>
    </row>
    <row r="260" spans="1:5">
      <c r="A260" s="19">
        <f t="shared" si="20"/>
        <v>1900</v>
      </c>
      <c r="C260" s="298"/>
      <c r="D260" s="298"/>
      <c r="E260" s="298"/>
    </row>
    <row r="261" spans="1:5">
      <c r="A261" s="19">
        <f t="shared" si="20"/>
        <v>1900</v>
      </c>
      <c r="C261" s="298"/>
      <c r="D261" s="298"/>
      <c r="E261" s="298"/>
    </row>
    <row r="262" spans="1:5">
      <c r="A262" s="19">
        <f t="shared" si="20"/>
        <v>1900</v>
      </c>
      <c r="C262" s="298"/>
      <c r="D262" s="298"/>
      <c r="E262" s="298"/>
    </row>
    <row r="263" spans="1:5">
      <c r="A263" s="19">
        <f t="shared" si="20"/>
        <v>1900</v>
      </c>
      <c r="C263" s="298"/>
      <c r="D263" s="298"/>
      <c r="E263" s="298"/>
    </row>
    <row r="264" spans="1:5">
      <c r="A264" s="19">
        <f t="shared" si="20"/>
        <v>1900</v>
      </c>
      <c r="C264" s="298"/>
      <c r="D264" s="298"/>
      <c r="E264" s="298"/>
    </row>
    <row r="265" spans="1:5">
      <c r="A265" s="19">
        <f t="shared" ref="A265:A328" si="21">YEAR(B267)</f>
        <v>1900</v>
      </c>
      <c r="C265" s="298"/>
      <c r="D265" s="298"/>
      <c r="E265" s="298"/>
    </row>
    <row r="266" spans="1:5">
      <c r="A266" s="19">
        <f t="shared" si="21"/>
        <v>1900</v>
      </c>
      <c r="C266" s="298"/>
      <c r="D266" s="298"/>
      <c r="E266" s="298"/>
    </row>
    <row r="267" spans="1:5">
      <c r="A267" s="19">
        <f t="shared" si="21"/>
        <v>1900</v>
      </c>
      <c r="C267" s="298"/>
      <c r="D267" s="298"/>
      <c r="E267" s="298"/>
    </row>
    <row r="268" spans="1:5">
      <c r="A268" s="19">
        <f t="shared" si="21"/>
        <v>1900</v>
      </c>
      <c r="C268" s="298"/>
      <c r="D268" s="298"/>
      <c r="E268" s="298"/>
    </row>
    <row r="269" spans="1:5">
      <c r="A269" s="19">
        <f t="shared" si="21"/>
        <v>1900</v>
      </c>
      <c r="C269" s="298"/>
      <c r="D269" s="298"/>
      <c r="E269" s="298"/>
    </row>
    <row r="270" spans="1:5">
      <c r="A270" s="19">
        <f t="shared" si="21"/>
        <v>1900</v>
      </c>
      <c r="C270" s="298"/>
      <c r="D270" s="298"/>
      <c r="E270" s="298"/>
    </row>
    <row r="271" spans="1:5">
      <c r="A271" s="19">
        <f t="shared" si="21"/>
        <v>1900</v>
      </c>
      <c r="C271" s="298"/>
      <c r="D271" s="298"/>
      <c r="E271" s="298"/>
    </row>
    <row r="272" spans="1:5">
      <c r="A272" s="19">
        <f t="shared" si="21"/>
        <v>1900</v>
      </c>
      <c r="C272" s="298"/>
      <c r="D272" s="298"/>
      <c r="E272" s="298"/>
    </row>
    <row r="273" spans="1:5">
      <c r="A273" s="19">
        <f t="shared" si="21"/>
        <v>1900</v>
      </c>
      <c r="C273" s="298"/>
      <c r="D273" s="298"/>
      <c r="E273" s="298"/>
    </row>
    <row r="274" spans="1:5">
      <c r="A274" s="19">
        <f t="shared" si="21"/>
        <v>1900</v>
      </c>
      <c r="C274" s="298"/>
      <c r="D274" s="298"/>
      <c r="E274" s="298"/>
    </row>
    <row r="275" spans="1:5">
      <c r="A275" s="19">
        <f t="shared" si="21"/>
        <v>1900</v>
      </c>
      <c r="C275" s="298"/>
      <c r="D275" s="298"/>
      <c r="E275" s="298"/>
    </row>
    <row r="276" spans="1:5">
      <c r="A276" s="19">
        <f t="shared" si="21"/>
        <v>1900</v>
      </c>
      <c r="C276" s="298"/>
      <c r="D276" s="298"/>
      <c r="E276" s="298"/>
    </row>
    <row r="277" spans="1:5">
      <c r="A277" s="19">
        <f t="shared" si="21"/>
        <v>1900</v>
      </c>
      <c r="C277" s="298"/>
      <c r="D277" s="298"/>
      <c r="E277" s="298"/>
    </row>
    <row r="278" spans="1:5">
      <c r="A278" s="19">
        <f t="shared" si="21"/>
        <v>1900</v>
      </c>
      <c r="C278" s="298"/>
      <c r="D278" s="298"/>
      <c r="E278" s="298"/>
    </row>
    <row r="279" spans="1:5">
      <c r="A279" s="19">
        <f t="shared" si="21"/>
        <v>1900</v>
      </c>
      <c r="C279" s="298"/>
      <c r="D279" s="298"/>
      <c r="E279" s="298"/>
    </row>
    <row r="280" spans="1:5">
      <c r="A280" s="19">
        <f t="shared" si="21"/>
        <v>1900</v>
      </c>
      <c r="C280" s="298"/>
      <c r="D280" s="298"/>
      <c r="E280" s="298"/>
    </row>
    <row r="281" spans="1:5">
      <c r="A281" s="19">
        <f t="shared" si="21"/>
        <v>1900</v>
      </c>
      <c r="C281" s="298"/>
      <c r="D281" s="298"/>
      <c r="E281" s="298"/>
    </row>
    <row r="282" spans="1:5">
      <c r="A282" s="19">
        <f t="shared" si="21"/>
        <v>1900</v>
      </c>
      <c r="C282" s="298"/>
      <c r="D282" s="298"/>
      <c r="E282" s="298"/>
    </row>
    <row r="283" spans="1:5">
      <c r="A283" s="19">
        <f t="shared" si="21"/>
        <v>1900</v>
      </c>
      <c r="C283" s="298"/>
      <c r="D283" s="298"/>
      <c r="E283" s="298"/>
    </row>
    <row r="284" spans="1:5">
      <c r="A284" s="19">
        <f t="shared" si="21"/>
        <v>1900</v>
      </c>
      <c r="C284" s="298"/>
      <c r="D284" s="298"/>
      <c r="E284" s="298"/>
    </row>
    <row r="285" spans="1:5">
      <c r="A285" s="19">
        <f t="shared" si="21"/>
        <v>1900</v>
      </c>
      <c r="C285" s="298"/>
      <c r="D285" s="298"/>
      <c r="E285" s="298"/>
    </row>
    <row r="286" spans="1:5">
      <c r="A286" s="19">
        <f t="shared" si="21"/>
        <v>1900</v>
      </c>
      <c r="C286" s="298"/>
      <c r="D286" s="298"/>
      <c r="E286" s="298"/>
    </row>
    <row r="287" spans="1:5">
      <c r="A287" s="19">
        <f t="shared" si="21"/>
        <v>1900</v>
      </c>
      <c r="C287" s="298"/>
      <c r="D287" s="298"/>
      <c r="E287" s="298"/>
    </row>
    <row r="288" spans="1:5">
      <c r="A288" s="19">
        <f t="shared" si="21"/>
        <v>1900</v>
      </c>
      <c r="C288" s="298"/>
      <c r="D288" s="298"/>
      <c r="E288" s="298"/>
    </row>
    <row r="289" spans="1:5">
      <c r="A289" s="19">
        <f t="shared" si="21"/>
        <v>1900</v>
      </c>
      <c r="C289" s="298"/>
      <c r="D289" s="298"/>
      <c r="E289" s="298"/>
    </row>
    <row r="290" spans="1:5">
      <c r="A290" s="19">
        <f t="shared" si="21"/>
        <v>1900</v>
      </c>
      <c r="C290" s="298"/>
      <c r="D290" s="298"/>
      <c r="E290" s="298"/>
    </row>
    <row r="291" spans="1:5">
      <c r="A291" s="19">
        <f t="shared" si="21"/>
        <v>1900</v>
      </c>
      <c r="C291" s="298"/>
      <c r="D291" s="298"/>
      <c r="E291" s="298"/>
    </row>
    <row r="292" spans="1:5">
      <c r="A292" s="19">
        <f t="shared" si="21"/>
        <v>1900</v>
      </c>
      <c r="C292" s="298"/>
      <c r="D292" s="298"/>
      <c r="E292" s="298"/>
    </row>
    <row r="293" spans="1:5">
      <c r="A293" s="19">
        <f t="shared" si="21"/>
        <v>1900</v>
      </c>
      <c r="C293" s="298"/>
      <c r="D293" s="298"/>
      <c r="E293" s="298"/>
    </row>
    <row r="294" spans="1:5">
      <c r="A294" s="19">
        <f t="shared" si="21"/>
        <v>1900</v>
      </c>
      <c r="C294" s="298"/>
      <c r="D294" s="298"/>
      <c r="E294" s="298"/>
    </row>
    <row r="295" spans="1:5">
      <c r="A295" s="19">
        <f t="shared" si="21"/>
        <v>1900</v>
      </c>
      <c r="C295" s="298"/>
      <c r="D295" s="298"/>
      <c r="E295" s="298"/>
    </row>
    <row r="296" spans="1:5">
      <c r="A296" s="19">
        <f t="shared" si="21"/>
        <v>1900</v>
      </c>
      <c r="C296" s="298"/>
      <c r="D296" s="298"/>
      <c r="E296" s="298"/>
    </row>
    <row r="297" spans="1:5">
      <c r="A297" s="19">
        <f t="shared" si="21"/>
        <v>1900</v>
      </c>
      <c r="C297" s="298"/>
      <c r="D297" s="298"/>
      <c r="E297" s="298"/>
    </row>
    <row r="298" spans="1:5">
      <c r="A298" s="19">
        <f t="shared" si="21"/>
        <v>1900</v>
      </c>
      <c r="C298" s="298"/>
      <c r="D298" s="298"/>
      <c r="E298" s="298"/>
    </row>
    <row r="299" spans="1:5">
      <c r="A299" s="19">
        <f t="shared" si="21"/>
        <v>1900</v>
      </c>
      <c r="C299" s="298"/>
      <c r="D299" s="298"/>
      <c r="E299" s="298"/>
    </row>
    <row r="300" spans="1:5">
      <c r="A300" s="19">
        <f t="shared" si="21"/>
        <v>1900</v>
      </c>
      <c r="C300" s="298"/>
      <c r="D300" s="298"/>
      <c r="E300" s="298"/>
    </row>
    <row r="301" spans="1:5">
      <c r="A301" s="19">
        <f t="shared" si="21"/>
        <v>1900</v>
      </c>
      <c r="C301" s="298"/>
      <c r="D301" s="298"/>
      <c r="E301" s="298"/>
    </row>
    <row r="302" spans="1:5">
      <c r="A302" s="19">
        <f t="shared" si="21"/>
        <v>1900</v>
      </c>
      <c r="C302" s="298"/>
      <c r="D302" s="298"/>
      <c r="E302" s="298"/>
    </row>
    <row r="303" spans="1:5">
      <c r="A303" s="19">
        <f t="shared" si="21"/>
        <v>1900</v>
      </c>
      <c r="C303" s="298"/>
      <c r="D303" s="298"/>
      <c r="E303" s="298"/>
    </row>
    <row r="304" spans="1:5">
      <c r="A304" s="19">
        <f t="shared" si="21"/>
        <v>1900</v>
      </c>
      <c r="C304" s="298"/>
      <c r="D304" s="298"/>
      <c r="E304" s="298"/>
    </row>
    <row r="305" spans="1:5">
      <c r="A305" s="19">
        <f t="shared" si="21"/>
        <v>1900</v>
      </c>
      <c r="C305" s="298"/>
      <c r="D305" s="298"/>
      <c r="E305" s="298"/>
    </row>
    <row r="306" spans="1:5">
      <c r="A306" s="19">
        <f t="shared" si="21"/>
        <v>1900</v>
      </c>
      <c r="C306" s="298"/>
      <c r="D306" s="298"/>
      <c r="E306" s="298"/>
    </row>
    <row r="307" spans="1:5">
      <c r="A307" s="19">
        <f t="shared" si="21"/>
        <v>1900</v>
      </c>
      <c r="C307" s="298"/>
      <c r="D307" s="298"/>
      <c r="E307" s="298"/>
    </row>
    <row r="308" spans="1:5">
      <c r="A308" s="19">
        <f t="shared" si="21"/>
        <v>1900</v>
      </c>
      <c r="C308" s="298"/>
      <c r="D308" s="298"/>
      <c r="E308" s="298"/>
    </row>
    <row r="309" spans="1:5">
      <c r="A309" s="19">
        <f t="shared" si="21"/>
        <v>1900</v>
      </c>
      <c r="C309" s="298"/>
      <c r="D309" s="298"/>
      <c r="E309" s="298"/>
    </row>
    <row r="310" spans="1:5">
      <c r="A310" s="19">
        <f t="shared" si="21"/>
        <v>1900</v>
      </c>
      <c r="C310" s="298"/>
      <c r="D310" s="298"/>
      <c r="E310" s="298"/>
    </row>
    <row r="311" spans="1:5">
      <c r="A311" s="19">
        <f t="shared" si="21"/>
        <v>1900</v>
      </c>
      <c r="C311" s="298"/>
      <c r="D311" s="298"/>
      <c r="E311" s="298"/>
    </row>
    <row r="312" spans="1:5">
      <c r="A312" s="19">
        <f t="shared" si="21"/>
        <v>1900</v>
      </c>
      <c r="C312" s="298"/>
      <c r="D312" s="298"/>
      <c r="E312" s="298"/>
    </row>
    <row r="313" spans="1:5">
      <c r="A313" s="19">
        <f t="shared" si="21"/>
        <v>1900</v>
      </c>
      <c r="C313" s="298"/>
      <c r="D313" s="298"/>
      <c r="E313" s="298"/>
    </row>
    <row r="314" spans="1:5">
      <c r="A314" s="19">
        <f t="shared" si="21"/>
        <v>1900</v>
      </c>
      <c r="C314" s="298"/>
      <c r="D314" s="298"/>
      <c r="E314" s="298"/>
    </row>
    <row r="315" spans="1:5">
      <c r="A315" s="19">
        <f t="shared" si="21"/>
        <v>1900</v>
      </c>
      <c r="C315" s="298"/>
      <c r="D315" s="298"/>
      <c r="E315" s="298"/>
    </row>
    <row r="316" spans="1:5">
      <c r="A316" s="19">
        <f t="shared" si="21"/>
        <v>1900</v>
      </c>
      <c r="C316" s="298"/>
      <c r="D316" s="298"/>
      <c r="E316" s="298"/>
    </row>
    <row r="317" spans="1:5">
      <c r="A317" s="19">
        <f t="shared" si="21"/>
        <v>1900</v>
      </c>
      <c r="C317" s="298"/>
      <c r="D317" s="298"/>
      <c r="E317" s="298"/>
    </row>
    <row r="318" spans="1:5">
      <c r="A318" s="19">
        <f t="shared" si="21"/>
        <v>1900</v>
      </c>
      <c r="C318" s="298"/>
      <c r="D318" s="298"/>
      <c r="E318" s="298"/>
    </row>
    <row r="319" spans="1:5">
      <c r="A319" s="19">
        <f t="shared" si="21"/>
        <v>1900</v>
      </c>
      <c r="C319" s="298"/>
      <c r="D319" s="298"/>
      <c r="E319" s="298"/>
    </row>
    <row r="320" spans="1:5">
      <c r="A320" s="19">
        <f t="shared" si="21"/>
        <v>1900</v>
      </c>
      <c r="C320" s="298"/>
      <c r="D320" s="298"/>
      <c r="E320" s="298"/>
    </row>
    <row r="321" spans="1:5">
      <c r="A321" s="19">
        <f t="shared" si="21"/>
        <v>1900</v>
      </c>
      <c r="C321" s="298"/>
      <c r="D321" s="298"/>
      <c r="E321" s="298"/>
    </row>
    <row r="322" spans="1:5">
      <c r="A322" s="19">
        <f t="shared" si="21"/>
        <v>1900</v>
      </c>
      <c r="C322" s="298"/>
      <c r="D322" s="298"/>
      <c r="E322" s="298"/>
    </row>
    <row r="323" spans="1:5">
      <c r="A323" s="19">
        <f t="shared" si="21"/>
        <v>1900</v>
      </c>
      <c r="C323" s="298"/>
      <c r="D323" s="298"/>
      <c r="E323" s="298"/>
    </row>
    <row r="324" spans="1:5">
      <c r="A324" s="19">
        <f t="shared" si="21"/>
        <v>1900</v>
      </c>
      <c r="C324" s="298"/>
      <c r="D324" s="298"/>
      <c r="E324" s="298"/>
    </row>
    <row r="325" spans="1:5">
      <c r="A325" s="19">
        <f t="shared" si="21"/>
        <v>1900</v>
      </c>
      <c r="C325" s="298"/>
      <c r="D325" s="298"/>
      <c r="E325" s="298"/>
    </row>
    <row r="326" spans="1:5">
      <c r="A326" s="19">
        <f t="shared" si="21"/>
        <v>1900</v>
      </c>
      <c r="C326" s="298"/>
      <c r="D326" s="298"/>
      <c r="E326" s="298"/>
    </row>
    <row r="327" spans="1:5">
      <c r="A327" s="19">
        <f t="shared" si="21"/>
        <v>1900</v>
      </c>
      <c r="C327" s="298"/>
      <c r="D327" s="298"/>
      <c r="E327" s="298"/>
    </row>
    <row r="328" spans="1:5">
      <c r="A328" s="19">
        <f t="shared" si="21"/>
        <v>1900</v>
      </c>
      <c r="C328" s="298"/>
      <c r="D328" s="298"/>
      <c r="E328" s="298"/>
    </row>
    <row r="329" spans="1:5">
      <c r="A329" s="19">
        <f t="shared" ref="A329:A392" si="22">YEAR(B331)</f>
        <v>1900</v>
      </c>
      <c r="C329" s="298"/>
      <c r="D329" s="298"/>
      <c r="E329" s="298"/>
    </row>
    <row r="330" spans="1:5">
      <c r="A330" s="19">
        <f t="shared" si="22"/>
        <v>1900</v>
      </c>
      <c r="C330" s="298"/>
      <c r="D330" s="298"/>
      <c r="E330" s="298"/>
    </row>
    <row r="331" spans="1:5">
      <c r="A331" s="19">
        <f t="shared" si="22"/>
        <v>1900</v>
      </c>
      <c r="C331" s="298"/>
      <c r="D331" s="298"/>
      <c r="E331" s="298"/>
    </row>
    <row r="332" spans="1:5">
      <c r="A332" s="19">
        <f t="shared" si="22"/>
        <v>1900</v>
      </c>
      <c r="C332" s="298"/>
      <c r="D332" s="298"/>
      <c r="E332" s="298"/>
    </row>
    <row r="333" spans="1:5">
      <c r="A333" s="19">
        <f t="shared" si="22"/>
        <v>1900</v>
      </c>
      <c r="C333" s="298"/>
      <c r="D333" s="298"/>
      <c r="E333" s="298"/>
    </row>
    <row r="334" spans="1:5">
      <c r="A334" s="19">
        <f t="shared" si="22"/>
        <v>1900</v>
      </c>
      <c r="C334" s="298"/>
      <c r="D334" s="298"/>
      <c r="E334" s="298"/>
    </row>
    <row r="335" spans="1:5">
      <c r="A335" s="19">
        <f t="shared" si="22"/>
        <v>1900</v>
      </c>
      <c r="C335" s="298"/>
      <c r="D335" s="298"/>
      <c r="E335" s="298"/>
    </row>
    <row r="336" spans="1:5">
      <c r="A336" s="19">
        <f t="shared" si="22"/>
        <v>1900</v>
      </c>
      <c r="C336" s="298"/>
      <c r="D336" s="298"/>
      <c r="E336" s="298"/>
    </row>
    <row r="337" spans="1:5">
      <c r="A337" s="19">
        <f t="shared" si="22"/>
        <v>1900</v>
      </c>
      <c r="C337" s="298"/>
      <c r="D337" s="298"/>
      <c r="E337" s="298"/>
    </row>
    <row r="338" spans="1:5">
      <c r="A338" s="19">
        <f t="shared" si="22"/>
        <v>1900</v>
      </c>
      <c r="C338" s="298"/>
      <c r="D338" s="298"/>
      <c r="E338" s="298"/>
    </row>
    <row r="339" spans="1:5">
      <c r="A339" s="19">
        <f t="shared" si="22"/>
        <v>1900</v>
      </c>
      <c r="C339" s="298"/>
      <c r="D339" s="298"/>
      <c r="E339" s="298"/>
    </row>
    <row r="340" spans="1:5">
      <c r="A340" s="19">
        <f t="shared" si="22"/>
        <v>1900</v>
      </c>
      <c r="C340" s="298"/>
      <c r="D340" s="298"/>
      <c r="E340" s="298"/>
    </row>
    <row r="341" spans="1:5">
      <c r="A341" s="19">
        <f t="shared" si="22"/>
        <v>1900</v>
      </c>
      <c r="C341" s="298"/>
      <c r="D341" s="298"/>
      <c r="E341" s="298"/>
    </row>
    <row r="342" spans="1:5">
      <c r="A342" s="19">
        <f t="shared" si="22"/>
        <v>1900</v>
      </c>
      <c r="C342" s="298"/>
      <c r="D342" s="298"/>
      <c r="E342" s="298"/>
    </row>
    <row r="343" spans="1:5">
      <c r="A343" s="19">
        <f t="shared" si="22"/>
        <v>1900</v>
      </c>
      <c r="C343" s="298"/>
      <c r="D343" s="298"/>
      <c r="E343" s="298"/>
    </row>
    <row r="344" spans="1:5">
      <c r="A344" s="19">
        <f t="shared" si="22"/>
        <v>1900</v>
      </c>
      <c r="C344" s="298"/>
      <c r="D344" s="298"/>
      <c r="E344" s="298"/>
    </row>
    <row r="345" spans="1:5">
      <c r="A345" s="19">
        <f t="shared" si="22"/>
        <v>1900</v>
      </c>
      <c r="C345" s="298"/>
      <c r="D345" s="298"/>
      <c r="E345" s="298"/>
    </row>
    <row r="346" spans="1:5">
      <c r="A346" s="19">
        <f t="shared" si="22"/>
        <v>1900</v>
      </c>
      <c r="C346" s="298"/>
      <c r="D346" s="298"/>
      <c r="E346" s="298"/>
    </row>
    <row r="347" spans="1:5">
      <c r="A347" s="19">
        <f t="shared" si="22"/>
        <v>1900</v>
      </c>
      <c r="C347" s="298"/>
      <c r="D347" s="298"/>
      <c r="E347" s="298"/>
    </row>
    <row r="348" spans="1:5">
      <c r="A348" s="19">
        <f t="shared" si="22"/>
        <v>1900</v>
      </c>
      <c r="C348" s="298"/>
      <c r="D348" s="298"/>
      <c r="E348" s="298"/>
    </row>
    <row r="349" spans="1:5">
      <c r="A349" s="19">
        <f t="shared" si="22"/>
        <v>1900</v>
      </c>
      <c r="C349" s="298"/>
      <c r="D349" s="298"/>
      <c r="E349" s="298"/>
    </row>
    <row r="350" spans="1:5">
      <c r="A350" s="19">
        <f t="shared" si="22"/>
        <v>1900</v>
      </c>
      <c r="C350" s="298"/>
      <c r="D350" s="298"/>
      <c r="E350" s="298"/>
    </row>
    <row r="351" spans="1:5">
      <c r="A351" s="19">
        <f t="shared" si="22"/>
        <v>1900</v>
      </c>
      <c r="C351" s="298"/>
      <c r="D351" s="298"/>
      <c r="E351" s="298"/>
    </row>
    <row r="352" spans="1:5">
      <c r="A352" s="19">
        <f t="shared" si="22"/>
        <v>1900</v>
      </c>
      <c r="C352" s="298"/>
      <c r="D352" s="298"/>
      <c r="E352" s="298"/>
    </row>
    <row r="353" spans="1:5">
      <c r="A353" s="19">
        <f t="shared" si="22"/>
        <v>1900</v>
      </c>
      <c r="C353" s="298"/>
      <c r="D353" s="298"/>
      <c r="E353" s="298"/>
    </row>
    <row r="354" spans="1:5">
      <c r="A354" s="19">
        <f t="shared" si="22"/>
        <v>1900</v>
      </c>
      <c r="C354" s="298"/>
      <c r="D354" s="298"/>
      <c r="E354" s="298"/>
    </row>
    <row r="355" spans="1:5">
      <c r="A355" s="19">
        <f t="shared" si="22"/>
        <v>1900</v>
      </c>
      <c r="C355" s="298"/>
      <c r="D355" s="298"/>
      <c r="E355" s="298"/>
    </row>
    <row r="356" spans="1:5">
      <c r="A356" s="19">
        <f t="shared" si="22"/>
        <v>1900</v>
      </c>
      <c r="C356" s="298"/>
      <c r="D356" s="298"/>
      <c r="E356" s="298"/>
    </row>
    <row r="357" spans="1:5">
      <c r="A357" s="19">
        <f t="shared" si="22"/>
        <v>1900</v>
      </c>
      <c r="C357" s="298"/>
      <c r="D357" s="298"/>
      <c r="E357" s="298"/>
    </row>
    <row r="358" spans="1:5">
      <c r="A358" s="19">
        <f t="shared" si="22"/>
        <v>1900</v>
      </c>
      <c r="C358" s="298"/>
      <c r="D358" s="298"/>
      <c r="E358" s="298"/>
    </row>
    <row r="359" spans="1:5">
      <c r="A359" s="19">
        <f t="shared" si="22"/>
        <v>1900</v>
      </c>
      <c r="C359" s="298"/>
      <c r="D359" s="298"/>
      <c r="E359" s="298"/>
    </row>
    <row r="360" spans="1:5">
      <c r="A360" s="19">
        <f t="shared" si="22"/>
        <v>1900</v>
      </c>
      <c r="C360" s="298"/>
      <c r="D360" s="298"/>
      <c r="E360" s="298"/>
    </row>
    <row r="361" spans="1:5">
      <c r="A361" s="19">
        <f t="shared" si="22"/>
        <v>1900</v>
      </c>
      <c r="C361" s="298"/>
      <c r="D361" s="298"/>
      <c r="E361" s="298"/>
    </row>
    <row r="362" spans="1:5">
      <c r="A362" s="19">
        <f t="shared" si="22"/>
        <v>1900</v>
      </c>
      <c r="C362" s="298"/>
      <c r="D362" s="298"/>
      <c r="E362" s="298"/>
    </row>
    <row r="363" spans="1:5">
      <c r="A363" s="19">
        <f t="shared" si="22"/>
        <v>1900</v>
      </c>
      <c r="C363" s="298"/>
      <c r="D363" s="298"/>
      <c r="E363" s="298"/>
    </row>
    <row r="364" spans="1:5">
      <c r="A364" s="19">
        <f t="shared" si="22"/>
        <v>1900</v>
      </c>
      <c r="C364" s="298"/>
      <c r="D364" s="298"/>
      <c r="E364" s="298"/>
    </row>
    <row r="365" spans="1:5">
      <c r="A365" s="19">
        <f t="shared" si="22"/>
        <v>1900</v>
      </c>
      <c r="C365" s="298"/>
      <c r="D365" s="298"/>
      <c r="E365" s="298"/>
    </row>
    <row r="366" spans="1:5">
      <c r="A366" s="19">
        <f t="shared" si="22"/>
        <v>1900</v>
      </c>
      <c r="C366" s="298"/>
      <c r="D366" s="298"/>
      <c r="E366" s="298"/>
    </row>
    <row r="367" spans="1:5">
      <c r="A367" s="19">
        <f t="shared" si="22"/>
        <v>1900</v>
      </c>
      <c r="C367" s="298"/>
      <c r="D367" s="298"/>
      <c r="E367" s="298"/>
    </row>
    <row r="368" spans="1:5">
      <c r="A368" s="19">
        <f t="shared" si="22"/>
        <v>1900</v>
      </c>
      <c r="C368" s="298"/>
      <c r="D368" s="298"/>
      <c r="E368" s="298"/>
    </row>
    <row r="369" spans="1:5">
      <c r="A369" s="19">
        <f t="shared" si="22"/>
        <v>1900</v>
      </c>
      <c r="C369" s="298"/>
      <c r="D369" s="298"/>
      <c r="E369" s="298"/>
    </row>
    <row r="370" spans="1:5">
      <c r="A370" s="19">
        <f t="shared" si="22"/>
        <v>1900</v>
      </c>
      <c r="C370" s="298"/>
      <c r="D370" s="298"/>
      <c r="E370" s="298"/>
    </row>
    <row r="371" spans="1:5">
      <c r="A371" s="19">
        <f t="shared" si="22"/>
        <v>1900</v>
      </c>
      <c r="C371" s="298"/>
      <c r="D371" s="298"/>
      <c r="E371" s="298"/>
    </row>
    <row r="372" spans="1:5">
      <c r="A372" s="19">
        <f t="shared" si="22"/>
        <v>1900</v>
      </c>
      <c r="C372" s="298"/>
      <c r="D372" s="298"/>
      <c r="E372" s="298"/>
    </row>
    <row r="373" spans="1:5">
      <c r="A373" s="19">
        <f t="shared" si="22"/>
        <v>1900</v>
      </c>
      <c r="C373" s="298"/>
      <c r="D373" s="298"/>
      <c r="E373" s="298"/>
    </row>
    <row r="374" spans="1:5">
      <c r="A374" s="19">
        <f t="shared" si="22"/>
        <v>1900</v>
      </c>
      <c r="C374" s="298"/>
      <c r="D374" s="298"/>
      <c r="E374" s="298"/>
    </row>
    <row r="375" spans="1:5">
      <c r="A375" s="19">
        <f t="shared" si="22"/>
        <v>1900</v>
      </c>
      <c r="C375" s="298"/>
      <c r="D375" s="298"/>
      <c r="E375" s="298"/>
    </row>
    <row r="376" spans="1:5">
      <c r="A376" s="19">
        <f t="shared" si="22"/>
        <v>1900</v>
      </c>
      <c r="C376" s="298"/>
      <c r="D376" s="298"/>
      <c r="E376" s="298"/>
    </row>
    <row r="377" spans="1:5">
      <c r="A377" s="19">
        <f t="shared" si="22"/>
        <v>1900</v>
      </c>
      <c r="C377" s="298"/>
      <c r="D377" s="298"/>
      <c r="E377" s="298"/>
    </row>
    <row r="378" spans="1:5">
      <c r="A378" s="19">
        <f t="shared" si="22"/>
        <v>1900</v>
      </c>
      <c r="C378" s="298"/>
      <c r="D378" s="298"/>
      <c r="E378" s="298"/>
    </row>
    <row r="379" spans="1:5">
      <c r="A379" s="19">
        <f t="shared" si="22"/>
        <v>1900</v>
      </c>
      <c r="C379" s="298"/>
      <c r="D379" s="298"/>
      <c r="E379" s="298"/>
    </row>
    <row r="380" spans="1:5">
      <c r="A380" s="19">
        <f t="shared" si="22"/>
        <v>1900</v>
      </c>
      <c r="C380" s="298"/>
      <c r="D380" s="298"/>
      <c r="E380" s="298"/>
    </row>
    <row r="381" spans="1:5">
      <c r="A381" s="19">
        <f t="shared" si="22"/>
        <v>1900</v>
      </c>
      <c r="C381" s="298"/>
      <c r="D381" s="298"/>
      <c r="E381" s="298"/>
    </row>
    <row r="382" spans="1:5">
      <c r="A382" s="19">
        <f t="shared" si="22"/>
        <v>1900</v>
      </c>
      <c r="C382" s="298"/>
      <c r="D382" s="298"/>
      <c r="E382" s="298"/>
    </row>
    <row r="383" spans="1:5">
      <c r="A383" s="19">
        <f t="shared" si="22"/>
        <v>1900</v>
      </c>
      <c r="C383" s="298"/>
      <c r="D383" s="298"/>
      <c r="E383" s="298"/>
    </row>
    <row r="384" spans="1:5">
      <c r="A384" s="19">
        <f t="shared" si="22"/>
        <v>1900</v>
      </c>
      <c r="C384" s="298"/>
      <c r="D384" s="298"/>
      <c r="E384" s="298"/>
    </row>
    <row r="385" spans="1:5">
      <c r="A385" s="19">
        <f t="shared" si="22"/>
        <v>1900</v>
      </c>
      <c r="C385" s="298"/>
      <c r="D385" s="298"/>
      <c r="E385" s="298"/>
    </row>
    <row r="386" spans="1:5">
      <c r="A386" s="19">
        <f t="shared" si="22"/>
        <v>1900</v>
      </c>
      <c r="C386" s="298"/>
      <c r="D386" s="298"/>
      <c r="E386" s="298"/>
    </row>
    <row r="387" spans="1:5">
      <c r="A387" s="19">
        <f t="shared" si="22"/>
        <v>1900</v>
      </c>
      <c r="C387" s="298"/>
      <c r="D387" s="298"/>
      <c r="E387" s="298"/>
    </row>
    <row r="388" spans="1:5">
      <c r="A388" s="19">
        <f t="shared" si="22"/>
        <v>1900</v>
      </c>
      <c r="C388" s="298"/>
      <c r="D388" s="298"/>
      <c r="E388" s="298"/>
    </row>
    <row r="389" spans="1:5">
      <c r="A389" s="19">
        <f t="shared" si="22"/>
        <v>1900</v>
      </c>
      <c r="C389" s="298"/>
      <c r="D389" s="298"/>
      <c r="E389" s="298"/>
    </row>
    <row r="390" spans="1:5">
      <c r="A390" s="19">
        <f t="shared" si="22"/>
        <v>1900</v>
      </c>
      <c r="C390" s="298"/>
      <c r="D390" s="298"/>
      <c r="E390" s="298"/>
    </row>
    <row r="391" spans="1:5">
      <c r="A391" s="19">
        <f t="shared" si="22"/>
        <v>1900</v>
      </c>
      <c r="C391" s="298"/>
      <c r="D391" s="298"/>
      <c r="E391" s="298"/>
    </row>
    <row r="392" spans="1:5">
      <c r="A392" s="19">
        <f t="shared" si="22"/>
        <v>1900</v>
      </c>
      <c r="C392" s="298"/>
      <c r="D392" s="298"/>
      <c r="E392" s="298"/>
    </row>
    <row r="393" spans="1:5">
      <c r="A393" s="19">
        <f t="shared" ref="A393:A456" si="23">YEAR(B395)</f>
        <v>1900</v>
      </c>
      <c r="C393" s="298"/>
      <c r="D393" s="298"/>
      <c r="E393" s="298"/>
    </row>
    <row r="394" spans="1:5">
      <c r="A394" s="19">
        <f t="shared" si="23"/>
        <v>1900</v>
      </c>
      <c r="C394" s="298"/>
      <c r="D394" s="298"/>
      <c r="E394" s="298"/>
    </row>
    <row r="395" spans="1:5">
      <c r="A395" s="19">
        <f t="shared" si="23"/>
        <v>1900</v>
      </c>
      <c r="C395" s="298"/>
      <c r="D395" s="298"/>
      <c r="E395" s="298"/>
    </row>
    <row r="396" spans="1:5">
      <c r="A396" s="19">
        <f t="shared" si="23"/>
        <v>1900</v>
      </c>
      <c r="C396" s="298"/>
      <c r="D396" s="298"/>
      <c r="E396" s="298"/>
    </row>
    <row r="397" spans="1:5">
      <c r="A397" s="19">
        <f t="shared" si="23"/>
        <v>1900</v>
      </c>
      <c r="C397" s="298"/>
      <c r="D397" s="298"/>
      <c r="E397" s="298"/>
    </row>
    <row r="398" spans="1:5">
      <c r="A398" s="19">
        <f t="shared" si="23"/>
        <v>1900</v>
      </c>
      <c r="C398" s="298"/>
      <c r="D398" s="298"/>
      <c r="E398" s="298"/>
    </row>
    <row r="399" spans="1:5">
      <c r="A399" s="19">
        <f t="shared" si="23"/>
        <v>1900</v>
      </c>
      <c r="C399" s="298"/>
      <c r="D399" s="298"/>
      <c r="E399" s="298"/>
    </row>
    <row r="400" spans="1:5">
      <c r="A400" s="19">
        <f t="shared" si="23"/>
        <v>1900</v>
      </c>
      <c r="C400" s="298"/>
      <c r="D400" s="298"/>
      <c r="E400" s="298"/>
    </row>
    <row r="401" spans="1:5">
      <c r="A401" s="19">
        <f t="shared" si="23"/>
        <v>1900</v>
      </c>
      <c r="C401" s="298"/>
      <c r="D401" s="298"/>
      <c r="E401" s="298"/>
    </row>
    <row r="402" spans="1:5">
      <c r="A402" s="19">
        <f t="shared" si="23"/>
        <v>1900</v>
      </c>
      <c r="C402" s="298"/>
      <c r="D402" s="298"/>
      <c r="E402" s="298"/>
    </row>
    <row r="403" spans="1:5">
      <c r="A403" s="19">
        <f t="shared" si="23"/>
        <v>1900</v>
      </c>
      <c r="C403" s="298"/>
      <c r="D403" s="298"/>
      <c r="E403" s="298"/>
    </row>
    <row r="404" spans="1:5">
      <c r="A404" s="19">
        <f t="shared" si="23"/>
        <v>1900</v>
      </c>
      <c r="C404" s="298"/>
      <c r="D404" s="298"/>
      <c r="E404" s="298"/>
    </row>
    <row r="405" spans="1:5">
      <c r="A405" s="19">
        <f t="shared" si="23"/>
        <v>1900</v>
      </c>
      <c r="C405" s="298"/>
      <c r="D405" s="298"/>
      <c r="E405" s="298"/>
    </row>
    <row r="406" spans="1:5">
      <c r="A406" s="19">
        <f t="shared" si="23"/>
        <v>1900</v>
      </c>
      <c r="C406" s="298"/>
      <c r="D406" s="298"/>
      <c r="E406" s="298"/>
    </row>
    <row r="407" spans="1:5">
      <c r="A407" s="19">
        <f t="shared" si="23"/>
        <v>1900</v>
      </c>
      <c r="C407" s="298"/>
      <c r="D407" s="298"/>
      <c r="E407" s="298"/>
    </row>
    <row r="408" spans="1:5">
      <c r="A408" s="19">
        <f t="shared" si="23"/>
        <v>1900</v>
      </c>
      <c r="C408" s="298"/>
      <c r="D408" s="298"/>
      <c r="E408" s="298"/>
    </row>
    <row r="409" spans="1:5">
      <c r="A409" s="19">
        <f t="shared" si="23"/>
        <v>1900</v>
      </c>
      <c r="C409" s="298"/>
      <c r="D409" s="298"/>
      <c r="E409" s="298"/>
    </row>
    <row r="410" spans="1:5">
      <c r="A410" s="19">
        <f t="shared" si="23"/>
        <v>1900</v>
      </c>
      <c r="C410" s="298"/>
      <c r="D410" s="298"/>
      <c r="E410" s="298"/>
    </row>
    <row r="411" spans="1:5">
      <c r="A411" s="19">
        <f t="shared" si="23"/>
        <v>1900</v>
      </c>
      <c r="C411" s="298"/>
      <c r="D411" s="298"/>
      <c r="E411" s="298"/>
    </row>
    <row r="412" spans="1:5">
      <c r="A412" s="19">
        <f t="shared" si="23"/>
        <v>1900</v>
      </c>
      <c r="C412" s="298"/>
      <c r="D412" s="298"/>
      <c r="E412" s="298"/>
    </row>
    <row r="413" spans="1:5">
      <c r="A413" s="19">
        <f t="shared" si="23"/>
        <v>1900</v>
      </c>
      <c r="C413" s="298"/>
      <c r="D413" s="298"/>
      <c r="E413" s="298"/>
    </row>
    <row r="414" spans="1:5">
      <c r="A414" s="19">
        <f t="shared" si="23"/>
        <v>1900</v>
      </c>
      <c r="C414" s="298"/>
      <c r="D414" s="298"/>
      <c r="E414" s="298"/>
    </row>
    <row r="415" spans="1:5">
      <c r="A415" s="19">
        <f t="shared" si="23"/>
        <v>1900</v>
      </c>
      <c r="C415" s="298"/>
      <c r="D415" s="298"/>
      <c r="E415" s="298"/>
    </row>
    <row r="416" spans="1:5">
      <c r="A416" s="19">
        <f t="shared" si="23"/>
        <v>1900</v>
      </c>
      <c r="C416" s="298"/>
      <c r="D416" s="298"/>
      <c r="E416" s="298"/>
    </row>
    <row r="417" spans="1:5">
      <c r="A417" s="19">
        <f t="shared" si="23"/>
        <v>1900</v>
      </c>
      <c r="C417" s="298"/>
      <c r="D417" s="298"/>
      <c r="E417" s="298"/>
    </row>
    <row r="418" spans="1:5">
      <c r="A418" s="19">
        <f t="shared" si="23"/>
        <v>1900</v>
      </c>
      <c r="C418" s="298"/>
      <c r="D418" s="298"/>
      <c r="E418" s="298"/>
    </row>
    <row r="419" spans="1:5">
      <c r="A419" s="19">
        <f t="shared" si="23"/>
        <v>1900</v>
      </c>
      <c r="C419" s="298"/>
      <c r="D419" s="298"/>
      <c r="E419" s="298"/>
    </row>
    <row r="420" spans="1:5">
      <c r="A420" s="19">
        <f t="shared" si="23"/>
        <v>1900</v>
      </c>
      <c r="C420" s="298"/>
      <c r="D420" s="298"/>
      <c r="E420" s="298"/>
    </row>
    <row r="421" spans="1:5">
      <c r="A421" s="19">
        <f t="shared" si="23"/>
        <v>1900</v>
      </c>
      <c r="C421" s="298"/>
      <c r="D421" s="298"/>
      <c r="E421" s="298"/>
    </row>
    <row r="422" spans="1:5">
      <c r="A422" s="19">
        <f t="shared" si="23"/>
        <v>1900</v>
      </c>
      <c r="C422" s="298"/>
      <c r="D422" s="298"/>
      <c r="E422" s="298"/>
    </row>
    <row r="423" spans="1:5">
      <c r="A423" s="19">
        <f t="shared" si="23"/>
        <v>1900</v>
      </c>
      <c r="C423" s="298"/>
      <c r="D423" s="298"/>
      <c r="E423" s="298"/>
    </row>
    <row r="424" spans="1:5">
      <c r="A424" s="19">
        <f t="shared" si="23"/>
        <v>1900</v>
      </c>
      <c r="C424" s="298"/>
      <c r="D424" s="298"/>
      <c r="E424" s="298"/>
    </row>
    <row r="425" spans="1:5">
      <c r="A425" s="19">
        <f t="shared" si="23"/>
        <v>1900</v>
      </c>
      <c r="C425" s="298"/>
      <c r="D425" s="298"/>
      <c r="E425" s="298"/>
    </row>
    <row r="426" spans="1:5">
      <c r="A426" s="19">
        <f t="shared" si="23"/>
        <v>1900</v>
      </c>
      <c r="C426" s="298"/>
      <c r="D426" s="298"/>
      <c r="E426" s="298"/>
    </row>
    <row r="427" spans="1:5">
      <c r="A427" s="19">
        <f t="shared" si="23"/>
        <v>1900</v>
      </c>
      <c r="C427" s="298"/>
      <c r="D427" s="298"/>
      <c r="E427" s="298"/>
    </row>
    <row r="428" spans="1:5">
      <c r="A428" s="19">
        <f t="shared" si="23"/>
        <v>1900</v>
      </c>
      <c r="C428" s="298"/>
      <c r="D428" s="298"/>
      <c r="E428" s="298"/>
    </row>
    <row r="429" spans="1:5">
      <c r="A429" s="19">
        <f t="shared" si="23"/>
        <v>1900</v>
      </c>
      <c r="C429" s="298"/>
      <c r="D429" s="298"/>
      <c r="E429" s="298"/>
    </row>
    <row r="430" spans="1:5">
      <c r="A430" s="19">
        <f t="shared" si="23"/>
        <v>1900</v>
      </c>
      <c r="C430" s="298"/>
      <c r="D430" s="298"/>
      <c r="E430" s="298"/>
    </row>
    <row r="431" spans="1:5">
      <c r="A431" s="19">
        <f t="shared" si="23"/>
        <v>1900</v>
      </c>
      <c r="C431" s="298"/>
      <c r="D431" s="298"/>
      <c r="E431" s="298"/>
    </row>
    <row r="432" spans="1:5">
      <c r="A432" s="19">
        <f t="shared" si="23"/>
        <v>1900</v>
      </c>
      <c r="C432" s="298"/>
      <c r="D432" s="298"/>
      <c r="E432" s="298"/>
    </row>
    <row r="433" spans="1:5">
      <c r="A433" s="19">
        <f t="shared" si="23"/>
        <v>1900</v>
      </c>
      <c r="C433" s="298"/>
      <c r="D433" s="298"/>
      <c r="E433" s="298"/>
    </row>
    <row r="434" spans="1:5">
      <c r="A434" s="19">
        <f t="shared" si="23"/>
        <v>1900</v>
      </c>
      <c r="C434" s="298"/>
      <c r="D434" s="298"/>
      <c r="E434" s="298"/>
    </row>
    <row r="435" spans="1:5">
      <c r="A435" s="19">
        <f t="shared" si="23"/>
        <v>1900</v>
      </c>
      <c r="C435" s="298"/>
      <c r="D435" s="298"/>
      <c r="E435" s="298"/>
    </row>
    <row r="436" spans="1:5">
      <c r="A436" s="19">
        <f t="shared" si="23"/>
        <v>1900</v>
      </c>
      <c r="C436" s="298"/>
      <c r="D436" s="298"/>
      <c r="E436" s="298"/>
    </row>
    <row r="437" spans="1:5">
      <c r="A437" s="19">
        <f t="shared" si="23"/>
        <v>1900</v>
      </c>
      <c r="C437" s="298"/>
      <c r="D437" s="298"/>
      <c r="E437" s="298"/>
    </row>
    <row r="438" spans="1:5">
      <c r="A438" s="19">
        <f t="shared" si="23"/>
        <v>1900</v>
      </c>
      <c r="C438" s="298"/>
      <c r="D438" s="298"/>
      <c r="E438" s="298"/>
    </row>
    <row r="439" spans="1:5">
      <c r="A439" s="19">
        <f t="shared" si="23"/>
        <v>1900</v>
      </c>
      <c r="C439" s="298"/>
      <c r="D439" s="298"/>
      <c r="E439" s="298"/>
    </row>
    <row r="440" spans="1:5">
      <c r="A440" s="19">
        <f t="shared" si="23"/>
        <v>1900</v>
      </c>
      <c r="C440" s="298"/>
      <c r="D440" s="298"/>
      <c r="E440" s="298"/>
    </row>
    <row r="441" spans="1:5">
      <c r="A441" s="19">
        <f t="shared" si="23"/>
        <v>1900</v>
      </c>
      <c r="C441" s="298"/>
      <c r="D441" s="298"/>
      <c r="E441" s="298"/>
    </row>
    <row r="442" spans="1:5">
      <c r="A442" s="19">
        <f t="shared" si="23"/>
        <v>1900</v>
      </c>
      <c r="C442" s="298"/>
      <c r="D442" s="298"/>
      <c r="E442" s="298"/>
    </row>
    <row r="443" spans="1:5">
      <c r="A443" s="19">
        <f t="shared" si="23"/>
        <v>1900</v>
      </c>
      <c r="C443" s="298"/>
      <c r="D443" s="298"/>
      <c r="E443" s="298"/>
    </row>
    <row r="444" spans="1:5">
      <c r="A444" s="19">
        <f t="shared" si="23"/>
        <v>1900</v>
      </c>
      <c r="C444" s="298"/>
      <c r="D444" s="298"/>
      <c r="E444" s="298"/>
    </row>
    <row r="445" spans="1:5">
      <c r="A445" s="19">
        <f t="shared" si="23"/>
        <v>1900</v>
      </c>
      <c r="C445" s="298"/>
      <c r="D445" s="298"/>
      <c r="E445" s="298"/>
    </row>
    <row r="446" spans="1:5">
      <c r="A446" s="19">
        <f t="shared" si="23"/>
        <v>1900</v>
      </c>
      <c r="C446" s="298"/>
      <c r="D446" s="298"/>
      <c r="E446" s="298"/>
    </row>
    <row r="447" spans="1:5">
      <c r="A447" s="19">
        <f t="shared" si="23"/>
        <v>1900</v>
      </c>
      <c r="C447" s="298"/>
      <c r="D447" s="298"/>
      <c r="E447" s="298"/>
    </row>
    <row r="448" spans="1:5">
      <c r="A448" s="19">
        <f t="shared" si="23"/>
        <v>1900</v>
      </c>
      <c r="C448" s="298"/>
      <c r="D448" s="298"/>
      <c r="E448" s="298"/>
    </row>
    <row r="449" spans="1:5">
      <c r="A449" s="19">
        <f t="shared" si="23"/>
        <v>1900</v>
      </c>
      <c r="C449" s="298"/>
      <c r="D449" s="298"/>
      <c r="E449" s="298"/>
    </row>
    <row r="450" spans="1:5">
      <c r="A450" s="19">
        <f t="shared" si="23"/>
        <v>1900</v>
      </c>
      <c r="C450" s="298"/>
      <c r="D450" s="298"/>
      <c r="E450" s="298"/>
    </row>
    <row r="451" spans="1:5">
      <c r="A451" s="19">
        <f t="shared" si="23"/>
        <v>1900</v>
      </c>
      <c r="C451" s="298"/>
      <c r="D451" s="298"/>
      <c r="E451" s="298"/>
    </row>
    <row r="452" spans="1:5">
      <c r="A452" s="19">
        <f t="shared" si="23"/>
        <v>1900</v>
      </c>
      <c r="C452" s="298"/>
      <c r="D452" s="298"/>
      <c r="E452" s="298"/>
    </row>
    <row r="453" spans="1:5">
      <c r="A453" s="19">
        <f t="shared" si="23"/>
        <v>1900</v>
      </c>
      <c r="C453" s="298"/>
      <c r="D453" s="298"/>
      <c r="E453" s="298"/>
    </row>
    <row r="454" spans="1:5">
      <c r="A454" s="19">
        <f t="shared" si="23"/>
        <v>1900</v>
      </c>
      <c r="C454" s="298"/>
      <c r="D454" s="298"/>
      <c r="E454" s="298"/>
    </row>
    <row r="455" spans="1:5">
      <c r="A455" s="19">
        <f t="shared" si="23"/>
        <v>1900</v>
      </c>
      <c r="C455" s="298"/>
      <c r="D455" s="298"/>
      <c r="E455" s="298"/>
    </row>
    <row r="456" spans="1:5">
      <c r="A456" s="19">
        <f t="shared" si="23"/>
        <v>1900</v>
      </c>
      <c r="C456" s="298"/>
      <c r="D456" s="298"/>
      <c r="E456" s="298"/>
    </row>
    <row r="457" spans="1:5">
      <c r="A457" s="19">
        <f t="shared" ref="A457:A508" si="24">YEAR(B459)</f>
        <v>1900</v>
      </c>
      <c r="C457" s="298"/>
      <c r="D457" s="298"/>
      <c r="E457" s="298"/>
    </row>
    <row r="458" spans="1:5">
      <c r="A458" s="19">
        <f t="shared" si="24"/>
        <v>1900</v>
      </c>
      <c r="C458" s="298"/>
      <c r="D458" s="298"/>
      <c r="E458" s="298"/>
    </row>
    <row r="459" spans="1:5">
      <c r="A459" s="19">
        <f t="shared" si="24"/>
        <v>1900</v>
      </c>
      <c r="C459" s="298"/>
      <c r="D459" s="298"/>
      <c r="E459" s="298"/>
    </row>
    <row r="460" spans="1:5">
      <c r="A460" s="19">
        <f t="shared" si="24"/>
        <v>1900</v>
      </c>
      <c r="C460" s="298"/>
      <c r="D460" s="298"/>
      <c r="E460" s="298"/>
    </row>
    <row r="461" spans="1:5">
      <c r="A461" s="19">
        <f t="shared" si="24"/>
        <v>1900</v>
      </c>
      <c r="C461" s="298"/>
      <c r="D461" s="298"/>
      <c r="E461" s="298"/>
    </row>
    <row r="462" spans="1:5">
      <c r="A462" s="19">
        <f t="shared" si="24"/>
        <v>1900</v>
      </c>
      <c r="C462" s="298"/>
      <c r="D462" s="298"/>
      <c r="E462" s="298"/>
    </row>
    <row r="463" spans="1:5">
      <c r="A463" s="19">
        <f t="shared" si="24"/>
        <v>1900</v>
      </c>
      <c r="C463" s="298"/>
      <c r="D463" s="298"/>
      <c r="E463" s="298"/>
    </row>
    <row r="464" spans="1:5">
      <c r="A464" s="19">
        <f t="shared" si="24"/>
        <v>1900</v>
      </c>
      <c r="C464" s="298"/>
      <c r="D464" s="298"/>
      <c r="E464" s="298"/>
    </row>
    <row r="465" spans="1:5">
      <c r="A465" s="19">
        <f t="shared" si="24"/>
        <v>1900</v>
      </c>
      <c r="C465" s="298"/>
      <c r="D465" s="298"/>
      <c r="E465" s="298"/>
    </row>
    <row r="466" spans="1:5">
      <c r="A466" s="19">
        <f t="shared" si="24"/>
        <v>1900</v>
      </c>
      <c r="C466" s="298"/>
      <c r="D466" s="298"/>
      <c r="E466" s="298"/>
    </row>
    <row r="467" spans="1:5">
      <c r="A467" s="19">
        <f t="shared" si="24"/>
        <v>1900</v>
      </c>
      <c r="C467" s="298"/>
      <c r="D467" s="298"/>
      <c r="E467" s="298"/>
    </row>
    <row r="468" spans="1:5">
      <c r="A468" s="19">
        <f t="shared" si="24"/>
        <v>1900</v>
      </c>
      <c r="C468" s="298"/>
      <c r="D468" s="298"/>
      <c r="E468" s="298"/>
    </row>
    <row r="469" spans="1:5">
      <c r="A469" s="19">
        <f t="shared" si="24"/>
        <v>1900</v>
      </c>
      <c r="C469" s="298"/>
      <c r="D469" s="298"/>
      <c r="E469" s="298"/>
    </row>
    <row r="470" spans="1:5">
      <c r="A470" s="19">
        <f t="shared" si="24"/>
        <v>1900</v>
      </c>
      <c r="C470" s="298"/>
      <c r="D470" s="298"/>
      <c r="E470" s="298"/>
    </row>
    <row r="471" spans="1:5">
      <c r="A471" s="19">
        <f t="shared" si="24"/>
        <v>1900</v>
      </c>
      <c r="C471" s="298"/>
      <c r="D471" s="298"/>
      <c r="E471" s="298"/>
    </row>
    <row r="472" spans="1:5">
      <c r="A472" s="19">
        <f t="shared" si="24"/>
        <v>1900</v>
      </c>
      <c r="C472" s="298"/>
      <c r="D472" s="298"/>
      <c r="E472" s="298"/>
    </row>
    <row r="473" spans="1:5">
      <c r="A473" s="19">
        <f t="shared" si="24"/>
        <v>1900</v>
      </c>
      <c r="C473" s="298"/>
      <c r="D473" s="298"/>
      <c r="E473" s="298"/>
    </row>
    <row r="474" spans="1:5">
      <c r="A474" s="19">
        <f t="shared" si="24"/>
        <v>1900</v>
      </c>
      <c r="C474" s="298"/>
      <c r="D474" s="298"/>
      <c r="E474" s="298"/>
    </row>
    <row r="475" spans="1:5">
      <c r="A475" s="19">
        <f t="shared" si="24"/>
        <v>1900</v>
      </c>
      <c r="C475" s="298"/>
      <c r="D475" s="298"/>
      <c r="E475" s="298"/>
    </row>
    <row r="476" spans="1:5">
      <c r="A476" s="19">
        <f t="shared" si="24"/>
        <v>1900</v>
      </c>
      <c r="C476" s="298"/>
      <c r="D476" s="298"/>
      <c r="E476" s="298"/>
    </row>
    <row r="477" spans="1:5">
      <c r="A477" s="19">
        <f t="shared" si="24"/>
        <v>1900</v>
      </c>
      <c r="C477" s="298"/>
      <c r="D477" s="298"/>
      <c r="E477" s="298"/>
    </row>
    <row r="478" spans="1:5">
      <c r="A478" s="19">
        <f t="shared" si="24"/>
        <v>1900</v>
      </c>
      <c r="C478" s="298"/>
      <c r="D478" s="298"/>
      <c r="E478" s="298"/>
    </row>
    <row r="479" spans="1:5">
      <c r="A479" s="19">
        <f t="shared" si="24"/>
        <v>1900</v>
      </c>
      <c r="C479" s="298"/>
      <c r="D479" s="298"/>
      <c r="E479" s="298"/>
    </row>
    <row r="480" spans="1:5">
      <c r="A480" s="19">
        <f t="shared" si="24"/>
        <v>1900</v>
      </c>
      <c r="C480" s="298"/>
      <c r="D480" s="298"/>
      <c r="E480" s="298"/>
    </row>
    <row r="481" spans="1:5">
      <c r="A481" s="19">
        <f t="shared" si="24"/>
        <v>1900</v>
      </c>
      <c r="C481" s="298"/>
      <c r="D481" s="298"/>
      <c r="E481" s="298"/>
    </row>
    <row r="482" spans="1:5">
      <c r="A482" s="19">
        <f t="shared" si="24"/>
        <v>1900</v>
      </c>
      <c r="C482" s="298"/>
      <c r="D482" s="298"/>
      <c r="E482" s="298"/>
    </row>
    <row r="483" spans="1:5">
      <c r="A483" s="19">
        <f t="shared" si="24"/>
        <v>1900</v>
      </c>
      <c r="C483" s="298"/>
      <c r="D483" s="298"/>
      <c r="E483" s="298"/>
    </row>
    <row r="484" spans="1:5">
      <c r="A484" s="19">
        <f t="shared" si="24"/>
        <v>1900</v>
      </c>
      <c r="C484" s="298"/>
      <c r="D484" s="298"/>
      <c r="E484" s="298"/>
    </row>
    <row r="485" spans="1:5">
      <c r="A485" s="19">
        <f t="shared" si="24"/>
        <v>1900</v>
      </c>
      <c r="C485" s="298"/>
      <c r="D485" s="298"/>
      <c r="E485" s="298"/>
    </row>
    <row r="486" spans="1:5">
      <c r="A486" s="19">
        <f t="shared" si="24"/>
        <v>1900</v>
      </c>
      <c r="C486" s="298"/>
      <c r="D486" s="298"/>
      <c r="E486" s="298"/>
    </row>
    <row r="487" spans="1:5">
      <c r="A487" s="19">
        <f t="shared" si="24"/>
        <v>1900</v>
      </c>
      <c r="C487" s="298"/>
      <c r="D487" s="298"/>
      <c r="E487" s="298"/>
    </row>
    <row r="488" spans="1:5">
      <c r="A488" s="19">
        <f t="shared" si="24"/>
        <v>1900</v>
      </c>
      <c r="C488" s="298"/>
      <c r="D488" s="298"/>
      <c r="E488" s="298"/>
    </row>
    <row r="489" spans="1:5">
      <c r="A489" s="19">
        <f t="shared" si="24"/>
        <v>1900</v>
      </c>
      <c r="C489" s="298"/>
      <c r="D489" s="298"/>
      <c r="E489" s="298"/>
    </row>
    <row r="490" spans="1:5">
      <c r="A490" s="19">
        <f t="shared" si="24"/>
        <v>1900</v>
      </c>
      <c r="C490" s="298"/>
      <c r="D490" s="298"/>
      <c r="E490" s="298"/>
    </row>
    <row r="491" spans="1:5">
      <c r="A491" s="19">
        <f t="shared" si="24"/>
        <v>1900</v>
      </c>
      <c r="C491" s="298"/>
      <c r="D491" s="298"/>
      <c r="E491" s="298"/>
    </row>
    <row r="492" spans="1:5">
      <c r="A492" s="19">
        <f t="shared" si="24"/>
        <v>1900</v>
      </c>
      <c r="C492" s="298"/>
      <c r="D492" s="298"/>
      <c r="E492" s="298"/>
    </row>
    <row r="493" spans="1:5">
      <c r="A493" s="19">
        <f t="shared" si="24"/>
        <v>1900</v>
      </c>
      <c r="C493" s="298"/>
      <c r="D493" s="298"/>
      <c r="E493" s="298"/>
    </row>
    <row r="494" spans="1:5">
      <c r="A494" s="19">
        <f t="shared" si="24"/>
        <v>1900</v>
      </c>
      <c r="C494" s="298"/>
      <c r="D494" s="298"/>
      <c r="E494" s="298"/>
    </row>
    <row r="495" spans="1:5">
      <c r="A495" s="19">
        <f t="shared" si="24"/>
        <v>1900</v>
      </c>
      <c r="C495" s="298"/>
      <c r="D495" s="298"/>
      <c r="E495" s="298"/>
    </row>
    <row r="496" spans="1:5">
      <c r="A496" s="19">
        <f t="shared" si="24"/>
        <v>1900</v>
      </c>
      <c r="C496" s="298"/>
      <c r="D496" s="298"/>
      <c r="E496" s="298"/>
    </row>
    <row r="497" spans="1:5">
      <c r="A497" s="19">
        <f t="shared" si="24"/>
        <v>1900</v>
      </c>
      <c r="C497" s="298"/>
      <c r="D497" s="298"/>
      <c r="E497" s="298"/>
    </row>
    <row r="498" spans="1:5">
      <c r="A498" s="19">
        <f t="shared" si="24"/>
        <v>1900</v>
      </c>
      <c r="C498" s="298"/>
      <c r="D498" s="298"/>
      <c r="E498" s="298"/>
    </row>
    <row r="499" spans="1:5">
      <c r="A499" s="19">
        <f t="shared" si="24"/>
        <v>1900</v>
      </c>
      <c r="C499" s="298"/>
      <c r="D499" s="298"/>
      <c r="E499" s="298"/>
    </row>
    <row r="500" spans="1:5">
      <c r="A500" s="19">
        <f t="shared" si="24"/>
        <v>1900</v>
      </c>
      <c r="C500" s="298"/>
      <c r="D500" s="298"/>
      <c r="E500" s="298"/>
    </row>
    <row r="501" spans="1:5">
      <c r="A501" s="19">
        <f t="shared" si="24"/>
        <v>1900</v>
      </c>
      <c r="C501" s="298"/>
      <c r="D501" s="298"/>
      <c r="E501" s="298"/>
    </row>
    <row r="502" spans="1:5">
      <c r="A502" s="19">
        <f t="shared" si="24"/>
        <v>1900</v>
      </c>
      <c r="C502" s="298"/>
      <c r="D502" s="298"/>
      <c r="E502" s="298"/>
    </row>
    <row r="503" spans="1:5">
      <c r="A503" s="19">
        <f t="shared" si="24"/>
        <v>1900</v>
      </c>
      <c r="C503" s="298"/>
      <c r="D503" s="298"/>
      <c r="E503" s="298"/>
    </row>
    <row r="504" spans="1:5">
      <c r="A504" s="19">
        <f t="shared" si="24"/>
        <v>1900</v>
      </c>
      <c r="C504" s="298"/>
      <c r="D504" s="298"/>
      <c r="E504" s="298"/>
    </row>
    <row r="505" spans="1:5">
      <c r="A505" s="19">
        <f t="shared" si="24"/>
        <v>1900</v>
      </c>
      <c r="C505" s="298"/>
      <c r="D505" s="298"/>
      <c r="E505" s="298"/>
    </row>
    <row r="506" spans="1:5">
      <c r="A506" s="19">
        <f t="shared" si="24"/>
        <v>1900</v>
      </c>
      <c r="C506" s="298"/>
      <c r="D506" s="298"/>
      <c r="E506" s="298"/>
    </row>
    <row r="507" spans="1:5">
      <c r="A507" s="19">
        <f t="shared" si="24"/>
        <v>1900</v>
      </c>
      <c r="C507" s="298"/>
      <c r="D507" s="298"/>
      <c r="E507" s="298"/>
    </row>
    <row r="508" spans="1:5">
      <c r="A508" s="19">
        <f t="shared" si="24"/>
        <v>1900</v>
      </c>
      <c r="C508" s="298"/>
      <c r="D508" s="298"/>
      <c r="E508" s="298"/>
    </row>
    <row r="509" spans="1:5">
      <c r="C509" s="298"/>
      <c r="D509" s="298"/>
      <c r="E509" s="298"/>
    </row>
    <row r="510" spans="1:5">
      <c r="C510" s="298"/>
      <c r="D510" s="298"/>
      <c r="E510" s="298"/>
    </row>
  </sheetData>
  <mergeCells count="3">
    <mergeCell ref="B6:F6"/>
    <mergeCell ref="H6:L6"/>
    <mergeCell ref="N6:R6"/>
  </mergeCells>
  <pageMargins left="0.7" right="0.7" top="0.75" bottom="0.75" header="0.3" footer="0.3"/>
  <pageSetup paperSize="9" orientation="portrait" r:id="rId1"/>
  <ignoredErrors>
    <ignoredError sqref="P8:P9 J16:J17 J8:J15 P10:P17"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799"/>
  <sheetViews>
    <sheetView showGridLines="0" zoomScaleNormal="100" workbookViewId="0">
      <selection activeCell="D78" sqref="D78"/>
    </sheetView>
  </sheetViews>
  <sheetFormatPr defaultRowHeight="15"/>
  <cols>
    <col min="1" max="1" width="39.5703125" customWidth="1"/>
    <col min="2" max="2" width="14.7109375" customWidth="1"/>
    <col min="3" max="3" width="14.140625" customWidth="1"/>
    <col min="4" max="4" width="14.28515625" customWidth="1"/>
    <col min="5" max="5" width="11.5703125" customWidth="1"/>
    <col min="6" max="6" width="10" style="298" customWidth="1"/>
    <col min="7" max="7" width="11" style="298" customWidth="1"/>
    <col min="8" max="8" width="10" style="298" bestFit="1" customWidth="1"/>
    <col min="9" max="9" width="11" style="298" bestFit="1" customWidth="1"/>
    <col min="10" max="10" width="10.5703125" style="298" customWidth="1"/>
    <col min="11" max="11" width="12.85546875" style="298" bestFit="1" customWidth="1"/>
    <col min="12" max="12" width="13.5703125" customWidth="1"/>
    <col min="13" max="13" width="10.28515625" bestFit="1" customWidth="1"/>
    <col min="49" max="51" width="9.140625" style="774"/>
    <col min="52" max="52" width="9.140625" style="126"/>
    <col min="53" max="53" width="20.140625" style="774" customWidth="1"/>
    <col min="54" max="54" width="9.140625" style="835"/>
    <col min="55" max="55" width="20.28515625" style="774" customWidth="1"/>
    <col min="56" max="56" width="13.140625" style="774" customWidth="1"/>
    <col min="57" max="57" width="9.140625" style="774"/>
    <col min="58" max="58" width="13.5703125" style="774" customWidth="1"/>
    <col min="59" max="59" width="12.140625" style="774" customWidth="1"/>
    <col min="60" max="60" width="19.85546875" style="774" customWidth="1"/>
    <col min="61" max="61" width="12.5703125" style="836" customWidth="1"/>
    <col min="62" max="62" width="17.7109375" style="774" customWidth="1"/>
    <col min="63" max="63" width="11.85546875" style="774" bestFit="1" customWidth="1"/>
    <col min="64" max="64" width="12.42578125" style="775" customWidth="1"/>
    <col min="65" max="66" width="9.140625" style="774"/>
    <col min="67" max="67" width="41" style="774" bestFit="1" customWidth="1"/>
    <col min="68" max="68" width="14.28515625" style="774" customWidth="1"/>
    <col min="69" max="70" width="9.28515625" style="774" bestFit="1" customWidth="1"/>
    <col min="71" max="89" width="9.140625" style="774"/>
  </cols>
  <sheetData>
    <row r="1" spans="1:96" ht="15.75">
      <c r="BA1" s="832" t="s">
        <v>160</v>
      </c>
      <c r="BB1" s="833" t="s">
        <v>1063</v>
      </c>
      <c r="BC1" s="832" t="s">
        <v>95</v>
      </c>
      <c r="BD1" s="832" t="s">
        <v>1062</v>
      </c>
      <c r="BE1" s="775"/>
      <c r="BF1" s="775"/>
      <c r="BG1" s="775"/>
      <c r="BH1" s="832" t="s">
        <v>160</v>
      </c>
      <c r="BI1" s="834" t="s">
        <v>1063</v>
      </c>
      <c r="BJ1" s="832" t="s">
        <v>95</v>
      </c>
      <c r="BK1" s="832" t="s">
        <v>1062</v>
      </c>
      <c r="BL1" s="832" t="s">
        <v>1065</v>
      </c>
      <c r="BM1" s="775"/>
      <c r="BO1" s="774" t="str">
        <f>"Mineral Exploration By Commodity "&amp;B6&amp;CHAR(10)</f>
        <v xml:space="preserve">Mineral Exploration By Commodity 2020-21
</v>
      </c>
      <c r="BP1" s="774" t="s">
        <v>195</v>
      </c>
      <c r="BQ1" s="774" t="str">
        <f>IF($B$5="Calendar Year",MAX($BB$2:$BB$3443),CONCATENATE(MAX($BL$2:$BL$3495),"-",VALUE(RIGHT(MAX($BL$2:$BL$3495),2))+1))</f>
        <v>2020-21</v>
      </c>
      <c r="BR1" s="774">
        <f>MIN($BB$2:$BB$3468)</f>
        <v>1999</v>
      </c>
      <c r="CL1" s="773"/>
      <c r="CM1" s="773"/>
      <c r="CN1" s="773"/>
      <c r="CO1" s="773"/>
      <c r="CP1" s="773"/>
      <c r="CQ1" s="773"/>
      <c r="CR1" s="773"/>
    </row>
    <row r="2" spans="1:96" ht="15.75">
      <c r="A2" s="298"/>
      <c r="B2" s="298"/>
      <c r="C2" s="298"/>
      <c r="D2" s="298"/>
      <c r="E2" s="298"/>
      <c r="L2" s="298"/>
      <c r="M2" s="298"/>
      <c r="AI2" s="55"/>
      <c r="AJ2" s="55"/>
      <c r="AK2" s="55"/>
      <c r="AL2" s="55"/>
      <c r="AM2" s="55"/>
      <c r="AN2" s="55"/>
      <c r="AO2" s="55"/>
      <c r="AP2" s="55"/>
      <c r="AQ2" s="55"/>
      <c r="AR2" s="55"/>
      <c r="AS2" s="55"/>
      <c r="AT2" s="55"/>
      <c r="AU2" s="55"/>
      <c r="AV2" s="55"/>
      <c r="BA2" s="774" t="s">
        <v>38</v>
      </c>
      <c r="BB2" s="835">
        <v>2019</v>
      </c>
      <c r="BC2" s="774" t="s">
        <v>15</v>
      </c>
      <c r="BD2" s="774">
        <v>233.9</v>
      </c>
      <c r="BH2" s="774" t="s">
        <v>38</v>
      </c>
      <c r="BI2" s="836" t="s">
        <v>870</v>
      </c>
      <c r="BJ2" s="774" t="s">
        <v>15</v>
      </c>
      <c r="BK2" s="776">
        <v>157.80000000000001</v>
      </c>
      <c r="BL2" s="775">
        <v>2018</v>
      </c>
      <c r="BO2" s="775" t="str">
        <f>IF($B$5=BP1,IF(RIGHT(LEFT(B6,5),1)="-","Mismatch Error",""),IF(LEN(B6)=4,"Mismatch Error",""))</f>
        <v/>
      </c>
      <c r="BP2" s="774" t="s">
        <v>194</v>
      </c>
      <c r="BQ2" s="774" t="str">
        <f>IFERROR(IF($B$5=$BP$1,IF($BR$1&lt;=(BQ1-1),BQ1-1,""),IF($BR$1=VALUE(LEFT(BQ1,4)),"",CONCATENATE(VALUE(LEFT(BQ1,4))-1,"-",RIGHT(LEFT(BQ1,4),2)))),"")</f>
        <v>2019-20</v>
      </c>
      <c r="CL2" s="773"/>
      <c r="CM2" s="773"/>
      <c r="CN2" s="773"/>
      <c r="CO2" s="773"/>
      <c r="CP2" s="773"/>
      <c r="CQ2" s="773"/>
      <c r="CR2" s="773"/>
    </row>
    <row r="3" spans="1:96" ht="15.75">
      <c r="A3" s="298"/>
      <c r="B3" s="298"/>
      <c r="C3" s="298"/>
      <c r="D3" s="298"/>
      <c r="E3" s="298"/>
      <c r="L3" s="298"/>
      <c r="M3" s="298"/>
      <c r="P3" s="298"/>
      <c r="AI3" s="55"/>
      <c r="AJ3" s="55"/>
      <c r="AK3" s="55"/>
      <c r="AL3" s="55"/>
      <c r="AM3" s="55"/>
      <c r="AN3" s="55"/>
      <c r="AO3" s="55"/>
      <c r="AP3" s="55"/>
      <c r="AQ3" s="55"/>
      <c r="AR3" s="55"/>
      <c r="AS3" s="55"/>
      <c r="AT3" s="55"/>
      <c r="AU3" s="55"/>
      <c r="AV3" s="55"/>
      <c r="BA3" s="774" t="s">
        <v>38</v>
      </c>
      <c r="BB3" s="835">
        <v>2019</v>
      </c>
      <c r="BC3" s="774" t="s">
        <v>277</v>
      </c>
      <c r="BD3" s="774">
        <v>22.7</v>
      </c>
      <c r="BH3" s="774" t="s">
        <v>38</v>
      </c>
      <c r="BI3" s="836" t="s">
        <v>870</v>
      </c>
      <c r="BJ3" s="774" t="s">
        <v>277</v>
      </c>
      <c r="BK3" s="776">
        <v>24.1</v>
      </c>
      <c r="BL3" s="775">
        <v>2018</v>
      </c>
      <c r="BQ3" s="774" t="str">
        <f t="shared" ref="BQ3:BQ31" si="0">IFERROR(IF($B$5=$BP$1,IF($BR$1&lt;=(BQ2-1),BQ2-1,""),IF($BR$1=VALUE(LEFT(BQ2,4)),"",CONCATENATE(VALUE(LEFT(BQ2,4))-1,"-",RIGHT(LEFT(BQ2,4),2)))),"")</f>
        <v>2018-19</v>
      </c>
      <c r="CL3" s="773"/>
      <c r="CM3" s="773"/>
      <c r="CN3" s="773"/>
      <c r="CO3" s="773"/>
      <c r="CP3" s="773"/>
      <c r="CQ3" s="773"/>
      <c r="CR3" s="773"/>
    </row>
    <row r="4" spans="1:96" ht="16.5" thickBot="1">
      <c r="AI4" s="55"/>
      <c r="AJ4" s="55"/>
      <c r="AK4" s="55"/>
      <c r="AL4" s="55"/>
      <c r="AM4" s="55"/>
      <c r="AN4" s="55"/>
      <c r="AO4" s="55"/>
      <c r="AP4" s="55"/>
      <c r="AQ4" s="55"/>
      <c r="AR4" s="55"/>
      <c r="AS4" s="55"/>
      <c r="AT4" s="55"/>
      <c r="AU4" s="55"/>
      <c r="AV4" s="55"/>
      <c r="BA4" s="774" t="s">
        <v>38</v>
      </c>
      <c r="BB4" s="835">
        <v>2019</v>
      </c>
      <c r="BC4" s="774" t="s">
        <v>1064</v>
      </c>
      <c r="BD4" s="774">
        <v>145.6</v>
      </c>
      <c r="BH4" s="774" t="s">
        <v>38</v>
      </c>
      <c r="BI4" s="836" t="s">
        <v>870</v>
      </c>
      <c r="BJ4" s="774" t="s">
        <v>1156</v>
      </c>
      <c r="BK4" s="776">
        <v>116.80000000000001</v>
      </c>
      <c r="BL4" s="775">
        <v>2018</v>
      </c>
      <c r="BQ4" s="774" t="str">
        <f t="shared" si="0"/>
        <v>2017-18</v>
      </c>
      <c r="CL4" s="773"/>
      <c r="CM4" s="773"/>
      <c r="CN4" s="773"/>
      <c r="CO4" s="773"/>
      <c r="CP4" s="773"/>
      <c r="CQ4" s="773"/>
      <c r="CR4" s="773"/>
    </row>
    <row r="5" spans="1:96" ht="16.5" thickBot="1">
      <c r="A5" s="440" t="s">
        <v>193</v>
      </c>
      <c r="B5" s="441" t="s">
        <v>194</v>
      </c>
      <c r="AI5" s="55"/>
      <c r="AJ5" s="55"/>
      <c r="AK5" s="55"/>
      <c r="AL5" s="55"/>
      <c r="AM5" s="55"/>
      <c r="AN5" s="55"/>
      <c r="AO5" s="55"/>
      <c r="AP5" s="55"/>
      <c r="AQ5" s="55"/>
      <c r="AR5" s="55"/>
      <c r="AS5" s="55"/>
      <c r="AT5" s="55"/>
      <c r="AU5" s="55"/>
      <c r="AV5" s="55"/>
      <c r="BA5" s="774" t="s">
        <v>38</v>
      </c>
      <c r="BB5" s="835">
        <v>2019</v>
      </c>
      <c r="BC5" s="774" t="s">
        <v>8</v>
      </c>
      <c r="BD5" s="774">
        <v>727.1</v>
      </c>
      <c r="BH5" s="774" t="s">
        <v>38</v>
      </c>
      <c r="BI5" s="836" t="s">
        <v>870</v>
      </c>
      <c r="BJ5" s="774" t="s">
        <v>8</v>
      </c>
      <c r="BK5" s="776">
        <v>675.5</v>
      </c>
      <c r="BL5" s="775">
        <v>2018</v>
      </c>
      <c r="BQ5" s="774" t="str">
        <f t="shared" si="0"/>
        <v>2016-17</v>
      </c>
      <c r="CL5" s="773"/>
      <c r="CM5" s="773"/>
      <c r="CN5" s="773"/>
      <c r="CO5" s="773"/>
      <c r="CP5" s="773"/>
      <c r="CQ5" s="773"/>
      <c r="CR5" s="773"/>
    </row>
    <row r="6" spans="1:96" ht="16.5" thickBot="1">
      <c r="A6" s="440" t="s">
        <v>193</v>
      </c>
      <c r="B6" s="441" t="s">
        <v>1314</v>
      </c>
      <c r="P6" s="298"/>
      <c r="AI6" s="55"/>
      <c r="AJ6" s="55"/>
      <c r="AK6" s="55"/>
      <c r="AL6" s="55"/>
      <c r="AM6" s="55"/>
      <c r="AN6" s="55"/>
      <c r="AO6" s="55"/>
      <c r="AP6" s="55"/>
      <c r="AQ6" s="55"/>
      <c r="AR6" s="55"/>
      <c r="AS6" s="55"/>
      <c r="AT6" s="55"/>
      <c r="AU6" s="55"/>
      <c r="AV6" s="55"/>
      <c r="BA6" s="774" t="s">
        <v>38</v>
      </c>
      <c r="BB6" s="835">
        <v>2019</v>
      </c>
      <c r="BC6" s="774" t="s">
        <v>96</v>
      </c>
      <c r="BD6" s="774">
        <v>336.5</v>
      </c>
      <c r="BH6" s="774" t="s">
        <v>38</v>
      </c>
      <c r="BI6" s="836" t="s">
        <v>870</v>
      </c>
      <c r="BJ6" s="774" t="s">
        <v>96</v>
      </c>
      <c r="BK6" s="776">
        <v>311.39999999999998</v>
      </c>
      <c r="BL6" s="775">
        <v>2018</v>
      </c>
      <c r="BQ6" s="774" t="str">
        <f t="shared" si="0"/>
        <v>2015-16</v>
      </c>
      <c r="CL6" s="773"/>
      <c r="CM6" s="773"/>
      <c r="CN6" s="773"/>
      <c r="CO6" s="773"/>
      <c r="CP6" s="773"/>
      <c r="CQ6" s="773"/>
      <c r="CR6" s="773"/>
    </row>
    <row r="7" spans="1:96" ht="15.75">
      <c r="A7" s="442"/>
      <c r="B7" s="443"/>
      <c r="C7" s="298"/>
      <c r="D7" s="298"/>
      <c r="E7" s="298"/>
      <c r="L7" s="298"/>
      <c r="P7" s="298"/>
      <c r="AI7" s="55"/>
      <c r="AJ7" s="55"/>
      <c r="AK7" s="55"/>
      <c r="AL7" s="55"/>
      <c r="AM7" s="55"/>
      <c r="AN7" s="55"/>
      <c r="AO7" s="55"/>
      <c r="AP7" s="55"/>
      <c r="AQ7" s="55"/>
      <c r="AR7" s="55"/>
      <c r="AS7" s="55"/>
      <c r="AT7" s="55"/>
      <c r="AU7" s="55"/>
      <c r="AV7" s="55"/>
      <c r="BA7" s="774" t="s">
        <v>38</v>
      </c>
      <c r="BB7" s="835">
        <v>2019</v>
      </c>
      <c r="BC7" s="774" t="s">
        <v>196</v>
      </c>
      <c r="BD7" s="774">
        <v>8.3999999999999986</v>
      </c>
      <c r="BH7" s="774" t="s">
        <v>38</v>
      </c>
      <c r="BI7" s="836" t="s">
        <v>870</v>
      </c>
      <c r="BJ7" s="774" t="s">
        <v>196</v>
      </c>
      <c r="BK7" s="776">
        <v>6.8999999999999995</v>
      </c>
      <c r="BL7" s="775">
        <v>2018</v>
      </c>
      <c r="BQ7" s="774" t="str">
        <f t="shared" si="0"/>
        <v>2014-15</v>
      </c>
      <c r="CL7" s="773"/>
      <c r="CM7" s="773"/>
      <c r="CN7" s="773"/>
      <c r="CO7" s="773"/>
      <c r="CP7" s="773"/>
      <c r="CQ7" s="773"/>
      <c r="CR7" s="773"/>
    </row>
    <row r="8" spans="1:96" ht="16.5" thickBot="1">
      <c r="A8" s="1019" t="str">
        <f>BO1</f>
        <v xml:space="preserve">Mineral Exploration By Commodity 2020-21
</v>
      </c>
      <c r="B8" s="1019"/>
      <c r="C8" s="1019"/>
      <c r="D8" s="1019"/>
      <c r="E8" s="1019"/>
      <c r="F8" s="1019"/>
      <c r="G8" s="1019"/>
      <c r="H8" s="1019"/>
      <c r="I8" s="1019"/>
      <c r="J8" s="1019"/>
      <c r="K8" s="1019"/>
      <c r="L8" s="1019"/>
      <c r="AI8" s="55"/>
      <c r="AJ8" s="55"/>
      <c r="AK8" s="55"/>
      <c r="AL8" s="55"/>
      <c r="AM8" s="55"/>
      <c r="AN8" s="55"/>
      <c r="AO8" s="55"/>
      <c r="AP8" s="55"/>
      <c r="AQ8" s="55"/>
      <c r="AR8" s="55"/>
      <c r="AS8" s="55"/>
      <c r="AT8" s="55"/>
      <c r="AU8" s="55"/>
      <c r="AV8" s="55"/>
      <c r="BA8" s="774" t="s">
        <v>38</v>
      </c>
      <c r="BB8" s="835">
        <v>2019</v>
      </c>
      <c r="BC8" s="774" t="s">
        <v>278</v>
      </c>
      <c r="BD8" s="774">
        <v>0</v>
      </c>
      <c r="BH8" s="774" t="s">
        <v>38</v>
      </c>
      <c r="BI8" s="836" t="s">
        <v>870</v>
      </c>
      <c r="BJ8" s="774" t="s">
        <v>278</v>
      </c>
      <c r="BK8" s="776">
        <v>0.4</v>
      </c>
      <c r="BL8" s="775">
        <v>2018</v>
      </c>
      <c r="BQ8" s="774" t="str">
        <f t="shared" si="0"/>
        <v>2013-14</v>
      </c>
      <c r="CL8" s="773"/>
      <c r="CM8" s="773"/>
      <c r="CN8" s="773"/>
      <c r="CO8" s="773"/>
      <c r="CP8" s="773"/>
      <c r="CQ8" s="773"/>
      <c r="CR8" s="773"/>
    </row>
    <row r="9" spans="1:96" ht="30">
      <c r="A9" s="335"/>
      <c r="B9" s="404" t="s">
        <v>15</v>
      </c>
      <c r="C9" s="406" t="s">
        <v>277</v>
      </c>
      <c r="D9" s="336" t="s">
        <v>1156</v>
      </c>
      <c r="E9" s="407" t="s">
        <v>8</v>
      </c>
      <c r="F9" s="407" t="s">
        <v>53</v>
      </c>
      <c r="G9" s="405" t="s">
        <v>191</v>
      </c>
      <c r="H9" s="336" t="s">
        <v>278</v>
      </c>
      <c r="I9" s="407" t="s">
        <v>44</v>
      </c>
      <c r="J9" s="405" t="s">
        <v>45</v>
      </c>
      <c r="K9" s="337" t="s">
        <v>48</v>
      </c>
      <c r="L9" s="399" t="s">
        <v>97</v>
      </c>
      <c r="AI9" s="55"/>
      <c r="AJ9" s="55"/>
      <c r="AK9" s="55"/>
      <c r="AL9" s="55"/>
      <c r="AM9" s="55"/>
      <c r="AN9" s="55"/>
      <c r="AO9" s="55"/>
      <c r="AP9" s="55"/>
      <c r="AQ9" s="55"/>
      <c r="AR9" s="55"/>
      <c r="AS9" s="55"/>
      <c r="AT9" s="55"/>
      <c r="AU9" s="55"/>
      <c r="AV9" s="55"/>
      <c r="BA9" s="774" t="s">
        <v>38</v>
      </c>
      <c r="BB9" s="835">
        <v>2019</v>
      </c>
      <c r="BC9" s="774" t="s">
        <v>44</v>
      </c>
      <c r="BD9" s="774">
        <v>0</v>
      </c>
      <c r="BH9" s="774" t="s">
        <v>38</v>
      </c>
      <c r="BI9" s="836" t="s">
        <v>870</v>
      </c>
      <c r="BJ9" s="774" t="s">
        <v>44</v>
      </c>
      <c r="BK9" s="776">
        <v>0</v>
      </c>
      <c r="BL9" s="775">
        <v>2018</v>
      </c>
      <c r="BQ9" s="774" t="str">
        <f t="shared" si="0"/>
        <v>2012-13</v>
      </c>
      <c r="CL9" s="773"/>
      <c r="CM9" s="773"/>
      <c r="CN9" s="773"/>
      <c r="CO9" s="773"/>
      <c r="CP9" s="773"/>
      <c r="CQ9" s="773"/>
      <c r="CR9" s="773"/>
    </row>
    <row r="10" spans="1:96" ht="15.75">
      <c r="A10" s="256" t="s">
        <v>154</v>
      </c>
      <c r="B10" s="663">
        <f t="array" ref="B10">IF($BO$2="Mismatch Error", "Mismatch Error",IF($B$5=$BP$1,INDEX($BA$2:$BD$3443,MATCH(1,(($BA$2:$BA$3439)="WA")*(($BB$2:$BB$3439)=$B$6)*(($BC$2:$BC$3439)=B$9),0),4),INDEX($BH$2:$BK$3495,MATCH(1,(($BH$2:$BH$3466)="WA")*(($BI$2:$BI$3466)=$B$6)*(($BJ$2:$BJ$3466)=B$9),0),4)))</f>
        <v>147.5</v>
      </c>
      <c r="C10" s="663">
        <f t="array" ref="C10">IF($BO$2="Mismatch Error", "Mismatch Error",IF($B$5=$BP$1,INDEX($BA$2:$BD$3443,MATCH(1,(($BA$2:$BA$3439)="WA")*(($BB$2:$BB$3439)=$B$6)*(($BC$2:$BC$3439)=C$9),0),4),INDEX($BH$2:$BK$3495,MATCH(1,(($BH$2:$BH$3466)="WA")*(($BI$2:$BI$3466)=$B$6)*(($BJ$2:$BJ$3466)=C$9),0),4)))</f>
        <v>21</v>
      </c>
      <c r="D10" s="663">
        <f t="array" ref="D10">IF($BO$2="Mismatch Error", "Mismatch Error",IF($B$5=$BP$1,INDEX($BA$2:$BD$3443,MATCH(1,(($BA$2:$BA$3439)="WA")*(($BB$2:$BB$3439)=$B$6)*(($BC$2:$BC$3439)=D$9),0),4),INDEX($BH$2:$BK$3495,MATCH(1,(($BH$2:$BH$3466)="WA")*(($BI$2:$BI$3466)=$B$6)*(($BJ$2:$BJ$3466)=D$9),0),4)))</f>
        <v>185.2</v>
      </c>
      <c r="E10" s="663">
        <f t="array" ref="E10">IF($BO$2="Mismatch Error", "Mismatch Error",IF($B$5=$BP$1,INDEX($BA$2:$BD$3443,MATCH(1,(($BA$2:$BA$3439)="WA")*(($BB$2:$BB$3439)=$B$6)*(($BC$2:$BC$3439)=E$9),0),4),INDEX($BH$2:$BK$3495,MATCH(1,(($BH$2:$BH$3466)="WA")*(($BI$2:$BI$3466)=$B$6)*(($BJ$2:$BJ$3466)=E$9),0),4)))</f>
        <v>1071.5</v>
      </c>
      <c r="F10" s="663">
        <f t="array" ref="F10">IF($BO$2="Mismatch Error", "Mismatch Error",IF($B$5=$BP$1,INDEX($BA$2:$BD$3443,MATCH(1,(($BA$2:$BA$3439)="WA")*(($BB$2:$BB$3439)=$B$6)*(($BC$2:$BC$3439)=F$9),0),4),INDEX($BH$2:$BK$3495,MATCH(1,(($BH$2:$BH$3466)="WA")*(($BI$2:$BI$3466)=$B$6)*(($BJ$2:$BJ$3466)=F$9),0),4)))</f>
        <v>455</v>
      </c>
      <c r="G10" s="663">
        <f t="array" ref="G10">IF($BO$2="Mismatch Error", "Mismatch Error",IF($B$5=$BP$1,INDEX($BA$2:$BD$3443,MATCH(1,(($BA$2:$BA$3439)="WA")*(($BB$2:$BB$3439)=$B$6)*(($BC$2:$BC$3439)=G$9),0),4),INDEX($BH$2:$BK$3495,MATCH(1,(($BH$2:$BH$3466)="WA")*(($BI$2:$BI$3466)=$B$6)*(($BJ$2:$BJ$3466)=G$9),0),4)))</f>
        <v>13.7</v>
      </c>
      <c r="H10" s="663">
        <f t="array" ref="H10">IF($BO$2="Mismatch Error", "Mismatch Error",IF($B$5=$BP$1,INDEX($BA$2:$BD$3443,MATCH(1,(($BA$2:$BA$3439)="WA")*(($BB$2:$BB$3439)=$B$6)*(($BC$2:$BC$3439)=H$9),0),4),INDEX($BH$2:$BK$3495,MATCH(1,(($BH$2:$BH$3466)="WA")*(($BI$2:$BI$3466)=$B$6)*(($BJ$2:$BJ$3466)=H$9),0),4)))</f>
        <v>0.3</v>
      </c>
      <c r="I10" s="663">
        <f t="array" ref="I10">IF($BO$2="Mismatch Error", "Mismatch Error",IF($B$5=$BP$1,INDEX($BA$2:$BD$3443,MATCH(1,(($BA$2:$BA$3439)="WA")*(($BB$2:$BB$3439)=$B$6)*(($BC$2:$BC$3439)=I$9),0),4),INDEX($BH$2:$BK$3495,MATCH(1,(($BH$2:$BH$3466)="WA")*(($BI$2:$BI$3466)=$B$6)*(($BJ$2:$BJ$3466)=I$9),0),4)))</f>
        <v>0</v>
      </c>
      <c r="J10" s="663">
        <f t="array" ref="J10">IF($BO$2="Mismatch Error", "Mismatch Error",IF($B$5=$BP$1,INDEX($BA$2:$BD$3443,MATCH(1,(($BA$2:$BA$3439)="WA")*(($BB$2:$BB$3439)=$B$6)*(($BC$2:$BC$3439)=J$9),0),4),INDEX($BH$2:$BK$3495,MATCH(1,(($BH$2:$BH$3466)="WA")*(($BI$2:$BI$3466)=$B$6)*(($BJ$2:$BJ$3466)=J$9),0),4)))</f>
        <v>0</v>
      </c>
      <c r="K10" s="664">
        <f t="array" ref="K10">IF($BO$2="Mismatch Error", "Mismatch Error",IF($B$5=$BP$1,INDEX($BA$2:$BD$3443,MATCH(1,(($BA$2:$BA$3439)="WA")*(($BB$2:$BB$3439)=$B$6)*(($BC$2:$BC$3439)=K$9),0),4),INDEX($BH$2:$BK$3495,MATCH(1,(($BH$2:$BH$3466)="WA")*(($BI$2:$BI$3466)=$B$6)*(($BJ$2:$BJ$3466)=K$9),0),4)))</f>
        <v>148.4</v>
      </c>
      <c r="L10" s="665">
        <f t="array" ref="L10">IF($BO$2="Mismatch Error", "Mismatch Error",IF($B$5=$BP$1,INDEX($BA$2:$BD$3443,MATCH(1,(($BA$2:$BA$3439)="WA")*(($BB$2:$BB$3439)=$B$6)*(($BC$2:$BC$3439)=L$9),0),4),INDEX($BH$2:$BK$3495,MATCH(1,(($BH$2:$BH$3466)="WA")*(($BI$2:$BI$3466)=$B$6)*(($BJ$2:$BJ$3466)=L$9),0),4)))</f>
        <v>2052.1</v>
      </c>
      <c r="P10" s="298"/>
      <c r="AI10" s="55"/>
      <c r="AJ10" s="55"/>
      <c r="AK10" s="55"/>
      <c r="AL10" s="55"/>
      <c r="AM10" s="55"/>
      <c r="AN10" s="55"/>
      <c r="AO10" s="55"/>
      <c r="AP10" s="55"/>
      <c r="AQ10" s="55"/>
      <c r="AR10" s="55"/>
      <c r="AS10" s="55"/>
      <c r="AT10" s="55"/>
      <c r="AU10" s="55"/>
      <c r="AV10" s="55"/>
      <c r="BA10" s="774" t="s">
        <v>38</v>
      </c>
      <c r="BB10" s="835">
        <v>2019</v>
      </c>
      <c r="BC10" s="774" t="s">
        <v>45</v>
      </c>
      <c r="BD10" s="774">
        <v>3.9</v>
      </c>
      <c r="BH10" s="774" t="s">
        <v>38</v>
      </c>
      <c r="BI10" s="836" t="s">
        <v>870</v>
      </c>
      <c r="BJ10" s="774" t="s">
        <v>45</v>
      </c>
      <c r="BK10" s="776">
        <v>5.5</v>
      </c>
      <c r="BL10" s="775">
        <v>2018</v>
      </c>
      <c r="BP10" s="775" t="s">
        <v>195</v>
      </c>
      <c r="BQ10" s="774" t="str">
        <f t="shared" si="0"/>
        <v>2011-12</v>
      </c>
      <c r="CL10" s="773"/>
      <c r="CM10" s="773"/>
      <c r="CN10" s="773"/>
      <c r="CO10" s="773"/>
      <c r="CP10" s="773"/>
      <c r="CQ10" s="773"/>
      <c r="CR10" s="773"/>
    </row>
    <row r="11" spans="1:96" ht="15.75">
      <c r="A11" s="256" t="s">
        <v>1174</v>
      </c>
      <c r="B11" s="666">
        <f t="array" ref="B11">IF($BO$2="Mismatch Error", "Mismatch Error",IF($B$5=$BP$1,INDEX($BA$2:$BD$3443,MATCH(1,(($BA$2:$BA$3439)="Rest of Australia")*(($BB$2:$BB$3439)=$B$6)*(($BC$2:$BC$3439)=B$9),0),4),INDEX($BH$2:$BK$3495,MATCH(1,(($BH$2:$BH$3466)="Rest of Australia")*(($BI$3:$BI$3466)=$B$6)*(($BJ$2:$BJ$3466)=B$9),0),4)))</f>
        <v>229.39999999999998</v>
      </c>
      <c r="C11" s="666">
        <f t="array" ref="C11">IF($BO$2="Mismatch Error", "Mismatch Error",IF($B$5=$BP$1,INDEX($BA$2:$BD$3443,MATCH(1,(($BA$2:$BA$3439)="Rest of Australia")*(($BB$2:$BB$3439)=$B$6)*(($BC$2:$BC$3439)=C$9),0),4),INDEX($BH$2:$BK$3495,MATCH(1,(($BH$2:$BH$3466)="Rest of Australia")*(($BI$3:$BI$3466)=$B$6)*(($BJ$2:$BJ$3466)=C$9),0),4)))</f>
        <v>43.599999999999994</v>
      </c>
      <c r="D11" s="666">
        <f t="array" ref="D11">IF($BO$2="Mismatch Error", "Mismatch Error",IF($B$5=$BP$1,INDEX($BA$2:$BD$3443,MATCH(1,(($BA$2:$BA$3439)="Rest of Australia")*(($BB$2:$BB$3439)=$B$6)*(($BC$2:$BC$3439)=D$9),0),4),INDEX($BH$2:$BK$3495,MATCH(1,(($BH$2:$BH$3466)="Rest of Australia")*(($BI$3:$BI$3466)=$B$6)*(($BJ$2:$BJ$3466)=D$9),0),4)))</f>
        <v>24.700000000000017</v>
      </c>
      <c r="E11" s="666">
        <f t="array" ref="E11">IF($BO$2="Mismatch Error", "Mismatch Error",IF($B$5=$BP$1,INDEX($BA$2:$BD$3443,MATCH(1,(($BA$2:$BA$3439)="Rest of Australia")*(($BB$2:$BB$3439)=$B$6)*(($BC$2:$BC$3439)=E$9),0),4),INDEX($BH$2:$BK$3495,MATCH(1,(($BH$2:$BH$3466)="Rest of Australia")*(($BI$3:$BI$3466)=$B$6)*(($BJ$2:$BJ$3466)=E$9),0),4)))</f>
        <v>458.09999999999991</v>
      </c>
      <c r="F11" s="666">
        <f t="array" ref="F11">IF($BO$2="Mismatch Error", "Mismatch Error",IF($B$5=$BP$1,INDEX($BA$2:$BD$3443,MATCH(1,(($BA$2:$BA$3439)="Rest of Australia")*(($BB$2:$BB$3439)=$B$6)*(($BC$2:$BC$3439)=F$9),0),4),INDEX($BH$2:$BK$3495,MATCH(1,(($BH$2:$BH$3466)="Rest of Australia")*(($BI$3:$BI$3466)=$B$6)*(($BJ$2:$BJ$3466)=F$9),0),4)))</f>
        <v>18.199999999999989</v>
      </c>
      <c r="G11" s="666">
        <f t="array" ref="G11">IF($BO$2="Mismatch Error", "Mismatch Error",IF($B$5=$BP$1,INDEX($BA$2:$BD$3443,MATCH(1,(($BA$2:$BA$3439)="Rest of Australia")*(($BB$2:$BB$3439)=$B$6)*(($BC$2:$BC$3439)=G$9),0),4),INDEX($BH$2:$BK$3495,MATCH(1,(($BH$2:$BH$3466)="Rest of Australia")*(($BI$3:$BI$3466)=$B$6)*(($BJ$2:$BJ$3466)=G$9),0),4)))</f>
        <v>23.099999999999998</v>
      </c>
      <c r="H11" s="666">
        <f t="array" ref="H11">IF($BO$2="Mismatch Error", "Mismatch Error",IF($B$5=$BP$1,INDEX($BA$2:$BD$3443,MATCH(1,(($BA$2:$BA$3439)="Rest of Australia")*(($BB$2:$BB$3439)=$B$6)*(($BC$2:$BC$3439)=H$9),0),4),INDEX($BH$2:$BK$3495,MATCH(1,(($BH$2:$BH$3466)="Rest of Australia")*(($BI$3:$BI$3466)=$B$6)*(($BJ$2:$BJ$3466)=H$9),0),4)))</f>
        <v>9.3999999999999986</v>
      </c>
      <c r="I11" s="666">
        <f t="array" ref="I11">IF($BO$2="Mismatch Error", "Mismatch Error",IF($B$5=$BP$1,INDEX($BA$2:$BD$3443,MATCH(1,(($BA$2:$BA$3439)="Rest of Australia")*(($BB$2:$BB$3439)=$B$6)*(($BC$2:$BC$3439)=I$9),0),4),INDEX($BH$2:$BK$3495,MATCH(1,(($BH$2:$BH$3466)="Rest of Australia")*(($BI$3:$BI$3466)=$B$6)*(($BJ$2:$BJ$3466)=I$9),0),4)))</f>
        <v>235</v>
      </c>
      <c r="J11" s="666">
        <f t="array" ref="J11">IF($BO$2="Mismatch Error", "Mismatch Error",IF($B$5=$BP$1,INDEX($BA$2:$BD$3443,MATCH(1,(($BA$2:$BA$3439)="Rest of Australia")*(($BB$2:$BB$3439)=$B$6)*(($BC$2:$BC$3439)=J$9),0),4),INDEX($BH$2:$BK$3495,MATCH(1,(($BH$2:$BH$3466)="Rest of Australia")*(($BI$3:$BI$3466)=$B$6)*(($BJ$2:$BJ$3466)=J$9),0),4)))</f>
        <v>4</v>
      </c>
      <c r="K11" s="667">
        <f t="array" ref="K11">IF($BO$2="Mismatch Error", "Mismatch Error",IF($B$5=$BP$1,INDEX($BA$2:$BD$3443,MATCH(1,(($BA$2:$BA$3439)="Rest of Australia")*(($BB$2:$BB$3439)=$B$6)*(($BC$2:$BC$3439)=K$9),0),4),INDEX($BH$2:$BK$3495,MATCH(1,(($BH$2:$BH$3466)="Rest of Australia")*(($BI$3:$BI$3466)=$B$6)*(($BJ$2:$BJ$3466)=K$9),0),4)))</f>
        <v>74</v>
      </c>
      <c r="L11" s="668">
        <f t="array" ref="L11">IF($BO$2="Mismatch Error", "Mismatch Error",IF($B$5=$BP$1,INDEX($BA$2:$BD$3443,MATCH(1,(($BA$2:$BA$3439)="Rest of Australia")*(($BB$2:$BB$3439)=$B$6)*(($BC$2:$BC$3439)=L$9),0),4),INDEX($BH$2:$BK$3495,MATCH(1,(($BH$2:$BH$3466)="Rest of Australia")*(($BI$2:$BI$3466)=$B$6)*(($BJ$2:$BJ$3466)=L$9),0),4)))</f>
        <v>1109.5999999999999</v>
      </c>
      <c r="P11" s="298"/>
      <c r="AI11" s="55"/>
      <c r="AJ11" s="55"/>
      <c r="AK11" s="55"/>
      <c r="AL11" s="55"/>
      <c r="AM11" s="55"/>
      <c r="AN11" s="55"/>
      <c r="AO11" s="55"/>
      <c r="AP11" s="55"/>
      <c r="AQ11" s="55"/>
      <c r="AR11" s="55"/>
      <c r="AS11" s="55"/>
      <c r="AT11" s="55"/>
      <c r="AU11" s="55"/>
      <c r="AV11" s="55"/>
      <c r="BA11" s="774" t="s">
        <v>38</v>
      </c>
      <c r="BB11" s="835">
        <v>2019</v>
      </c>
      <c r="BC11" s="774" t="s">
        <v>48</v>
      </c>
      <c r="BD11" s="774">
        <v>164</v>
      </c>
      <c r="BH11" s="774" t="s">
        <v>38</v>
      </c>
      <c r="BI11" s="836" t="s">
        <v>870</v>
      </c>
      <c r="BJ11" s="774" t="s">
        <v>48</v>
      </c>
      <c r="BK11" s="776">
        <v>133.1</v>
      </c>
      <c r="BL11" s="775">
        <v>2018</v>
      </c>
      <c r="BP11" s="775" t="s">
        <v>194</v>
      </c>
      <c r="BQ11" s="774" t="str">
        <f t="shared" si="0"/>
        <v>2010-11</v>
      </c>
      <c r="CL11" s="773"/>
      <c r="CM11" s="773"/>
      <c r="CN11" s="773"/>
      <c r="CO11" s="773"/>
      <c r="CP11" s="773"/>
      <c r="CQ11" s="773"/>
      <c r="CR11" s="773"/>
    </row>
    <row r="12" spans="1:96" ht="16.5" thickBot="1">
      <c r="A12" s="403" t="s">
        <v>170</v>
      </c>
      <c r="B12" s="663">
        <f t="array" ref="B12">IF($BO$2="Mismatch Error", "Mismatch Error",IF($B$5=$BP$1,INDEX($BA$2:$BD$3443,MATCH(1,(($BA$2:$BA$3439)="Australia")*(($BB$2:$BB$3439)=$B$6)*(($BC$2:$BC$3439)=B$9),0),4),INDEX($BH$2:$BK$3495,MATCH(1,(($BH$2:$BH$3466)="Australia")*(($BI$3:$BI$3466)=$B$6)*(($BJ$2:$BJ$3466)=B$9),0),4)))</f>
        <v>376.9</v>
      </c>
      <c r="C12" s="663">
        <f t="array" ref="C12">IF($BO$2="Mismatch Error", "Mismatch Error",IF($B$5=$BP$1,INDEX($BA$2:$BD$3443,MATCH(1,(($BA$2:$BA$3439)="Australia")*(($BB$2:$BB$3439)=$B$6)*(($BC$2:$BC$3439)=C$9),0),4),INDEX($BH$2:$BK$3495,MATCH(1,(($BH$2:$BH$3466)="Australia")*(($BI$3:$BI$3466)=$B$6)*(($BJ$2:$BJ$3466)=C$9),0),4)))</f>
        <v>64.599999999999994</v>
      </c>
      <c r="D12" s="663">
        <f t="array" ref="D12">IF($BO$2="Mismatch Error", "Mismatch Error",IF($B$5=$BP$1,INDEX($BA$2:$BD$3443,MATCH(1,(($BA$2:$BA$3439)="Australia")*(($BB$2:$BB$3439)=$B$6)*(($BC$2:$BC$3439)=D$9),0),4),INDEX($BH$2:$BK$3495,MATCH(1,(($BH$2:$BH$3466)="Australia")*(($BI$3:$BI$3466)=$B$6)*(($BJ$2:$BJ$3466)=D$9),0),4)))</f>
        <v>209.9</v>
      </c>
      <c r="E12" s="663">
        <f t="array" ref="E12">IF($BO$2="Mismatch Error", "Mismatch Error",IF($B$5=$BP$1,INDEX($BA$2:$BD$3443,MATCH(1,(($BA$2:$BA$3439)="Australia")*(($BB$2:$BB$3439)=$B$6)*(($BC$2:$BC$3439)=E$9),0),4),INDEX($BH$2:$BK$3495,MATCH(1,(($BH$2:$BH$3466)="Australia")*(($BI$3:$BI$3466)=$B$6)*(($BJ$2:$BJ$3466)=E$9),0),4)))</f>
        <v>1529.6</v>
      </c>
      <c r="F12" s="663">
        <f t="array" ref="F12">IF($BO$2="Mismatch Error", "Mismatch Error",IF($B$5=$BP$1,INDEX($BA$2:$BD$3443,MATCH(1,(($BA$2:$BA$3439)="Australia")*(($BB$2:$BB$3439)=$B$6)*(($BC$2:$BC$3439)=F$9),0),4),INDEX($BH$2:$BK$3495,MATCH(1,(($BH$2:$BH$3466)="Australia")*(($BI$3:$BI$3466)=$B$6)*(($BJ$2:$BJ$3466)=F$9),0),4)))</f>
        <v>473.2</v>
      </c>
      <c r="G12" s="663">
        <f t="array" ref="G12">IF($BO$2="Mismatch Error", "Mismatch Error",IF($B$5=$BP$1,INDEX($BA$2:$BD$3443,MATCH(1,(($BA$2:$BA$3439)="Australia")*(($BB$2:$BB$3439)=$B$6)*(($BC$2:$BC$3439)=G$9),0),4),INDEX($BH$2:$BK$3495,MATCH(1,(($BH$2:$BH$3466)="Australia")*(($BI$3:$BI$3466)=$B$6)*(($BJ$2:$BJ$3466)=G$9),0),4)))</f>
        <v>36.799999999999997</v>
      </c>
      <c r="H12" s="663">
        <f t="array" ref="H12">IF($BO$2="Mismatch Error", "Mismatch Error",IF($B$5=$BP$1,INDEX($BA$2:$BD$3443,MATCH(1,(($BA$2:$BA$3439)="Australia")*(($BB$2:$BB$3439)=$B$6)*(($BC$2:$BC$3439)=H$9),0),4),INDEX($BH$2:$BK$3495,MATCH(1,(($BH$2:$BH$3466)="Australia")*(($BI$3:$BI$3466)=$B$6)*(($BJ$2:$BJ$3466)=H$9),0),4)))</f>
        <v>9.6999999999999993</v>
      </c>
      <c r="I12" s="663">
        <f t="array" ref="I12">IF($BO$2="Mismatch Error", "Mismatch Error",IF($B$5=$BP$1,INDEX($BA$2:$BD$3443,MATCH(1,(($BA$2:$BA$3439)="Australia")*(($BB$2:$BB$3439)=$B$6)*(($BC$2:$BC$3439)=I$9),0),4),INDEX($BH$2:$BK$3495,MATCH(1,(($BH$2:$BH$3466)="Australia")*(($BI$3:$BI$3466)=$B$6)*(($BJ$2:$BJ$3466)=I$9),0),4)))</f>
        <v>235</v>
      </c>
      <c r="J12" s="663">
        <f t="array" ref="J12">IF($BO$2="Mismatch Error", "Mismatch Error",IF($B$5=$BP$1,INDEX($BA$2:$BD$3443,MATCH(1,(($BA$2:$BA$3439)="Australia")*(($BB$2:$BB$3439)=$B$6)*(($BC$2:$BC$3439)=J$9),0),4),INDEX($BH$2:$BK$3495,MATCH(1,(($BH$2:$BH$3466)="Australia")*(($BI$3:$BI$3466)=$B$6)*(($BJ$2:$BJ$3466)=J$9),0),4)))</f>
        <v>4</v>
      </c>
      <c r="K12" s="664">
        <f t="array" ref="K12">IF($BO$2="Mismatch Error", "Mismatch Error",IF($B$5=$BP$1,INDEX($BA$2:$BD$3443,MATCH(1,(($BA$2:$BA$3439)="Australia")*(($BB$2:$BB$3439)=$B$6)*(($BC$2:$BC$3439)=K$9),0),4),INDEX($BH$2:$BK$3495,MATCH(1,(($BH$2:$BH$3466)="Australia")*(($BI$3:$BI$3466)=$B$6)*(($BJ$2:$BJ$3466)=K$9),0),4)))</f>
        <v>222.4</v>
      </c>
      <c r="L12" s="669">
        <f t="array" ref="L12">IF($BO$2="Mismatch Error", "Mismatch Error",IF($B$5=$BP$1,INDEX($BA$2:$BD$3443,MATCH(1,(($BA$2:$BA$3439)="Australia")*(($BB$2:$BB$3439)=$B$6)*(($BC$2:$BC$3439)=L$9),0),4),INDEX($BH$2:$BK$3495,MATCH(1,(($BH$2:$BH$3466)="Australia")*(($BI$2:$BI$3466)=$B$6)*(($BJ$2:$BJ$3466)=L$9),0),4)))</f>
        <v>3161.7</v>
      </c>
      <c r="AI12" s="55"/>
      <c r="AJ12" s="55"/>
      <c r="AK12" s="55"/>
      <c r="AL12" s="55"/>
      <c r="AM12" s="55"/>
      <c r="AN12" s="55"/>
      <c r="AO12" s="55"/>
      <c r="AP12" s="55"/>
      <c r="AQ12" s="55"/>
      <c r="AR12" s="55"/>
      <c r="AS12" s="55"/>
      <c r="AT12" s="55"/>
      <c r="AU12" s="55"/>
      <c r="AV12" s="55"/>
      <c r="BA12" s="774" t="s">
        <v>38</v>
      </c>
      <c r="BB12" s="835">
        <v>2019</v>
      </c>
      <c r="BC12" s="774" t="s">
        <v>97</v>
      </c>
      <c r="BD12" s="774">
        <v>1648.1999999999998</v>
      </c>
      <c r="BH12" s="774" t="s">
        <v>38</v>
      </c>
      <c r="BI12" s="836" t="s">
        <v>870</v>
      </c>
      <c r="BJ12" s="774" t="s">
        <v>97</v>
      </c>
      <c r="BK12" s="776">
        <v>1441.9</v>
      </c>
      <c r="BL12" s="775">
        <v>2018</v>
      </c>
      <c r="BQ12" s="774" t="str">
        <f t="shared" si="0"/>
        <v>2009-10</v>
      </c>
      <c r="CL12" s="773"/>
      <c r="CM12" s="773"/>
      <c r="CN12" s="773"/>
      <c r="CO12" s="773"/>
      <c r="CP12" s="773"/>
      <c r="CQ12" s="773"/>
      <c r="CR12" s="773"/>
    </row>
    <row r="13" spans="1:96" ht="17.25" thickTop="1" thickBot="1">
      <c r="A13" s="444" t="s">
        <v>1066</v>
      </c>
      <c r="B13" s="445">
        <f t="shared" ref="B13:K13" si="1">IF($BO$2="Mismatch Error","Mismatch Error",RANK(B10,$B$10:$K$10,0))</f>
        <v>5</v>
      </c>
      <c r="C13" s="445">
        <f t="shared" si="1"/>
        <v>6</v>
      </c>
      <c r="D13" s="445">
        <f t="shared" si="1"/>
        <v>3</v>
      </c>
      <c r="E13" s="445">
        <f t="shared" si="1"/>
        <v>1</v>
      </c>
      <c r="F13" s="445">
        <f t="shared" si="1"/>
        <v>2</v>
      </c>
      <c r="G13" s="445">
        <f t="shared" si="1"/>
        <v>7</v>
      </c>
      <c r="H13" s="445">
        <f t="shared" si="1"/>
        <v>8</v>
      </c>
      <c r="I13" s="445">
        <f t="shared" si="1"/>
        <v>9</v>
      </c>
      <c r="J13" s="445">
        <f t="shared" si="1"/>
        <v>9</v>
      </c>
      <c r="K13" s="446">
        <f t="shared" si="1"/>
        <v>4</v>
      </c>
      <c r="L13" s="634">
        <f>COLUMNS(B13:K13)</f>
        <v>10</v>
      </c>
      <c r="AI13" s="55"/>
      <c r="AJ13" s="55"/>
      <c r="AK13" s="55"/>
      <c r="AL13" s="55"/>
      <c r="AM13" s="55"/>
      <c r="AN13" s="55"/>
      <c r="AO13" s="55"/>
      <c r="AP13" s="55"/>
      <c r="AQ13" s="55"/>
      <c r="AR13" s="55"/>
      <c r="AS13" s="55"/>
      <c r="AT13" s="55"/>
      <c r="AU13" s="55"/>
      <c r="AV13" s="55"/>
      <c r="BA13" s="774" t="s">
        <v>172</v>
      </c>
      <c r="BB13" s="835">
        <v>2019</v>
      </c>
      <c r="BC13" s="774" t="s">
        <v>15</v>
      </c>
      <c r="BD13" s="774">
        <f t="shared" ref="BD13:BD23" si="2">BD24-BD2</f>
        <v>181.00000000000003</v>
      </c>
      <c r="BH13" s="774" t="s">
        <v>172</v>
      </c>
      <c r="BI13" s="836" t="s">
        <v>870</v>
      </c>
      <c r="BJ13" s="774" t="s">
        <v>15</v>
      </c>
      <c r="BK13" s="837">
        <f t="shared" ref="BK13:BK22" si="3">BK24-BK2</f>
        <v>171</v>
      </c>
      <c r="BL13" s="775">
        <v>2018</v>
      </c>
      <c r="BQ13" s="774" t="str">
        <f t="shared" si="0"/>
        <v>2008-09</v>
      </c>
      <c r="CL13" s="773"/>
      <c r="CM13" s="773"/>
      <c r="CN13" s="773"/>
      <c r="CO13" s="773"/>
      <c r="CP13" s="773"/>
      <c r="CQ13" s="773"/>
      <c r="CR13" s="773"/>
    </row>
    <row r="14" spans="1:96" ht="17.25" thickTop="1" thickBot="1">
      <c r="A14" s="256" t="s">
        <v>1132</v>
      </c>
      <c r="B14" s="402">
        <f t="shared" ref="B14:L14" si="4">IF($BO$2="Mismatch Error", "Mismatch Error",B10/$L$10)</f>
        <v>7.1877588811461432E-2</v>
      </c>
      <c r="C14" s="400">
        <f t="shared" si="4"/>
        <v>1.0233419424004679E-2</v>
      </c>
      <c r="D14" s="402">
        <f t="shared" si="4"/>
        <v>9.0249013205984108E-2</v>
      </c>
      <c r="E14" s="400">
        <f t="shared" si="4"/>
        <v>0.5221480434676673</v>
      </c>
      <c r="F14" s="402">
        <f t="shared" si="4"/>
        <v>0.22172408752010137</v>
      </c>
      <c r="G14" s="400">
        <f t="shared" si="4"/>
        <v>6.6760879099459092E-3</v>
      </c>
      <c r="H14" s="402">
        <f t="shared" si="4"/>
        <v>1.4619170605720968E-4</v>
      </c>
      <c r="I14" s="400">
        <f t="shared" si="4"/>
        <v>0</v>
      </c>
      <c r="J14" s="402">
        <f t="shared" si="4"/>
        <v>0</v>
      </c>
      <c r="K14" s="401">
        <f t="shared" si="4"/>
        <v>7.2316163929633068E-2</v>
      </c>
      <c r="L14" s="635">
        <f t="shared" si="4"/>
        <v>1</v>
      </c>
      <c r="P14" s="298"/>
      <c r="AI14" s="55"/>
      <c r="AJ14" s="55"/>
      <c r="AK14" s="55"/>
      <c r="AL14" s="55"/>
      <c r="AM14" s="55"/>
      <c r="AN14" s="55"/>
      <c r="AO14" s="55"/>
      <c r="AP14" s="55"/>
      <c r="AQ14" s="55"/>
      <c r="AR14" s="55"/>
      <c r="AS14" s="55"/>
      <c r="AT14" s="55"/>
      <c r="AU14" s="55"/>
      <c r="AV14" s="55"/>
      <c r="BA14" s="774" t="s">
        <v>172</v>
      </c>
      <c r="BB14" s="835">
        <v>2019</v>
      </c>
      <c r="BC14" s="774" t="s">
        <v>277</v>
      </c>
      <c r="BD14" s="774">
        <f t="shared" si="2"/>
        <v>57.8</v>
      </c>
      <c r="BH14" s="774" t="s">
        <v>172</v>
      </c>
      <c r="BI14" s="836" t="s">
        <v>870</v>
      </c>
      <c r="BJ14" s="774" t="s">
        <v>277</v>
      </c>
      <c r="BK14" s="837">
        <f t="shared" si="3"/>
        <v>65.099999999999994</v>
      </c>
      <c r="BL14" s="775">
        <v>2018</v>
      </c>
      <c r="BQ14" s="774" t="str">
        <f t="shared" si="0"/>
        <v>2007-08</v>
      </c>
      <c r="CL14" s="773"/>
      <c r="CM14" s="773"/>
      <c r="CN14" s="773"/>
      <c r="CO14" s="773"/>
      <c r="CP14" s="773"/>
      <c r="CQ14" s="773"/>
      <c r="CR14" s="773"/>
    </row>
    <row r="15" spans="1:96" ht="17.25" thickTop="1" thickBot="1">
      <c r="A15" s="630" t="s">
        <v>1128</v>
      </c>
      <c r="B15" s="631">
        <f t="shared" ref="B15:L15" si="5">IF($BO$2="Mismatch Error", "Mismatch Error",B10/B12)</f>
        <v>0.39135049084637835</v>
      </c>
      <c r="C15" s="632">
        <f t="shared" si="5"/>
        <v>0.32507739938080499</v>
      </c>
      <c r="D15" s="631">
        <f t="shared" si="5"/>
        <v>0.88232491662696511</v>
      </c>
      <c r="E15" s="632">
        <f t="shared" si="5"/>
        <v>0.70050993723849375</v>
      </c>
      <c r="F15" s="631">
        <f t="shared" si="5"/>
        <v>0.96153846153846156</v>
      </c>
      <c r="G15" s="632">
        <f t="shared" si="5"/>
        <v>0.37228260869565216</v>
      </c>
      <c r="H15" s="631">
        <f t="shared" si="5"/>
        <v>3.0927835051546393E-2</v>
      </c>
      <c r="I15" s="632">
        <f t="shared" si="5"/>
        <v>0</v>
      </c>
      <c r="J15" s="631">
        <f t="shared" si="5"/>
        <v>0</v>
      </c>
      <c r="K15" s="633">
        <f t="shared" si="5"/>
        <v>0.66726618705035967</v>
      </c>
      <c r="L15" s="636">
        <f t="shared" si="5"/>
        <v>0.64904956194452357</v>
      </c>
      <c r="P15" s="298"/>
      <c r="AI15" s="55"/>
      <c r="AJ15" s="55"/>
      <c r="AK15" s="55"/>
      <c r="AL15" s="55"/>
      <c r="AM15" s="55"/>
      <c r="AN15" s="55"/>
      <c r="AO15" s="55"/>
      <c r="AP15" s="55"/>
      <c r="AQ15" s="55"/>
      <c r="AR15" s="55"/>
      <c r="AS15" s="55"/>
      <c r="AT15" s="55"/>
      <c r="AU15" s="55"/>
      <c r="AV15" s="55"/>
      <c r="BA15" s="774" t="s">
        <v>172</v>
      </c>
      <c r="BB15" s="835">
        <v>2019</v>
      </c>
      <c r="BC15" s="774" t="s">
        <v>1064</v>
      </c>
      <c r="BD15" s="774">
        <f t="shared" si="2"/>
        <v>84.1</v>
      </c>
      <c r="BH15" s="774" t="s">
        <v>172</v>
      </c>
      <c r="BI15" s="836" t="s">
        <v>870</v>
      </c>
      <c r="BJ15" s="774" t="s">
        <v>1064</v>
      </c>
      <c r="BK15" s="837">
        <f t="shared" si="3"/>
        <v>85.899999999999977</v>
      </c>
      <c r="BL15" s="775">
        <v>2018</v>
      </c>
      <c r="BQ15" s="774" t="str">
        <f t="shared" si="0"/>
        <v>2006-07</v>
      </c>
      <c r="CL15" s="773"/>
      <c r="CM15" s="773"/>
      <c r="CN15" s="773"/>
      <c r="CO15" s="773"/>
      <c r="CP15" s="773"/>
      <c r="CQ15" s="773"/>
      <c r="CR15" s="773"/>
    </row>
    <row r="16" spans="1:96" ht="15.75">
      <c r="AI16" s="55"/>
      <c r="AJ16" s="55"/>
      <c r="AK16" s="55"/>
      <c r="AL16" s="55"/>
      <c r="AM16" s="55"/>
      <c r="AN16" s="55"/>
      <c r="AO16" s="55"/>
      <c r="AP16" s="55"/>
      <c r="AQ16" s="55"/>
      <c r="AR16" s="55"/>
      <c r="AS16" s="55"/>
      <c r="AT16" s="55"/>
      <c r="AU16" s="55"/>
      <c r="AV16" s="55"/>
      <c r="BA16" s="774" t="s">
        <v>172</v>
      </c>
      <c r="BB16" s="835">
        <v>2019</v>
      </c>
      <c r="BC16" s="774" t="s">
        <v>8</v>
      </c>
      <c r="BD16" s="774">
        <f t="shared" si="2"/>
        <v>340.9</v>
      </c>
      <c r="BH16" s="774" t="s">
        <v>172</v>
      </c>
      <c r="BI16" s="836" t="s">
        <v>870</v>
      </c>
      <c r="BJ16" s="774" t="s">
        <v>8</v>
      </c>
      <c r="BK16" s="837">
        <f t="shared" si="3"/>
        <v>291.09999999999991</v>
      </c>
      <c r="BL16" s="775">
        <v>2018</v>
      </c>
      <c r="BQ16" s="774" t="str">
        <f t="shared" si="0"/>
        <v>2005-06</v>
      </c>
      <c r="CL16" s="773"/>
      <c r="CM16" s="773"/>
      <c r="CN16" s="773"/>
      <c r="CO16" s="773"/>
      <c r="CP16" s="773"/>
      <c r="CQ16" s="773"/>
      <c r="CR16" s="773"/>
    </row>
    <row r="17" spans="1:96" ht="15.75">
      <c r="AI17" s="55"/>
      <c r="AJ17" s="55"/>
      <c r="AK17" s="55"/>
      <c r="AL17" s="55"/>
      <c r="AM17" s="55"/>
      <c r="AN17" s="55"/>
      <c r="AO17" s="55"/>
      <c r="AP17" s="55"/>
      <c r="AQ17" s="55"/>
      <c r="AR17" s="55"/>
      <c r="AS17" s="55"/>
      <c r="AT17" s="55"/>
      <c r="AU17" s="55"/>
      <c r="AV17" s="55"/>
      <c r="BA17" s="774" t="s">
        <v>172</v>
      </c>
      <c r="BB17" s="835">
        <v>2019</v>
      </c>
      <c r="BC17" s="774" t="s">
        <v>96</v>
      </c>
      <c r="BD17" s="774">
        <f t="shared" si="2"/>
        <v>13.100000000000023</v>
      </c>
      <c r="BH17" s="774" t="s">
        <v>172</v>
      </c>
      <c r="BI17" s="836" t="s">
        <v>870</v>
      </c>
      <c r="BJ17" s="774" t="s">
        <v>96</v>
      </c>
      <c r="BK17" s="837">
        <f t="shared" si="3"/>
        <v>12.600000000000023</v>
      </c>
      <c r="BL17" s="775">
        <v>2018</v>
      </c>
      <c r="BQ17" s="774" t="str">
        <f t="shared" si="0"/>
        <v>2004-05</v>
      </c>
      <c r="CL17" s="773"/>
      <c r="CM17" s="773"/>
      <c r="CN17" s="773"/>
      <c r="CO17" s="773"/>
      <c r="CP17" s="773"/>
      <c r="CQ17" s="773"/>
      <c r="CR17" s="773"/>
    </row>
    <row r="18" spans="1:96" ht="15.75">
      <c r="P18" s="298"/>
      <c r="AI18" s="55"/>
      <c r="AJ18" s="55"/>
      <c r="AK18" s="55"/>
      <c r="AL18" s="55"/>
      <c r="AM18" s="55"/>
      <c r="AN18" s="55"/>
      <c r="AO18" s="55"/>
      <c r="AP18" s="55"/>
      <c r="AQ18" s="55"/>
      <c r="AR18" s="55"/>
      <c r="AS18" s="55"/>
      <c r="AT18" s="55"/>
      <c r="AU18" s="55"/>
      <c r="AV18" s="55"/>
      <c r="BA18" s="774" t="s">
        <v>172</v>
      </c>
      <c r="BB18" s="835">
        <v>2019</v>
      </c>
      <c r="BC18" s="774" t="s">
        <v>196</v>
      </c>
      <c r="BD18" s="774">
        <f t="shared" si="2"/>
        <v>26.300000000000004</v>
      </c>
      <c r="BH18" s="774" t="s">
        <v>172</v>
      </c>
      <c r="BI18" s="836" t="s">
        <v>870</v>
      </c>
      <c r="BJ18" s="774" t="s">
        <v>196</v>
      </c>
      <c r="BK18" s="837">
        <f t="shared" si="3"/>
        <v>28.800000000000004</v>
      </c>
      <c r="BL18" s="775">
        <v>2018</v>
      </c>
      <c r="BQ18" s="774" t="str">
        <f t="shared" si="0"/>
        <v>2003-04</v>
      </c>
      <c r="CL18" s="773"/>
      <c r="CM18" s="773"/>
      <c r="CN18" s="773"/>
      <c r="CO18" s="773"/>
      <c r="CP18" s="773"/>
      <c r="CQ18" s="773"/>
      <c r="CR18" s="773"/>
    </row>
    <row r="19" spans="1:96" ht="15.75">
      <c r="A19" s="33" t="str">
        <f>IF(B10="Mismatch Error","You have selected an incompatible year or year type. Change one or the other to display data.","")</f>
        <v/>
      </c>
      <c r="P19" s="298"/>
      <c r="AI19" s="55"/>
      <c r="AJ19" s="55"/>
      <c r="AK19" s="55"/>
      <c r="AL19" s="55"/>
      <c r="AM19" s="55"/>
      <c r="AN19" s="55"/>
      <c r="AO19" s="55"/>
      <c r="AP19" s="55"/>
      <c r="AQ19" s="55"/>
      <c r="AR19" s="55"/>
      <c r="AS19" s="55"/>
      <c r="AT19" s="55"/>
      <c r="AU19" s="55"/>
      <c r="AV19" s="55"/>
      <c r="BA19" s="774" t="s">
        <v>172</v>
      </c>
      <c r="BB19" s="835">
        <v>2019</v>
      </c>
      <c r="BC19" s="774" t="s">
        <v>278</v>
      </c>
      <c r="BD19" s="774">
        <f t="shared" si="2"/>
        <v>10.199999999999999</v>
      </c>
      <c r="BH19" s="774" t="s">
        <v>172</v>
      </c>
      <c r="BI19" s="836" t="s">
        <v>870</v>
      </c>
      <c r="BJ19" s="774" t="s">
        <v>278</v>
      </c>
      <c r="BK19" s="837">
        <f t="shared" si="3"/>
        <v>13.8</v>
      </c>
      <c r="BL19" s="775">
        <v>2018</v>
      </c>
      <c r="BQ19" s="774" t="str">
        <f t="shared" si="0"/>
        <v>2002-03</v>
      </c>
      <c r="CL19" s="773"/>
      <c r="CM19" s="773"/>
      <c r="CN19" s="773"/>
      <c r="CO19" s="773"/>
      <c r="CP19" s="773"/>
      <c r="CQ19" s="773"/>
      <c r="CR19" s="773"/>
    </row>
    <row r="20" spans="1:96" ht="15.75">
      <c r="B20" s="298"/>
      <c r="AI20" s="55"/>
      <c r="AJ20" s="55"/>
      <c r="AK20" s="55"/>
      <c r="AL20" s="55"/>
      <c r="AM20" s="55"/>
      <c r="AN20" s="55"/>
      <c r="AO20" s="55"/>
      <c r="AP20" s="55"/>
      <c r="AQ20" s="55"/>
      <c r="AR20" s="55"/>
      <c r="AS20" s="55"/>
      <c r="AT20" s="55"/>
      <c r="AU20" s="55"/>
      <c r="AV20" s="55"/>
      <c r="BA20" s="774" t="s">
        <v>172</v>
      </c>
      <c r="BB20" s="835">
        <v>2019</v>
      </c>
      <c r="BC20" s="774" t="s">
        <v>44</v>
      </c>
      <c r="BD20" s="774">
        <f t="shared" si="2"/>
        <v>229.29999999999998</v>
      </c>
      <c r="BH20" s="774" t="s">
        <v>172</v>
      </c>
      <c r="BI20" s="836" t="s">
        <v>870</v>
      </c>
      <c r="BJ20" s="774" t="s">
        <v>44</v>
      </c>
      <c r="BK20" s="837">
        <f t="shared" si="3"/>
        <v>182.1</v>
      </c>
      <c r="BL20" s="775">
        <v>2018</v>
      </c>
      <c r="BQ20" s="774" t="str">
        <f t="shared" si="0"/>
        <v>2001-02</v>
      </c>
      <c r="CL20" s="773"/>
      <c r="CM20" s="773"/>
      <c r="CN20" s="773"/>
      <c r="CO20" s="773"/>
      <c r="CP20" s="773"/>
      <c r="CQ20" s="773"/>
      <c r="CR20" s="773"/>
    </row>
    <row r="21" spans="1:96" ht="15.75">
      <c r="A21" t="str">
        <f>IF(OR(ISNA(#REF!),ISNA(#REF!),ISNA(#REF!),ISNA(#REF!),ISNA(A9),ISNA(A10),ISNA(A11),ISNA(A12),ISNA(A14),ISNA(A15),ISNA(#REF!),ISNA(#REF!),ISNA(#REF!),ISNA(#REF!),ISNA(C9),ISNA(C10),ISNA(C11),ISNA(C12),ISNA(C14),ISNA(C15)),"You have ecountered an NA Error. This is most likely caused by the accidental loss of an array formula in the table above. Click on the cell showing #N/A above, then click the formula bar and press Ctrl, Shift and Enter.","")</f>
        <v/>
      </c>
      <c r="N21" s="298"/>
      <c r="AI21" s="55"/>
      <c r="AJ21" s="55"/>
      <c r="AK21" s="55"/>
      <c r="AL21" s="55"/>
      <c r="AM21" s="55"/>
      <c r="AN21" s="55"/>
      <c r="AO21" s="55"/>
      <c r="AP21" s="55"/>
      <c r="AQ21" s="55"/>
      <c r="AR21" s="55"/>
      <c r="AS21" s="55"/>
      <c r="AT21" s="55"/>
      <c r="AU21" s="55"/>
      <c r="AV21" s="55"/>
      <c r="BA21" s="774" t="s">
        <v>172</v>
      </c>
      <c r="BB21" s="835">
        <v>2019</v>
      </c>
      <c r="BC21" s="774" t="s">
        <v>45</v>
      </c>
      <c r="BD21" s="774">
        <f t="shared" si="2"/>
        <v>3.9</v>
      </c>
      <c r="BH21" s="774" t="s">
        <v>172</v>
      </c>
      <c r="BI21" s="836" t="s">
        <v>870</v>
      </c>
      <c r="BJ21" s="774" t="s">
        <v>45</v>
      </c>
      <c r="BK21" s="837">
        <f t="shared" si="3"/>
        <v>3.9000000000000004</v>
      </c>
      <c r="BL21" s="775">
        <v>2018</v>
      </c>
      <c r="BQ21" s="774" t="str">
        <f t="shared" si="0"/>
        <v>2000-01</v>
      </c>
      <c r="CL21" s="773"/>
      <c r="CM21" s="773"/>
      <c r="CN21" s="773"/>
      <c r="CO21" s="773"/>
      <c r="CP21" s="773"/>
      <c r="CQ21" s="773"/>
      <c r="CR21" s="773"/>
    </row>
    <row r="22" spans="1:96" ht="15.75">
      <c r="N22" s="298"/>
      <c r="P22" s="298"/>
      <c r="AI22" s="55"/>
      <c r="AJ22" s="55"/>
      <c r="AK22" s="55"/>
      <c r="AL22" s="55"/>
      <c r="AM22" s="55"/>
      <c r="AN22" s="55"/>
      <c r="AO22" s="55"/>
      <c r="AP22" s="55"/>
      <c r="AQ22" s="55"/>
      <c r="AR22" s="55"/>
      <c r="AS22" s="55"/>
      <c r="AT22" s="55"/>
      <c r="AU22" s="55"/>
      <c r="AV22" s="55"/>
      <c r="BA22" s="774" t="s">
        <v>172</v>
      </c>
      <c r="BB22" s="835">
        <v>2019</v>
      </c>
      <c r="BC22" s="774" t="s">
        <v>48</v>
      </c>
      <c r="BD22" s="774">
        <f t="shared" si="2"/>
        <v>59</v>
      </c>
      <c r="BH22" s="774" t="s">
        <v>172</v>
      </c>
      <c r="BI22" s="836" t="s">
        <v>870</v>
      </c>
      <c r="BJ22" s="774" t="s">
        <v>48</v>
      </c>
      <c r="BK22" s="837">
        <f t="shared" si="3"/>
        <v>61.300000000000011</v>
      </c>
      <c r="BL22" s="775">
        <v>2018</v>
      </c>
      <c r="BQ22" s="774" t="str">
        <f t="shared" si="0"/>
        <v>1999-00</v>
      </c>
      <c r="CL22" s="773"/>
      <c r="CM22" s="773"/>
      <c r="CN22" s="773"/>
      <c r="CO22" s="773"/>
      <c r="CP22" s="773"/>
      <c r="CQ22" s="773"/>
      <c r="CR22" s="773"/>
    </row>
    <row r="23" spans="1:96" ht="15.75">
      <c r="N23" s="298"/>
      <c r="P23" s="298"/>
      <c r="AI23" s="55"/>
      <c r="AJ23" s="55"/>
      <c r="AK23" s="55"/>
      <c r="AL23" s="55"/>
      <c r="AM23" s="55"/>
      <c r="AN23" s="55"/>
      <c r="AO23" s="55"/>
      <c r="AP23" s="55"/>
      <c r="AQ23" s="55"/>
      <c r="AR23" s="55"/>
      <c r="AS23" s="55"/>
      <c r="AT23" s="55"/>
      <c r="AU23" s="55"/>
      <c r="AV23" s="55"/>
      <c r="BA23" s="774" t="s">
        <v>172</v>
      </c>
      <c r="BB23" s="835">
        <v>2019</v>
      </c>
      <c r="BC23" s="774" t="s">
        <v>97</v>
      </c>
      <c r="BD23" s="774">
        <f t="shared" si="2"/>
        <v>1000.2000000000003</v>
      </c>
      <c r="BH23" s="774" t="s">
        <v>172</v>
      </c>
      <c r="BI23" s="836" t="s">
        <v>870</v>
      </c>
      <c r="BJ23" s="774" t="s">
        <v>97</v>
      </c>
      <c r="BK23" s="775">
        <v>874</v>
      </c>
      <c r="BL23" s="775">
        <v>2018</v>
      </c>
      <c r="BQ23" s="774" t="str">
        <f t="shared" si="0"/>
        <v/>
      </c>
      <c r="CL23" s="773"/>
      <c r="CM23" s="773"/>
      <c r="CN23" s="773"/>
      <c r="CO23" s="773"/>
      <c r="CP23" s="773"/>
      <c r="CQ23" s="773"/>
      <c r="CR23" s="773"/>
    </row>
    <row r="24" spans="1:96" ht="15.75">
      <c r="N24" s="298"/>
      <c r="AI24" s="55"/>
      <c r="AJ24" s="55"/>
      <c r="AK24" s="55"/>
      <c r="AL24" s="55"/>
      <c r="AM24" s="55"/>
      <c r="AN24" s="55"/>
      <c r="AO24" s="55"/>
      <c r="AP24" s="55"/>
      <c r="AQ24" s="55"/>
      <c r="AR24" s="55"/>
      <c r="AS24" s="55"/>
      <c r="AT24" s="55"/>
      <c r="AU24" s="55"/>
      <c r="AV24" s="55"/>
      <c r="BA24" s="774" t="s">
        <v>170</v>
      </c>
      <c r="BB24" s="835">
        <v>2019</v>
      </c>
      <c r="BC24" s="774" t="s">
        <v>15</v>
      </c>
      <c r="BD24" s="774">
        <v>414.90000000000003</v>
      </c>
      <c r="BH24" s="774" t="s">
        <v>170</v>
      </c>
      <c r="BI24" s="836" t="s">
        <v>870</v>
      </c>
      <c r="BJ24" s="774" t="s">
        <v>15</v>
      </c>
      <c r="BK24" s="838">
        <v>328.8</v>
      </c>
      <c r="BL24" s="775">
        <v>2018</v>
      </c>
      <c r="BQ24" s="774" t="str">
        <f t="shared" si="0"/>
        <v/>
      </c>
      <c r="CL24" s="773"/>
      <c r="CM24" s="773"/>
      <c r="CN24" s="773"/>
      <c r="CO24" s="773"/>
      <c r="CP24" s="773"/>
      <c r="CQ24" s="773"/>
      <c r="CR24" s="773"/>
    </row>
    <row r="25" spans="1:96" ht="15.75">
      <c r="N25" s="298"/>
      <c r="AI25" s="55"/>
      <c r="AJ25" s="55"/>
      <c r="AK25" s="55"/>
      <c r="AL25" s="55"/>
      <c r="AM25" s="55"/>
      <c r="AN25" s="55"/>
      <c r="AO25" s="55"/>
      <c r="AP25" s="55"/>
      <c r="AQ25" s="55"/>
      <c r="AR25" s="55"/>
      <c r="AS25" s="55"/>
      <c r="AT25" s="55"/>
      <c r="AU25" s="55"/>
      <c r="AV25" s="55"/>
      <c r="BA25" s="774" t="s">
        <v>170</v>
      </c>
      <c r="BB25" s="835">
        <v>2019</v>
      </c>
      <c r="BC25" s="774" t="s">
        <v>277</v>
      </c>
      <c r="BD25" s="774">
        <v>80.5</v>
      </c>
      <c r="BH25" s="774" t="s">
        <v>170</v>
      </c>
      <c r="BI25" s="836" t="s">
        <v>870</v>
      </c>
      <c r="BJ25" s="774" t="s">
        <v>277</v>
      </c>
      <c r="BK25" s="838">
        <v>89.199999999999989</v>
      </c>
      <c r="BL25" s="775">
        <v>2018</v>
      </c>
      <c r="BQ25" s="774" t="str">
        <f t="shared" si="0"/>
        <v/>
      </c>
      <c r="CL25" s="773"/>
      <c r="CM25" s="773"/>
      <c r="CN25" s="773"/>
      <c r="CO25" s="773"/>
      <c r="CP25" s="773"/>
      <c r="CQ25" s="773"/>
      <c r="CR25" s="773"/>
    </row>
    <row r="26" spans="1:96" ht="15.75">
      <c r="N26" s="298"/>
      <c r="P26" s="298"/>
      <c r="AI26" s="55"/>
      <c r="AJ26" s="55"/>
      <c r="AK26" s="55"/>
      <c r="AL26" s="55"/>
      <c r="AM26" s="55"/>
      <c r="AN26" s="55"/>
      <c r="AO26" s="55"/>
      <c r="AP26" s="55"/>
      <c r="AQ26" s="55"/>
      <c r="AR26" s="55"/>
      <c r="AS26" s="55"/>
      <c r="AT26" s="55"/>
      <c r="AU26" s="55"/>
      <c r="AV26" s="55"/>
      <c r="BA26" s="774" t="s">
        <v>170</v>
      </c>
      <c r="BB26" s="835">
        <v>2019</v>
      </c>
      <c r="BC26" s="774" t="s">
        <v>1064</v>
      </c>
      <c r="BD26" s="774">
        <v>229.7</v>
      </c>
      <c r="BH26" s="774" t="s">
        <v>170</v>
      </c>
      <c r="BI26" s="836" t="s">
        <v>870</v>
      </c>
      <c r="BJ26" s="774" t="s">
        <v>1064</v>
      </c>
      <c r="BK26" s="838">
        <v>202.7</v>
      </c>
      <c r="BL26" s="775">
        <v>2018</v>
      </c>
      <c r="BQ26" s="774" t="str">
        <f t="shared" si="0"/>
        <v/>
      </c>
      <c r="CL26" s="773"/>
      <c r="CM26" s="773"/>
      <c r="CN26" s="773"/>
      <c r="CO26" s="773"/>
      <c r="CP26" s="773"/>
      <c r="CQ26" s="773"/>
      <c r="CR26" s="773"/>
    </row>
    <row r="27" spans="1:96" ht="15.75">
      <c r="P27" s="298"/>
      <c r="AI27" s="55"/>
      <c r="AJ27" s="55"/>
      <c r="AK27" s="55"/>
      <c r="AL27" s="55"/>
      <c r="AM27" s="55"/>
      <c r="AN27" s="55"/>
      <c r="AO27" s="55"/>
      <c r="AP27" s="55"/>
      <c r="AQ27" s="55"/>
      <c r="AR27" s="55"/>
      <c r="AS27" s="55"/>
      <c r="AT27" s="55"/>
      <c r="AU27" s="55"/>
      <c r="AV27" s="55"/>
      <c r="BA27" s="774" t="s">
        <v>170</v>
      </c>
      <c r="BB27" s="835">
        <v>2019</v>
      </c>
      <c r="BC27" s="774" t="s">
        <v>8</v>
      </c>
      <c r="BD27" s="774">
        <v>1068</v>
      </c>
      <c r="BH27" s="774" t="s">
        <v>170</v>
      </c>
      <c r="BI27" s="836" t="s">
        <v>870</v>
      </c>
      <c r="BJ27" s="774" t="s">
        <v>8</v>
      </c>
      <c r="BK27" s="838">
        <v>966.59999999999991</v>
      </c>
      <c r="BL27" s="775">
        <v>2018</v>
      </c>
      <c r="BQ27" s="774" t="str">
        <f t="shared" si="0"/>
        <v/>
      </c>
      <c r="CL27" s="773"/>
      <c r="CM27" s="773"/>
      <c r="CN27" s="773"/>
      <c r="CO27" s="773"/>
      <c r="CP27" s="773"/>
      <c r="CQ27" s="773"/>
      <c r="CR27" s="773"/>
    </row>
    <row r="28" spans="1:96" ht="15.75">
      <c r="AI28" s="55"/>
      <c r="AJ28" s="55"/>
      <c r="AK28" s="55"/>
      <c r="AL28" s="55"/>
      <c r="AM28" s="55"/>
      <c r="AN28" s="55"/>
      <c r="AO28" s="55"/>
      <c r="AP28" s="55"/>
      <c r="AQ28" s="55"/>
      <c r="AR28" s="55"/>
      <c r="AS28" s="55"/>
      <c r="AT28" s="55"/>
      <c r="AU28" s="55"/>
      <c r="AV28" s="55"/>
      <c r="BA28" s="774" t="s">
        <v>170</v>
      </c>
      <c r="BB28" s="835">
        <v>2019</v>
      </c>
      <c r="BC28" s="774" t="s">
        <v>96</v>
      </c>
      <c r="BD28" s="774">
        <v>349.6</v>
      </c>
      <c r="BH28" s="774" t="s">
        <v>170</v>
      </c>
      <c r="BI28" s="836" t="s">
        <v>870</v>
      </c>
      <c r="BJ28" s="774" t="s">
        <v>96</v>
      </c>
      <c r="BK28" s="838">
        <v>324</v>
      </c>
      <c r="BL28" s="775">
        <v>2018</v>
      </c>
      <c r="BQ28" s="774" t="str">
        <f t="shared" si="0"/>
        <v/>
      </c>
      <c r="CL28" s="773"/>
      <c r="CM28" s="773"/>
      <c r="CN28" s="773"/>
      <c r="CO28" s="773"/>
      <c r="CP28" s="773"/>
      <c r="CQ28" s="773"/>
      <c r="CR28" s="773"/>
    </row>
    <row r="29" spans="1:96" ht="15.75">
      <c r="AI29" s="55"/>
      <c r="AJ29" s="55"/>
      <c r="AK29" s="55"/>
      <c r="AL29" s="55"/>
      <c r="AM29" s="55"/>
      <c r="AN29" s="55"/>
      <c r="AO29" s="55"/>
      <c r="AP29" s="55"/>
      <c r="AQ29" s="55"/>
      <c r="AR29" s="55"/>
      <c r="AS29" s="55"/>
      <c r="AT29" s="55"/>
      <c r="AU29" s="55"/>
      <c r="AV29" s="55"/>
      <c r="BA29" s="774" t="s">
        <v>170</v>
      </c>
      <c r="BB29" s="835">
        <v>2019</v>
      </c>
      <c r="BC29" s="774" t="s">
        <v>196</v>
      </c>
      <c r="BD29" s="774">
        <v>34.700000000000003</v>
      </c>
      <c r="BH29" s="774" t="s">
        <v>170</v>
      </c>
      <c r="BI29" s="836" t="s">
        <v>870</v>
      </c>
      <c r="BJ29" s="774" t="s">
        <v>196</v>
      </c>
      <c r="BK29" s="838">
        <v>35.700000000000003</v>
      </c>
      <c r="BL29" s="775">
        <v>2018</v>
      </c>
      <c r="BQ29" s="774" t="str">
        <f t="shared" si="0"/>
        <v/>
      </c>
      <c r="CL29" s="773"/>
      <c r="CM29" s="773"/>
      <c r="CN29" s="773"/>
      <c r="CO29" s="773"/>
      <c r="CP29" s="773"/>
      <c r="CQ29" s="773"/>
      <c r="CR29" s="773"/>
    </row>
    <row r="30" spans="1:96" ht="15.75">
      <c r="P30" s="298"/>
      <c r="AI30" s="55"/>
      <c r="AJ30" s="55"/>
      <c r="AK30" s="55"/>
      <c r="AL30" s="55"/>
      <c r="AM30" s="55"/>
      <c r="AN30" s="55"/>
      <c r="AO30" s="55"/>
      <c r="AP30" s="55"/>
      <c r="AQ30" s="55"/>
      <c r="AR30" s="55"/>
      <c r="AS30" s="55"/>
      <c r="AT30" s="55"/>
      <c r="AU30" s="55"/>
      <c r="AV30" s="55"/>
      <c r="BA30" s="774" t="s">
        <v>170</v>
      </c>
      <c r="BB30" s="835">
        <v>2019</v>
      </c>
      <c r="BC30" s="774" t="s">
        <v>278</v>
      </c>
      <c r="BD30" s="774">
        <v>10.199999999999999</v>
      </c>
      <c r="BH30" s="774" t="s">
        <v>170</v>
      </c>
      <c r="BI30" s="836" t="s">
        <v>870</v>
      </c>
      <c r="BJ30" s="774" t="s">
        <v>278</v>
      </c>
      <c r="BK30" s="838">
        <v>14.200000000000001</v>
      </c>
      <c r="BL30" s="775">
        <v>2018</v>
      </c>
      <c r="BQ30" s="774" t="str">
        <f t="shared" si="0"/>
        <v/>
      </c>
      <c r="CL30" s="773"/>
      <c r="CM30" s="773"/>
      <c r="CN30" s="773"/>
      <c r="CO30" s="773"/>
      <c r="CP30" s="773"/>
      <c r="CQ30" s="773"/>
      <c r="CR30" s="773"/>
    </row>
    <row r="31" spans="1:96" ht="15.75">
      <c r="P31" s="298"/>
      <c r="AI31" s="55"/>
      <c r="AJ31" s="55"/>
      <c r="AK31" s="55"/>
      <c r="AL31" s="55"/>
      <c r="AM31" s="55"/>
      <c r="AN31" s="55"/>
      <c r="AO31" s="55"/>
      <c r="AP31" s="55"/>
      <c r="AQ31" s="55"/>
      <c r="AR31" s="55"/>
      <c r="AS31" s="55"/>
      <c r="AT31" s="55"/>
      <c r="AU31" s="55"/>
      <c r="AV31" s="55"/>
      <c r="BA31" s="774" t="s">
        <v>170</v>
      </c>
      <c r="BB31" s="835">
        <v>2019</v>
      </c>
      <c r="BC31" s="774" t="s">
        <v>44</v>
      </c>
      <c r="BD31" s="774">
        <v>229.29999999999998</v>
      </c>
      <c r="BH31" s="774" t="s">
        <v>170</v>
      </c>
      <c r="BI31" s="836" t="s">
        <v>870</v>
      </c>
      <c r="BJ31" s="774" t="s">
        <v>44</v>
      </c>
      <c r="BK31" s="838">
        <v>182.1</v>
      </c>
      <c r="BL31" s="775">
        <v>2018</v>
      </c>
      <c r="BQ31" s="774" t="str">
        <f t="shared" si="0"/>
        <v/>
      </c>
      <c r="CL31" s="773"/>
      <c r="CM31" s="773"/>
      <c r="CN31" s="773"/>
      <c r="CO31" s="773"/>
      <c r="CP31" s="773"/>
      <c r="CQ31" s="773"/>
      <c r="CR31" s="773"/>
    </row>
    <row r="32" spans="1:96" ht="15.75">
      <c r="AI32" s="55"/>
      <c r="AJ32" s="55"/>
      <c r="AK32" s="55"/>
      <c r="AL32" s="55"/>
      <c r="AM32" s="55"/>
      <c r="AN32" s="55"/>
      <c r="AO32" s="55"/>
      <c r="AP32" s="55"/>
      <c r="AQ32" s="55"/>
      <c r="AR32" s="55"/>
      <c r="AS32" s="55"/>
      <c r="AT32" s="55"/>
      <c r="AU32" s="55"/>
      <c r="AV32" s="55"/>
      <c r="BA32" s="774" t="s">
        <v>170</v>
      </c>
      <c r="BB32" s="835">
        <v>2019</v>
      </c>
      <c r="BC32" s="774" t="s">
        <v>45</v>
      </c>
      <c r="BD32" s="774">
        <v>7.8</v>
      </c>
      <c r="BH32" s="774" t="s">
        <v>170</v>
      </c>
      <c r="BI32" s="836" t="s">
        <v>870</v>
      </c>
      <c r="BJ32" s="774" t="s">
        <v>45</v>
      </c>
      <c r="BK32" s="838">
        <v>9.4</v>
      </c>
      <c r="BL32" s="775">
        <v>2018</v>
      </c>
      <c r="CL32" s="773"/>
      <c r="CM32" s="773"/>
      <c r="CN32" s="773"/>
      <c r="CO32" s="773"/>
      <c r="CP32" s="773"/>
      <c r="CQ32" s="773"/>
      <c r="CR32" s="773"/>
    </row>
    <row r="33" spans="16:96" ht="15.75">
      <c r="AI33" s="55"/>
      <c r="AJ33" s="55"/>
      <c r="AK33" s="55"/>
      <c r="AL33" s="55"/>
      <c r="AM33" s="55"/>
      <c r="AN33" s="55"/>
      <c r="AO33" s="55"/>
      <c r="AP33" s="55"/>
      <c r="AQ33" s="55"/>
      <c r="AR33" s="55"/>
      <c r="AS33" s="55"/>
      <c r="AT33" s="55"/>
      <c r="AU33" s="55"/>
      <c r="AV33" s="55"/>
      <c r="BA33" s="774" t="s">
        <v>170</v>
      </c>
      <c r="BB33" s="835">
        <v>2019</v>
      </c>
      <c r="BC33" s="774" t="s">
        <v>48</v>
      </c>
      <c r="BD33" s="774">
        <v>223</v>
      </c>
      <c r="BH33" s="774" t="s">
        <v>170</v>
      </c>
      <c r="BI33" s="836" t="s">
        <v>870</v>
      </c>
      <c r="BJ33" s="774" t="s">
        <v>48</v>
      </c>
      <c r="BK33" s="838">
        <v>194.4</v>
      </c>
      <c r="BL33" s="775">
        <v>2018</v>
      </c>
      <c r="CL33" s="773"/>
      <c r="CM33" s="773"/>
      <c r="CN33" s="773"/>
      <c r="CO33" s="773"/>
      <c r="CP33" s="773"/>
      <c r="CQ33" s="773"/>
      <c r="CR33" s="773"/>
    </row>
    <row r="34" spans="16:96" ht="15.75">
      <c r="P34" s="298"/>
      <c r="AI34" s="55"/>
      <c r="AJ34" s="55"/>
      <c r="AK34" s="55"/>
      <c r="AL34" s="55"/>
      <c r="AM34" s="55"/>
      <c r="AN34" s="55"/>
      <c r="AO34" s="55"/>
      <c r="AP34" s="55"/>
      <c r="AQ34" s="55"/>
      <c r="AR34" s="55"/>
      <c r="AS34" s="55"/>
      <c r="AT34" s="55"/>
      <c r="AU34" s="55"/>
      <c r="AV34" s="55"/>
      <c r="BA34" s="774" t="s">
        <v>170</v>
      </c>
      <c r="BB34" s="835">
        <v>2019</v>
      </c>
      <c r="BC34" s="774" t="s">
        <v>97</v>
      </c>
      <c r="BD34" s="774">
        <v>2648.4</v>
      </c>
      <c r="BH34" s="774" t="s">
        <v>170</v>
      </c>
      <c r="BI34" s="836" t="s">
        <v>870</v>
      </c>
      <c r="BJ34" s="774" t="s">
        <v>97</v>
      </c>
      <c r="BK34" s="838">
        <v>2347.6</v>
      </c>
      <c r="BL34" s="775">
        <v>2018</v>
      </c>
      <c r="CL34" s="773"/>
      <c r="CM34" s="773"/>
      <c r="CN34" s="773"/>
      <c r="CO34" s="773"/>
      <c r="CP34" s="773"/>
      <c r="CQ34" s="773"/>
      <c r="CR34" s="773"/>
    </row>
    <row r="35" spans="16:96" ht="15.75">
      <c r="P35" s="298"/>
      <c r="AI35" s="55"/>
      <c r="AJ35" s="55"/>
      <c r="AK35" s="55"/>
      <c r="AL35" s="55"/>
      <c r="AM35" s="55"/>
      <c r="AN35" s="55"/>
      <c r="AO35" s="55"/>
      <c r="AP35" s="55"/>
      <c r="AQ35" s="55"/>
      <c r="AR35" s="55"/>
      <c r="AS35" s="55"/>
      <c r="AT35" s="55"/>
      <c r="AU35" s="55"/>
      <c r="AV35" s="55"/>
      <c r="AY35" s="775"/>
      <c r="BA35" s="775" t="s">
        <v>38</v>
      </c>
      <c r="BB35" s="839">
        <v>1999</v>
      </c>
      <c r="BC35" s="775" t="s">
        <v>15</v>
      </c>
      <c r="BD35" s="840">
        <v>2.8</v>
      </c>
      <c r="BH35" s="774" t="s">
        <v>38</v>
      </c>
      <c r="BI35" s="836" t="s">
        <v>1088</v>
      </c>
      <c r="BJ35" s="774" t="s">
        <v>15</v>
      </c>
      <c r="BK35" s="774">
        <v>223.90000000000003</v>
      </c>
      <c r="BL35" s="775">
        <v>2019</v>
      </c>
      <c r="CL35" s="773"/>
      <c r="CM35" s="773"/>
      <c r="CN35" s="773"/>
      <c r="CO35" s="773"/>
      <c r="CP35" s="773"/>
      <c r="CQ35" s="773"/>
      <c r="CR35" s="773"/>
    </row>
    <row r="36" spans="16:96" ht="15.75">
      <c r="AI36" s="55"/>
      <c r="AJ36" s="55"/>
      <c r="AK36" s="55"/>
      <c r="AL36" s="55"/>
      <c r="AM36" s="55"/>
      <c r="AN36" s="55"/>
      <c r="AO36" s="55"/>
      <c r="AP36" s="55"/>
      <c r="AQ36" s="55"/>
      <c r="AR36" s="55"/>
      <c r="AS36" s="55"/>
      <c r="AT36" s="55"/>
      <c r="AU36" s="55"/>
      <c r="AV36" s="55"/>
      <c r="AY36" s="775"/>
      <c r="BA36" s="775" t="s">
        <v>38</v>
      </c>
      <c r="BB36" s="839">
        <v>1999</v>
      </c>
      <c r="BC36" s="775" t="s">
        <v>277</v>
      </c>
      <c r="BD36" s="840">
        <v>13.2</v>
      </c>
      <c r="BH36" s="774" t="s">
        <v>38</v>
      </c>
      <c r="BI36" s="836" t="s">
        <v>1088</v>
      </c>
      <c r="BJ36" s="774" t="s">
        <v>277</v>
      </c>
      <c r="BK36" s="774">
        <v>14.4</v>
      </c>
      <c r="BL36" s="775">
        <v>2019</v>
      </c>
      <c r="CL36" s="773"/>
      <c r="CM36" s="773"/>
      <c r="CN36" s="773"/>
      <c r="CO36" s="773"/>
      <c r="CP36" s="773"/>
      <c r="CQ36" s="773"/>
      <c r="CR36" s="773"/>
    </row>
    <row r="37" spans="16:96" ht="15.75">
      <c r="AI37" s="55"/>
      <c r="AJ37" s="55"/>
      <c r="AK37" s="55"/>
      <c r="AL37" s="55"/>
      <c r="AM37" s="55"/>
      <c r="AN37" s="55"/>
      <c r="AO37" s="55"/>
      <c r="AP37" s="55"/>
      <c r="AQ37" s="55"/>
      <c r="AR37" s="55"/>
      <c r="AS37" s="55"/>
      <c r="AT37" s="55"/>
      <c r="AU37" s="55"/>
      <c r="AV37" s="55"/>
      <c r="AY37" s="775"/>
      <c r="BA37" s="775" t="s">
        <v>38</v>
      </c>
      <c r="BB37" s="839">
        <v>1999</v>
      </c>
      <c r="BC37" s="775" t="s">
        <v>1064</v>
      </c>
      <c r="BD37" s="840">
        <v>26.6</v>
      </c>
      <c r="BH37" s="774" t="s">
        <v>38</v>
      </c>
      <c r="BI37" s="836" t="s">
        <v>1088</v>
      </c>
      <c r="BJ37" s="774" t="s">
        <v>1064</v>
      </c>
      <c r="BK37" s="774">
        <v>149.1</v>
      </c>
      <c r="BL37" s="775">
        <v>2019</v>
      </c>
      <c r="CL37" s="773"/>
      <c r="CM37" s="773"/>
      <c r="CN37" s="773"/>
      <c r="CO37" s="773"/>
      <c r="CP37" s="773"/>
      <c r="CQ37" s="773"/>
      <c r="CR37" s="773"/>
    </row>
    <row r="38" spans="16:96" ht="15.75">
      <c r="P38" s="298"/>
      <c r="AI38" s="55"/>
      <c r="AJ38" s="55"/>
      <c r="AK38" s="55"/>
      <c r="AL38" s="55"/>
      <c r="AM38" s="55"/>
      <c r="AN38" s="55"/>
      <c r="AO38" s="55"/>
      <c r="AP38" s="55"/>
      <c r="AQ38" s="55"/>
      <c r="AR38" s="55"/>
      <c r="AS38" s="55"/>
      <c r="AT38" s="55"/>
      <c r="AU38" s="55"/>
      <c r="AV38" s="55"/>
      <c r="AY38" s="775"/>
      <c r="BA38" s="775" t="s">
        <v>38</v>
      </c>
      <c r="BB38" s="839">
        <v>1999</v>
      </c>
      <c r="BC38" s="775" t="s">
        <v>8</v>
      </c>
      <c r="BD38" s="840">
        <v>272.8</v>
      </c>
      <c r="BH38" s="774" t="s">
        <v>38</v>
      </c>
      <c r="BI38" s="836" t="s">
        <v>1088</v>
      </c>
      <c r="BJ38" s="774" t="s">
        <v>8</v>
      </c>
      <c r="BK38" s="774">
        <v>785.6</v>
      </c>
      <c r="BL38" s="775">
        <v>2019</v>
      </c>
      <c r="CL38" s="773"/>
      <c r="CM38" s="773"/>
      <c r="CN38" s="773"/>
      <c r="CO38" s="773"/>
      <c r="CP38" s="773"/>
      <c r="CQ38" s="773"/>
      <c r="CR38" s="773"/>
    </row>
    <row r="39" spans="16:96" ht="15.75">
      <c r="P39" s="298"/>
      <c r="AI39" s="55"/>
      <c r="AJ39" s="55"/>
      <c r="AK39" s="55"/>
      <c r="AL39" s="55"/>
      <c r="AM39" s="55"/>
      <c r="AN39" s="55"/>
      <c r="AO39" s="55"/>
      <c r="AP39" s="55"/>
      <c r="AQ39" s="55"/>
      <c r="AR39" s="55"/>
      <c r="AS39" s="55"/>
      <c r="AT39" s="55"/>
      <c r="AU39" s="55"/>
      <c r="AV39" s="55"/>
      <c r="AY39" s="775"/>
      <c r="BA39" s="775" t="s">
        <v>38</v>
      </c>
      <c r="BB39" s="839">
        <v>1999</v>
      </c>
      <c r="BC39" s="775" t="s">
        <v>96</v>
      </c>
      <c r="BD39" s="840">
        <v>24</v>
      </c>
      <c r="BH39" s="774" t="s">
        <v>38</v>
      </c>
      <c r="BI39" s="836" t="s">
        <v>1088</v>
      </c>
      <c r="BJ39" s="774" t="s">
        <v>96</v>
      </c>
      <c r="BK39" s="774">
        <v>349.4</v>
      </c>
      <c r="BL39" s="775">
        <v>2019</v>
      </c>
      <c r="CL39" s="773"/>
      <c r="CM39" s="773"/>
      <c r="CN39" s="773"/>
      <c r="CO39" s="773"/>
      <c r="CP39" s="773"/>
      <c r="CQ39" s="773"/>
      <c r="CR39" s="773"/>
    </row>
    <row r="40" spans="16:96" ht="15.75">
      <c r="AI40" s="55"/>
      <c r="AJ40" s="55"/>
      <c r="AK40" s="55"/>
      <c r="AL40" s="55"/>
      <c r="AM40" s="55"/>
      <c r="AN40" s="55"/>
      <c r="AO40" s="55"/>
      <c r="AP40" s="55"/>
      <c r="AQ40" s="55"/>
      <c r="AR40" s="55"/>
      <c r="AS40" s="55"/>
      <c r="AT40" s="55"/>
      <c r="AU40" s="55"/>
      <c r="AV40" s="55"/>
      <c r="AY40" s="775"/>
      <c r="BA40" s="775" t="s">
        <v>38</v>
      </c>
      <c r="BB40" s="839">
        <v>1999</v>
      </c>
      <c r="BC40" s="775" t="s">
        <v>196</v>
      </c>
      <c r="BD40" s="840">
        <v>7.1</v>
      </c>
      <c r="BH40" s="774" t="s">
        <v>38</v>
      </c>
      <c r="BI40" s="836" t="s">
        <v>1088</v>
      </c>
      <c r="BJ40" s="774" t="s">
        <v>196</v>
      </c>
      <c r="BK40" s="774">
        <v>6.7999999999999989</v>
      </c>
      <c r="BL40" s="775">
        <v>2019</v>
      </c>
      <c r="CL40" s="773"/>
      <c r="CM40" s="773"/>
      <c r="CN40" s="773"/>
      <c r="CO40" s="773"/>
      <c r="CP40" s="773"/>
      <c r="CQ40" s="773"/>
      <c r="CR40" s="773"/>
    </row>
    <row r="41" spans="16:96" ht="15.75">
      <c r="AI41" s="55"/>
      <c r="AJ41" s="55"/>
      <c r="AK41" s="55"/>
      <c r="AL41" s="55"/>
      <c r="AM41" s="55"/>
      <c r="AN41" s="55"/>
      <c r="AO41" s="55"/>
      <c r="AP41" s="55"/>
      <c r="AQ41" s="55"/>
      <c r="AR41" s="55"/>
      <c r="AS41" s="55"/>
      <c r="AT41" s="55"/>
      <c r="AU41" s="55"/>
      <c r="AV41" s="55"/>
      <c r="AY41" s="775"/>
      <c r="BA41" s="775" t="s">
        <v>38</v>
      </c>
      <c r="BB41" s="839">
        <v>1999</v>
      </c>
      <c r="BC41" s="775" t="s">
        <v>278</v>
      </c>
      <c r="BD41" s="840">
        <v>1.1000000000000001</v>
      </c>
      <c r="BH41" s="774" t="s">
        <v>38</v>
      </c>
      <c r="BI41" s="836" t="s">
        <v>1088</v>
      </c>
      <c r="BJ41" s="774" t="s">
        <v>278</v>
      </c>
      <c r="BK41" s="774">
        <v>0</v>
      </c>
      <c r="BL41" s="775">
        <v>2019</v>
      </c>
      <c r="CL41" s="773"/>
      <c r="CM41" s="773"/>
      <c r="CN41" s="773"/>
      <c r="CO41" s="773"/>
      <c r="CP41" s="773"/>
      <c r="CQ41" s="773"/>
      <c r="CR41" s="773"/>
    </row>
    <row r="42" spans="16:96" ht="15.75">
      <c r="P42" s="298"/>
      <c r="AI42" s="55"/>
      <c r="AJ42" s="55"/>
      <c r="AK42" s="55"/>
      <c r="AL42" s="55"/>
      <c r="AM42" s="55"/>
      <c r="AN42" s="55"/>
      <c r="AO42" s="55"/>
      <c r="AP42" s="55"/>
      <c r="AQ42" s="55"/>
      <c r="AR42" s="55"/>
      <c r="AS42" s="55"/>
      <c r="AT42" s="55"/>
      <c r="AU42" s="55"/>
      <c r="AV42" s="55"/>
      <c r="AY42" s="775"/>
      <c r="BA42" s="775" t="s">
        <v>38</v>
      </c>
      <c r="BB42" s="839">
        <v>1999</v>
      </c>
      <c r="BC42" s="775" t="s">
        <v>44</v>
      </c>
      <c r="BD42" s="840">
        <v>0</v>
      </c>
      <c r="BH42" s="774" t="s">
        <v>38</v>
      </c>
      <c r="BI42" s="836" t="s">
        <v>1088</v>
      </c>
      <c r="BJ42" s="774" t="s">
        <v>44</v>
      </c>
      <c r="BK42" s="774">
        <v>0</v>
      </c>
      <c r="BL42" s="775">
        <v>2019</v>
      </c>
      <c r="CL42" s="773"/>
      <c r="CM42" s="773"/>
      <c r="CN42" s="773"/>
      <c r="CO42" s="773"/>
      <c r="CP42" s="773"/>
      <c r="CQ42" s="773"/>
      <c r="CR42" s="773"/>
    </row>
    <row r="43" spans="16:96" ht="15.75">
      <c r="P43" s="298"/>
      <c r="AI43" s="55"/>
      <c r="AJ43" s="55"/>
      <c r="AK43" s="55"/>
      <c r="AL43" s="55"/>
      <c r="AM43" s="55"/>
      <c r="AN43" s="55"/>
      <c r="AO43" s="55"/>
      <c r="AP43" s="55"/>
      <c r="AQ43" s="55"/>
      <c r="AR43" s="55"/>
      <c r="AS43" s="55"/>
      <c r="AT43" s="55"/>
      <c r="AU43" s="55"/>
      <c r="AV43" s="55"/>
      <c r="AY43" s="775"/>
      <c r="BA43" s="775" t="s">
        <v>38</v>
      </c>
      <c r="BB43" s="839">
        <v>1999</v>
      </c>
      <c r="BC43" s="775" t="s">
        <v>45</v>
      </c>
      <c r="BD43" s="841">
        <v>28.1</v>
      </c>
      <c r="BH43" s="774" t="s">
        <v>38</v>
      </c>
      <c r="BI43" s="836" t="s">
        <v>1088</v>
      </c>
      <c r="BJ43" s="774" t="s">
        <v>45</v>
      </c>
      <c r="BK43" s="774">
        <v>1.6</v>
      </c>
      <c r="BL43" s="775">
        <v>2019</v>
      </c>
      <c r="CL43" s="773"/>
      <c r="CM43" s="773"/>
      <c r="CN43" s="773"/>
      <c r="CO43" s="773"/>
      <c r="CP43" s="773"/>
      <c r="CQ43" s="773"/>
      <c r="CR43" s="773"/>
    </row>
    <row r="44" spans="16:96" ht="15.75">
      <c r="AI44" s="55"/>
      <c r="AJ44" s="55"/>
      <c r="AK44" s="55"/>
      <c r="AL44" s="55"/>
      <c r="AM44" s="55"/>
      <c r="AN44" s="55"/>
      <c r="AO44" s="55"/>
      <c r="AP44" s="55"/>
      <c r="AQ44" s="55"/>
      <c r="AR44" s="55"/>
      <c r="AS44" s="55"/>
      <c r="AT44" s="55"/>
      <c r="AU44" s="55"/>
      <c r="AV44" s="55"/>
      <c r="AY44" s="775"/>
      <c r="BA44" s="775" t="s">
        <v>38</v>
      </c>
      <c r="BB44" s="839">
        <v>1999</v>
      </c>
      <c r="BC44" s="775" t="s">
        <v>48</v>
      </c>
      <c r="BD44" s="841">
        <v>3.4000000000000004</v>
      </c>
      <c r="BH44" s="774" t="s">
        <v>38</v>
      </c>
      <c r="BI44" s="836" t="s">
        <v>1088</v>
      </c>
      <c r="BJ44" s="774" t="s">
        <v>48</v>
      </c>
      <c r="BK44" s="774">
        <v>157.80000000000001</v>
      </c>
      <c r="BL44" s="775">
        <v>2019</v>
      </c>
      <c r="CL44" s="773"/>
      <c r="CM44" s="773"/>
      <c r="CN44" s="773"/>
      <c r="CO44" s="773"/>
      <c r="CP44" s="773"/>
      <c r="CQ44" s="773"/>
      <c r="CR44" s="773"/>
    </row>
    <row r="45" spans="16:96" ht="15.75">
      <c r="AI45" s="55"/>
      <c r="AJ45" s="55"/>
      <c r="AK45" s="55"/>
      <c r="AL45" s="55"/>
      <c r="AM45" s="55"/>
      <c r="AN45" s="55"/>
      <c r="AO45" s="55"/>
      <c r="AP45" s="55"/>
      <c r="AQ45" s="55"/>
      <c r="AR45" s="55"/>
      <c r="AS45" s="55"/>
      <c r="AT45" s="55"/>
      <c r="AU45" s="55"/>
      <c r="AV45" s="55"/>
      <c r="AY45" s="775"/>
      <c r="BA45" s="775" t="s">
        <v>38</v>
      </c>
      <c r="BB45" s="839">
        <v>1999</v>
      </c>
      <c r="BC45" s="775" t="s">
        <v>97</v>
      </c>
      <c r="BD45" s="841">
        <v>428.40000000000003</v>
      </c>
      <c r="BH45" s="774" t="s">
        <v>38</v>
      </c>
      <c r="BI45" s="836" t="s">
        <v>1088</v>
      </c>
      <c r="BJ45" s="774" t="s">
        <v>97</v>
      </c>
      <c r="BK45" s="774">
        <v>1693.1</v>
      </c>
      <c r="BL45" s="775">
        <v>2019</v>
      </c>
      <c r="CL45" s="773"/>
      <c r="CM45" s="773"/>
      <c r="CN45" s="773"/>
      <c r="CO45" s="773"/>
      <c r="CP45" s="773"/>
      <c r="CQ45" s="773"/>
      <c r="CR45" s="773"/>
    </row>
    <row r="46" spans="16:96" ht="15.75">
      <c r="P46" s="298"/>
      <c r="AI46" s="55"/>
      <c r="AJ46" s="55"/>
      <c r="AK46" s="55"/>
      <c r="AL46" s="55"/>
      <c r="AM46" s="55"/>
      <c r="AN46" s="55"/>
      <c r="AO46" s="55"/>
      <c r="AP46" s="55"/>
      <c r="AQ46" s="55"/>
      <c r="AR46" s="55"/>
      <c r="AS46" s="55"/>
      <c r="AT46" s="55"/>
      <c r="AU46" s="55"/>
      <c r="AV46" s="55"/>
      <c r="AY46" s="775"/>
      <c r="BA46" s="775" t="s">
        <v>172</v>
      </c>
      <c r="BB46" s="839">
        <v>1999</v>
      </c>
      <c r="BC46" s="775" t="s">
        <v>15</v>
      </c>
      <c r="BD46" s="837">
        <f>BD57-BD35</f>
        <v>12</v>
      </c>
      <c r="BH46" s="774" t="s">
        <v>172</v>
      </c>
      <c r="BI46" s="836" t="s">
        <v>1088</v>
      </c>
      <c r="BJ46" s="774" t="s">
        <v>15</v>
      </c>
      <c r="BK46" s="774">
        <f>BK57-BK35</f>
        <v>196.19999999999993</v>
      </c>
      <c r="BL46" s="775">
        <v>2019</v>
      </c>
      <c r="CL46" s="773"/>
      <c r="CM46" s="773"/>
      <c r="CN46" s="773"/>
      <c r="CO46" s="773"/>
      <c r="CP46" s="773"/>
      <c r="CQ46" s="773"/>
      <c r="CR46" s="773"/>
    </row>
    <row r="47" spans="16:96" ht="15.75">
      <c r="P47" s="298"/>
      <c r="AI47" s="55"/>
      <c r="AJ47" s="55"/>
      <c r="AK47" s="55"/>
      <c r="AL47" s="55"/>
      <c r="AM47" s="55"/>
      <c r="AN47" s="55"/>
      <c r="AO47" s="55"/>
      <c r="AP47" s="55"/>
      <c r="AQ47" s="55"/>
      <c r="AR47" s="55"/>
      <c r="AS47" s="55"/>
      <c r="AT47" s="55"/>
      <c r="AU47" s="55"/>
      <c r="AV47" s="55"/>
      <c r="AY47" s="775"/>
      <c r="BA47" s="775" t="s">
        <v>172</v>
      </c>
      <c r="BB47" s="839">
        <v>1999</v>
      </c>
      <c r="BC47" s="775" t="s">
        <v>277</v>
      </c>
      <c r="BD47" s="775">
        <f t="shared" ref="BD47:BD55" si="6">BD58-BD36</f>
        <v>17.600000000000001</v>
      </c>
      <c r="BH47" s="774" t="s">
        <v>172</v>
      </c>
      <c r="BI47" s="836" t="s">
        <v>1088</v>
      </c>
      <c r="BJ47" s="774" t="s">
        <v>277</v>
      </c>
      <c r="BK47" s="774">
        <f t="shared" ref="BK47:BK56" si="7">BK58-BK36</f>
        <v>44.099999999999994</v>
      </c>
      <c r="BL47" s="775">
        <v>2019</v>
      </c>
      <c r="BP47" s="777"/>
      <c r="BQ47" s="776"/>
      <c r="BR47" s="776"/>
      <c r="BS47" s="776"/>
      <c r="BT47" s="776"/>
      <c r="BU47" s="776"/>
      <c r="BV47" s="776"/>
      <c r="BW47" s="776"/>
      <c r="BX47" s="776"/>
      <c r="BY47" s="776"/>
      <c r="BZ47" s="776"/>
      <c r="CA47" s="776"/>
      <c r="CL47" s="773"/>
      <c r="CM47" s="773"/>
      <c r="CN47" s="773"/>
      <c r="CO47" s="773"/>
      <c r="CP47" s="773"/>
      <c r="CQ47" s="773"/>
      <c r="CR47" s="773"/>
    </row>
    <row r="48" spans="16:96" ht="15.75">
      <c r="AI48" s="55"/>
      <c r="AJ48" s="55"/>
      <c r="AK48" s="55"/>
      <c r="AL48" s="55"/>
      <c r="AM48" s="55"/>
      <c r="AN48" s="55"/>
      <c r="AO48" s="55"/>
      <c r="AP48" s="55"/>
      <c r="AQ48" s="55"/>
      <c r="AR48" s="55"/>
      <c r="AS48" s="55"/>
      <c r="AT48" s="55"/>
      <c r="AU48" s="55"/>
      <c r="AV48" s="55"/>
      <c r="AY48" s="775"/>
      <c r="BA48" s="775" t="s">
        <v>172</v>
      </c>
      <c r="BB48" s="839">
        <v>1999</v>
      </c>
      <c r="BC48" s="775" t="s">
        <v>1064</v>
      </c>
      <c r="BD48" s="775">
        <f t="shared" si="6"/>
        <v>6.5</v>
      </c>
      <c r="BH48" s="774" t="s">
        <v>172</v>
      </c>
      <c r="BI48" s="836" t="s">
        <v>1088</v>
      </c>
      <c r="BJ48" s="774" t="s">
        <v>1064</v>
      </c>
      <c r="BK48" s="774">
        <f t="shared" si="7"/>
        <v>53.599999999999994</v>
      </c>
      <c r="BL48" s="775">
        <v>2019</v>
      </c>
      <c r="CL48" s="773"/>
      <c r="CM48" s="773"/>
      <c r="CN48" s="773"/>
      <c r="CO48" s="773"/>
      <c r="CP48" s="773"/>
      <c r="CQ48" s="773"/>
      <c r="CR48" s="773"/>
    </row>
    <row r="49" spans="16:96" ht="15.75">
      <c r="AI49" s="55"/>
      <c r="AJ49" s="55"/>
      <c r="AK49" s="55"/>
      <c r="AL49" s="55"/>
      <c r="AM49" s="55"/>
      <c r="AN49" s="55"/>
      <c r="AO49" s="55"/>
      <c r="AP49" s="55"/>
      <c r="AQ49" s="55"/>
      <c r="AR49" s="55"/>
      <c r="AS49" s="55"/>
      <c r="AT49" s="55"/>
      <c r="AU49" s="55"/>
      <c r="AV49" s="55"/>
      <c r="AY49" s="775"/>
      <c r="BA49" s="775" t="s">
        <v>172</v>
      </c>
      <c r="BB49" s="839">
        <v>1999</v>
      </c>
      <c r="BC49" s="775" t="s">
        <v>8</v>
      </c>
      <c r="BD49" s="775">
        <f t="shared" si="6"/>
        <v>132.40000000000003</v>
      </c>
      <c r="BH49" s="774" t="s">
        <v>172</v>
      </c>
      <c r="BI49" s="836" t="s">
        <v>1088</v>
      </c>
      <c r="BJ49" s="774" t="s">
        <v>8</v>
      </c>
      <c r="BK49" s="774">
        <f t="shared" si="7"/>
        <v>376.30000000000007</v>
      </c>
      <c r="BL49" s="775">
        <v>2019</v>
      </c>
      <c r="CL49" s="773"/>
      <c r="CM49" s="773"/>
      <c r="CN49" s="773"/>
      <c r="CO49" s="773"/>
      <c r="CP49" s="773"/>
      <c r="CQ49" s="773"/>
      <c r="CR49" s="773"/>
    </row>
    <row r="50" spans="16:96" ht="15.75">
      <c r="P50" s="298"/>
      <c r="AI50" s="55"/>
      <c r="AJ50" s="55"/>
      <c r="AK50" s="55"/>
      <c r="AL50" s="55"/>
      <c r="AM50" s="55"/>
      <c r="AN50" s="55"/>
      <c r="AO50" s="55"/>
      <c r="AP50" s="55"/>
      <c r="AQ50" s="55"/>
      <c r="AR50" s="55"/>
      <c r="AS50" s="55"/>
      <c r="AT50" s="55"/>
      <c r="AU50" s="55"/>
      <c r="AV50" s="55"/>
      <c r="AY50" s="775"/>
      <c r="BA50" s="775" t="s">
        <v>172</v>
      </c>
      <c r="BB50" s="839">
        <v>1999</v>
      </c>
      <c r="BC50" s="775" t="s">
        <v>96</v>
      </c>
      <c r="BD50" s="775">
        <f t="shared" si="6"/>
        <v>0.10000000000000142</v>
      </c>
      <c r="BH50" s="774" t="s">
        <v>172</v>
      </c>
      <c r="BI50" s="836" t="s">
        <v>1088</v>
      </c>
      <c r="BJ50" s="774" t="s">
        <v>96</v>
      </c>
      <c r="BK50" s="774">
        <f t="shared" si="7"/>
        <v>11.899999999999977</v>
      </c>
      <c r="BL50" s="775">
        <v>2019</v>
      </c>
      <c r="CL50" s="773"/>
      <c r="CM50" s="773"/>
      <c r="CN50" s="773"/>
      <c r="CO50" s="773"/>
      <c r="CP50" s="773"/>
      <c r="CQ50" s="773"/>
      <c r="CR50" s="773"/>
    </row>
    <row r="51" spans="16:96" ht="15.75">
      <c r="P51" s="298"/>
      <c r="AI51" s="55"/>
      <c r="AJ51" s="55"/>
      <c r="AK51" s="55"/>
      <c r="AL51" s="55"/>
      <c r="AM51" s="55"/>
      <c r="AN51" s="55"/>
      <c r="AO51" s="55"/>
      <c r="AP51" s="55"/>
      <c r="AQ51" s="55"/>
      <c r="AR51" s="55"/>
      <c r="AS51" s="55"/>
      <c r="AT51" s="55"/>
      <c r="AU51" s="55"/>
      <c r="AV51" s="55"/>
      <c r="AY51" s="775"/>
      <c r="BA51" s="775" t="s">
        <v>172</v>
      </c>
      <c r="BB51" s="839">
        <v>1999</v>
      </c>
      <c r="BC51" s="775" t="s">
        <v>196</v>
      </c>
      <c r="BD51" s="775">
        <f t="shared" si="6"/>
        <v>11.799999999999999</v>
      </c>
      <c r="BH51" s="774" t="s">
        <v>172</v>
      </c>
      <c r="BI51" s="836" t="s">
        <v>1088</v>
      </c>
      <c r="BJ51" s="774" t="s">
        <v>196</v>
      </c>
      <c r="BK51" s="774">
        <f t="shared" si="7"/>
        <v>30.400000000000006</v>
      </c>
      <c r="BL51" s="775">
        <v>2019</v>
      </c>
      <c r="CL51" s="773"/>
      <c r="CM51" s="773"/>
      <c r="CN51" s="773"/>
      <c r="CO51" s="773"/>
      <c r="CP51" s="773"/>
      <c r="CQ51" s="773"/>
      <c r="CR51" s="773"/>
    </row>
    <row r="52" spans="16:96" ht="15.75">
      <c r="AI52" s="55"/>
      <c r="AJ52" s="55"/>
      <c r="AK52" s="55"/>
      <c r="AL52" s="55"/>
      <c r="AM52" s="55"/>
      <c r="AN52" s="55"/>
      <c r="AO52" s="55"/>
      <c r="AP52" s="55"/>
      <c r="AQ52" s="55"/>
      <c r="AR52" s="55"/>
      <c r="AS52" s="55"/>
      <c r="AT52" s="55"/>
      <c r="AU52" s="55"/>
      <c r="AV52" s="55"/>
      <c r="AY52" s="775"/>
      <c r="BA52" s="775" t="s">
        <v>172</v>
      </c>
      <c r="BB52" s="839">
        <v>1999</v>
      </c>
      <c r="BC52" s="775" t="s">
        <v>278</v>
      </c>
      <c r="BD52" s="775">
        <f t="shared" si="6"/>
        <v>11.9</v>
      </c>
      <c r="BH52" s="774" t="s">
        <v>172</v>
      </c>
      <c r="BI52" s="836" t="s">
        <v>1088</v>
      </c>
      <c r="BJ52" s="774" t="s">
        <v>278</v>
      </c>
      <c r="BK52" s="774">
        <f t="shared" si="7"/>
        <v>7.5</v>
      </c>
      <c r="BL52" s="775">
        <v>2019</v>
      </c>
      <c r="CL52" s="773"/>
      <c r="CM52" s="773"/>
      <c r="CN52" s="773"/>
      <c r="CO52" s="773"/>
      <c r="CP52" s="773"/>
      <c r="CQ52" s="773"/>
      <c r="CR52" s="773"/>
    </row>
    <row r="53" spans="16:96" ht="15.75">
      <c r="AI53" s="55"/>
      <c r="AJ53" s="55"/>
      <c r="AK53" s="55"/>
      <c r="AL53" s="55"/>
      <c r="AM53" s="55"/>
      <c r="AN53" s="55"/>
      <c r="AO53" s="55"/>
      <c r="AP53" s="55"/>
      <c r="AQ53" s="55"/>
      <c r="AR53" s="55"/>
      <c r="AS53" s="55"/>
      <c r="AT53" s="55"/>
      <c r="AU53" s="55"/>
      <c r="AV53" s="55"/>
      <c r="AY53" s="775"/>
      <c r="BA53" s="775" t="s">
        <v>172</v>
      </c>
      <c r="BB53" s="839">
        <v>1999</v>
      </c>
      <c r="BC53" s="775" t="s">
        <v>44</v>
      </c>
      <c r="BD53" s="775">
        <f t="shared" si="6"/>
        <v>39.599999999999994</v>
      </c>
      <c r="BH53" s="774" t="s">
        <v>172</v>
      </c>
      <c r="BI53" s="836" t="s">
        <v>1088</v>
      </c>
      <c r="BJ53" s="774" t="s">
        <v>44</v>
      </c>
      <c r="BK53" s="774">
        <f t="shared" si="7"/>
        <v>303.10000000000002</v>
      </c>
      <c r="BL53" s="775">
        <v>2019</v>
      </c>
      <c r="CL53" s="773"/>
      <c r="CM53" s="773"/>
      <c r="CN53" s="773"/>
      <c r="CO53" s="773"/>
      <c r="CP53" s="773"/>
      <c r="CQ53" s="773"/>
      <c r="CR53" s="773"/>
    </row>
    <row r="54" spans="16:96" ht="15.75">
      <c r="P54" s="298"/>
      <c r="AI54" s="55"/>
      <c r="AJ54" s="55"/>
      <c r="AK54" s="55"/>
      <c r="AL54" s="55"/>
      <c r="AM54" s="55"/>
      <c r="AN54" s="55"/>
      <c r="AO54" s="55"/>
      <c r="AP54" s="55"/>
      <c r="AQ54" s="55"/>
      <c r="AR54" s="55"/>
      <c r="AS54" s="55"/>
      <c r="AT54" s="55"/>
      <c r="AU54" s="55"/>
      <c r="AV54" s="55"/>
      <c r="AY54" s="775"/>
      <c r="BA54" s="775" t="s">
        <v>172</v>
      </c>
      <c r="BB54" s="839">
        <v>1999</v>
      </c>
      <c r="BC54" s="775" t="s">
        <v>45</v>
      </c>
      <c r="BD54" s="775">
        <f t="shared" si="6"/>
        <v>5.8999999999999986</v>
      </c>
      <c r="BH54" s="774" t="s">
        <v>172</v>
      </c>
      <c r="BI54" s="836" t="s">
        <v>1088</v>
      </c>
      <c r="BJ54" s="774" t="s">
        <v>45</v>
      </c>
      <c r="BK54" s="774">
        <f t="shared" si="7"/>
        <v>3.3000000000000003</v>
      </c>
      <c r="BL54" s="775">
        <v>2019</v>
      </c>
      <c r="CL54" s="773"/>
      <c r="CM54" s="773"/>
      <c r="CN54" s="773"/>
      <c r="CO54" s="773"/>
      <c r="CP54" s="773"/>
      <c r="CQ54" s="773"/>
      <c r="CR54" s="773"/>
    </row>
    <row r="55" spans="16:96" ht="15.75">
      <c r="P55" s="298"/>
      <c r="AI55" s="55"/>
      <c r="AJ55" s="55"/>
      <c r="AK55" s="55"/>
      <c r="AL55" s="55"/>
      <c r="AM55" s="55"/>
      <c r="AN55" s="55"/>
      <c r="AO55" s="55"/>
      <c r="AP55" s="55"/>
      <c r="AQ55" s="55"/>
      <c r="AR55" s="55"/>
      <c r="AS55" s="55"/>
      <c r="AT55" s="55"/>
      <c r="AU55" s="55"/>
      <c r="AV55" s="55"/>
      <c r="AY55" s="775"/>
      <c r="BA55" s="775" t="s">
        <v>172</v>
      </c>
      <c r="BB55" s="839">
        <v>1999</v>
      </c>
      <c r="BC55" s="775" t="s">
        <v>48</v>
      </c>
      <c r="BD55" s="775">
        <f t="shared" si="6"/>
        <v>10.7</v>
      </c>
      <c r="BH55" s="774" t="s">
        <v>172</v>
      </c>
      <c r="BI55" s="836" t="s">
        <v>1088</v>
      </c>
      <c r="BJ55" s="774" t="s">
        <v>48</v>
      </c>
      <c r="BK55" s="774">
        <f t="shared" si="7"/>
        <v>57</v>
      </c>
      <c r="BL55" s="775">
        <v>2019</v>
      </c>
      <c r="CL55" s="773"/>
      <c r="CM55" s="773"/>
      <c r="CN55" s="773"/>
      <c r="CO55" s="773"/>
      <c r="CP55" s="773"/>
      <c r="CQ55" s="773"/>
      <c r="CR55" s="773"/>
    </row>
    <row r="56" spans="16:96" ht="15.75">
      <c r="AI56" s="55"/>
      <c r="AJ56" s="55"/>
      <c r="AK56" s="55"/>
      <c r="AL56" s="55"/>
      <c r="AM56" s="55"/>
      <c r="AN56" s="55"/>
      <c r="AO56" s="55"/>
      <c r="AP56" s="55"/>
      <c r="AQ56" s="55"/>
      <c r="AR56" s="55"/>
      <c r="AS56" s="55"/>
      <c r="AT56" s="55"/>
      <c r="AU56" s="55"/>
      <c r="AV56" s="55"/>
      <c r="AY56" s="775"/>
      <c r="BA56" s="775" t="s">
        <v>172</v>
      </c>
      <c r="BB56" s="839">
        <v>1999</v>
      </c>
      <c r="BC56" s="775" t="s">
        <v>97</v>
      </c>
      <c r="BD56" s="775">
        <f>BD67-BD45</f>
        <v>290.89999999999992</v>
      </c>
      <c r="BH56" s="774" t="s">
        <v>172</v>
      </c>
      <c r="BI56" s="836" t="s">
        <v>1088</v>
      </c>
      <c r="BJ56" s="774" t="s">
        <v>97</v>
      </c>
      <c r="BK56" s="774">
        <f t="shared" si="7"/>
        <v>1078.7000000000003</v>
      </c>
      <c r="BL56" s="775">
        <v>2019</v>
      </c>
      <c r="CL56" s="773"/>
      <c r="CM56" s="773"/>
      <c r="CN56" s="773"/>
      <c r="CO56" s="773"/>
      <c r="CP56" s="773"/>
      <c r="CQ56" s="773"/>
      <c r="CR56" s="773"/>
    </row>
    <row r="57" spans="16:96" ht="15.75">
      <c r="AI57" s="55"/>
      <c r="AJ57" s="55"/>
      <c r="AK57" s="55"/>
      <c r="AL57" s="55"/>
      <c r="AM57" s="55"/>
      <c r="AN57" s="55"/>
      <c r="AO57" s="55"/>
      <c r="AP57" s="55"/>
      <c r="AQ57" s="55"/>
      <c r="AR57" s="55"/>
      <c r="AS57" s="55"/>
      <c r="AT57" s="55"/>
      <c r="AU57" s="55"/>
      <c r="AV57" s="55"/>
      <c r="AY57" s="775"/>
      <c r="BA57" s="775" t="s">
        <v>170</v>
      </c>
      <c r="BB57" s="839">
        <v>1999</v>
      </c>
      <c r="BC57" s="775" t="s">
        <v>15</v>
      </c>
      <c r="BD57" s="775">
        <v>14.8</v>
      </c>
      <c r="BH57" s="774" t="s">
        <v>170</v>
      </c>
      <c r="BI57" s="836" t="s">
        <v>1088</v>
      </c>
      <c r="BJ57" s="774" t="s">
        <v>15</v>
      </c>
      <c r="BK57" s="842">
        <v>420.09999999999997</v>
      </c>
      <c r="BL57" s="775">
        <v>2019</v>
      </c>
      <c r="CL57" s="773"/>
      <c r="CM57" s="773"/>
      <c r="CN57" s="773"/>
      <c r="CO57" s="773"/>
      <c r="CP57" s="773"/>
      <c r="CQ57" s="773"/>
      <c r="CR57" s="773"/>
    </row>
    <row r="58" spans="16:96" ht="15.75">
      <c r="P58" s="298"/>
      <c r="AI58" s="55"/>
      <c r="AJ58" s="55"/>
      <c r="AK58" s="55"/>
      <c r="AL58" s="55"/>
      <c r="AM58" s="55"/>
      <c r="AN58" s="55"/>
      <c r="AO58" s="55"/>
      <c r="AP58" s="55"/>
      <c r="AQ58" s="55"/>
      <c r="AR58" s="55"/>
      <c r="AS58" s="55"/>
      <c r="AT58" s="55"/>
      <c r="AU58" s="55"/>
      <c r="AV58" s="55"/>
      <c r="AY58" s="775"/>
      <c r="BA58" s="775" t="s">
        <v>170</v>
      </c>
      <c r="BB58" s="839">
        <v>1999</v>
      </c>
      <c r="BC58" s="775" t="s">
        <v>277</v>
      </c>
      <c r="BD58" s="775">
        <v>30.8</v>
      </c>
      <c r="BH58" s="774" t="s">
        <v>170</v>
      </c>
      <c r="BI58" s="836" t="s">
        <v>1088</v>
      </c>
      <c r="BJ58" s="774" t="s">
        <v>277</v>
      </c>
      <c r="BK58" s="842">
        <v>58.499999999999993</v>
      </c>
      <c r="BL58" s="775">
        <v>2019</v>
      </c>
      <c r="CL58" s="773"/>
      <c r="CM58" s="773"/>
      <c r="CN58" s="773"/>
      <c r="CO58" s="773"/>
      <c r="CP58" s="773"/>
      <c r="CQ58" s="773"/>
      <c r="CR58" s="773"/>
    </row>
    <row r="59" spans="16:96" ht="15.75">
      <c r="P59" s="298"/>
      <c r="AI59" s="55"/>
      <c r="AJ59" s="55"/>
      <c r="AK59" s="55"/>
      <c r="AL59" s="55"/>
      <c r="AM59" s="55"/>
      <c r="AN59" s="55"/>
      <c r="AO59" s="55"/>
      <c r="AP59" s="55"/>
      <c r="AQ59" s="55"/>
      <c r="AR59" s="55"/>
      <c r="AS59" s="55"/>
      <c r="AT59" s="55"/>
      <c r="AU59" s="55"/>
      <c r="AV59" s="55"/>
      <c r="AY59" s="775"/>
      <c r="BA59" s="775" t="s">
        <v>170</v>
      </c>
      <c r="BB59" s="839">
        <v>1999</v>
      </c>
      <c r="BC59" s="775" t="s">
        <v>1064</v>
      </c>
      <c r="BD59" s="775">
        <v>33.1</v>
      </c>
      <c r="BH59" s="774" t="s">
        <v>170</v>
      </c>
      <c r="BI59" s="836" t="s">
        <v>1088</v>
      </c>
      <c r="BJ59" s="774" t="s">
        <v>1064</v>
      </c>
      <c r="BK59" s="842">
        <v>202.7</v>
      </c>
      <c r="BL59" s="775">
        <v>2019</v>
      </c>
      <c r="CL59" s="773"/>
      <c r="CM59" s="773"/>
      <c r="CN59" s="773"/>
      <c r="CO59" s="773"/>
      <c r="CP59" s="773"/>
      <c r="CQ59" s="773"/>
      <c r="CR59" s="773"/>
    </row>
    <row r="60" spans="16:96" ht="15.75">
      <c r="AI60" s="55"/>
      <c r="AJ60" s="55"/>
      <c r="AK60" s="55"/>
      <c r="AL60" s="55"/>
      <c r="AM60" s="55"/>
      <c r="AN60" s="55"/>
      <c r="AO60" s="55"/>
      <c r="AP60" s="55"/>
      <c r="AQ60" s="55"/>
      <c r="AR60" s="55"/>
      <c r="AS60" s="55"/>
      <c r="AT60" s="55"/>
      <c r="AU60" s="55"/>
      <c r="AV60" s="55"/>
      <c r="AY60" s="775"/>
      <c r="BA60" s="775" t="s">
        <v>170</v>
      </c>
      <c r="BB60" s="839">
        <v>1999</v>
      </c>
      <c r="BC60" s="775" t="s">
        <v>8</v>
      </c>
      <c r="BD60" s="775">
        <v>405.20000000000005</v>
      </c>
      <c r="BH60" s="774" t="s">
        <v>170</v>
      </c>
      <c r="BI60" s="836" t="s">
        <v>1088</v>
      </c>
      <c r="BJ60" s="774" t="s">
        <v>8</v>
      </c>
      <c r="BK60" s="842">
        <v>1161.9000000000001</v>
      </c>
      <c r="BL60" s="775">
        <v>2019</v>
      </c>
      <c r="CL60" s="773"/>
      <c r="CM60" s="773"/>
      <c r="CN60" s="773"/>
      <c r="CO60" s="773"/>
      <c r="CP60" s="773"/>
      <c r="CQ60" s="773"/>
      <c r="CR60" s="773"/>
    </row>
    <row r="61" spans="16:96" ht="15.75">
      <c r="AI61" s="55"/>
      <c r="AJ61" s="55"/>
      <c r="AK61" s="55"/>
      <c r="AL61" s="55"/>
      <c r="AM61" s="55"/>
      <c r="AN61" s="55"/>
      <c r="AO61" s="55"/>
      <c r="AP61" s="55"/>
      <c r="AQ61" s="55"/>
      <c r="AR61" s="55"/>
      <c r="AS61" s="55"/>
      <c r="AT61" s="55"/>
      <c r="AU61" s="55"/>
      <c r="AV61" s="55"/>
      <c r="AY61" s="775"/>
      <c r="BA61" s="775" t="s">
        <v>170</v>
      </c>
      <c r="BB61" s="839">
        <v>1999</v>
      </c>
      <c r="BC61" s="775" t="s">
        <v>96</v>
      </c>
      <c r="BD61" s="775">
        <v>24.1</v>
      </c>
      <c r="BH61" s="774" t="s">
        <v>170</v>
      </c>
      <c r="BI61" s="836" t="s">
        <v>1088</v>
      </c>
      <c r="BJ61" s="774" t="s">
        <v>96</v>
      </c>
      <c r="BK61" s="842">
        <v>361.29999999999995</v>
      </c>
      <c r="BL61" s="775">
        <v>2019</v>
      </c>
      <c r="CL61" s="773"/>
      <c r="CM61" s="773"/>
      <c r="CN61" s="773"/>
      <c r="CO61" s="773"/>
      <c r="CP61" s="773"/>
      <c r="CQ61" s="773"/>
      <c r="CR61" s="773"/>
    </row>
    <row r="62" spans="16:96" ht="15.75">
      <c r="P62" s="298"/>
      <c r="AI62" s="55"/>
      <c r="AJ62" s="55"/>
      <c r="AK62" s="55"/>
      <c r="AL62" s="55"/>
      <c r="AM62" s="55"/>
      <c r="AN62" s="55"/>
      <c r="AO62" s="55"/>
      <c r="AP62" s="55"/>
      <c r="AQ62" s="55"/>
      <c r="AR62" s="55"/>
      <c r="AS62" s="55"/>
      <c r="AT62" s="55"/>
      <c r="AU62" s="55"/>
      <c r="AV62" s="55"/>
      <c r="AY62" s="775"/>
      <c r="BA62" s="775" t="s">
        <v>170</v>
      </c>
      <c r="BB62" s="839">
        <v>1999</v>
      </c>
      <c r="BC62" s="775" t="s">
        <v>196</v>
      </c>
      <c r="BD62" s="775">
        <v>18.899999999999999</v>
      </c>
      <c r="BH62" s="774" t="s">
        <v>170</v>
      </c>
      <c r="BI62" s="836" t="s">
        <v>1088</v>
      </c>
      <c r="BJ62" s="774" t="s">
        <v>196</v>
      </c>
      <c r="BK62" s="842">
        <v>37.200000000000003</v>
      </c>
      <c r="BL62" s="775">
        <v>2019</v>
      </c>
      <c r="CL62" s="773"/>
      <c r="CM62" s="773"/>
      <c r="CN62" s="773"/>
      <c r="CO62" s="773"/>
      <c r="CP62" s="773"/>
      <c r="CQ62" s="773"/>
      <c r="CR62" s="773"/>
    </row>
    <row r="63" spans="16:96" ht="15.75">
      <c r="P63" s="298"/>
      <c r="AI63" s="55"/>
      <c r="AJ63" s="55"/>
      <c r="AK63" s="55"/>
      <c r="AL63" s="55"/>
      <c r="AM63" s="55"/>
      <c r="AN63" s="55"/>
      <c r="AO63" s="55"/>
      <c r="AP63" s="55"/>
      <c r="AQ63" s="55"/>
      <c r="AR63" s="55"/>
      <c r="AS63" s="55"/>
      <c r="AT63" s="55"/>
      <c r="AU63" s="55"/>
      <c r="AV63" s="55"/>
      <c r="AY63" s="775"/>
      <c r="BA63" s="775" t="s">
        <v>170</v>
      </c>
      <c r="BB63" s="839">
        <v>1999</v>
      </c>
      <c r="BC63" s="775" t="s">
        <v>278</v>
      </c>
      <c r="BD63" s="775">
        <v>13</v>
      </c>
      <c r="BH63" s="774" t="s">
        <v>170</v>
      </c>
      <c r="BI63" s="836" t="s">
        <v>1088</v>
      </c>
      <c r="BJ63" s="774" t="s">
        <v>278</v>
      </c>
      <c r="BK63" s="842">
        <v>7.5</v>
      </c>
      <c r="BL63" s="775">
        <v>2019</v>
      </c>
      <c r="CL63" s="773"/>
      <c r="CM63" s="773"/>
      <c r="CN63" s="773"/>
      <c r="CO63" s="773"/>
      <c r="CP63" s="773"/>
      <c r="CQ63" s="773"/>
      <c r="CR63" s="773"/>
    </row>
    <row r="64" spans="16:96" ht="15.75">
      <c r="AI64" s="55"/>
      <c r="AJ64" s="55"/>
      <c r="AK64" s="55"/>
      <c r="AL64" s="55"/>
      <c r="AM64" s="55"/>
      <c r="AN64" s="55"/>
      <c r="AO64" s="55"/>
      <c r="AP64" s="55"/>
      <c r="AQ64" s="55"/>
      <c r="AR64" s="55"/>
      <c r="AS64" s="55"/>
      <c r="AT64" s="55"/>
      <c r="AU64" s="55"/>
      <c r="AV64" s="55"/>
      <c r="AY64" s="775"/>
      <c r="BA64" s="775" t="s">
        <v>170</v>
      </c>
      <c r="BB64" s="839">
        <v>1999</v>
      </c>
      <c r="BC64" s="775" t="s">
        <v>44</v>
      </c>
      <c r="BD64" s="775">
        <v>39.599999999999994</v>
      </c>
      <c r="BH64" s="774" t="s">
        <v>170</v>
      </c>
      <c r="BI64" s="836" t="s">
        <v>1088</v>
      </c>
      <c r="BJ64" s="774" t="s">
        <v>44</v>
      </c>
      <c r="BK64" s="842">
        <v>303.10000000000002</v>
      </c>
      <c r="BL64" s="775">
        <v>2019</v>
      </c>
      <c r="CL64" s="773"/>
      <c r="CM64" s="773"/>
      <c r="CN64" s="773"/>
      <c r="CO64" s="773"/>
      <c r="CP64" s="773"/>
      <c r="CQ64" s="773"/>
      <c r="CR64" s="773"/>
    </row>
    <row r="65" spans="16:96" ht="15.75">
      <c r="AI65" s="55"/>
      <c r="AJ65" s="55"/>
      <c r="AK65" s="55"/>
      <c r="AL65" s="55"/>
      <c r="AM65" s="55"/>
      <c r="AN65" s="55"/>
      <c r="AO65" s="55"/>
      <c r="AP65" s="55"/>
      <c r="AQ65" s="55"/>
      <c r="AR65" s="55"/>
      <c r="AS65" s="55"/>
      <c r="AT65" s="55"/>
      <c r="AU65" s="55"/>
      <c r="AV65" s="55"/>
      <c r="AY65" s="775"/>
      <c r="BA65" s="775" t="s">
        <v>170</v>
      </c>
      <c r="BB65" s="839">
        <v>1999</v>
      </c>
      <c r="BC65" s="775" t="s">
        <v>45</v>
      </c>
      <c r="BD65" s="775">
        <v>34</v>
      </c>
      <c r="BH65" s="774" t="s">
        <v>170</v>
      </c>
      <c r="BI65" s="836" t="s">
        <v>1088</v>
      </c>
      <c r="BJ65" s="774" t="s">
        <v>45</v>
      </c>
      <c r="BK65" s="842">
        <v>4.9000000000000004</v>
      </c>
      <c r="BL65" s="775">
        <v>2019</v>
      </c>
      <c r="CL65" s="773"/>
      <c r="CM65" s="773"/>
      <c r="CN65" s="773"/>
      <c r="CO65" s="773"/>
      <c r="CP65" s="773"/>
      <c r="CQ65" s="773"/>
      <c r="CR65" s="773"/>
    </row>
    <row r="66" spans="16:96" ht="15.75">
      <c r="P66" s="298"/>
      <c r="AI66" s="55"/>
      <c r="AJ66" s="55"/>
      <c r="AK66" s="55"/>
      <c r="AL66" s="55"/>
      <c r="AM66" s="55"/>
      <c r="AN66" s="55"/>
      <c r="AO66" s="55"/>
      <c r="AP66" s="55"/>
      <c r="AQ66" s="55"/>
      <c r="AR66" s="55"/>
      <c r="AS66" s="55"/>
      <c r="AT66" s="55"/>
      <c r="AU66" s="55"/>
      <c r="AV66" s="55"/>
      <c r="AY66" s="775"/>
      <c r="BA66" s="775" t="s">
        <v>170</v>
      </c>
      <c r="BB66" s="839">
        <v>1999</v>
      </c>
      <c r="BC66" s="775" t="s">
        <v>48</v>
      </c>
      <c r="BD66" s="775">
        <v>14.1</v>
      </c>
      <c r="BH66" s="774" t="s">
        <v>170</v>
      </c>
      <c r="BI66" s="836" t="s">
        <v>1088</v>
      </c>
      <c r="BJ66" s="774" t="s">
        <v>48</v>
      </c>
      <c r="BK66" s="842">
        <v>214.8</v>
      </c>
      <c r="BL66" s="775">
        <v>2019</v>
      </c>
      <c r="CL66" s="773"/>
      <c r="CM66" s="773"/>
      <c r="CN66" s="773"/>
      <c r="CO66" s="773"/>
      <c r="CP66" s="773"/>
      <c r="CQ66" s="773"/>
      <c r="CR66" s="773"/>
    </row>
    <row r="67" spans="16:96" ht="15.75">
      <c r="P67" s="298"/>
      <c r="AI67" s="55"/>
      <c r="AJ67" s="55"/>
      <c r="AK67" s="55"/>
      <c r="AL67" s="55"/>
      <c r="AM67" s="55"/>
      <c r="AN67" s="55"/>
      <c r="AO67" s="55"/>
      <c r="AP67" s="55"/>
      <c r="AQ67" s="55"/>
      <c r="AR67" s="55"/>
      <c r="AS67" s="55"/>
      <c r="AT67" s="55"/>
      <c r="AU67" s="55"/>
      <c r="AV67" s="55"/>
      <c r="AY67" s="775"/>
      <c r="BA67" s="775" t="s">
        <v>170</v>
      </c>
      <c r="BB67" s="839">
        <v>1999</v>
      </c>
      <c r="BC67" s="775" t="s">
        <v>97</v>
      </c>
      <c r="BD67" s="775">
        <v>719.3</v>
      </c>
      <c r="BH67" s="774" t="s">
        <v>170</v>
      </c>
      <c r="BI67" s="836" t="s">
        <v>1088</v>
      </c>
      <c r="BJ67" s="774" t="s">
        <v>97</v>
      </c>
      <c r="BK67" s="842">
        <v>2771.8</v>
      </c>
      <c r="BL67" s="775">
        <v>2019</v>
      </c>
      <c r="CL67" s="773"/>
      <c r="CM67" s="773"/>
      <c r="CN67" s="773"/>
      <c r="CO67" s="773"/>
      <c r="CP67" s="773"/>
      <c r="CQ67" s="773"/>
      <c r="CR67" s="773"/>
    </row>
    <row r="68" spans="16:96" ht="15.75">
      <c r="AI68" s="55"/>
      <c r="AJ68" s="55"/>
      <c r="AK68" s="55"/>
      <c r="AL68" s="55"/>
      <c r="AM68" s="55"/>
      <c r="AN68" s="55"/>
      <c r="AO68" s="55"/>
      <c r="AP68" s="55"/>
      <c r="AQ68" s="55"/>
      <c r="AR68" s="55"/>
      <c r="AS68" s="55"/>
      <c r="AT68" s="55"/>
      <c r="AU68" s="55"/>
      <c r="AV68" s="55"/>
      <c r="BA68" s="775" t="s">
        <v>38</v>
      </c>
      <c r="BB68" s="839">
        <v>2000</v>
      </c>
      <c r="BC68" s="775" t="s">
        <v>15</v>
      </c>
      <c r="BD68" s="840">
        <v>3.3</v>
      </c>
      <c r="BH68" s="775" t="s">
        <v>38</v>
      </c>
      <c r="BI68" s="836" t="s">
        <v>123</v>
      </c>
      <c r="BJ68" s="775" t="s">
        <v>15</v>
      </c>
      <c r="BK68" s="776">
        <v>5</v>
      </c>
      <c r="BL68" s="775">
        <v>1999</v>
      </c>
      <c r="CL68" s="773"/>
      <c r="CM68" s="773"/>
      <c r="CN68" s="773"/>
      <c r="CO68" s="773"/>
      <c r="CP68" s="773"/>
      <c r="CQ68" s="773"/>
      <c r="CR68" s="773"/>
    </row>
    <row r="69" spans="16:96" ht="15.75">
      <c r="AI69" s="55"/>
      <c r="AJ69" s="55"/>
      <c r="AK69" s="55"/>
      <c r="AL69" s="55"/>
      <c r="AM69" s="55"/>
      <c r="AN69" s="55"/>
      <c r="AO69" s="55"/>
      <c r="AP69" s="55"/>
      <c r="AQ69" s="55"/>
      <c r="AR69" s="55"/>
      <c r="AS69" s="55"/>
      <c r="AT69" s="55"/>
      <c r="AU69" s="55"/>
      <c r="AV69" s="55"/>
      <c r="BA69" s="775" t="s">
        <v>38</v>
      </c>
      <c r="BB69" s="839">
        <v>2000</v>
      </c>
      <c r="BC69" s="775" t="s">
        <v>277</v>
      </c>
      <c r="BD69" s="840">
        <v>21.2</v>
      </c>
      <c r="BH69" s="775" t="s">
        <v>38</v>
      </c>
      <c r="BI69" s="836" t="s">
        <v>123</v>
      </c>
      <c r="BJ69" s="775" t="s">
        <v>277</v>
      </c>
      <c r="BK69" s="776">
        <v>22.7</v>
      </c>
      <c r="BL69" s="775">
        <v>1999</v>
      </c>
      <c r="BQ69" s="776"/>
      <c r="CL69" s="773"/>
      <c r="CM69" s="773"/>
      <c r="CN69" s="773"/>
      <c r="CO69" s="773"/>
      <c r="CP69" s="773"/>
      <c r="CQ69" s="773"/>
      <c r="CR69" s="773"/>
    </row>
    <row r="70" spans="16:96" ht="15.75">
      <c r="P70" s="298"/>
      <c r="AI70" s="55"/>
      <c r="AJ70" s="55"/>
      <c r="AK70" s="55"/>
      <c r="AL70" s="55"/>
      <c r="AM70" s="55"/>
      <c r="AN70" s="55"/>
      <c r="AO70" s="55"/>
      <c r="AP70" s="55"/>
      <c r="AQ70" s="55"/>
      <c r="AR70" s="55"/>
      <c r="AS70" s="55"/>
      <c r="AT70" s="55"/>
      <c r="AU70" s="55"/>
      <c r="AV70" s="55"/>
      <c r="BA70" s="775" t="s">
        <v>38</v>
      </c>
      <c r="BB70" s="839">
        <v>2000</v>
      </c>
      <c r="BC70" s="775" t="s">
        <v>1064</v>
      </c>
      <c r="BD70" s="840">
        <v>66.900000000000006</v>
      </c>
      <c r="BH70" s="775" t="s">
        <v>38</v>
      </c>
      <c r="BI70" s="836" t="s">
        <v>123</v>
      </c>
      <c r="BJ70" s="775" t="s">
        <v>1064</v>
      </c>
      <c r="BK70" s="776">
        <v>60.7</v>
      </c>
      <c r="BL70" s="775">
        <v>1999</v>
      </c>
      <c r="BQ70" s="776"/>
      <c r="CL70" s="773"/>
      <c r="CM70" s="773"/>
      <c r="CN70" s="773"/>
      <c r="CO70" s="773"/>
      <c r="CP70" s="773"/>
      <c r="CQ70" s="773"/>
      <c r="CR70" s="773"/>
    </row>
    <row r="71" spans="16:96" ht="15.75">
      <c r="P71" s="298"/>
      <c r="AI71" s="55"/>
      <c r="AJ71" s="55"/>
      <c r="AK71" s="55"/>
      <c r="AL71" s="55"/>
      <c r="AM71" s="55"/>
      <c r="AN71" s="55"/>
      <c r="AO71" s="55"/>
      <c r="AP71" s="55"/>
      <c r="AQ71" s="55"/>
      <c r="AR71" s="55"/>
      <c r="AS71" s="55"/>
      <c r="AT71" s="55"/>
      <c r="AU71" s="55"/>
      <c r="AV71" s="55"/>
      <c r="BA71" s="775" t="s">
        <v>38</v>
      </c>
      <c r="BB71" s="839">
        <v>2000</v>
      </c>
      <c r="BC71" s="775" t="s">
        <v>8</v>
      </c>
      <c r="BD71" s="840">
        <v>259.79999999999995</v>
      </c>
      <c r="BH71" s="775" t="s">
        <v>38</v>
      </c>
      <c r="BI71" s="836" t="s">
        <v>123</v>
      </c>
      <c r="BJ71" s="775" t="s">
        <v>8</v>
      </c>
      <c r="BK71" s="776">
        <v>252.99999999999997</v>
      </c>
      <c r="BL71" s="775">
        <v>1999</v>
      </c>
      <c r="BQ71" s="776"/>
      <c r="CL71" s="773"/>
      <c r="CM71" s="773"/>
      <c r="CN71" s="773"/>
      <c r="CO71" s="773"/>
      <c r="CP71" s="773"/>
      <c r="CQ71" s="773"/>
      <c r="CR71" s="773"/>
    </row>
    <row r="72" spans="16:96" ht="15.75">
      <c r="AI72" s="55"/>
      <c r="AJ72" s="55"/>
      <c r="AK72" s="55"/>
      <c r="AL72" s="55"/>
      <c r="AM72" s="55"/>
      <c r="AN72" s="55"/>
      <c r="AO72" s="55"/>
      <c r="AP72" s="55"/>
      <c r="AQ72" s="55"/>
      <c r="AR72" s="55"/>
      <c r="AS72" s="55"/>
      <c r="AT72" s="55"/>
      <c r="AU72" s="55"/>
      <c r="AV72" s="55"/>
      <c r="BA72" s="775" t="s">
        <v>38</v>
      </c>
      <c r="BB72" s="839">
        <v>2000</v>
      </c>
      <c r="BC72" s="775" t="s">
        <v>96</v>
      </c>
      <c r="BD72" s="840">
        <v>19.5</v>
      </c>
      <c r="BH72" s="775" t="s">
        <v>38</v>
      </c>
      <c r="BI72" s="836" t="s">
        <v>123</v>
      </c>
      <c r="BJ72" s="775" t="s">
        <v>96</v>
      </c>
      <c r="BK72" s="776">
        <v>13.8</v>
      </c>
      <c r="BL72" s="775">
        <v>1999</v>
      </c>
      <c r="BQ72" s="776"/>
      <c r="CL72" s="773"/>
      <c r="CM72" s="773"/>
      <c r="CN72" s="773"/>
      <c r="CO72" s="773"/>
      <c r="CP72" s="773"/>
      <c r="CQ72" s="773"/>
      <c r="CR72" s="773"/>
    </row>
    <row r="73" spans="16:96" ht="15.75">
      <c r="AI73" s="55"/>
      <c r="AJ73" s="55"/>
      <c r="AK73" s="55"/>
      <c r="AL73" s="55"/>
      <c r="AM73" s="55"/>
      <c r="AN73" s="55"/>
      <c r="AO73" s="55"/>
      <c r="AP73" s="55"/>
      <c r="AQ73" s="55"/>
      <c r="AR73" s="55"/>
      <c r="AS73" s="55"/>
      <c r="AT73" s="55"/>
      <c r="AU73" s="55"/>
      <c r="AV73" s="55"/>
      <c r="BA73" s="775" t="s">
        <v>38</v>
      </c>
      <c r="BB73" s="839">
        <v>2000</v>
      </c>
      <c r="BC73" s="775" t="s">
        <v>196</v>
      </c>
      <c r="BD73" s="840">
        <v>3.9000000000000004</v>
      </c>
      <c r="BH73" s="775" t="s">
        <v>38</v>
      </c>
      <c r="BI73" s="836" t="s">
        <v>123</v>
      </c>
      <c r="BJ73" s="775" t="s">
        <v>196</v>
      </c>
      <c r="BK73" s="776">
        <v>5.9</v>
      </c>
      <c r="BL73" s="775">
        <v>1999</v>
      </c>
      <c r="BQ73" s="776"/>
      <c r="CL73" s="773"/>
      <c r="CM73" s="773"/>
      <c r="CN73" s="773"/>
      <c r="CO73" s="773"/>
      <c r="CP73" s="773"/>
      <c r="CQ73" s="773"/>
      <c r="CR73" s="773"/>
    </row>
    <row r="74" spans="16:96" ht="15.75">
      <c r="P74" s="298"/>
      <c r="AI74" s="55"/>
      <c r="AJ74" s="55"/>
      <c r="AK74" s="55"/>
      <c r="AL74" s="55"/>
      <c r="AM74" s="55"/>
      <c r="AN74" s="55"/>
      <c r="AO74" s="55"/>
      <c r="AP74" s="55"/>
      <c r="AQ74" s="55"/>
      <c r="AR74" s="55"/>
      <c r="AS74" s="55"/>
      <c r="AT74" s="55"/>
      <c r="AU74" s="55"/>
      <c r="AV74" s="55"/>
      <c r="BA74" s="775" t="s">
        <v>38</v>
      </c>
      <c r="BB74" s="839">
        <v>2000</v>
      </c>
      <c r="BC74" s="775" t="s">
        <v>278</v>
      </c>
      <c r="BD74" s="840">
        <v>0</v>
      </c>
      <c r="BH74" s="775" t="s">
        <v>38</v>
      </c>
      <c r="BI74" s="836" t="s">
        <v>123</v>
      </c>
      <c r="BJ74" s="775" t="s">
        <v>278</v>
      </c>
      <c r="BK74" s="776">
        <v>0.5</v>
      </c>
      <c r="BL74" s="775">
        <v>1999</v>
      </c>
      <c r="BQ74" s="776"/>
      <c r="CL74" s="773"/>
      <c r="CM74" s="773"/>
      <c r="CN74" s="773"/>
      <c r="CO74" s="773"/>
      <c r="CP74" s="773"/>
      <c r="CQ74" s="773"/>
      <c r="CR74" s="773"/>
    </row>
    <row r="75" spans="16:96" ht="15.75">
      <c r="P75" s="298"/>
      <c r="AI75" s="55"/>
      <c r="AJ75" s="55"/>
      <c r="AK75" s="55"/>
      <c r="AL75" s="55"/>
      <c r="AM75" s="55"/>
      <c r="AN75" s="55"/>
      <c r="AO75" s="55"/>
      <c r="AP75" s="55"/>
      <c r="AQ75" s="55"/>
      <c r="AR75" s="55"/>
      <c r="AS75" s="55"/>
      <c r="AT75" s="55"/>
      <c r="AU75" s="55"/>
      <c r="AV75" s="55"/>
      <c r="BA75" s="775" t="s">
        <v>38</v>
      </c>
      <c r="BB75" s="839">
        <v>2000</v>
      </c>
      <c r="BC75" s="775" t="s">
        <v>44</v>
      </c>
      <c r="BD75" s="840">
        <v>0.1</v>
      </c>
      <c r="BH75" s="775" t="s">
        <v>38</v>
      </c>
      <c r="BI75" s="836" t="s">
        <v>123</v>
      </c>
      <c r="BJ75" s="775" t="s">
        <v>44</v>
      </c>
      <c r="BK75" s="776">
        <v>0</v>
      </c>
      <c r="BL75" s="775">
        <v>1999</v>
      </c>
      <c r="BQ75" s="776"/>
      <c r="CL75" s="773"/>
      <c r="CM75" s="773"/>
      <c r="CN75" s="773"/>
      <c r="CO75" s="773"/>
      <c r="CP75" s="773"/>
      <c r="CQ75" s="773"/>
      <c r="CR75" s="773"/>
    </row>
    <row r="76" spans="16:96" ht="15.75">
      <c r="AI76" s="55"/>
      <c r="AJ76" s="55"/>
      <c r="AK76" s="55"/>
      <c r="AL76" s="55"/>
      <c r="AM76" s="55"/>
      <c r="AN76" s="55"/>
      <c r="AO76" s="55"/>
      <c r="AP76" s="55"/>
      <c r="AQ76" s="55"/>
      <c r="AR76" s="55"/>
      <c r="AS76" s="55"/>
      <c r="AT76" s="55"/>
      <c r="AU76" s="55"/>
      <c r="AV76" s="55"/>
      <c r="BA76" s="775" t="s">
        <v>38</v>
      </c>
      <c r="BB76" s="839">
        <v>2000</v>
      </c>
      <c r="BC76" s="775" t="s">
        <v>45</v>
      </c>
      <c r="BD76" s="841">
        <v>24.2</v>
      </c>
      <c r="BH76" s="775" t="s">
        <v>38</v>
      </c>
      <c r="BI76" s="836" t="s">
        <v>123</v>
      </c>
      <c r="BJ76" s="775" t="s">
        <v>45</v>
      </c>
      <c r="BK76" s="776">
        <v>24.8</v>
      </c>
      <c r="BL76" s="775">
        <v>1999</v>
      </c>
      <c r="BQ76" s="776"/>
      <c r="CL76" s="773"/>
      <c r="CM76" s="773"/>
      <c r="CN76" s="773"/>
      <c r="CO76" s="773"/>
      <c r="CP76" s="773"/>
      <c r="CQ76" s="773"/>
      <c r="CR76" s="773"/>
    </row>
    <row r="77" spans="16:96" ht="15.75">
      <c r="AI77" s="55"/>
      <c r="AJ77" s="55"/>
      <c r="AK77" s="55"/>
      <c r="AL77" s="55"/>
      <c r="AM77" s="55"/>
      <c r="AN77" s="55"/>
      <c r="AO77" s="55"/>
      <c r="AP77" s="55"/>
      <c r="AQ77" s="55"/>
      <c r="AR77" s="55"/>
      <c r="AS77" s="55"/>
      <c r="AT77" s="55"/>
      <c r="AU77" s="55"/>
      <c r="AV77" s="55"/>
      <c r="BA77" s="775" t="s">
        <v>38</v>
      </c>
      <c r="BB77" s="839">
        <v>2000</v>
      </c>
      <c r="BC77" s="775" t="s">
        <v>48</v>
      </c>
      <c r="BD77" s="841">
        <v>9.4</v>
      </c>
      <c r="BH77" s="775" t="s">
        <v>38</v>
      </c>
      <c r="BI77" s="836" t="s">
        <v>123</v>
      </c>
      <c r="BJ77" s="775" t="s">
        <v>48</v>
      </c>
      <c r="BK77" s="776">
        <v>6.5</v>
      </c>
      <c r="BL77" s="775">
        <v>1999</v>
      </c>
      <c r="BQ77" s="776"/>
      <c r="CL77" s="773"/>
      <c r="CM77" s="773"/>
      <c r="CN77" s="773"/>
      <c r="CO77" s="773"/>
      <c r="CP77" s="773"/>
      <c r="CQ77" s="773"/>
      <c r="CR77" s="773"/>
    </row>
    <row r="78" spans="16:96" ht="15.75">
      <c r="P78" s="298"/>
      <c r="AI78" s="55"/>
      <c r="AJ78" s="55"/>
      <c r="AK78" s="55"/>
      <c r="AL78" s="55"/>
      <c r="AM78" s="55"/>
      <c r="AN78" s="55"/>
      <c r="AO78" s="55"/>
      <c r="AP78" s="55"/>
      <c r="AQ78" s="55"/>
      <c r="AR78" s="55"/>
      <c r="AS78" s="55"/>
      <c r="AT78" s="55"/>
      <c r="AU78" s="55"/>
      <c r="AV78" s="55"/>
      <c r="BA78" s="775" t="s">
        <v>38</v>
      </c>
      <c r="BB78" s="839">
        <v>2000</v>
      </c>
      <c r="BC78" s="775" t="s">
        <v>97</v>
      </c>
      <c r="BD78" s="841">
        <v>420.70000000000005</v>
      </c>
      <c r="BH78" s="775" t="s">
        <v>38</v>
      </c>
      <c r="BI78" s="836" t="s">
        <v>123</v>
      </c>
      <c r="BJ78" s="775" t="s">
        <v>97</v>
      </c>
      <c r="BK78" s="776">
        <v>415</v>
      </c>
      <c r="BL78" s="775">
        <v>1999</v>
      </c>
      <c r="BQ78" s="776"/>
      <c r="CL78" s="773"/>
      <c r="CM78" s="773"/>
      <c r="CN78" s="773"/>
      <c r="CO78" s="773"/>
      <c r="CP78" s="773"/>
      <c r="CQ78" s="773"/>
      <c r="CR78" s="773"/>
    </row>
    <row r="79" spans="16:96" ht="15.75">
      <c r="P79" s="298"/>
      <c r="AI79" s="55"/>
      <c r="AJ79" s="55"/>
      <c r="AK79" s="55"/>
      <c r="AL79" s="55"/>
      <c r="AM79" s="55"/>
      <c r="AN79" s="55"/>
      <c r="AO79" s="55"/>
      <c r="AP79" s="55"/>
      <c r="AQ79" s="55"/>
      <c r="AR79" s="55"/>
      <c r="AS79" s="55"/>
      <c r="AT79" s="55"/>
      <c r="AU79" s="55"/>
      <c r="AV79" s="55"/>
      <c r="BA79" s="775" t="s">
        <v>172</v>
      </c>
      <c r="BB79" s="839">
        <v>2000</v>
      </c>
      <c r="BC79" s="775" t="s">
        <v>15</v>
      </c>
      <c r="BD79" s="775">
        <f t="shared" ref="BD79:BD89" si="8">BD90-BD68</f>
        <v>24.799999999999997</v>
      </c>
      <c r="BH79" s="775" t="s">
        <v>172</v>
      </c>
      <c r="BI79" s="836" t="s">
        <v>123</v>
      </c>
      <c r="BJ79" s="775" t="s">
        <v>15</v>
      </c>
      <c r="BK79" s="775">
        <f>BK90-BK68</f>
        <v>23.3</v>
      </c>
      <c r="BL79" s="775">
        <v>1999</v>
      </c>
      <c r="BQ79" s="776"/>
      <c r="CL79" s="773"/>
      <c r="CM79" s="773"/>
      <c r="CN79" s="773"/>
      <c r="CO79" s="773"/>
      <c r="CP79" s="773"/>
      <c r="CQ79" s="773"/>
      <c r="CR79" s="773"/>
    </row>
    <row r="80" spans="16:96" ht="15.75">
      <c r="AI80" s="55"/>
      <c r="AJ80" s="55"/>
      <c r="AK80" s="55"/>
      <c r="AL80" s="55"/>
      <c r="AM80" s="55"/>
      <c r="AN80" s="55"/>
      <c r="AO80" s="55"/>
      <c r="AP80" s="55"/>
      <c r="AQ80" s="55"/>
      <c r="AR80" s="55"/>
      <c r="AS80" s="55"/>
      <c r="AT80" s="55"/>
      <c r="AU80" s="55"/>
      <c r="AV80" s="55"/>
      <c r="BA80" s="775" t="s">
        <v>172</v>
      </c>
      <c r="BB80" s="839">
        <v>2000</v>
      </c>
      <c r="BC80" s="775" t="s">
        <v>277</v>
      </c>
      <c r="BD80" s="775">
        <f t="shared" si="8"/>
        <v>34.599999999999994</v>
      </c>
      <c r="BH80" s="775" t="s">
        <v>172</v>
      </c>
      <c r="BI80" s="836" t="s">
        <v>123</v>
      </c>
      <c r="BJ80" s="775" t="s">
        <v>277</v>
      </c>
      <c r="BK80" s="775">
        <f>BK91-BK69</f>
        <v>32.700000000000003</v>
      </c>
      <c r="BL80" s="775">
        <v>1999</v>
      </c>
      <c r="CL80" s="773"/>
      <c r="CM80" s="773"/>
      <c r="CN80" s="773"/>
      <c r="CO80" s="773"/>
      <c r="CP80" s="773"/>
      <c r="CQ80" s="773"/>
      <c r="CR80" s="773"/>
    </row>
    <row r="81" spans="16:96" ht="15.75">
      <c r="AI81" s="55"/>
      <c r="AJ81" s="55"/>
      <c r="AK81" s="55"/>
      <c r="AL81" s="55"/>
      <c r="AM81" s="55"/>
      <c r="AN81" s="55"/>
      <c r="AO81" s="55"/>
      <c r="AP81" s="55"/>
      <c r="AQ81" s="55"/>
      <c r="AR81" s="55"/>
      <c r="AS81" s="55"/>
      <c r="AT81" s="55"/>
      <c r="AU81" s="55"/>
      <c r="AV81" s="55"/>
      <c r="BA81" s="775" t="s">
        <v>172</v>
      </c>
      <c r="BB81" s="839">
        <v>2000</v>
      </c>
      <c r="BC81" s="775" t="s">
        <v>1064</v>
      </c>
      <c r="BD81" s="775">
        <f t="shared" si="8"/>
        <v>14.299999999999997</v>
      </c>
      <c r="BH81" s="775" t="s">
        <v>172</v>
      </c>
      <c r="BI81" s="836" t="s">
        <v>123</v>
      </c>
      <c r="BJ81" s="775" t="s">
        <v>1064</v>
      </c>
      <c r="BK81" s="775">
        <f t="shared" ref="BK81:BK89" si="9">BK92-BK70</f>
        <v>12.399999999999991</v>
      </c>
      <c r="BL81" s="775">
        <v>1999</v>
      </c>
      <c r="CL81" s="773"/>
      <c r="CM81" s="773"/>
      <c r="CN81" s="773"/>
      <c r="CO81" s="773"/>
      <c r="CP81" s="773"/>
      <c r="CQ81" s="773"/>
      <c r="CR81" s="773"/>
    </row>
    <row r="82" spans="16:96" ht="15.75">
      <c r="P82" s="298"/>
      <c r="AI82" s="55"/>
      <c r="AJ82" s="55"/>
      <c r="AK82" s="55"/>
      <c r="AL82" s="55"/>
      <c r="AM82" s="55"/>
      <c r="AN82" s="55"/>
      <c r="AO82" s="55"/>
      <c r="AP82" s="55"/>
      <c r="AQ82" s="55"/>
      <c r="AR82" s="55"/>
      <c r="AS82" s="55"/>
      <c r="AT82" s="55"/>
      <c r="AU82" s="55"/>
      <c r="AV82" s="55"/>
      <c r="BA82" s="775" t="s">
        <v>172</v>
      </c>
      <c r="BB82" s="839">
        <v>2000</v>
      </c>
      <c r="BC82" s="775" t="s">
        <v>8</v>
      </c>
      <c r="BD82" s="775">
        <f t="shared" si="8"/>
        <v>111.90000000000003</v>
      </c>
      <c r="BH82" s="775" t="s">
        <v>172</v>
      </c>
      <c r="BI82" s="836" t="s">
        <v>123</v>
      </c>
      <c r="BJ82" s="775" t="s">
        <v>8</v>
      </c>
      <c r="BK82" s="775">
        <f t="shared" si="9"/>
        <v>121.80000000000004</v>
      </c>
      <c r="BL82" s="775">
        <v>1999</v>
      </c>
      <c r="CL82" s="773"/>
      <c r="CM82" s="773"/>
      <c r="CN82" s="773"/>
      <c r="CO82" s="773"/>
      <c r="CP82" s="773"/>
      <c r="CQ82" s="773"/>
      <c r="CR82" s="773"/>
    </row>
    <row r="83" spans="16:96" ht="15.75">
      <c r="P83" s="298"/>
      <c r="AI83" s="55"/>
      <c r="AJ83" s="55"/>
      <c r="AK83" s="55"/>
      <c r="AL83" s="55"/>
      <c r="AM83" s="55"/>
      <c r="AN83" s="55"/>
      <c r="AO83" s="55"/>
      <c r="AP83" s="55"/>
      <c r="AQ83" s="55"/>
      <c r="AR83" s="55"/>
      <c r="AS83" s="55"/>
      <c r="AT83" s="55"/>
      <c r="AU83" s="55"/>
      <c r="AV83" s="55"/>
      <c r="BA83" s="775" t="s">
        <v>172</v>
      </c>
      <c r="BB83" s="839">
        <v>2000</v>
      </c>
      <c r="BC83" s="775" t="s">
        <v>96</v>
      </c>
      <c r="BD83" s="775">
        <f t="shared" si="8"/>
        <v>0.10000000000000142</v>
      </c>
      <c r="BH83" s="775" t="s">
        <v>172</v>
      </c>
      <c r="BI83" s="836" t="s">
        <v>123</v>
      </c>
      <c r="BJ83" s="775" t="s">
        <v>96</v>
      </c>
      <c r="BK83" s="775">
        <f t="shared" si="9"/>
        <v>0</v>
      </c>
      <c r="BL83" s="775">
        <v>1999</v>
      </c>
      <c r="CL83" s="773"/>
      <c r="CM83" s="773"/>
      <c r="CN83" s="773"/>
      <c r="CO83" s="773"/>
      <c r="CP83" s="773"/>
      <c r="CQ83" s="773"/>
      <c r="CR83" s="773"/>
    </row>
    <row r="84" spans="16:96" ht="15.75">
      <c r="AI84" s="55"/>
      <c r="AJ84" s="55"/>
      <c r="AK84" s="55"/>
      <c r="AL84" s="55"/>
      <c r="AM84" s="55"/>
      <c r="AN84" s="55"/>
      <c r="AO84" s="55"/>
      <c r="AP84" s="55"/>
      <c r="AQ84" s="55"/>
      <c r="AR84" s="55"/>
      <c r="AS84" s="55"/>
      <c r="AT84" s="55"/>
      <c r="AU84" s="55"/>
      <c r="AV84" s="55"/>
      <c r="BA84" s="775" t="s">
        <v>172</v>
      </c>
      <c r="BB84" s="839">
        <v>2000</v>
      </c>
      <c r="BC84" s="775" t="s">
        <v>196</v>
      </c>
      <c r="BD84" s="775">
        <f t="shared" si="8"/>
        <v>19.300000000000004</v>
      </c>
      <c r="BH84" s="775" t="s">
        <v>172</v>
      </c>
      <c r="BI84" s="836" t="s">
        <v>123</v>
      </c>
      <c r="BJ84" s="775" t="s">
        <v>196</v>
      </c>
      <c r="BK84" s="775">
        <f t="shared" si="9"/>
        <v>15.6</v>
      </c>
      <c r="BL84" s="775">
        <v>1999</v>
      </c>
      <c r="CL84" s="773"/>
      <c r="CM84" s="773"/>
      <c r="CN84" s="773"/>
      <c r="CO84" s="773"/>
      <c r="CP84" s="773"/>
      <c r="CQ84" s="773"/>
      <c r="CR84" s="773"/>
    </row>
    <row r="85" spans="16:96" ht="15.75">
      <c r="AI85" s="55"/>
      <c r="AJ85" s="55"/>
      <c r="AK85" s="55"/>
      <c r="AL85" s="55"/>
      <c r="AM85" s="55"/>
      <c r="AN85" s="55"/>
      <c r="AO85" s="55"/>
      <c r="AP85" s="55"/>
      <c r="AQ85" s="55"/>
      <c r="AR85" s="55"/>
      <c r="AS85" s="55"/>
      <c r="AT85" s="55"/>
      <c r="AU85" s="55"/>
      <c r="AV85" s="55"/>
      <c r="BA85" s="775" t="s">
        <v>172</v>
      </c>
      <c r="BB85" s="839">
        <v>2000</v>
      </c>
      <c r="BC85" s="775" t="s">
        <v>278</v>
      </c>
      <c r="BD85" s="775">
        <f t="shared" si="8"/>
        <v>2.9</v>
      </c>
      <c r="BH85" s="775" t="s">
        <v>172</v>
      </c>
      <c r="BI85" s="836" t="s">
        <v>123</v>
      </c>
      <c r="BJ85" s="775" t="s">
        <v>278</v>
      </c>
      <c r="BK85" s="775">
        <f t="shared" si="9"/>
        <v>8</v>
      </c>
      <c r="BL85" s="775">
        <v>1999</v>
      </c>
      <c r="CL85" s="773"/>
      <c r="CM85" s="773"/>
      <c r="CN85" s="773"/>
      <c r="CO85" s="773"/>
      <c r="CP85" s="773"/>
      <c r="CQ85" s="773"/>
      <c r="CR85" s="773"/>
    </row>
    <row r="86" spans="16:96" ht="15.75">
      <c r="P86" s="298"/>
      <c r="AI86" s="55"/>
      <c r="AJ86" s="55"/>
      <c r="AK86" s="55"/>
      <c r="AL86" s="55"/>
      <c r="AM86" s="55"/>
      <c r="AN86" s="55"/>
      <c r="AO86" s="55"/>
      <c r="AP86" s="55"/>
      <c r="AQ86" s="55"/>
      <c r="AR86" s="55"/>
      <c r="AS86" s="55"/>
      <c r="AT86" s="55"/>
      <c r="AU86" s="55"/>
      <c r="AV86" s="55"/>
      <c r="BA86" s="775" t="s">
        <v>172</v>
      </c>
      <c r="BB86" s="839">
        <v>2000</v>
      </c>
      <c r="BC86" s="775" t="s">
        <v>44</v>
      </c>
      <c r="BD86" s="775">
        <f t="shared" si="8"/>
        <v>35</v>
      </c>
      <c r="BH86" s="775" t="s">
        <v>172</v>
      </c>
      <c r="BI86" s="836" t="s">
        <v>123</v>
      </c>
      <c r="BJ86" s="775" t="s">
        <v>44</v>
      </c>
      <c r="BK86" s="775">
        <f t="shared" si="9"/>
        <v>35.299999999999997</v>
      </c>
      <c r="BL86" s="775">
        <v>1999</v>
      </c>
      <c r="CL86" s="773"/>
      <c r="CM86" s="773"/>
      <c r="CN86" s="773"/>
      <c r="CO86" s="773"/>
      <c r="CP86" s="773"/>
      <c r="CQ86" s="773"/>
      <c r="CR86" s="773"/>
    </row>
    <row r="87" spans="16:96" ht="15.75">
      <c r="P87" s="298"/>
      <c r="AI87" s="55"/>
      <c r="AJ87" s="55"/>
      <c r="AK87" s="55"/>
      <c r="AL87" s="55"/>
      <c r="AM87" s="55"/>
      <c r="AN87" s="55"/>
      <c r="AO87" s="55"/>
      <c r="AP87" s="55"/>
      <c r="AQ87" s="55"/>
      <c r="AR87" s="55"/>
      <c r="AS87" s="55"/>
      <c r="AT87" s="55"/>
      <c r="AU87" s="55"/>
      <c r="AV87" s="55"/>
      <c r="BA87" s="775" t="s">
        <v>172</v>
      </c>
      <c r="BB87" s="839">
        <v>2000</v>
      </c>
      <c r="BC87" s="775" t="s">
        <v>45</v>
      </c>
      <c r="BD87" s="775">
        <f t="shared" si="8"/>
        <v>5.2000000000000028</v>
      </c>
      <c r="BH87" s="775" t="s">
        <v>172</v>
      </c>
      <c r="BI87" s="836" t="s">
        <v>123</v>
      </c>
      <c r="BJ87" s="775" t="s">
        <v>45</v>
      </c>
      <c r="BK87" s="775">
        <f t="shared" si="9"/>
        <v>4.9999999999999964</v>
      </c>
      <c r="BL87" s="775">
        <v>1999</v>
      </c>
      <c r="CL87" s="773"/>
      <c r="CM87" s="773"/>
      <c r="CN87" s="773"/>
      <c r="CO87" s="773"/>
      <c r="CP87" s="773"/>
      <c r="CQ87" s="773"/>
      <c r="CR87" s="773"/>
    </row>
    <row r="88" spans="16:96" ht="15.75">
      <c r="AI88" s="55"/>
      <c r="AJ88" s="55"/>
      <c r="AK88" s="55"/>
      <c r="AL88" s="55"/>
      <c r="AM88" s="55"/>
      <c r="AN88" s="55"/>
      <c r="AO88" s="55"/>
      <c r="AP88" s="55"/>
      <c r="AQ88" s="55"/>
      <c r="AR88" s="55"/>
      <c r="AS88" s="55"/>
      <c r="AT88" s="55"/>
      <c r="AU88" s="55"/>
      <c r="AV88" s="55"/>
      <c r="BA88" s="775" t="s">
        <v>172</v>
      </c>
      <c r="BB88" s="839">
        <v>2000</v>
      </c>
      <c r="BC88" s="775" t="s">
        <v>48</v>
      </c>
      <c r="BD88" s="775">
        <f t="shared" si="8"/>
        <v>-0.30000000000000071</v>
      </c>
      <c r="BH88" s="775" t="s">
        <v>172</v>
      </c>
      <c r="BI88" s="836" t="s">
        <v>123</v>
      </c>
      <c r="BJ88" s="775" t="s">
        <v>48</v>
      </c>
      <c r="BK88" s="775">
        <f t="shared" si="9"/>
        <v>1.6999999999999993</v>
      </c>
      <c r="BL88" s="775">
        <v>1999</v>
      </c>
      <c r="CL88" s="773"/>
      <c r="CM88" s="773"/>
      <c r="CN88" s="773"/>
      <c r="CO88" s="773"/>
      <c r="CP88" s="773"/>
      <c r="CQ88" s="773"/>
      <c r="CR88" s="773"/>
    </row>
    <row r="89" spans="16:96" ht="15.75">
      <c r="AI89" s="55"/>
      <c r="AJ89" s="55"/>
      <c r="AK89" s="55"/>
      <c r="AL89" s="55"/>
      <c r="AM89" s="55"/>
      <c r="AN89" s="55"/>
      <c r="AO89" s="55"/>
      <c r="AP89" s="55"/>
      <c r="AQ89" s="55"/>
      <c r="AR89" s="55"/>
      <c r="AS89" s="55"/>
      <c r="AT89" s="55"/>
      <c r="AU89" s="55"/>
      <c r="AV89" s="55"/>
      <c r="BA89" s="775" t="s">
        <v>172</v>
      </c>
      <c r="BB89" s="839">
        <v>2000</v>
      </c>
      <c r="BC89" s="775" t="s">
        <v>97</v>
      </c>
      <c r="BD89" s="775">
        <f t="shared" si="8"/>
        <v>255.69999999999993</v>
      </c>
      <c r="BH89" s="775" t="s">
        <v>172</v>
      </c>
      <c r="BI89" s="836" t="s">
        <v>123</v>
      </c>
      <c r="BJ89" s="775" t="s">
        <v>97</v>
      </c>
      <c r="BK89" s="775">
        <f t="shared" si="9"/>
        <v>261.39999999999998</v>
      </c>
      <c r="BL89" s="775">
        <v>1999</v>
      </c>
      <c r="CL89" s="773"/>
      <c r="CM89" s="773"/>
      <c r="CN89" s="773"/>
      <c r="CO89" s="773"/>
      <c r="CP89" s="773"/>
      <c r="CQ89" s="773"/>
      <c r="CR89" s="773"/>
    </row>
    <row r="90" spans="16:96" ht="15.75">
      <c r="P90" s="298"/>
      <c r="AI90" s="55"/>
      <c r="AJ90" s="55"/>
      <c r="AK90" s="55"/>
      <c r="AL90" s="55"/>
      <c r="AM90" s="55"/>
      <c r="AN90" s="55"/>
      <c r="AO90" s="55"/>
      <c r="AP90" s="55"/>
      <c r="AQ90" s="55"/>
      <c r="AR90" s="55"/>
      <c r="AS90" s="55"/>
      <c r="AT90" s="55"/>
      <c r="AU90" s="55"/>
      <c r="AV90" s="55"/>
      <c r="BA90" s="775" t="s">
        <v>170</v>
      </c>
      <c r="BB90" s="839">
        <v>2000</v>
      </c>
      <c r="BC90" s="775" t="s">
        <v>15</v>
      </c>
      <c r="BD90" s="775">
        <v>28.099999999999998</v>
      </c>
      <c r="BH90" s="775" t="s">
        <v>170</v>
      </c>
      <c r="BI90" s="836" t="s">
        <v>123</v>
      </c>
      <c r="BJ90" s="775" t="s">
        <v>15</v>
      </c>
      <c r="BK90" s="838">
        <v>28.3</v>
      </c>
      <c r="BL90" s="775">
        <v>1999</v>
      </c>
      <c r="CL90" s="773"/>
      <c r="CM90" s="773"/>
      <c r="CN90" s="773"/>
      <c r="CO90" s="773"/>
      <c r="CP90" s="773"/>
      <c r="CQ90" s="773"/>
      <c r="CR90" s="773"/>
    </row>
    <row r="91" spans="16:96" ht="15.75">
      <c r="P91" s="298"/>
      <c r="AI91" s="55"/>
      <c r="AJ91" s="55"/>
      <c r="AK91" s="55"/>
      <c r="AL91" s="55"/>
      <c r="AM91" s="55"/>
      <c r="AN91" s="55"/>
      <c r="AO91" s="55"/>
      <c r="AP91" s="55"/>
      <c r="AQ91" s="55"/>
      <c r="AR91" s="55"/>
      <c r="AS91" s="55"/>
      <c r="AT91" s="55"/>
      <c r="AU91" s="55"/>
      <c r="AV91" s="55"/>
      <c r="BA91" s="775" t="s">
        <v>170</v>
      </c>
      <c r="BB91" s="839">
        <v>2000</v>
      </c>
      <c r="BC91" s="775" t="s">
        <v>277</v>
      </c>
      <c r="BD91" s="775">
        <v>55.8</v>
      </c>
      <c r="BH91" s="775" t="s">
        <v>170</v>
      </c>
      <c r="BI91" s="836" t="s">
        <v>123</v>
      </c>
      <c r="BJ91" s="775" t="s">
        <v>277</v>
      </c>
      <c r="BK91" s="838">
        <v>55.4</v>
      </c>
      <c r="BL91" s="775">
        <v>1999</v>
      </c>
      <c r="CL91" s="773"/>
      <c r="CM91" s="773"/>
      <c r="CN91" s="773"/>
      <c r="CO91" s="773"/>
      <c r="CP91" s="773"/>
      <c r="CQ91" s="773"/>
      <c r="CR91" s="773"/>
    </row>
    <row r="92" spans="16:96" ht="15.75">
      <c r="AI92" s="55"/>
      <c r="AJ92" s="55"/>
      <c r="AK92" s="55"/>
      <c r="AL92" s="55"/>
      <c r="AM92" s="55"/>
      <c r="AN92" s="55"/>
      <c r="AO92" s="55"/>
      <c r="AP92" s="55"/>
      <c r="AQ92" s="55"/>
      <c r="AR92" s="55"/>
      <c r="AS92" s="55"/>
      <c r="AT92" s="55"/>
      <c r="AU92" s="55"/>
      <c r="AV92" s="55"/>
      <c r="BA92" s="775" t="s">
        <v>170</v>
      </c>
      <c r="BB92" s="839">
        <v>2000</v>
      </c>
      <c r="BC92" s="775" t="s">
        <v>1064</v>
      </c>
      <c r="BD92" s="775">
        <v>81.2</v>
      </c>
      <c r="BH92" s="775" t="s">
        <v>170</v>
      </c>
      <c r="BI92" s="836" t="s">
        <v>123</v>
      </c>
      <c r="BJ92" s="775" t="s">
        <v>1064</v>
      </c>
      <c r="BK92" s="838">
        <v>73.099999999999994</v>
      </c>
      <c r="BL92" s="775">
        <v>1999</v>
      </c>
      <c r="CL92" s="773"/>
      <c r="CM92" s="773"/>
      <c r="CN92" s="773"/>
      <c r="CO92" s="773"/>
      <c r="CP92" s="773"/>
      <c r="CQ92" s="773"/>
      <c r="CR92" s="773"/>
    </row>
    <row r="93" spans="16:96" ht="15.75">
      <c r="AI93" s="55"/>
      <c r="AJ93" s="55"/>
      <c r="AK93" s="55"/>
      <c r="AL93" s="55"/>
      <c r="AM93" s="55"/>
      <c r="AN93" s="55"/>
      <c r="AO93" s="55"/>
      <c r="AP93" s="55"/>
      <c r="AQ93" s="55"/>
      <c r="AR93" s="55"/>
      <c r="AS93" s="55"/>
      <c r="AT93" s="55"/>
      <c r="AU93" s="55"/>
      <c r="AV93" s="55"/>
      <c r="BA93" s="775" t="s">
        <v>170</v>
      </c>
      <c r="BB93" s="839">
        <v>2000</v>
      </c>
      <c r="BC93" s="775" t="s">
        <v>8</v>
      </c>
      <c r="BD93" s="775">
        <v>371.7</v>
      </c>
      <c r="BH93" s="775" t="s">
        <v>170</v>
      </c>
      <c r="BI93" s="836" t="s">
        <v>123</v>
      </c>
      <c r="BJ93" s="775" t="s">
        <v>8</v>
      </c>
      <c r="BK93" s="838">
        <v>374.8</v>
      </c>
      <c r="BL93" s="775">
        <v>1999</v>
      </c>
      <c r="CL93" s="773"/>
      <c r="CM93" s="773"/>
      <c r="CN93" s="773"/>
      <c r="CO93" s="773"/>
      <c r="CP93" s="773"/>
      <c r="CQ93" s="773"/>
      <c r="CR93" s="773"/>
    </row>
    <row r="94" spans="16:96" ht="15.75">
      <c r="P94" s="298"/>
      <c r="AI94" s="55"/>
      <c r="AJ94" s="55"/>
      <c r="AK94" s="55"/>
      <c r="AL94" s="55"/>
      <c r="AM94" s="55"/>
      <c r="AN94" s="55"/>
      <c r="AO94" s="55"/>
      <c r="AP94" s="55"/>
      <c r="AQ94" s="55"/>
      <c r="AR94" s="55"/>
      <c r="AS94" s="55"/>
      <c r="AT94" s="55"/>
      <c r="AU94" s="55"/>
      <c r="AV94" s="55"/>
      <c r="BA94" s="775" t="s">
        <v>170</v>
      </c>
      <c r="BB94" s="839">
        <v>2000</v>
      </c>
      <c r="BC94" s="775" t="s">
        <v>96</v>
      </c>
      <c r="BD94" s="775">
        <v>19.600000000000001</v>
      </c>
      <c r="BH94" s="775" t="s">
        <v>170</v>
      </c>
      <c r="BI94" s="836" t="s">
        <v>123</v>
      </c>
      <c r="BJ94" s="775" t="s">
        <v>96</v>
      </c>
      <c r="BK94" s="838">
        <v>13.8</v>
      </c>
      <c r="BL94" s="775">
        <v>1999</v>
      </c>
      <c r="CL94" s="773"/>
      <c r="CM94" s="773"/>
      <c r="CN94" s="773"/>
      <c r="CO94" s="773"/>
      <c r="CP94" s="773"/>
      <c r="CQ94" s="773"/>
      <c r="CR94" s="773"/>
    </row>
    <row r="95" spans="16:96" ht="15.75">
      <c r="P95" s="298"/>
      <c r="AI95" s="55"/>
      <c r="AJ95" s="55"/>
      <c r="AK95" s="55"/>
      <c r="AL95" s="55"/>
      <c r="AM95" s="55"/>
      <c r="AN95" s="55"/>
      <c r="AO95" s="55"/>
      <c r="AP95" s="55"/>
      <c r="AQ95" s="55"/>
      <c r="AR95" s="55"/>
      <c r="AS95" s="55"/>
      <c r="AT95" s="55"/>
      <c r="AU95" s="55"/>
      <c r="AV95" s="55"/>
      <c r="BA95" s="775" t="s">
        <v>170</v>
      </c>
      <c r="BB95" s="839">
        <v>2000</v>
      </c>
      <c r="BC95" s="775" t="s">
        <v>196</v>
      </c>
      <c r="BD95" s="775">
        <v>23.200000000000003</v>
      </c>
      <c r="BH95" s="775" t="s">
        <v>170</v>
      </c>
      <c r="BI95" s="836" t="s">
        <v>123</v>
      </c>
      <c r="BJ95" s="775" t="s">
        <v>196</v>
      </c>
      <c r="BK95" s="838">
        <v>21.5</v>
      </c>
      <c r="BL95" s="775">
        <v>1999</v>
      </c>
      <c r="CL95" s="773"/>
      <c r="CM95" s="773"/>
      <c r="CN95" s="773"/>
      <c r="CO95" s="773"/>
      <c r="CP95" s="773"/>
      <c r="CQ95" s="773"/>
      <c r="CR95" s="773"/>
    </row>
    <row r="96" spans="16:96" ht="15.75">
      <c r="AI96" s="55"/>
      <c r="AJ96" s="55"/>
      <c r="AK96" s="55"/>
      <c r="AL96" s="55"/>
      <c r="AM96" s="55"/>
      <c r="AN96" s="55"/>
      <c r="AO96" s="55"/>
      <c r="AP96" s="55"/>
      <c r="AQ96" s="55"/>
      <c r="AR96" s="55"/>
      <c r="AS96" s="55"/>
      <c r="AT96" s="55"/>
      <c r="AU96" s="55"/>
      <c r="AV96" s="55"/>
      <c r="BA96" s="775" t="s">
        <v>170</v>
      </c>
      <c r="BB96" s="839">
        <v>2000</v>
      </c>
      <c r="BC96" s="775" t="s">
        <v>278</v>
      </c>
      <c r="BD96" s="775">
        <v>2.9</v>
      </c>
      <c r="BH96" s="775" t="s">
        <v>170</v>
      </c>
      <c r="BI96" s="836" t="s">
        <v>123</v>
      </c>
      <c r="BJ96" s="775" t="s">
        <v>278</v>
      </c>
      <c r="BK96" s="838">
        <v>8.5</v>
      </c>
      <c r="BL96" s="775">
        <v>1999</v>
      </c>
      <c r="CL96" s="773"/>
      <c r="CM96" s="773"/>
      <c r="CN96" s="773"/>
      <c r="CO96" s="773"/>
      <c r="CP96" s="773"/>
      <c r="CQ96" s="773"/>
      <c r="CR96" s="773"/>
    </row>
    <row r="97" spans="16:96" ht="15.75">
      <c r="AI97" s="55"/>
      <c r="AJ97" s="55"/>
      <c r="AK97" s="55"/>
      <c r="AL97" s="55"/>
      <c r="AM97" s="55"/>
      <c r="AN97" s="55"/>
      <c r="AO97" s="55"/>
      <c r="AP97" s="55"/>
      <c r="AQ97" s="55"/>
      <c r="AR97" s="55"/>
      <c r="AS97" s="55"/>
      <c r="AT97" s="55"/>
      <c r="AU97" s="55"/>
      <c r="AV97" s="55"/>
      <c r="BA97" s="775" t="s">
        <v>170</v>
      </c>
      <c r="BB97" s="839">
        <v>2000</v>
      </c>
      <c r="BC97" s="775" t="s">
        <v>44</v>
      </c>
      <c r="BD97" s="775">
        <v>35.1</v>
      </c>
      <c r="BH97" s="775" t="s">
        <v>170</v>
      </c>
      <c r="BI97" s="836" t="s">
        <v>123</v>
      </c>
      <c r="BJ97" s="775" t="s">
        <v>44</v>
      </c>
      <c r="BK97" s="838">
        <v>35.299999999999997</v>
      </c>
      <c r="BL97" s="775">
        <v>1999</v>
      </c>
      <c r="CL97" s="773"/>
      <c r="CM97" s="773"/>
      <c r="CN97" s="773"/>
      <c r="CO97" s="773"/>
      <c r="CP97" s="773"/>
      <c r="CQ97" s="773"/>
      <c r="CR97" s="773"/>
    </row>
    <row r="98" spans="16:96" ht="15.75">
      <c r="P98" s="298"/>
      <c r="AI98" s="55"/>
      <c r="AJ98" s="55"/>
      <c r="AK98" s="55"/>
      <c r="AL98" s="55"/>
      <c r="AM98" s="55"/>
      <c r="AN98" s="55"/>
      <c r="AO98" s="55"/>
      <c r="AP98" s="55"/>
      <c r="AQ98" s="55"/>
      <c r="AR98" s="55"/>
      <c r="AS98" s="55"/>
      <c r="AT98" s="55"/>
      <c r="AU98" s="55"/>
      <c r="AV98" s="55"/>
      <c r="BA98" s="775" t="s">
        <v>170</v>
      </c>
      <c r="BB98" s="839">
        <v>2000</v>
      </c>
      <c r="BC98" s="775" t="s">
        <v>45</v>
      </c>
      <c r="BD98" s="775">
        <v>29.400000000000002</v>
      </c>
      <c r="BH98" s="775" t="s">
        <v>170</v>
      </c>
      <c r="BI98" s="836" t="s">
        <v>123</v>
      </c>
      <c r="BJ98" s="775" t="s">
        <v>45</v>
      </c>
      <c r="BK98" s="838">
        <v>29.799999999999997</v>
      </c>
      <c r="BL98" s="775">
        <v>1999</v>
      </c>
      <c r="CL98" s="773"/>
      <c r="CM98" s="773"/>
      <c r="CN98" s="773"/>
      <c r="CO98" s="773"/>
      <c r="CP98" s="773"/>
      <c r="CQ98" s="773"/>
      <c r="CR98" s="773"/>
    </row>
    <row r="99" spans="16:96" ht="15.75">
      <c r="P99" s="298"/>
      <c r="AI99" s="55"/>
      <c r="AJ99" s="55"/>
      <c r="AK99" s="55"/>
      <c r="AL99" s="55"/>
      <c r="AM99" s="55"/>
      <c r="AN99" s="55"/>
      <c r="AO99" s="55"/>
      <c r="AP99" s="55"/>
      <c r="AQ99" s="55"/>
      <c r="AR99" s="55"/>
      <c r="AS99" s="55"/>
      <c r="AT99" s="55"/>
      <c r="AU99" s="55"/>
      <c r="AV99" s="55"/>
      <c r="BA99" s="775" t="s">
        <v>170</v>
      </c>
      <c r="BB99" s="839">
        <v>2000</v>
      </c>
      <c r="BC99" s="775" t="s">
        <v>48</v>
      </c>
      <c r="BD99" s="775">
        <v>9.1</v>
      </c>
      <c r="BH99" s="775" t="s">
        <v>170</v>
      </c>
      <c r="BI99" s="836" t="s">
        <v>123</v>
      </c>
      <c r="BJ99" s="775" t="s">
        <v>48</v>
      </c>
      <c r="BK99" s="838">
        <v>8.1999999999999993</v>
      </c>
      <c r="BL99" s="775">
        <v>1999</v>
      </c>
      <c r="CL99" s="773"/>
      <c r="CM99" s="773"/>
      <c r="CN99" s="773"/>
      <c r="CO99" s="773"/>
      <c r="CP99" s="773"/>
      <c r="CQ99" s="773"/>
      <c r="CR99" s="773"/>
    </row>
    <row r="100" spans="16:96" ht="15.75">
      <c r="AI100" s="55"/>
      <c r="AJ100" s="55"/>
      <c r="AK100" s="55"/>
      <c r="AL100" s="55"/>
      <c r="AM100" s="55"/>
      <c r="AN100" s="55"/>
      <c r="AO100" s="55"/>
      <c r="AP100" s="55"/>
      <c r="AQ100" s="55"/>
      <c r="AR100" s="55"/>
      <c r="AS100" s="55"/>
      <c r="AT100" s="55"/>
      <c r="AU100" s="55"/>
      <c r="AV100" s="55"/>
      <c r="BA100" s="775" t="s">
        <v>170</v>
      </c>
      <c r="BB100" s="839">
        <v>2000</v>
      </c>
      <c r="BC100" s="775" t="s">
        <v>97</v>
      </c>
      <c r="BD100" s="775">
        <v>676.4</v>
      </c>
      <c r="BH100" s="775" t="s">
        <v>170</v>
      </c>
      <c r="BI100" s="836" t="s">
        <v>123</v>
      </c>
      <c r="BJ100" s="775" t="s">
        <v>97</v>
      </c>
      <c r="BK100" s="838">
        <v>676.4</v>
      </c>
      <c r="BL100" s="775">
        <v>1999</v>
      </c>
      <c r="CL100" s="773"/>
      <c r="CM100" s="773"/>
      <c r="CN100" s="773"/>
      <c r="CO100" s="773"/>
      <c r="CP100" s="773"/>
      <c r="CQ100" s="773"/>
      <c r="CR100" s="773"/>
    </row>
    <row r="101" spans="16:96" ht="15.75">
      <c r="AI101" s="55"/>
      <c r="AJ101" s="55"/>
      <c r="AK101" s="55"/>
      <c r="AL101" s="55"/>
      <c r="AM101" s="55"/>
      <c r="AN101" s="55"/>
      <c r="AO101" s="55"/>
      <c r="AP101" s="55"/>
      <c r="AQ101" s="55"/>
      <c r="AR101" s="55"/>
      <c r="AS101" s="55"/>
      <c r="AT101" s="55"/>
      <c r="AU101" s="55"/>
      <c r="AV101" s="55"/>
      <c r="BA101" s="775" t="s">
        <v>38</v>
      </c>
      <c r="BB101" s="839">
        <v>2001</v>
      </c>
      <c r="BC101" s="775" t="s">
        <v>15</v>
      </c>
      <c r="BD101" s="840">
        <v>4.4000000000000004</v>
      </c>
      <c r="BH101" s="775" t="s">
        <v>38</v>
      </c>
      <c r="BI101" s="836" t="s">
        <v>124</v>
      </c>
      <c r="BJ101" s="775" t="s">
        <v>15</v>
      </c>
      <c r="BK101" s="776">
        <v>2.7</v>
      </c>
      <c r="BL101" s="775">
        <v>2000</v>
      </c>
      <c r="CL101" s="773"/>
      <c r="CM101" s="773"/>
      <c r="CN101" s="773"/>
      <c r="CO101" s="773"/>
      <c r="CP101" s="773"/>
      <c r="CQ101" s="773"/>
      <c r="CR101" s="773"/>
    </row>
    <row r="102" spans="16:96" ht="15.75">
      <c r="P102" s="298"/>
      <c r="AI102" s="55"/>
      <c r="AJ102" s="55"/>
      <c r="AK102" s="55"/>
      <c r="AL102" s="55"/>
      <c r="AM102" s="55"/>
      <c r="AN102" s="55"/>
      <c r="AO102" s="55"/>
      <c r="AP102" s="55"/>
      <c r="AQ102" s="55"/>
      <c r="AR102" s="55"/>
      <c r="AS102" s="55"/>
      <c r="AT102" s="55"/>
      <c r="AU102" s="55"/>
      <c r="AV102" s="55"/>
      <c r="BA102" s="775" t="s">
        <v>38</v>
      </c>
      <c r="BB102" s="839">
        <v>2001</v>
      </c>
      <c r="BC102" s="775" t="s">
        <v>277</v>
      </c>
      <c r="BD102" s="840">
        <v>13.6</v>
      </c>
      <c r="BH102" s="775" t="s">
        <v>38</v>
      </c>
      <c r="BI102" s="836" t="s">
        <v>124</v>
      </c>
      <c r="BJ102" s="775" t="s">
        <v>277</v>
      </c>
      <c r="BK102" s="776">
        <v>19.299999999999997</v>
      </c>
      <c r="BL102" s="775">
        <v>2000</v>
      </c>
      <c r="BP102" s="775"/>
      <c r="BQ102" s="775"/>
      <c r="BR102" s="775"/>
      <c r="BS102" s="775"/>
      <c r="BT102" s="775"/>
      <c r="BU102" s="775"/>
      <c r="BV102" s="775"/>
      <c r="BW102" s="775"/>
      <c r="BX102" s="775"/>
      <c r="BY102" s="775"/>
      <c r="BZ102" s="775"/>
      <c r="CA102" s="775"/>
      <c r="CL102" s="773"/>
      <c r="CM102" s="773"/>
      <c r="CN102" s="773"/>
      <c r="CO102" s="773"/>
      <c r="CP102" s="773"/>
      <c r="CQ102" s="773"/>
      <c r="CR102" s="773"/>
    </row>
    <row r="103" spans="16:96" ht="15.75">
      <c r="P103" s="298"/>
      <c r="AI103" s="55"/>
      <c r="AJ103" s="55"/>
      <c r="AK103" s="55"/>
      <c r="AL103" s="55"/>
      <c r="AM103" s="55"/>
      <c r="AN103" s="55"/>
      <c r="AO103" s="55"/>
      <c r="AP103" s="55"/>
      <c r="AQ103" s="55"/>
      <c r="AR103" s="55"/>
      <c r="AS103" s="55"/>
      <c r="AT103" s="55"/>
      <c r="AU103" s="55"/>
      <c r="AV103" s="55"/>
      <c r="BA103" s="775" t="s">
        <v>38</v>
      </c>
      <c r="BB103" s="839">
        <v>2001</v>
      </c>
      <c r="BC103" s="775" t="s">
        <v>1064</v>
      </c>
      <c r="BD103" s="840">
        <v>55.7</v>
      </c>
      <c r="BH103" s="775" t="s">
        <v>38</v>
      </c>
      <c r="BI103" s="836" t="s">
        <v>124</v>
      </c>
      <c r="BJ103" s="775" t="s">
        <v>1064</v>
      </c>
      <c r="BK103" s="776">
        <v>60.499999999999993</v>
      </c>
      <c r="BL103" s="775">
        <v>2000</v>
      </c>
      <c r="BP103" s="775"/>
      <c r="BQ103" s="775"/>
      <c r="BR103" s="775"/>
      <c r="BS103" s="775"/>
      <c r="BT103" s="775"/>
      <c r="BU103" s="775"/>
      <c r="BV103" s="775"/>
      <c r="BW103" s="775"/>
      <c r="BX103" s="775"/>
      <c r="BY103" s="775"/>
      <c r="BZ103" s="775"/>
      <c r="CA103" s="775"/>
      <c r="CL103" s="773"/>
      <c r="CM103" s="773"/>
      <c r="CN103" s="773"/>
      <c r="CO103" s="773"/>
      <c r="CP103" s="773"/>
      <c r="CQ103" s="773"/>
      <c r="CR103" s="773"/>
    </row>
    <row r="104" spans="16:96" ht="15.75">
      <c r="AI104" s="55"/>
      <c r="AJ104" s="55"/>
      <c r="AK104" s="55"/>
      <c r="AL104" s="55"/>
      <c r="AM104" s="55"/>
      <c r="AN104" s="55"/>
      <c r="AO104" s="55"/>
      <c r="AP104" s="55"/>
      <c r="AQ104" s="55"/>
      <c r="AR104" s="55"/>
      <c r="AS104" s="55"/>
      <c r="AT104" s="55"/>
      <c r="AU104" s="55"/>
      <c r="AV104" s="55"/>
      <c r="BA104" s="775" t="s">
        <v>38</v>
      </c>
      <c r="BB104" s="839">
        <v>2001</v>
      </c>
      <c r="BC104" s="775" t="s">
        <v>8</v>
      </c>
      <c r="BD104" s="840">
        <v>261.09999999999997</v>
      </c>
      <c r="BH104" s="775" t="s">
        <v>38</v>
      </c>
      <c r="BI104" s="836" t="s">
        <v>124</v>
      </c>
      <c r="BJ104" s="775" t="s">
        <v>8</v>
      </c>
      <c r="BK104" s="776">
        <v>271.89999999999998</v>
      </c>
      <c r="BL104" s="775">
        <v>2000</v>
      </c>
      <c r="CL104" s="773"/>
      <c r="CM104" s="773"/>
      <c r="CN104" s="773"/>
      <c r="CO104" s="773"/>
      <c r="CP104" s="773"/>
      <c r="CQ104" s="773"/>
      <c r="CR104" s="773"/>
    </row>
    <row r="105" spans="16:96" ht="15.75">
      <c r="AI105" s="55"/>
      <c r="AJ105" s="55"/>
      <c r="AK105" s="55"/>
      <c r="AL105" s="55"/>
      <c r="AM105" s="55"/>
      <c r="AN105" s="55"/>
      <c r="AO105" s="55"/>
      <c r="AP105" s="55"/>
      <c r="AQ105" s="55"/>
      <c r="AR105" s="55"/>
      <c r="AS105" s="55"/>
      <c r="AT105" s="55"/>
      <c r="AU105" s="55"/>
      <c r="AV105" s="55"/>
      <c r="BA105" s="775" t="s">
        <v>38</v>
      </c>
      <c r="BB105" s="839">
        <v>2001</v>
      </c>
      <c r="BC105" s="775" t="s">
        <v>96</v>
      </c>
      <c r="BD105" s="840">
        <v>20</v>
      </c>
      <c r="BH105" s="775" t="s">
        <v>38</v>
      </c>
      <c r="BI105" s="836" t="s">
        <v>124</v>
      </c>
      <c r="BJ105" s="775" t="s">
        <v>96</v>
      </c>
      <c r="BK105" s="776">
        <v>23.2</v>
      </c>
      <c r="BL105" s="775">
        <v>2000</v>
      </c>
      <c r="CL105" s="773"/>
      <c r="CM105" s="773"/>
      <c r="CN105" s="773"/>
      <c r="CO105" s="773"/>
      <c r="CP105" s="773"/>
      <c r="CQ105" s="773"/>
      <c r="CR105" s="773"/>
    </row>
    <row r="106" spans="16:96" ht="15.75">
      <c r="P106" s="298"/>
      <c r="AI106" s="55"/>
      <c r="AJ106" s="55"/>
      <c r="AK106" s="55"/>
      <c r="AL106" s="55"/>
      <c r="AM106" s="55"/>
      <c r="AN106" s="55"/>
      <c r="AO106" s="55"/>
      <c r="AP106" s="55"/>
      <c r="AQ106" s="55"/>
      <c r="AR106" s="55"/>
      <c r="AS106" s="55"/>
      <c r="AT106" s="55"/>
      <c r="AU106" s="55"/>
      <c r="AV106" s="55"/>
      <c r="BA106" s="775" t="s">
        <v>38</v>
      </c>
      <c r="BB106" s="839">
        <v>2001</v>
      </c>
      <c r="BC106" s="775" t="s">
        <v>196</v>
      </c>
      <c r="BD106" s="840">
        <v>6</v>
      </c>
      <c r="BH106" s="775" t="s">
        <v>38</v>
      </c>
      <c r="BI106" s="836" t="s">
        <v>124</v>
      </c>
      <c r="BJ106" s="775" t="s">
        <v>196</v>
      </c>
      <c r="BK106" s="776">
        <v>5.8</v>
      </c>
      <c r="BL106" s="775">
        <v>2000</v>
      </c>
      <c r="CL106" s="773"/>
      <c r="CM106" s="773"/>
      <c r="CN106" s="773"/>
      <c r="CO106" s="773"/>
      <c r="CP106" s="773"/>
      <c r="CQ106" s="773"/>
      <c r="CR106" s="773"/>
    </row>
    <row r="107" spans="16:96" ht="15.75">
      <c r="P107" s="298"/>
      <c r="AI107" s="55"/>
      <c r="AJ107" s="55"/>
      <c r="AK107" s="55"/>
      <c r="AL107" s="55"/>
      <c r="AM107" s="55"/>
      <c r="AN107" s="55"/>
      <c r="AO107" s="55"/>
      <c r="AP107" s="55"/>
      <c r="AQ107" s="55"/>
      <c r="AR107" s="55"/>
      <c r="AS107" s="55"/>
      <c r="AT107" s="55"/>
      <c r="AU107" s="55"/>
      <c r="AV107" s="55"/>
      <c r="BA107" s="775" t="s">
        <v>38</v>
      </c>
      <c r="BB107" s="839">
        <v>2001</v>
      </c>
      <c r="BC107" s="775" t="s">
        <v>278</v>
      </c>
      <c r="BD107" s="840">
        <v>0</v>
      </c>
      <c r="BH107" s="775" t="s">
        <v>38</v>
      </c>
      <c r="BI107" s="836" t="s">
        <v>124</v>
      </c>
      <c r="BJ107" s="775" t="s">
        <v>278</v>
      </c>
      <c r="BK107" s="776">
        <v>0</v>
      </c>
      <c r="BL107" s="775">
        <v>2000</v>
      </c>
      <c r="CL107" s="773"/>
      <c r="CM107" s="773"/>
      <c r="CN107" s="773"/>
      <c r="CO107" s="773"/>
      <c r="CP107" s="773"/>
      <c r="CQ107" s="773"/>
      <c r="CR107" s="773"/>
    </row>
    <row r="108" spans="16:96" ht="15.75">
      <c r="AI108" s="55"/>
      <c r="AJ108" s="55"/>
      <c r="AK108" s="55"/>
      <c r="AL108" s="55"/>
      <c r="AM108" s="55"/>
      <c r="AN108" s="55"/>
      <c r="AO108" s="55"/>
      <c r="AP108" s="55"/>
      <c r="AQ108" s="55"/>
      <c r="AR108" s="55"/>
      <c r="AS108" s="55"/>
      <c r="AT108" s="55"/>
      <c r="AU108" s="55"/>
      <c r="AV108" s="55"/>
      <c r="BA108" s="775" t="s">
        <v>38</v>
      </c>
      <c r="BB108" s="839">
        <v>2001</v>
      </c>
      <c r="BC108" s="775" t="s">
        <v>44</v>
      </c>
      <c r="BD108" s="840">
        <v>0</v>
      </c>
      <c r="BH108" s="775" t="s">
        <v>38</v>
      </c>
      <c r="BI108" s="836" t="s">
        <v>124</v>
      </c>
      <c r="BJ108" s="775" t="s">
        <v>44</v>
      </c>
      <c r="BK108" s="776">
        <v>0.1</v>
      </c>
      <c r="BL108" s="775">
        <v>2000</v>
      </c>
      <c r="CL108" s="773"/>
      <c r="CM108" s="773"/>
      <c r="CN108" s="773"/>
      <c r="CO108" s="773"/>
      <c r="CP108" s="773"/>
      <c r="CQ108" s="773"/>
      <c r="CR108" s="773"/>
    </row>
    <row r="109" spans="16:96" ht="15.75">
      <c r="AI109" s="55"/>
      <c r="AJ109" s="55"/>
      <c r="AK109" s="55"/>
      <c r="AL109" s="55"/>
      <c r="AM109" s="55"/>
      <c r="AN109" s="55"/>
      <c r="AO109" s="55"/>
      <c r="AP109" s="55"/>
      <c r="AQ109" s="55"/>
      <c r="AR109" s="55"/>
      <c r="AS109" s="55"/>
      <c r="AT109" s="55"/>
      <c r="AU109" s="55"/>
      <c r="AV109" s="55"/>
      <c r="BA109" s="775" t="s">
        <v>38</v>
      </c>
      <c r="BB109" s="839">
        <v>2001</v>
      </c>
      <c r="BC109" s="775" t="s">
        <v>45</v>
      </c>
      <c r="BD109" s="841">
        <v>15.4</v>
      </c>
      <c r="BH109" s="775" t="s">
        <v>38</v>
      </c>
      <c r="BI109" s="836" t="s">
        <v>124</v>
      </c>
      <c r="BJ109" s="775" t="s">
        <v>45</v>
      </c>
      <c r="BK109" s="776">
        <v>23</v>
      </c>
      <c r="BL109" s="775">
        <v>2000</v>
      </c>
      <c r="CL109" s="773"/>
      <c r="CM109" s="773"/>
      <c r="CN109" s="773"/>
      <c r="CO109" s="773"/>
      <c r="CP109" s="773"/>
      <c r="CQ109" s="773"/>
      <c r="CR109" s="773"/>
    </row>
    <row r="110" spans="16:96" ht="15.75">
      <c r="P110" s="298"/>
      <c r="AI110" s="55"/>
      <c r="AJ110" s="55"/>
      <c r="AK110" s="55"/>
      <c r="AL110" s="55"/>
      <c r="AM110" s="55"/>
      <c r="AN110" s="55"/>
      <c r="AO110" s="55"/>
      <c r="AP110" s="55"/>
      <c r="AQ110" s="55"/>
      <c r="AR110" s="55"/>
      <c r="AS110" s="55"/>
      <c r="AT110" s="55"/>
      <c r="AU110" s="55"/>
      <c r="AV110" s="55"/>
      <c r="BA110" s="775" t="s">
        <v>38</v>
      </c>
      <c r="BB110" s="839">
        <v>2001</v>
      </c>
      <c r="BC110" s="775" t="s">
        <v>48</v>
      </c>
      <c r="BD110" s="841">
        <v>14.7</v>
      </c>
      <c r="BH110" s="775" t="s">
        <v>38</v>
      </c>
      <c r="BI110" s="836" t="s">
        <v>124</v>
      </c>
      <c r="BJ110" s="775" t="s">
        <v>48</v>
      </c>
      <c r="BK110" s="776">
        <v>7.8</v>
      </c>
      <c r="BL110" s="775">
        <v>2000</v>
      </c>
      <c r="CL110" s="773"/>
      <c r="CM110" s="773"/>
      <c r="CN110" s="773"/>
      <c r="CO110" s="773"/>
      <c r="CP110" s="773"/>
      <c r="CQ110" s="773"/>
      <c r="CR110" s="773"/>
    </row>
    <row r="111" spans="16:96" ht="15.75">
      <c r="P111" s="298"/>
      <c r="AI111" s="55"/>
      <c r="AJ111" s="55"/>
      <c r="AK111" s="55"/>
      <c r="AL111" s="55"/>
      <c r="AM111" s="55"/>
      <c r="AN111" s="55"/>
      <c r="AO111" s="55"/>
      <c r="AP111" s="55"/>
      <c r="AQ111" s="55"/>
      <c r="AR111" s="55"/>
      <c r="AS111" s="55"/>
      <c r="AT111" s="55"/>
      <c r="AU111" s="55"/>
      <c r="AV111" s="55"/>
      <c r="BA111" s="775" t="s">
        <v>38</v>
      </c>
      <c r="BB111" s="839">
        <v>2001</v>
      </c>
      <c r="BC111" s="775" t="s">
        <v>97</v>
      </c>
      <c r="BD111" s="841">
        <v>408.5</v>
      </c>
      <c r="BH111" s="775" t="s">
        <v>38</v>
      </c>
      <c r="BI111" s="836" t="s">
        <v>124</v>
      </c>
      <c r="BJ111" s="775" t="s">
        <v>97</v>
      </c>
      <c r="BK111" s="776">
        <v>424.1</v>
      </c>
      <c r="BL111" s="775">
        <v>2000</v>
      </c>
      <c r="CL111" s="773"/>
      <c r="CM111" s="773"/>
      <c r="CN111" s="773"/>
      <c r="CO111" s="773"/>
      <c r="CP111" s="773"/>
      <c r="CQ111" s="773"/>
      <c r="CR111" s="773"/>
    </row>
    <row r="112" spans="16:96" ht="15.75">
      <c r="AI112" s="55"/>
      <c r="AJ112" s="55"/>
      <c r="AK112" s="55"/>
      <c r="AL112" s="55"/>
      <c r="AM112" s="55"/>
      <c r="AN112" s="55"/>
      <c r="AO112" s="55"/>
      <c r="AP112" s="55"/>
      <c r="AQ112" s="55"/>
      <c r="AR112" s="55"/>
      <c r="AS112" s="55"/>
      <c r="AT112" s="55"/>
      <c r="AU112" s="55"/>
      <c r="AV112" s="55"/>
      <c r="BA112" s="775" t="s">
        <v>172</v>
      </c>
      <c r="BB112" s="839">
        <v>2001</v>
      </c>
      <c r="BC112" s="775" t="s">
        <v>15</v>
      </c>
      <c r="BD112" s="775">
        <f t="shared" ref="BD112:BD122" si="10">BD123-BD101</f>
        <v>34.000000000000007</v>
      </c>
      <c r="BH112" s="775" t="s">
        <v>172</v>
      </c>
      <c r="BI112" s="836" t="s">
        <v>124</v>
      </c>
      <c r="BJ112" s="775" t="s">
        <v>15</v>
      </c>
      <c r="BK112" s="775">
        <f>BK123-BK101</f>
        <v>30.000000000000004</v>
      </c>
      <c r="BL112" s="775">
        <v>2000</v>
      </c>
      <c r="CL112" s="773"/>
      <c r="CM112" s="773"/>
      <c r="CN112" s="773"/>
      <c r="CO112" s="773"/>
      <c r="CP112" s="773"/>
      <c r="CQ112" s="773"/>
      <c r="CR112" s="773"/>
    </row>
    <row r="113" spans="35:96" ht="15.75">
      <c r="AI113" s="55"/>
      <c r="AJ113" s="55"/>
      <c r="AK113" s="55"/>
      <c r="AL113" s="55"/>
      <c r="AM113" s="55"/>
      <c r="AN113" s="55"/>
      <c r="AO113" s="55"/>
      <c r="AP113" s="55"/>
      <c r="AQ113" s="55"/>
      <c r="AR113" s="55"/>
      <c r="AS113" s="55"/>
      <c r="AT113" s="55"/>
      <c r="AU113" s="55"/>
      <c r="AV113" s="55"/>
      <c r="BA113" s="775" t="s">
        <v>172</v>
      </c>
      <c r="BB113" s="839">
        <v>2001</v>
      </c>
      <c r="BC113" s="775" t="s">
        <v>277</v>
      </c>
      <c r="BD113" s="775">
        <f t="shared" si="10"/>
        <v>35.699999999999996</v>
      </c>
      <c r="BH113" s="775" t="s">
        <v>172</v>
      </c>
      <c r="BI113" s="836" t="s">
        <v>124</v>
      </c>
      <c r="BJ113" s="775" t="s">
        <v>277</v>
      </c>
      <c r="BK113" s="775">
        <f t="shared" ref="BK113:BK122" si="11">BK124-BK102</f>
        <v>40.500000000000007</v>
      </c>
      <c r="BL113" s="775">
        <v>2000</v>
      </c>
      <c r="CL113" s="773"/>
      <c r="CM113" s="773"/>
      <c r="CN113" s="773"/>
      <c r="CO113" s="773"/>
      <c r="CP113" s="773"/>
      <c r="CQ113" s="773"/>
      <c r="CR113" s="773"/>
    </row>
    <row r="114" spans="35:96" ht="15.75">
      <c r="AI114" s="55"/>
      <c r="AJ114" s="55"/>
      <c r="AK114" s="55"/>
      <c r="AL114" s="55"/>
      <c r="AM114" s="55"/>
      <c r="AN114" s="55"/>
      <c r="AO114" s="55"/>
      <c r="AP114" s="55"/>
      <c r="AQ114" s="55"/>
      <c r="AR114" s="55"/>
      <c r="AS114" s="55"/>
      <c r="AT114" s="55"/>
      <c r="AU114" s="55"/>
      <c r="AV114" s="55"/>
      <c r="BA114" s="775" t="s">
        <v>172</v>
      </c>
      <c r="BB114" s="839">
        <v>2001</v>
      </c>
      <c r="BC114" s="775" t="s">
        <v>1064</v>
      </c>
      <c r="BD114" s="775">
        <f t="shared" si="10"/>
        <v>7.5</v>
      </c>
      <c r="BH114" s="775" t="s">
        <v>172</v>
      </c>
      <c r="BI114" s="836" t="s">
        <v>124</v>
      </c>
      <c r="BJ114" s="775" t="s">
        <v>1064</v>
      </c>
      <c r="BK114" s="775">
        <f t="shared" si="11"/>
        <v>12.300000000000018</v>
      </c>
      <c r="BL114" s="775">
        <v>2000</v>
      </c>
      <c r="CL114" s="773"/>
      <c r="CM114" s="773"/>
      <c r="CN114" s="773"/>
      <c r="CO114" s="773"/>
      <c r="CP114" s="773"/>
      <c r="CQ114" s="773"/>
      <c r="CR114" s="773"/>
    </row>
    <row r="115" spans="35:96" ht="15.75">
      <c r="AI115" s="55"/>
      <c r="AJ115" s="55"/>
      <c r="AK115" s="55"/>
      <c r="AL115" s="55"/>
      <c r="AM115" s="55"/>
      <c r="AN115" s="55"/>
      <c r="AO115" s="55"/>
      <c r="AP115" s="55"/>
      <c r="AQ115" s="55"/>
      <c r="AR115" s="55"/>
      <c r="AS115" s="55"/>
      <c r="AT115" s="55"/>
      <c r="AU115" s="55"/>
      <c r="AV115" s="55"/>
      <c r="BA115" s="775" t="s">
        <v>172</v>
      </c>
      <c r="BB115" s="839">
        <v>2001</v>
      </c>
      <c r="BC115" s="775" t="s">
        <v>8</v>
      </c>
      <c r="BD115" s="775">
        <f t="shared" si="10"/>
        <v>89.600000000000023</v>
      </c>
      <c r="BH115" s="775" t="s">
        <v>172</v>
      </c>
      <c r="BI115" s="836" t="s">
        <v>124</v>
      </c>
      <c r="BJ115" s="775" t="s">
        <v>8</v>
      </c>
      <c r="BK115" s="775">
        <f t="shared" si="11"/>
        <v>98.200000000000045</v>
      </c>
      <c r="BL115" s="775">
        <v>2000</v>
      </c>
      <c r="CL115" s="773"/>
      <c r="CM115" s="773"/>
      <c r="CN115" s="773"/>
      <c r="CO115" s="773"/>
      <c r="CP115" s="773"/>
      <c r="CQ115" s="773"/>
      <c r="CR115" s="773"/>
    </row>
    <row r="116" spans="35:96" ht="15.75">
      <c r="AI116" s="55"/>
      <c r="AJ116" s="55"/>
      <c r="AK116" s="55"/>
      <c r="AL116" s="55"/>
      <c r="AM116" s="55"/>
      <c r="AN116" s="55"/>
      <c r="AO116" s="55"/>
      <c r="AP116" s="55"/>
      <c r="AQ116" s="55"/>
      <c r="AR116" s="55"/>
      <c r="AS116" s="55"/>
      <c r="AT116" s="55"/>
      <c r="AU116" s="55"/>
      <c r="AV116" s="55"/>
      <c r="BA116" s="775" t="s">
        <v>172</v>
      </c>
      <c r="BB116" s="839">
        <v>2001</v>
      </c>
      <c r="BC116" s="775" t="s">
        <v>96</v>
      </c>
      <c r="BD116" s="775">
        <f t="shared" si="10"/>
        <v>0.10000000000000142</v>
      </c>
      <c r="BH116" s="775" t="s">
        <v>172</v>
      </c>
      <c r="BI116" s="836" t="s">
        <v>124</v>
      </c>
      <c r="BJ116" s="775" t="s">
        <v>96</v>
      </c>
      <c r="BK116" s="775">
        <f t="shared" si="11"/>
        <v>0.19999999999999929</v>
      </c>
      <c r="BL116" s="775">
        <v>2000</v>
      </c>
      <c r="CL116" s="773"/>
      <c r="CM116" s="773"/>
      <c r="CN116" s="773"/>
      <c r="CO116" s="773"/>
      <c r="CP116" s="773"/>
      <c r="CQ116" s="773"/>
      <c r="CR116" s="773"/>
    </row>
    <row r="117" spans="35:96" ht="15.75">
      <c r="AI117" s="55"/>
      <c r="AJ117" s="55"/>
      <c r="AK117" s="55"/>
      <c r="AL117" s="55"/>
      <c r="AM117" s="55"/>
      <c r="AN117" s="55"/>
      <c r="AO117" s="55"/>
      <c r="AP117" s="55"/>
      <c r="AQ117" s="55"/>
      <c r="AR117" s="55"/>
      <c r="AS117" s="55"/>
      <c r="AT117" s="55"/>
      <c r="AU117" s="55"/>
      <c r="AV117" s="55"/>
      <c r="BA117" s="775" t="s">
        <v>172</v>
      </c>
      <c r="BB117" s="839">
        <v>2001</v>
      </c>
      <c r="BC117" s="775" t="s">
        <v>196</v>
      </c>
      <c r="BD117" s="775">
        <f t="shared" si="10"/>
        <v>23.099999999999998</v>
      </c>
      <c r="BH117" s="775" t="s">
        <v>172</v>
      </c>
      <c r="BI117" s="836" t="s">
        <v>124</v>
      </c>
      <c r="BJ117" s="775" t="s">
        <v>196</v>
      </c>
      <c r="BK117" s="775">
        <f t="shared" si="11"/>
        <v>17.8</v>
      </c>
      <c r="BL117" s="775">
        <v>2000</v>
      </c>
      <c r="CL117" s="773"/>
      <c r="CM117" s="773"/>
      <c r="CN117" s="773"/>
      <c r="CO117" s="773"/>
      <c r="CP117" s="773"/>
      <c r="CQ117" s="773"/>
      <c r="CR117" s="773"/>
    </row>
    <row r="118" spans="35:96" ht="15.75">
      <c r="AI118" s="55"/>
      <c r="AJ118" s="55"/>
      <c r="AK118" s="55"/>
      <c r="AL118" s="55"/>
      <c r="AM118" s="55"/>
      <c r="AN118" s="55"/>
      <c r="AO118" s="55"/>
      <c r="AP118" s="55"/>
      <c r="AQ118" s="55"/>
      <c r="AR118" s="55"/>
      <c r="AS118" s="55"/>
      <c r="AT118" s="55"/>
      <c r="AU118" s="55"/>
      <c r="AV118" s="55"/>
      <c r="BA118" s="775" t="s">
        <v>172</v>
      </c>
      <c r="BB118" s="839">
        <v>2001</v>
      </c>
      <c r="BC118" s="775" t="s">
        <v>278</v>
      </c>
      <c r="BD118" s="775">
        <f t="shared" si="10"/>
        <v>6.1999999999999993</v>
      </c>
      <c r="BH118" s="775" t="s">
        <v>172</v>
      </c>
      <c r="BI118" s="836" t="s">
        <v>124</v>
      </c>
      <c r="BJ118" s="775" t="s">
        <v>278</v>
      </c>
      <c r="BK118" s="775">
        <f t="shared" si="11"/>
        <v>4</v>
      </c>
      <c r="BL118" s="775">
        <v>2000</v>
      </c>
      <c r="CL118" s="773"/>
      <c r="CM118" s="773"/>
      <c r="CN118" s="773"/>
      <c r="CO118" s="773"/>
      <c r="CP118" s="773"/>
      <c r="CQ118" s="773"/>
      <c r="CR118" s="773"/>
    </row>
    <row r="119" spans="35:96" ht="15.75">
      <c r="AI119" s="55"/>
      <c r="AJ119" s="55"/>
      <c r="AK119" s="55"/>
      <c r="AL119" s="55"/>
      <c r="AM119" s="55"/>
      <c r="AN119" s="55"/>
      <c r="AO119" s="55"/>
      <c r="AP119" s="55"/>
      <c r="AQ119" s="55"/>
      <c r="AR119" s="55"/>
      <c r="AS119" s="55"/>
      <c r="AT119" s="55"/>
      <c r="AU119" s="55"/>
      <c r="AV119" s="55"/>
      <c r="BA119" s="775" t="s">
        <v>172</v>
      </c>
      <c r="BB119" s="839">
        <v>2001</v>
      </c>
      <c r="BC119" s="775" t="s">
        <v>44</v>
      </c>
      <c r="BD119" s="775">
        <f t="shared" si="10"/>
        <v>49</v>
      </c>
      <c r="BH119" s="775" t="s">
        <v>172</v>
      </c>
      <c r="BI119" s="836" t="s">
        <v>124</v>
      </c>
      <c r="BJ119" s="775" t="s">
        <v>44</v>
      </c>
      <c r="BK119" s="775">
        <f t="shared" si="11"/>
        <v>41.1</v>
      </c>
      <c r="BL119" s="775">
        <v>2000</v>
      </c>
      <c r="CL119" s="773"/>
      <c r="CM119" s="773"/>
      <c r="CN119" s="773"/>
      <c r="CO119" s="773"/>
      <c r="CP119" s="773"/>
      <c r="CQ119" s="773"/>
      <c r="CR119" s="773"/>
    </row>
    <row r="120" spans="35:96" ht="15.75">
      <c r="AI120" s="55"/>
      <c r="AJ120" s="55"/>
      <c r="AK120" s="55"/>
      <c r="AL120" s="55"/>
      <c r="AM120" s="55"/>
      <c r="AN120" s="55"/>
      <c r="AO120" s="55"/>
      <c r="AP120" s="55"/>
      <c r="AQ120" s="55"/>
      <c r="AR120" s="55"/>
      <c r="AS120" s="55"/>
      <c r="AT120" s="55"/>
      <c r="AU120" s="55"/>
      <c r="AV120" s="55"/>
      <c r="BA120" s="775" t="s">
        <v>172</v>
      </c>
      <c r="BB120" s="839">
        <v>2001</v>
      </c>
      <c r="BC120" s="775" t="s">
        <v>45</v>
      </c>
      <c r="BD120" s="775">
        <f t="shared" si="10"/>
        <v>15.500000000000002</v>
      </c>
      <c r="BH120" s="775" t="s">
        <v>172</v>
      </c>
      <c r="BI120" s="836" t="s">
        <v>124</v>
      </c>
      <c r="BJ120" s="775" t="s">
        <v>45</v>
      </c>
      <c r="BK120" s="775">
        <f t="shared" si="11"/>
        <v>8.8000000000000007</v>
      </c>
      <c r="BL120" s="775">
        <v>2000</v>
      </c>
      <c r="CL120" s="773"/>
      <c r="CM120" s="773"/>
      <c r="CN120" s="773"/>
      <c r="CO120" s="773"/>
      <c r="CP120" s="773"/>
      <c r="CQ120" s="773"/>
      <c r="CR120" s="773"/>
    </row>
    <row r="121" spans="35:96" ht="15.75">
      <c r="AI121" s="55"/>
      <c r="AJ121" s="55"/>
      <c r="AK121" s="55"/>
      <c r="AL121" s="55"/>
      <c r="AM121" s="55"/>
      <c r="AN121" s="55"/>
      <c r="AO121" s="55"/>
      <c r="AP121" s="55"/>
      <c r="AQ121" s="55"/>
      <c r="AR121" s="55"/>
      <c r="AS121" s="55"/>
      <c r="AT121" s="55"/>
      <c r="AU121" s="55"/>
      <c r="AV121" s="55"/>
      <c r="BA121" s="775" t="s">
        <v>172</v>
      </c>
      <c r="BB121" s="839">
        <v>2001</v>
      </c>
      <c r="BC121" s="775" t="s">
        <v>48</v>
      </c>
      <c r="BD121" s="775">
        <f t="shared" si="10"/>
        <v>5.3999999999999986</v>
      </c>
      <c r="BH121" s="775" t="s">
        <v>172</v>
      </c>
      <c r="BI121" s="836" t="s">
        <v>124</v>
      </c>
      <c r="BJ121" s="775" t="s">
        <v>48</v>
      </c>
      <c r="BK121" s="775">
        <f t="shared" si="11"/>
        <v>2.8</v>
      </c>
      <c r="BL121" s="775">
        <v>2000</v>
      </c>
      <c r="CL121" s="773"/>
      <c r="CM121" s="773"/>
      <c r="CN121" s="773"/>
      <c r="CO121" s="773"/>
      <c r="CP121" s="773"/>
      <c r="CQ121" s="773"/>
      <c r="CR121" s="773"/>
    </row>
    <row r="122" spans="35:96" ht="15.75">
      <c r="AI122" s="55"/>
      <c r="AJ122" s="55"/>
      <c r="AK122" s="55"/>
      <c r="AL122" s="55"/>
      <c r="AM122" s="55"/>
      <c r="AN122" s="55"/>
      <c r="AO122" s="55"/>
      <c r="AP122" s="55"/>
      <c r="AQ122" s="55"/>
      <c r="AR122" s="55"/>
      <c r="AS122" s="55"/>
      <c r="AT122" s="55"/>
      <c r="AU122" s="55"/>
      <c r="AV122" s="55"/>
      <c r="BA122" s="775" t="s">
        <v>172</v>
      </c>
      <c r="BB122" s="839">
        <v>2001</v>
      </c>
      <c r="BC122" s="775" t="s">
        <v>97</v>
      </c>
      <c r="BD122" s="775">
        <f t="shared" si="10"/>
        <v>255.90000000000009</v>
      </c>
      <c r="BH122" s="775" t="s">
        <v>172</v>
      </c>
      <c r="BI122" s="836" t="s">
        <v>124</v>
      </c>
      <c r="BJ122" s="775" t="s">
        <v>97</v>
      </c>
      <c r="BK122" s="775">
        <f t="shared" si="11"/>
        <v>259.19999999999993</v>
      </c>
      <c r="BL122" s="775">
        <v>2000</v>
      </c>
      <c r="CL122" s="773"/>
      <c r="CM122" s="773"/>
      <c r="CN122" s="773"/>
      <c r="CO122" s="773"/>
      <c r="CP122" s="773"/>
      <c r="CQ122" s="773"/>
      <c r="CR122" s="773"/>
    </row>
    <row r="123" spans="35:96" ht="15.75">
      <c r="AI123" s="55"/>
      <c r="AJ123" s="55"/>
      <c r="AK123" s="55"/>
      <c r="AL123" s="55"/>
      <c r="AM123" s="55"/>
      <c r="AN123" s="55"/>
      <c r="AO123" s="55"/>
      <c r="AP123" s="55"/>
      <c r="AQ123" s="55"/>
      <c r="AR123" s="55"/>
      <c r="AS123" s="55"/>
      <c r="AT123" s="55"/>
      <c r="AU123" s="55"/>
      <c r="AV123" s="55"/>
      <c r="BA123" s="775" t="s">
        <v>170</v>
      </c>
      <c r="BB123" s="839">
        <v>2001</v>
      </c>
      <c r="BC123" s="775" t="s">
        <v>15</v>
      </c>
      <c r="BD123" s="775">
        <v>38.400000000000006</v>
      </c>
      <c r="BH123" s="775" t="s">
        <v>170</v>
      </c>
      <c r="BI123" s="836" t="s">
        <v>124</v>
      </c>
      <c r="BJ123" s="775" t="s">
        <v>15</v>
      </c>
      <c r="BK123" s="838">
        <v>32.700000000000003</v>
      </c>
      <c r="BL123" s="775">
        <v>2000</v>
      </c>
      <c r="CL123" s="773"/>
      <c r="CM123" s="773"/>
      <c r="CN123" s="773"/>
      <c r="CO123" s="773"/>
      <c r="CP123" s="773"/>
      <c r="CQ123" s="773"/>
      <c r="CR123" s="773"/>
    </row>
    <row r="124" spans="35:96" ht="15.75">
      <c r="AI124" s="55"/>
      <c r="AJ124" s="55"/>
      <c r="AK124" s="55"/>
      <c r="AL124" s="55"/>
      <c r="AM124" s="55"/>
      <c r="AN124" s="55"/>
      <c r="AO124" s="55"/>
      <c r="AP124" s="55"/>
      <c r="AQ124" s="55"/>
      <c r="AR124" s="55"/>
      <c r="AS124" s="55"/>
      <c r="AT124" s="55"/>
      <c r="AU124" s="55"/>
      <c r="AV124" s="55"/>
      <c r="BA124" s="775" t="s">
        <v>170</v>
      </c>
      <c r="BB124" s="839">
        <v>2001</v>
      </c>
      <c r="BC124" s="775" t="s">
        <v>277</v>
      </c>
      <c r="BD124" s="775">
        <v>49.3</v>
      </c>
      <c r="BH124" s="775" t="s">
        <v>170</v>
      </c>
      <c r="BI124" s="836" t="s">
        <v>124</v>
      </c>
      <c r="BJ124" s="775" t="s">
        <v>277</v>
      </c>
      <c r="BK124" s="838">
        <v>59.800000000000004</v>
      </c>
      <c r="BL124" s="775">
        <v>2000</v>
      </c>
      <c r="CL124" s="773"/>
      <c r="CM124" s="773"/>
      <c r="CN124" s="773"/>
      <c r="CO124" s="773"/>
      <c r="CP124" s="773"/>
      <c r="CQ124" s="773"/>
      <c r="CR124" s="773"/>
    </row>
    <row r="125" spans="35:96" ht="15.75">
      <c r="AI125" s="55"/>
      <c r="AJ125" s="55"/>
      <c r="AK125" s="55"/>
      <c r="AL125" s="55"/>
      <c r="AM125" s="55"/>
      <c r="AN125" s="55"/>
      <c r="AO125" s="55"/>
      <c r="AP125" s="55"/>
      <c r="AQ125" s="55"/>
      <c r="AR125" s="55"/>
      <c r="AS125" s="55"/>
      <c r="AT125" s="55"/>
      <c r="AU125" s="55"/>
      <c r="AV125" s="55"/>
      <c r="BA125" s="775" t="s">
        <v>170</v>
      </c>
      <c r="BB125" s="839">
        <v>2001</v>
      </c>
      <c r="BC125" s="775" t="s">
        <v>1064</v>
      </c>
      <c r="BD125" s="775">
        <v>63.2</v>
      </c>
      <c r="BH125" s="775" t="s">
        <v>170</v>
      </c>
      <c r="BI125" s="836" t="s">
        <v>124</v>
      </c>
      <c r="BJ125" s="775" t="s">
        <v>1064</v>
      </c>
      <c r="BK125" s="838">
        <v>72.800000000000011</v>
      </c>
      <c r="BL125" s="775">
        <v>2000</v>
      </c>
      <c r="CL125" s="773"/>
      <c r="CM125" s="773"/>
      <c r="CN125" s="773"/>
      <c r="CO125" s="773"/>
      <c r="CP125" s="773"/>
      <c r="CQ125" s="773"/>
      <c r="CR125" s="773"/>
    </row>
    <row r="126" spans="35:96" ht="15.75">
      <c r="AI126" s="55"/>
      <c r="AJ126" s="55"/>
      <c r="AK126" s="55"/>
      <c r="AL126" s="55"/>
      <c r="AM126" s="55"/>
      <c r="AN126" s="55"/>
      <c r="AO126" s="55"/>
      <c r="AP126" s="55"/>
      <c r="AQ126" s="55"/>
      <c r="AR126" s="55"/>
      <c r="AS126" s="55"/>
      <c r="AT126" s="55"/>
      <c r="AU126" s="55"/>
      <c r="AV126" s="55"/>
      <c r="BA126" s="775" t="s">
        <v>170</v>
      </c>
      <c r="BB126" s="839">
        <v>2001</v>
      </c>
      <c r="BC126" s="775" t="s">
        <v>8</v>
      </c>
      <c r="BD126" s="775">
        <v>350.7</v>
      </c>
      <c r="BH126" s="775" t="s">
        <v>170</v>
      </c>
      <c r="BI126" s="836" t="s">
        <v>124</v>
      </c>
      <c r="BJ126" s="775" t="s">
        <v>8</v>
      </c>
      <c r="BK126" s="838">
        <v>370.1</v>
      </c>
      <c r="BL126" s="775">
        <v>2000</v>
      </c>
      <c r="CL126" s="773"/>
      <c r="CM126" s="773"/>
      <c r="CN126" s="773"/>
      <c r="CO126" s="773"/>
      <c r="CP126" s="773"/>
      <c r="CQ126" s="773"/>
      <c r="CR126" s="773"/>
    </row>
    <row r="127" spans="35:96" ht="15.75">
      <c r="AI127" s="55"/>
      <c r="AJ127" s="55"/>
      <c r="AK127" s="55"/>
      <c r="AL127" s="55"/>
      <c r="AM127" s="55"/>
      <c r="AN127" s="55"/>
      <c r="AO127" s="55"/>
      <c r="AP127" s="55"/>
      <c r="AQ127" s="55"/>
      <c r="AR127" s="55"/>
      <c r="AS127" s="55"/>
      <c r="AT127" s="55"/>
      <c r="AU127" s="55"/>
      <c r="AV127" s="55"/>
      <c r="BA127" s="775" t="s">
        <v>170</v>
      </c>
      <c r="BB127" s="839">
        <v>2001</v>
      </c>
      <c r="BC127" s="775" t="s">
        <v>96</v>
      </c>
      <c r="BD127" s="775">
        <v>20.100000000000001</v>
      </c>
      <c r="BH127" s="775" t="s">
        <v>170</v>
      </c>
      <c r="BI127" s="836" t="s">
        <v>124</v>
      </c>
      <c r="BJ127" s="775" t="s">
        <v>96</v>
      </c>
      <c r="BK127" s="838">
        <v>23.4</v>
      </c>
      <c r="BL127" s="775">
        <v>2000</v>
      </c>
      <c r="CL127" s="773"/>
      <c r="CM127" s="773"/>
      <c r="CN127" s="773"/>
      <c r="CO127" s="773"/>
      <c r="CP127" s="773"/>
      <c r="CQ127" s="773"/>
      <c r="CR127" s="773"/>
    </row>
    <row r="128" spans="35:96" ht="15.75">
      <c r="AI128" s="55"/>
      <c r="AJ128" s="55"/>
      <c r="AK128" s="55"/>
      <c r="AL128" s="55"/>
      <c r="AM128" s="55"/>
      <c r="AN128" s="55"/>
      <c r="AO128" s="55"/>
      <c r="AP128" s="55"/>
      <c r="AQ128" s="55"/>
      <c r="AR128" s="55"/>
      <c r="AS128" s="55"/>
      <c r="AT128" s="55"/>
      <c r="AU128" s="55"/>
      <c r="AV128" s="55"/>
      <c r="BA128" s="775" t="s">
        <v>170</v>
      </c>
      <c r="BB128" s="839">
        <v>2001</v>
      </c>
      <c r="BC128" s="775" t="s">
        <v>196</v>
      </c>
      <c r="BD128" s="775">
        <v>29.099999999999998</v>
      </c>
      <c r="BH128" s="775" t="s">
        <v>170</v>
      </c>
      <c r="BI128" s="836" t="s">
        <v>124</v>
      </c>
      <c r="BJ128" s="775" t="s">
        <v>196</v>
      </c>
      <c r="BK128" s="838">
        <v>23.6</v>
      </c>
      <c r="BL128" s="775">
        <v>2000</v>
      </c>
      <c r="CL128" s="773"/>
      <c r="CM128" s="773"/>
      <c r="CN128" s="773"/>
      <c r="CO128" s="773"/>
      <c r="CP128" s="773"/>
      <c r="CQ128" s="773"/>
      <c r="CR128" s="773"/>
    </row>
    <row r="129" spans="35:96" ht="15.75">
      <c r="AI129" s="55"/>
      <c r="AJ129" s="55"/>
      <c r="AK129" s="55"/>
      <c r="AL129" s="55"/>
      <c r="AM129" s="55"/>
      <c r="AN129" s="55"/>
      <c r="AO129" s="55"/>
      <c r="AP129" s="55"/>
      <c r="AQ129" s="55"/>
      <c r="AR129" s="55"/>
      <c r="AS129" s="55"/>
      <c r="AT129" s="55"/>
      <c r="AU129" s="55"/>
      <c r="AV129" s="55"/>
      <c r="BA129" s="775" t="s">
        <v>170</v>
      </c>
      <c r="BB129" s="839">
        <v>2001</v>
      </c>
      <c r="BC129" s="775" t="s">
        <v>278</v>
      </c>
      <c r="BD129" s="775">
        <v>6.1999999999999993</v>
      </c>
      <c r="BH129" s="775" t="s">
        <v>170</v>
      </c>
      <c r="BI129" s="836" t="s">
        <v>124</v>
      </c>
      <c r="BJ129" s="775" t="s">
        <v>278</v>
      </c>
      <c r="BK129" s="838">
        <v>4</v>
      </c>
      <c r="BL129" s="775">
        <v>2000</v>
      </c>
      <c r="CL129" s="773"/>
      <c r="CM129" s="773"/>
      <c r="CN129" s="773"/>
      <c r="CO129" s="773"/>
      <c r="CP129" s="773"/>
      <c r="CQ129" s="773"/>
      <c r="CR129" s="773"/>
    </row>
    <row r="130" spans="35:96" ht="15.75">
      <c r="AI130" s="55"/>
      <c r="AJ130" s="55"/>
      <c r="AK130" s="55"/>
      <c r="AL130" s="55"/>
      <c r="AM130" s="55"/>
      <c r="AN130" s="55"/>
      <c r="AO130" s="55"/>
      <c r="AP130" s="55"/>
      <c r="AQ130" s="55"/>
      <c r="AR130" s="55"/>
      <c r="AS130" s="55"/>
      <c r="AT130" s="55"/>
      <c r="AU130" s="55"/>
      <c r="AV130" s="55"/>
      <c r="BA130" s="775" t="s">
        <v>170</v>
      </c>
      <c r="BB130" s="839">
        <v>2001</v>
      </c>
      <c r="BC130" s="775" t="s">
        <v>44</v>
      </c>
      <c r="BD130" s="775">
        <v>49</v>
      </c>
      <c r="BH130" s="775" t="s">
        <v>170</v>
      </c>
      <c r="BI130" s="836" t="s">
        <v>124</v>
      </c>
      <c r="BJ130" s="775" t="s">
        <v>44</v>
      </c>
      <c r="BK130" s="838">
        <v>41.2</v>
      </c>
      <c r="BL130" s="775">
        <v>2000</v>
      </c>
      <c r="CL130" s="773"/>
      <c r="CM130" s="773"/>
      <c r="CN130" s="773"/>
      <c r="CO130" s="773"/>
      <c r="CP130" s="773"/>
      <c r="CQ130" s="773"/>
      <c r="CR130" s="773"/>
    </row>
    <row r="131" spans="35:96" ht="15.75">
      <c r="AI131" s="55"/>
      <c r="AJ131" s="55"/>
      <c r="AK131" s="55"/>
      <c r="AL131" s="55"/>
      <c r="AM131" s="55"/>
      <c r="AN131" s="55"/>
      <c r="AO131" s="55"/>
      <c r="AP131" s="55"/>
      <c r="AQ131" s="55"/>
      <c r="AR131" s="55"/>
      <c r="AS131" s="55"/>
      <c r="AT131" s="55"/>
      <c r="AU131" s="55"/>
      <c r="AV131" s="55"/>
      <c r="BA131" s="775" t="s">
        <v>170</v>
      </c>
      <c r="BB131" s="839">
        <v>2001</v>
      </c>
      <c r="BC131" s="775" t="s">
        <v>45</v>
      </c>
      <c r="BD131" s="775">
        <v>30.900000000000002</v>
      </c>
      <c r="BH131" s="775" t="s">
        <v>170</v>
      </c>
      <c r="BI131" s="836" t="s">
        <v>124</v>
      </c>
      <c r="BJ131" s="775" t="s">
        <v>45</v>
      </c>
      <c r="BK131" s="838">
        <v>31.8</v>
      </c>
      <c r="BL131" s="775">
        <v>2000</v>
      </c>
      <c r="CL131" s="773"/>
      <c r="CM131" s="773"/>
      <c r="CN131" s="773"/>
      <c r="CO131" s="773"/>
      <c r="CP131" s="773"/>
      <c r="CQ131" s="773"/>
      <c r="CR131" s="773"/>
    </row>
    <row r="132" spans="35:96" ht="15.75">
      <c r="AI132" s="55"/>
      <c r="AJ132" s="55"/>
      <c r="AK132" s="55"/>
      <c r="AL132" s="55"/>
      <c r="AM132" s="55"/>
      <c r="AN132" s="55"/>
      <c r="AO132" s="55"/>
      <c r="AP132" s="55"/>
      <c r="AQ132" s="55"/>
      <c r="AR132" s="55"/>
      <c r="AS132" s="55"/>
      <c r="AT132" s="55"/>
      <c r="AU132" s="55"/>
      <c r="AV132" s="55"/>
      <c r="BA132" s="775" t="s">
        <v>170</v>
      </c>
      <c r="BB132" s="839">
        <v>2001</v>
      </c>
      <c r="BC132" s="775" t="s">
        <v>48</v>
      </c>
      <c r="BD132" s="775">
        <v>20.099999999999998</v>
      </c>
      <c r="BH132" s="775" t="s">
        <v>170</v>
      </c>
      <c r="BI132" s="836" t="s">
        <v>124</v>
      </c>
      <c r="BJ132" s="775" t="s">
        <v>48</v>
      </c>
      <c r="BK132" s="838">
        <v>10.6</v>
      </c>
      <c r="BL132" s="775">
        <v>2000</v>
      </c>
      <c r="CL132" s="773"/>
      <c r="CM132" s="773"/>
      <c r="CN132" s="773"/>
      <c r="CO132" s="773"/>
      <c r="CP132" s="773"/>
      <c r="CQ132" s="773"/>
      <c r="CR132" s="773"/>
    </row>
    <row r="133" spans="35:96" ht="15.75">
      <c r="AI133" s="55"/>
      <c r="AJ133" s="55"/>
      <c r="AK133" s="55"/>
      <c r="AL133" s="55"/>
      <c r="AM133" s="55"/>
      <c r="AN133" s="55"/>
      <c r="AO133" s="55"/>
      <c r="AP133" s="55"/>
      <c r="AQ133" s="55"/>
      <c r="AR133" s="55"/>
      <c r="AS133" s="55"/>
      <c r="AT133" s="55"/>
      <c r="AU133" s="55"/>
      <c r="AV133" s="55"/>
      <c r="BA133" s="775" t="s">
        <v>170</v>
      </c>
      <c r="BB133" s="839">
        <v>2001</v>
      </c>
      <c r="BC133" s="775" t="s">
        <v>97</v>
      </c>
      <c r="BD133" s="775">
        <v>664.40000000000009</v>
      </c>
      <c r="BH133" s="775" t="s">
        <v>170</v>
      </c>
      <c r="BI133" s="836" t="s">
        <v>124</v>
      </c>
      <c r="BJ133" s="775" t="s">
        <v>97</v>
      </c>
      <c r="BK133" s="838">
        <v>683.3</v>
      </c>
      <c r="BL133" s="775">
        <v>2000</v>
      </c>
      <c r="CL133" s="773"/>
      <c r="CM133" s="773"/>
      <c r="CN133" s="773"/>
      <c r="CO133" s="773"/>
      <c r="CP133" s="773"/>
      <c r="CQ133" s="773"/>
      <c r="CR133" s="773"/>
    </row>
    <row r="134" spans="35:96" ht="15.75">
      <c r="AI134" s="55"/>
      <c r="AJ134" s="55"/>
      <c r="AK134" s="55"/>
      <c r="AL134" s="55"/>
      <c r="AM134" s="55"/>
      <c r="AN134" s="55"/>
      <c r="AO134" s="55"/>
      <c r="AP134" s="55"/>
      <c r="AQ134" s="55"/>
      <c r="AR134" s="55"/>
      <c r="AS134" s="55"/>
      <c r="AT134" s="55"/>
      <c r="AU134" s="55"/>
      <c r="AV134" s="55"/>
      <c r="BA134" s="775" t="s">
        <v>38</v>
      </c>
      <c r="BB134" s="839">
        <v>2002</v>
      </c>
      <c r="BC134" s="775" t="s">
        <v>15</v>
      </c>
      <c r="BD134" s="840">
        <v>3.4000000000000004</v>
      </c>
      <c r="BH134" s="775" t="s">
        <v>38</v>
      </c>
      <c r="BI134" s="843" t="s">
        <v>125</v>
      </c>
      <c r="BJ134" s="775" t="s">
        <v>15</v>
      </c>
      <c r="BK134" s="776">
        <v>4.5</v>
      </c>
      <c r="BL134" s="775">
        <v>2001</v>
      </c>
      <c r="CL134" s="773"/>
      <c r="CM134" s="773"/>
      <c r="CN134" s="773"/>
      <c r="CO134" s="773"/>
      <c r="CP134" s="773"/>
      <c r="CQ134" s="773"/>
      <c r="CR134" s="773"/>
    </row>
    <row r="135" spans="35:96" ht="15.75">
      <c r="AI135" s="55"/>
      <c r="AJ135" s="55"/>
      <c r="AK135" s="55"/>
      <c r="AL135" s="55"/>
      <c r="AM135" s="55"/>
      <c r="AN135" s="55"/>
      <c r="AO135" s="55"/>
      <c r="AP135" s="55"/>
      <c r="AQ135" s="55"/>
      <c r="AR135" s="55"/>
      <c r="AS135" s="55"/>
      <c r="AT135" s="55"/>
      <c r="AU135" s="55"/>
      <c r="AV135" s="55"/>
      <c r="BA135" s="775" t="s">
        <v>38</v>
      </c>
      <c r="BB135" s="839">
        <v>2002</v>
      </c>
      <c r="BC135" s="775" t="s">
        <v>277</v>
      </c>
      <c r="BD135" s="840">
        <v>11.700000000000001</v>
      </c>
      <c r="BH135" s="775" t="s">
        <v>38</v>
      </c>
      <c r="BI135" s="836" t="s">
        <v>125</v>
      </c>
      <c r="BJ135" s="775" t="s">
        <v>277</v>
      </c>
      <c r="BK135" s="776">
        <v>10.399999999999999</v>
      </c>
      <c r="BL135" s="775">
        <v>2001</v>
      </c>
      <c r="CL135" s="773"/>
      <c r="CM135" s="773"/>
      <c r="CN135" s="773"/>
      <c r="CO135" s="773"/>
      <c r="CP135" s="773"/>
      <c r="CQ135" s="773"/>
      <c r="CR135" s="773"/>
    </row>
    <row r="136" spans="35:96" ht="15.75">
      <c r="AI136" s="55"/>
      <c r="AJ136" s="55"/>
      <c r="AK136" s="55"/>
      <c r="AL136" s="55"/>
      <c r="AM136" s="55"/>
      <c r="AN136" s="55"/>
      <c r="AO136" s="55"/>
      <c r="AP136" s="55"/>
      <c r="AQ136" s="55"/>
      <c r="AR136" s="55"/>
      <c r="AS136" s="55"/>
      <c r="AT136" s="55"/>
      <c r="AU136" s="55"/>
      <c r="AV136" s="55"/>
      <c r="BA136" s="775" t="s">
        <v>38</v>
      </c>
      <c r="BB136" s="839">
        <v>2002</v>
      </c>
      <c r="BC136" s="775" t="s">
        <v>1064</v>
      </c>
      <c r="BD136" s="840">
        <v>45.400000000000006</v>
      </c>
      <c r="BH136" s="775" t="s">
        <v>38</v>
      </c>
      <c r="BI136" s="836" t="s">
        <v>125</v>
      </c>
      <c r="BJ136" s="775" t="s">
        <v>1064</v>
      </c>
      <c r="BK136" s="776">
        <v>47.1</v>
      </c>
      <c r="BL136" s="775">
        <v>2001</v>
      </c>
      <c r="BO136" s="776"/>
      <c r="CL136" s="773"/>
      <c r="CM136" s="773"/>
      <c r="CN136" s="773"/>
      <c r="CO136" s="773"/>
      <c r="CP136" s="773"/>
      <c r="CQ136" s="773"/>
      <c r="CR136" s="773"/>
    </row>
    <row r="137" spans="35:96" ht="15.75">
      <c r="AI137" s="55"/>
      <c r="AJ137" s="55"/>
      <c r="AK137" s="55"/>
      <c r="AL137" s="55"/>
      <c r="AM137" s="55"/>
      <c r="AN137" s="55"/>
      <c r="AO137" s="55"/>
      <c r="AP137" s="55"/>
      <c r="AQ137" s="55"/>
      <c r="AR137" s="55"/>
      <c r="AS137" s="55"/>
      <c r="AT137" s="55"/>
      <c r="AU137" s="55"/>
      <c r="AV137" s="55"/>
      <c r="BA137" s="775" t="s">
        <v>38</v>
      </c>
      <c r="BB137" s="839">
        <v>2002</v>
      </c>
      <c r="BC137" s="775" t="s">
        <v>8</v>
      </c>
      <c r="BD137" s="840">
        <v>252.8</v>
      </c>
      <c r="BH137" s="775" t="s">
        <v>38</v>
      </c>
      <c r="BI137" s="836" t="s">
        <v>125</v>
      </c>
      <c r="BJ137" s="775" t="s">
        <v>8</v>
      </c>
      <c r="BK137" s="776">
        <v>238.1</v>
      </c>
      <c r="BL137" s="775">
        <v>2001</v>
      </c>
      <c r="BO137" s="776"/>
      <c r="CL137" s="773"/>
      <c r="CM137" s="773"/>
      <c r="CN137" s="773"/>
      <c r="CO137" s="773"/>
      <c r="CP137" s="773"/>
      <c r="CQ137" s="773"/>
      <c r="CR137" s="773"/>
    </row>
    <row r="138" spans="35:96" ht="15.75">
      <c r="AI138" s="55"/>
      <c r="AJ138" s="55"/>
      <c r="AK138" s="55"/>
      <c r="AL138" s="55"/>
      <c r="AM138" s="55"/>
      <c r="AN138" s="55"/>
      <c r="AO138" s="55"/>
      <c r="AP138" s="55"/>
      <c r="AQ138" s="55"/>
      <c r="AR138" s="55"/>
      <c r="AS138" s="55"/>
      <c r="AT138" s="55"/>
      <c r="AU138" s="55"/>
      <c r="AV138" s="55"/>
      <c r="BA138" s="775" t="s">
        <v>38</v>
      </c>
      <c r="BB138" s="839">
        <v>2002</v>
      </c>
      <c r="BC138" s="775" t="s">
        <v>96</v>
      </c>
      <c r="BD138" s="840">
        <v>13.9</v>
      </c>
      <c r="BH138" s="775" t="s">
        <v>38</v>
      </c>
      <c r="BI138" s="836" t="s">
        <v>125</v>
      </c>
      <c r="BJ138" s="775" t="s">
        <v>96</v>
      </c>
      <c r="BK138" s="776">
        <v>25.200000000000003</v>
      </c>
      <c r="BL138" s="775">
        <v>2001</v>
      </c>
      <c r="BO138" s="776"/>
      <c r="BQ138" s="776"/>
      <c r="CL138" s="773"/>
      <c r="CM138" s="773"/>
      <c r="CN138" s="773"/>
      <c r="CO138" s="773"/>
      <c r="CP138" s="773"/>
      <c r="CQ138" s="773"/>
      <c r="CR138" s="773"/>
    </row>
    <row r="139" spans="35:96" ht="15.75">
      <c r="AI139" s="55"/>
      <c r="AJ139" s="55"/>
      <c r="AK139" s="55"/>
      <c r="AL139" s="55"/>
      <c r="AM139" s="55"/>
      <c r="AN139" s="55"/>
      <c r="AO139" s="55"/>
      <c r="AP139" s="55"/>
      <c r="AQ139" s="55"/>
      <c r="AR139" s="55"/>
      <c r="AS139" s="55"/>
      <c r="AT139" s="55"/>
      <c r="AU139" s="55"/>
      <c r="AV139" s="55"/>
      <c r="BA139" s="775" t="s">
        <v>38</v>
      </c>
      <c r="BB139" s="839">
        <v>2002</v>
      </c>
      <c r="BC139" s="775" t="s">
        <v>196</v>
      </c>
      <c r="BD139" s="840">
        <v>8.4</v>
      </c>
      <c r="BH139" s="775" t="s">
        <v>38</v>
      </c>
      <c r="BI139" s="836" t="s">
        <v>125</v>
      </c>
      <c r="BJ139" s="775" t="s">
        <v>196</v>
      </c>
      <c r="BK139" s="776">
        <v>6.7</v>
      </c>
      <c r="BL139" s="775">
        <v>2001</v>
      </c>
      <c r="BO139" s="776"/>
      <c r="CL139" s="773"/>
      <c r="CM139" s="773"/>
      <c r="CN139" s="773"/>
      <c r="CO139" s="773"/>
      <c r="CP139" s="773"/>
      <c r="CQ139" s="773"/>
      <c r="CR139" s="773"/>
    </row>
    <row r="140" spans="35:96" ht="15.75">
      <c r="AI140" s="55"/>
      <c r="AJ140" s="55"/>
      <c r="AK140" s="55"/>
      <c r="AL140" s="55"/>
      <c r="AM140" s="55"/>
      <c r="AN140" s="55"/>
      <c r="AO140" s="55"/>
      <c r="AP140" s="55"/>
      <c r="AQ140" s="55"/>
      <c r="AR140" s="55"/>
      <c r="AS140" s="55"/>
      <c r="AT140" s="55"/>
      <c r="AU140" s="55"/>
      <c r="AV140" s="55"/>
      <c r="BA140" s="775" t="s">
        <v>38</v>
      </c>
      <c r="BB140" s="839">
        <v>2002</v>
      </c>
      <c r="BC140" s="775" t="s">
        <v>278</v>
      </c>
      <c r="BD140" s="840">
        <v>0</v>
      </c>
      <c r="BH140" s="775" t="s">
        <v>38</v>
      </c>
      <c r="BI140" s="836" t="s">
        <v>125</v>
      </c>
      <c r="BJ140" s="775" t="s">
        <v>278</v>
      </c>
      <c r="BK140" s="776">
        <v>0</v>
      </c>
      <c r="BL140" s="775">
        <v>2001</v>
      </c>
      <c r="BO140" s="776"/>
      <c r="CL140" s="773"/>
      <c r="CM140" s="773"/>
      <c r="CN140" s="773"/>
      <c r="CO140" s="773"/>
      <c r="CP140" s="773"/>
      <c r="CQ140" s="773"/>
      <c r="CR140" s="773"/>
    </row>
    <row r="141" spans="35:96" ht="15.75">
      <c r="AI141" s="55"/>
      <c r="AJ141" s="55"/>
      <c r="AK141" s="55"/>
      <c r="AL141" s="55"/>
      <c r="AM141" s="55"/>
      <c r="AN141" s="55"/>
      <c r="AO141" s="55"/>
      <c r="AP141" s="55"/>
      <c r="AQ141" s="55"/>
      <c r="AR141" s="55"/>
      <c r="AS141" s="55"/>
      <c r="AT141" s="55"/>
      <c r="AU141" s="55"/>
      <c r="AV141" s="55"/>
      <c r="BA141" s="775" t="s">
        <v>38</v>
      </c>
      <c r="BB141" s="839">
        <v>2002</v>
      </c>
      <c r="BC141" s="775" t="s">
        <v>44</v>
      </c>
      <c r="BD141" s="840">
        <v>0</v>
      </c>
      <c r="BH141" s="775" t="s">
        <v>38</v>
      </c>
      <c r="BI141" s="836" t="s">
        <v>125</v>
      </c>
      <c r="BJ141" s="775" t="s">
        <v>44</v>
      </c>
      <c r="BK141" s="776">
        <v>0</v>
      </c>
      <c r="BL141" s="775">
        <v>2001</v>
      </c>
      <c r="BO141" s="776"/>
      <c r="CL141" s="773"/>
      <c r="CM141" s="773"/>
      <c r="CN141" s="773"/>
      <c r="CO141" s="773"/>
      <c r="CP141" s="773"/>
      <c r="CQ141" s="773"/>
      <c r="CR141" s="773"/>
    </row>
    <row r="142" spans="35:96" ht="15.75">
      <c r="AI142" s="55"/>
      <c r="AJ142" s="55"/>
      <c r="AK142" s="55"/>
      <c r="AL142" s="55"/>
      <c r="AM142" s="55"/>
      <c r="AN142" s="55"/>
      <c r="AO142" s="55"/>
      <c r="AP142" s="55"/>
      <c r="AQ142" s="55"/>
      <c r="AR142" s="55"/>
      <c r="AS142" s="55"/>
      <c r="AT142" s="55"/>
      <c r="AU142" s="55"/>
      <c r="AV142" s="55"/>
      <c r="BA142" s="775" t="s">
        <v>38</v>
      </c>
      <c r="BB142" s="839">
        <v>2002</v>
      </c>
      <c r="BC142" s="775" t="s">
        <v>45</v>
      </c>
      <c r="BD142" s="841">
        <v>22.599999999999998</v>
      </c>
      <c r="BH142" s="775" t="s">
        <v>38</v>
      </c>
      <c r="BI142" s="836" t="s">
        <v>125</v>
      </c>
      <c r="BJ142" s="775" t="s">
        <v>45</v>
      </c>
      <c r="BK142" s="776">
        <v>21.200000000000003</v>
      </c>
      <c r="BL142" s="775">
        <v>2001</v>
      </c>
      <c r="BO142" s="776"/>
      <c r="CL142" s="773"/>
      <c r="CM142" s="773"/>
      <c r="CN142" s="773"/>
      <c r="CO142" s="773"/>
      <c r="CP142" s="773"/>
      <c r="CQ142" s="773"/>
      <c r="CR142" s="773"/>
    </row>
    <row r="143" spans="35:96" ht="15.75">
      <c r="AI143" s="55"/>
      <c r="AJ143" s="55"/>
      <c r="AK143" s="55"/>
      <c r="AL143" s="55"/>
      <c r="AM143" s="55"/>
      <c r="AN143" s="55"/>
      <c r="AO143" s="55"/>
      <c r="AP143" s="55"/>
      <c r="AQ143" s="55"/>
      <c r="AR143" s="55"/>
      <c r="AS143" s="55"/>
      <c r="AT143" s="55"/>
      <c r="AU143" s="55"/>
      <c r="AV143" s="55"/>
      <c r="BA143" s="775" t="s">
        <v>38</v>
      </c>
      <c r="BB143" s="839">
        <v>2002</v>
      </c>
      <c r="BC143" s="775" t="s">
        <v>48</v>
      </c>
      <c r="BD143" s="841">
        <v>12.4</v>
      </c>
      <c r="BH143" s="775" t="s">
        <v>38</v>
      </c>
      <c r="BI143" s="836" t="s">
        <v>125</v>
      </c>
      <c r="BJ143" s="775" t="s">
        <v>48</v>
      </c>
      <c r="BK143" s="776">
        <v>17.5</v>
      </c>
      <c r="BL143" s="775">
        <v>2001</v>
      </c>
      <c r="CL143" s="773"/>
      <c r="CM143" s="773"/>
      <c r="CN143" s="773"/>
      <c r="CO143" s="773"/>
      <c r="CP143" s="773"/>
      <c r="CQ143" s="773"/>
      <c r="CR143" s="773"/>
    </row>
    <row r="144" spans="35:96" ht="15.75">
      <c r="AI144" s="55"/>
      <c r="AJ144" s="55"/>
      <c r="AK144" s="55"/>
      <c r="AL144" s="55"/>
      <c r="AM144" s="55"/>
      <c r="AN144" s="55"/>
      <c r="AO144" s="55"/>
      <c r="AP144" s="55"/>
      <c r="AQ144" s="55"/>
      <c r="AR144" s="55"/>
      <c r="AS144" s="55"/>
      <c r="AT144" s="55"/>
      <c r="AU144" s="55"/>
      <c r="AV144" s="55"/>
      <c r="BA144" s="775" t="s">
        <v>38</v>
      </c>
      <c r="BB144" s="839">
        <v>2002</v>
      </c>
      <c r="BC144" s="775" t="s">
        <v>97</v>
      </c>
      <c r="BD144" s="841">
        <v>395.5</v>
      </c>
      <c r="BH144" s="775" t="s">
        <v>38</v>
      </c>
      <c r="BI144" s="836" t="s">
        <v>125</v>
      </c>
      <c r="BJ144" s="775" t="s">
        <v>97</v>
      </c>
      <c r="BK144" s="776">
        <v>381.1</v>
      </c>
      <c r="BL144" s="775">
        <v>2001</v>
      </c>
      <c r="CL144" s="773"/>
      <c r="CM144" s="773"/>
      <c r="CN144" s="773"/>
      <c r="CO144" s="773"/>
      <c r="CP144" s="773"/>
      <c r="CQ144" s="773"/>
      <c r="CR144" s="773"/>
    </row>
    <row r="145" spans="35:96" ht="15.75">
      <c r="AI145" s="55"/>
      <c r="AJ145" s="55"/>
      <c r="AK145" s="55"/>
      <c r="AL145" s="55"/>
      <c r="AM145" s="55"/>
      <c r="AN145" s="55"/>
      <c r="AO145" s="55"/>
      <c r="AP145" s="55"/>
      <c r="AQ145" s="55"/>
      <c r="AR145" s="55"/>
      <c r="AS145" s="55"/>
      <c r="AT145" s="55"/>
      <c r="AU145" s="55"/>
      <c r="AV145" s="55"/>
      <c r="BA145" s="775" t="s">
        <v>172</v>
      </c>
      <c r="BB145" s="839">
        <v>2002</v>
      </c>
      <c r="BC145" s="775" t="s">
        <v>15</v>
      </c>
      <c r="BD145" s="775">
        <f t="shared" ref="BD145:BD155" si="12">BD156-BD134</f>
        <v>39</v>
      </c>
      <c r="BH145" s="775" t="s">
        <v>172</v>
      </c>
      <c r="BI145" s="836" t="s">
        <v>125</v>
      </c>
      <c r="BJ145" s="775" t="s">
        <v>15</v>
      </c>
      <c r="BK145" s="775">
        <f>BK156-BK134</f>
        <v>37</v>
      </c>
      <c r="BL145" s="775">
        <v>2001</v>
      </c>
      <c r="CL145" s="773"/>
      <c r="CM145" s="773"/>
      <c r="CN145" s="773"/>
      <c r="CO145" s="773"/>
      <c r="CP145" s="773"/>
      <c r="CQ145" s="773"/>
      <c r="CR145" s="773"/>
    </row>
    <row r="146" spans="35:96" ht="15.75">
      <c r="AI146" s="55"/>
      <c r="AJ146" s="55"/>
      <c r="AK146" s="55"/>
      <c r="AL146" s="55"/>
      <c r="AM146" s="55"/>
      <c r="AN146" s="55"/>
      <c r="AO146" s="55"/>
      <c r="AP146" s="55"/>
      <c r="AQ146" s="55"/>
      <c r="AR146" s="55"/>
      <c r="AS146" s="55"/>
      <c r="AT146" s="55"/>
      <c r="AU146" s="55"/>
      <c r="AV146" s="55"/>
      <c r="BA146" s="775" t="s">
        <v>172</v>
      </c>
      <c r="BB146" s="839">
        <v>2002</v>
      </c>
      <c r="BC146" s="775" t="s">
        <v>277</v>
      </c>
      <c r="BD146" s="775">
        <f t="shared" si="12"/>
        <v>24.4</v>
      </c>
      <c r="BH146" s="775" t="s">
        <v>172</v>
      </c>
      <c r="BI146" s="836" t="s">
        <v>125</v>
      </c>
      <c r="BJ146" s="775" t="s">
        <v>277</v>
      </c>
      <c r="BK146" s="775">
        <f t="shared" ref="BK146:BK155" si="13">BK157-BK135</f>
        <v>27.300000000000004</v>
      </c>
      <c r="BL146" s="775">
        <v>2001</v>
      </c>
      <c r="CL146" s="773"/>
      <c r="CM146" s="773"/>
      <c r="CN146" s="773"/>
      <c r="CO146" s="773"/>
      <c r="CP146" s="773"/>
      <c r="CQ146" s="773"/>
      <c r="CR146" s="773"/>
    </row>
    <row r="147" spans="35:96" ht="15.75">
      <c r="AI147" s="55"/>
      <c r="AJ147" s="55"/>
      <c r="AK147" s="55"/>
      <c r="AL147" s="55"/>
      <c r="AM147" s="55"/>
      <c r="AN147" s="55"/>
      <c r="AO147" s="55"/>
      <c r="AP147" s="55"/>
      <c r="AQ147" s="55"/>
      <c r="AR147" s="55"/>
      <c r="AS147" s="55"/>
      <c r="AT147" s="55"/>
      <c r="AU147" s="55"/>
      <c r="AV147" s="55"/>
      <c r="BA147" s="775" t="s">
        <v>172</v>
      </c>
      <c r="BB147" s="839">
        <v>2002</v>
      </c>
      <c r="BC147" s="775" t="s">
        <v>1064</v>
      </c>
      <c r="BD147" s="775">
        <f t="shared" si="12"/>
        <v>9.2999999999999901</v>
      </c>
      <c r="BH147" s="775" t="s">
        <v>172</v>
      </c>
      <c r="BI147" s="836" t="s">
        <v>125</v>
      </c>
      <c r="BJ147" s="775" t="s">
        <v>1064</v>
      </c>
      <c r="BK147" s="775">
        <f t="shared" si="13"/>
        <v>6.6000000000000014</v>
      </c>
      <c r="BL147" s="775">
        <v>2001</v>
      </c>
      <c r="CL147" s="773"/>
      <c r="CM147" s="773"/>
      <c r="CN147" s="773"/>
      <c r="CO147" s="773"/>
      <c r="CP147" s="773"/>
      <c r="CQ147" s="773"/>
      <c r="CR147" s="773"/>
    </row>
    <row r="148" spans="35:96" ht="15.75">
      <c r="AI148" s="55"/>
      <c r="AJ148" s="55"/>
      <c r="AK148" s="55"/>
      <c r="AL148" s="55"/>
      <c r="AM148" s="55"/>
      <c r="AN148" s="55"/>
      <c r="AO148" s="55"/>
      <c r="AP148" s="55"/>
      <c r="AQ148" s="55"/>
      <c r="AR148" s="55"/>
      <c r="AS148" s="55"/>
      <c r="AT148" s="55"/>
      <c r="AU148" s="55"/>
      <c r="AV148" s="55"/>
      <c r="BA148" s="775" t="s">
        <v>172</v>
      </c>
      <c r="BB148" s="839">
        <v>2002</v>
      </c>
      <c r="BC148" s="775" t="s">
        <v>8</v>
      </c>
      <c r="BD148" s="775">
        <f t="shared" si="12"/>
        <v>102.39999999999998</v>
      </c>
      <c r="BH148" s="775" t="s">
        <v>172</v>
      </c>
      <c r="BI148" s="836" t="s">
        <v>125</v>
      </c>
      <c r="BJ148" s="775" t="s">
        <v>8</v>
      </c>
      <c r="BK148" s="775">
        <f t="shared" si="13"/>
        <v>93.200000000000017</v>
      </c>
      <c r="BL148" s="775">
        <v>2001</v>
      </c>
      <c r="CL148" s="773"/>
      <c r="CM148" s="773"/>
      <c r="CN148" s="773"/>
      <c r="CO148" s="773"/>
      <c r="CP148" s="773"/>
      <c r="CQ148" s="773"/>
      <c r="CR148" s="773"/>
    </row>
    <row r="149" spans="35:96" ht="15.75">
      <c r="AI149" s="55"/>
      <c r="AJ149" s="55"/>
      <c r="AK149" s="55"/>
      <c r="AL149" s="55"/>
      <c r="AM149" s="55"/>
      <c r="AN149" s="55"/>
      <c r="AO149" s="55"/>
      <c r="AP149" s="55"/>
      <c r="AQ149" s="55"/>
      <c r="AR149" s="55"/>
      <c r="AS149" s="55"/>
      <c r="AT149" s="55"/>
      <c r="AU149" s="55"/>
      <c r="AV149" s="55"/>
      <c r="BA149" s="775" t="s">
        <v>172</v>
      </c>
      <c r="BB149" s="839">
        <v>2002</v>
      </c>
      <c r="BC149" s="775" t="s">
        <v>96</v>
      </c>
      <c r="BD149" s="775">
        <f t="shared" si="12"/>
        <v>23.1</v>
      </c>
      <c r="BH149" s="775" t="s">
        <v>172</v>
      </c>
      <c r="BI149" s="836" t="s">
        <v>125</v>
      </c>
      <c r="BJ149" s="775" t="s">
        <v>96</v>
      </c>
      <c r="BK149" s="775">
        <f t="shared" si="13"/>
        <v>0</v>
      </c>
      <c r="BL149" s="775">
        <v>2001</v>
      </c>
      <c r="CL149" s="773"/>
      <c r="CM149" s="773"/>
      <c r="CN149" s="773"/>
      <c r="CO149" s="773"/>
      <c r="CP149" s="773"/>
      <c r="CQ149" s="773"/>
      <c r="CR149" s="773"/>
    </row>
    <row r="150" spans="35:96" ht="15.75">
      <c r="AI150" s="55"/>
      <c r="AJ150" s="55"/>
      <c r="AK150" s="55"/>
      <c r="AL150" s="55"/>
      <c r="AM150" s="55"/>
      <c r="AN150" s="55"/>
      <c r="AO150" s="55"/>
      <c r="AP150" s="55"/>
      <c r="AQ150" s="55"/>
      <c r="AR150" s="55"/>
      <c r="AS150" s="55"/>
      <c r="AT150" s="55"/>
      <c r="AU150" s="55"/>
      <c r="AV150" s="55"/>
      <c r="BA150" s="775" t="s">
        <v>172</v>
      </c>
      <c r="BB150" s="839">
        <v>2002</v>
      </c>
      <c r="BC150" s="775" t="s">
        <v>196</v>
      </c>
      <c r="BD150" s="775">
        <f t="shared" si="12"/>
        <v>22.299999999999997</v>
      </c>
      <c r="BH150" s="775" t="s">
        <v>172</v>
      </c>
      <c r="BI150" s="836" t="s">
        <v>125</v>
      </c>
      <c r="BJ150" s="775" t="s">
        <v>196</v>
      </c>
      <c r="BK150" s="775">
        <f t="shared" si="13"/>
        <v>26.500000000000004</v>
      </c>
      <c r="BL150" s="775">
        <v>2001</v>
      </c>
      <c r="CL150" s="773"/>
      <c r="CM150" s="773"/>
      <c r="CN150" s="773"/>
      <c r="CO150" s="773"/>
      <c r="CP150" s="773"/>
      <c r="CQ150" s="773"/>
      <c r="CR150" s="773"/>
    </row>
    <row r="151" spans="35:96" ht="15.75">
      <c r="AI151" s="55"/>
      <c r="AJ151" s="55"/>
      <c r="AK151" s="55"/>
      <c r="AL151" s="55"/>
      <c r="AM151" s="55"/>
      <c r="AN151" s="55"/>
      <c r="AO151" s="55"/>
      <c r="AP151" s="55"/>
      <c r="AQ151" s="55"/>
      <c r="AR151" s="55"/>
      <c r="AS151" s="55"/>
      <c r="AT151" s="55"/>
      <c r="AU151" s="55"/>
      <c r="AV151" s="55"/>
      <c r="BA151" s="775" t="s">
        <v>172</v>
      </c>
      <c r="BB151" s="839">
        <v>2002</v>
      </c>
      <c r="BC151" s="775" t="s">
        <v>278</v>
      </c>
      <c r="BD151" s="775">
        <f t="shared" si="12"/>
        <v>8.1</v>
      </c>
      <c r="BH151" s="775" t="s">
        <v>172</v>
      </c>
      <c r="BI151" s="836" t="s">
        <v>125</v>
      </c>
      <c r="BJ151" s="775" t="s">
        <v>278</v>
      </c>
      <c r="BK151" s="775">
        <f t="shared" si="13"/>
        <v>8.6999999999999993</v>
      </c>
      <c r="BL151" s="775">
        <v>2001</v>
      </c>
      <c r="CL151" s="773"/>
      <c r="CM151" s="773"/>
      <c r="CN151" s="773"/>
      <c r="CO151" s="773"/>
      <c r="CP151" s="773"/>
      <c r="CQ151" s="773"/>
      <c r="CR151" s="773"/>
    </row>
    <row r="152" spans="35:96" ht="15.75">
      <c r="AI152" s="55"/>
      <c r="AJ152" s="55"/>
      <c r="AK152" s="55"/>
      <c r="AL152" s="55"/>
      <c r="AM152" s="55"/>
      <c r="AN152" s="55"/>
      <c r="AO152" s="55"/>
      <c r="AP152" s="55"/>
      <c r="AQ152" s="55"/>
      <c r="AR152" s="55"/>
      <c r="AS152" s="55"/>
      <c r="AT152" s="55"/>
      <c r="AU152" s="55"/>
      <c r="AV152" s="55"/>
      <c r="BA152" s="775" t="s">
        <v>172</v>
      </c>
      <c r="BB152" s="839">
        <v>2002</v>
      </c>
      <c r="BC152" s="775" t="s">
        <v>44</v>
      </c>
      <c r="BD152" s="775">
        <f t="shared" si="12"/>
        <v>61.2</v>
      </c>
      <c r="BH152" s="775" t="s">
        <v>172</v>
      </c>
      <c r="BI152" s="836" t="s">
        <v>125</v>
      </c>
      <c r="BJ152" s="775" t="s">
        <v>44</v>
      </c>
      <c r="BK152" s="775">
        <f t="shared" si="13"/>
        <v>50.4</v>
      </c>
      <c r="BL152" s="775">
        <v>2001</v>
      </c>
      <c r="CL152" s="773"/>
      <c r="CM152" s="773"/>
      <c r="CN152" s="773"/>
      <c r="CO152" s="773"/>
      <c r="CP152" s="773"/>
      <c r="CQ152" s="773"/>
      <c r="CR152" s="773"/>
    </row>
    <row r="153" spans="35:96" ht="15.75">
      <c r="AI153" s="55"/>
      <c r="AJ153" s="55"/>
      <c r="AK153" s="55"/>
      <c r="AL153" s="55"/>
      <c r="AM153" s="55"/>
      <c r="AN153" s="55"/>
      <c r="AO153" s="55"/>
      <c r="AP153" s="55"/>
      <c r="AQ153" s="55"/>
      <c r="AR153" s="55"/>
      <c r="AS153" s="55"/>
      <c r="AT153" s="55"/>
      <c r="AU153" s="55"/>
      <c r="AV153" s="55"/>
      <c r="BA153" s="775" t="s">
        <v>172</v>
      </c>
      <c r="BB153" s="839">
        <v>2002</v>
      </c>
      <c r="BC153" s="775" t="s">
        <v>45</v>
      </c>
      <c r="BD153" s="775">
        <f t="shared" si="12"/>
        <v>10.000000000000004</v>
      </c>
      <c r="BH153" s="775" t="s">
        <v>172</v>
      </c>
      <c r="BI153" s="836" t="s">
        <v>125</v>
      </c>
      <c r="BJ153" s="775" t="s">
        <v>45</v>
      </c>
      <c r="BK153" s="775">
        <f t="shared" si="13"/>
        <v>14.199999999999996</v>
      </c>
      <c r="BL153" s="775">
        <v>2001</v>
      </c>
      <c r="CL153" s="773"/>
      <c r="CM153" s="773"/>
      <c r="CN153" s="773"/>
      <c r="CO153" s="773"/>
      <c r="CP153" s="773"/>
      <c r="CQ153" s="773"/>
      <c r="CR153" s="773"/>
    </row>
    <row r="154" spans="35:96" ht="15.75">
      <c r="AI154" s="55"/>
      <c r="AJ154" s="55"/>
      <c r="AK154" s="55"/>
      <c r="AL154" s="55"/>
      <c r="AM154" s="55"/>
      <c r="AN154" s="55"/>
      <c r="AO154" s="55"/>
      <c r="AP154" s="55"/>
      <c r="AQ154" s="55"/>
      <c r="AR154" s="55"/>
      <c r="AS154" s="55"/>
      <c r="AT154" s="55"/>
      <c r="AU154" s="55"/>
      <c r="AV154" s="55"/>
      <c r="BA154" s="775" t="s">
        <v>172</v>
      </c>
      <c r="BB154" s="839">
        <v>2002</v>
      </c>
      <c r="BC154" s="775" t="s">
        <v>48</v>
      </c>
      <c r="BD154" s="775">
        <f t="shared" si="12"/>
        <v>7.9999999999999982</v>
      </c>
      <c r="BH154" s="775" t="s">
        <v>172</v>
      </c>
      <c r="BI154" s="836" t="s">
        <v>125</v>
      </c>
      <c r="BJ154" s="775" t="s">
        <v>48</v>
      </c>
      <c r="BK154" s="775">
        <f t="shared" si="13"/>
        <v>6</v>
      </c>
      <c r="BL154" s="775">
        <v>2001</v>
      </c>
      <c r="CL154" s="773"/>
      <c r="CM154" s="773"/>
      <c r="CN154" s="773"/>
      <c r="CO154" s="773"/>
      <c r="CP154" s="773"/>
      <c r="CQ154" s="773"/>
      <c r="CR154" s="773"/>
    </row>
    <row r="155" spans="35:96" ht="15.75">
      <c r="AI155" s="55"/>
      <c r="AJ155" s="55"/>
      <c r="AK155" s="55"/>
      <c r="AL155" s="55"/>
      <c r="AM155" s="55"/>
      <c r="AN155" s="55"/>
      <c r="AO155" s="55"/>
      <c r="AP155" s="55"/>
      <c r="AQ155" s="55"/>
      <c r="AR155" s="55"/>
      <c r="AS155" s="55"/>
      <c r="AT155" s="55"/>
      <c r="AU155" s="55"/>
      <c r="AV155" s="55"/>
      <c r="BA155" s="775" t="s">
        <v>172</v>
      </c>
      <c r="BB155" s="839">
        <v>2002</v>
      </c>
      <c r="BC155" s="775" t="s">
        <v>97</v>
      </c>
      <c r="BD155" s="775">
        <f t="shared" si="12"/>
        <v>282.70000000000005</v>
      </c>
      <c r="BH155" s="775" t="s">
        <v>172</v>
      </c>
      <c r="BI155" s="836" t="s">
        <v>125</v>
      </c>
      <c r="BJ155" s="775" t="s">
        <v>97</v>
      </c>
      <c r="BK155" s="775">
        <f t="shared" si="13"/>
        <v>259.5</v>
      </c>
      <c r="BL155" s="775">
        <v>2001</v>
      </c>
      <c r="CL155" s="773"/>
      <c r="CM155" s="773"/>
      <c r="CN155" s="773"/>
      <c r="CO155" s="773"/>
      <c r="CP155" s="773"/>
      <c r="CQ155" s="773"/>
      <c r="CR155" s="773"/>
    </row>
    <row r="156" spans="35:96" ht="15.75">
      <c r="AI156" s="55"/>
      <c r="AJ156" s="55"/>
      <c r="AK156" s="55"/>
      <c r="AL156" s="55"/>
      <c r="AM156" s="55"/>
      <c r="AN156" s="55"/>
      <c r="AO156" s="55"/>
      <c r="AP156" s="55"/>
      <c r="AQ156" s="55"/>
      <c r="AR156" s="55"/>
      <c r="AS156" s="55"/>
      <c r="AT156" s="55"/>
      <c r="AU156" s="55"/>
      <c r="AV156" s="55"/>
      <c r="BA156" s="775" t="s">
        <v>170</v>
      </c>
      <c r="BB156" s="839">
        <v>2002</v>
      </c>
      <c r="BC156" s="775" t="s">
        <v>15</v>
      </c>
      <c r="BD156" s="775">
        <v>42.4</v>
      </c>
      <c r="BH156" s="775" t="s">
        <v>170</v>
      </c>
      <c r="BI156" s="836" t="s">
        <v>125</v>
      </c>
      <c r="BJ156" s="775" t="s">
        <v>15</v>
      </c>
      <c r="BK156" s="838">
        <v>41.5</v>
      </c>
      <c r="BL156" s="775">
        <v>2001</v>
      </c>
      <c r="CL156" s="773"/>
      <c r="CM156" s="773"/>
      <c r="CN156" s="773"/>
      <c r="CO156" s="773"/>
      <c r="CP156" s="773"/>
      <c r="CQ156" s="773"/>
      <c r="CR156" s="773"/>
    </row>
    <row r="157" spans="35:96" ht="15.75">
      <c r="AI157" s="55"/>
      <c r="AJ157" s="55"/>
      <c r="AK157" s="55"/>
      <c r="AL157" s="55"/>
      <c r="AM157" s="55"/>
      <c r="AN157" s="55"/>
      <c r="AO157" s="55"/>
      <c r="AP157" s="55"/>
      <c r="AQ157" s="55"/>
      <c r="AR157" s="55"/>
      <c r="AS157" s="55"/>
      <c r="AT157" s="55"/>
      <c r="AU157" s="55"/>
      <c r="AV157" s="55"/>
      <c r="BA157" s="775" t="s">
        <v>170</v>
      </c>
      <c r="BB157" s="839">
        <v>2002</v>
      </c>
      <c r="BC157" s="775" t="s">
        <v>277</v>
      </c>
      <c r="BD157" s="775">
        <v>36.1</v>
      </c>
      <c r="BH157" s="775" t="s">
        <v>170</v>
      </c>
      <c r="BI157" s="836" t="s">
        <v>125</v>
      </c>
      <c r="BJ157" s="775" t="s">
        <v>277</v>
      </c>
      <c r="BK157" s="838">
        <v>37.700000000000003</v>
      </c>
      <c r="BL157" s="775">
        <v>2001</v>
      </c>
      <c r="CL157" s="773"/>
      <c r="CM157" s="773"/>
      <c r="CN157" s="773"/>
      <c r="CO157" s="773"/>
      <c r="CP157" s="773"/>
      <c r="CQ157" s="773"/>
      <c r="CR157" s="773"/>
    </row>
    <row r="158" spans="35:96" ht="15.75">
      <c r="AI158" s="55"/>
      <c r="AJ158" s="55"/>
      <c r="AK158" s="55"/>
      <c r="AL158" s="55"/>
      <c r="AM158" s="55"/>
      <c r="AN158" s="55"/>
      <c r="AO158" s="55"/>
      <c r="AP158" s="55"/>
      <c r="AQ158" s="55"/>
      <c r="AR158" s="55"/>
      <c r="AS158" s="55"/>
      <c r="AT158" s="55"/>
      <c r="AU158" s="55"/>
      <c r="AV158" s="55"/>
      <c r="BA158" s="775" t="s">
        <v>170</v>
      </c>
      <c r="BB158" s="839">
        <v>2002</v>
      </c>
      <c r="BC158" s="775" t="s">
        <v>1064</v>
      </c>
      <c r="BD158" s="775">
        <v>54.699999999999996</v>
      </c>
      <c r="BH158" s="775" t="s">
        <v>170</v>
      </c>
      <c r="BI158" s="836" t="s">
        <v>125</v>
      </c>
      <c r="BJ158" s="775" t="s">
        <v>1064</v>
      </c>
      <c r="BK158" s="838">
        <v>53.7</v>
      </c>
      <c r="BL158" s="775">
        <v>2001</v>
      </c>
      <c r="CL158" s="773"/>
      <c r="CM158" s="773"/>
      <c r="CN158" s="773"/>
      <c r="CO158" s="773"/>
      <c r="CP158" s="773"/>
      <c r="CQ158" s="773"/>
      <c r="CR158" s="773"/>
    </row>
    <row r="159" spans="35:96" ht="15.75">
      <c r="AI159" s="55"/>
      <c r="AJ159" s="55"/>
      <c r="AK159" s="55"/>
      <c r="AL159" s="55"/>
      <c r="AM159" s="55"/>
      <c r="AN159" s="55"/>
      <c r="AO159" s="55"/>
      <c r="AP159" s="55"/>
      <c r="AQ159" s="55"/>
      <c r="AR159" s="55"/>
      <c r="AS159" s="55"/>
      <c r="AT159" s="55"/>
      <c r="AU159" s="55"/>
      <c r="AV159" s="55"/>
      <c r="BA159" s="775" t="s">
        <v>170</v>
      </c>
      <c r="BB159" s="839">
        <v>2002</v>
      </c>
      <c r="BC159" s="775" t="s">
        <v>8</v>
      </c>
      <c r="BD159" s="775">
        <v>355.2</v>
      </c>
      <c r="BH159" s="775" t="s">
        <v>170</v>
      </c>
      <c r="BI159" s="836" t="s">
        <v>125</v>
      </c>
      <c r="BJ159" s="775" t="s">
        <v>8</v>
      </c>
      <c r="BK159" s="838">
        <v>331.3</v>
      </c>
      <c r="BL159" s="775">
        <v>2001</v>
      </c>
      <c r="CL159" s="773"/>
      <c r="CM159" s="773"/>
      <c r="CN159" s="773"/>
      <c r="CO159" s="773"/>
      <c r="CP159" s="773"/>
      <c r="CQ159" s="773"/>
      <c r="CR159" s="773"/>
    </row>
    <row r="160" spans="35:96" ht="15.75">
      <c r="AI160" s="55"/>
      <c r="AJ160" s="55"/>
      <c r="AK160" s="55"/>
      <c r="AL160" s="55"/>
      <c r="AM160" s="55"/>
      <c r="AN160" s="55"/>
      <c r="AO160" s="55"/>
      <c r="AP160" s="55"/>
      <c r="AQ160" s="55"/>
      <c r="AR160" s="55"/>
      <c r="AS160" s="55"/>
      <c r="AT160" s="55"/>
      <c r="AU160" s="55"/>
      <c r="AV160" s="55"/>
      <c r="BA160" s="775" t="s">
        <v>170</v>
      </c>
      <c r="BB160" s="839">
        <v>2002</v>
      </c>
      <c r="BC160" s="775" t="s">
        <v>96</v>
      </c>
      <c r="BD160" s="775">
        <v>37</v>
      </c>
      <c r="BH160" s="775" t="s">
        <v>170</v>
      </c>
      <c r="BI160" s="836" t="s">
        <v>125</v>
      </c>
      <c r="BJ160" s="775" t="s">
        <v>96</v>
      </c>
      <c r="BK160" s="838">
        <v>25.200000000000003</v>
      </c>
      <c r="BL160" s="775">
        <v>2001</v>
      </c>
      <c r="CL160" s="773"/>
      <c r="CM160" s="773"/>
      <c r="CN160" s="773"/>
      <c r="CO160" s="773"/>
      <c r="CP160" s="773"/>
      <c r="CQ160" s="773"/>
      <c r="CR160" s="773"/>
    </row>
    <row r="161" spans="35:96" ht="15.75">
      <c r="AI161" s="55"/>
      <c r="AJ161" s="55"/>
      <c r="AK161" s="55"/>
      <c r="AL161" s="55"/>
      <c r="AM161" s="55"/>
      <c r="AN161" s="55"/>
      <c r="AO161" s="55"/>
      <c r="AP161" s="55"/>
      <c r="AQ161" s="55"/>
      <c r="AR161" s="55"/>
      <c r="AS161" s="55"/>
      <c r="AT161" s="55"/>
      <c r="AU161" s="55"/>
      <c r="AV161" s="55"/>
      <c r="BA161" s="775" t="s">
        <v>170</v>
      </c>
      <c r="BB161" s="839">
        <v>2002</v>
      </c>
      <c r="BC161" s="775" t="s">
        <v>196</v>
      </c>
      <c r="BD161" s="775">
        <v>30.7</v>
      </c>
      <c r="BH161" s="775" t="s">
        <v>170</v>
      </c>
      <c r="BI161" s="836" t="s">
        <v>125</v>
      </c>
      <c r="BJ161" s="775" t="s">
        <v>196</v>
      </c>
      <c r="BK161" s="838">
        <v>33.200000000000003</v>
      </c>
      <c r="BL161" s="775">
        <v>2001</v>
      </c>
      <c r="CL161" s="773"/>
      <c r="CM161" s="773"/>
      <c r="CN161" s="773"/>
      <c r="CO161" s="773"/>
      <c r="CP161" s="773"/>
      <c r="CQ161" s="773"/>
      <c r="CR161" s="773"/>
    </row>
    <row r="162" spans="35:96" ht="15.75">
      <c r="AI162" s="55"/>
      <c r="AJ162" s="55"/>
      <c r="AK162" s="55"/>
      <c r="AL162" s="55"/>
      <c r="AM162" s="55"/>
      <c r="AN162" s="55"/>
      <c r="AO162" s="55"/>
      <c r="AP162" s="55"/>
      <c r="AQ162" s="55"/>
      <c r="AR162" s="55"/>
      <c r="AS162" s="55"/>
      <c r="AT162" s="55"/>
      <c r="AU162" s="55"/>
      <c r="AV162" s="55"/>
      <c r="BA162" s="775" t="s">
        <v>170</v>
      </c>
      <c r="BB162" s="839">
        <v>2002</v>
      </c>
      <c r="BC162" s="775" t="s">
        <v>278</v>
      </c>
      <c r="BD162" s="775">
        <v>8.1</v>
      </c>
      <c r="BH162" s="775" t="s">
        <v>170</v>
      </c>
      <c r="BI162" s="836" t="s">
        <v>125</v>
      </c>
      <c r="BJ162" s="775" t="s">
        <v>278</v>
      </c>
      <c r="BK162" s="838">
        <v>8.6999999999999993</v>
      </c>
      <c r="BL162" s="775">
        <v>2001</v>
      </c>
      <c r="CL162" s="773"/>
      <c r="CM162" s="773"/>
      <c r="CN162" s="773"/>
      <c r="CO162" s="773"/>
      <c r="CP162" s="773"/>
      <c r="CQ162" s="773"/>
      <c r="CR162" s="773"/>
    </row>
    <row r="163" spans="35:96" ht="15.75">
      <c r="AI163" s="55"/>
      <c r="AJ163" s="55"/>
      <c r="AK163" s="55"/>
      <c r="AL163" s="55"/>
      <c r="AM163" s="55"/>
      <c r="AN163" s="55"/>
      <c r="AO163" s="55"/>
      <c r="AP163" s="55"/>
      <c r="AQ163" s="55"/>
      <c r="AR163" s="55"/>
      <c r="AS163" s="55"/>
      <c r="AT163" s="55"/>
      <c r="AU163" s="55"/>
      <c r="AV163" s="55"/>
      <c r="BA163" s="775" t="s">
        <v>170</v>
      </c>
      <c r="BB163" s="839">
        <v>2002</v>
      </c>
      <c r="BC163" s="775" t="s">
        <v>44</v>
      </c>
      <c r="BD163" s="775">
        <v>61.2</v>
      </c>
      <c r="BH163" s="775" t="s">
        <v>170</v>
      </c>
      <c r="BI163" s="836" t="s">
        <v>125</v>
      </c>
      <c r="BJ163" s="775" t="s">
        <v>44</v>
      </c>
      <c r="BK163" s="838">
        <v>50.4</v>
      </c>
      <c r="BL163" s="775">
        <v>2001</v>
      </c>
      <c r="CL163" s="773"/>
      <c r="CM163" s="773"/>
      <c r="CN163" s="773"/>
      <c r="CO163" s="773"/>
      <c r="CP163" s="773"/>
      <c r="CQ163" s="773"/>
      <c r="CR163" s="773"/>
    </row>
    <row r="164" spans="35:96" ht="15.75">
      <c r="AI164" s="55"/>
      <c r="AJ164" s="55"/>
      <c r="AK164" s="55"/>
      <c r="AL164" s="55"/>
      <c r="AM164" s="55"/>
      <c r="AN164" s="55"/>
      <c r="AO164" s="55"/>
      <c r="AP164" s="55"/>
      <c r="AQ164" s="55"/>
      <c r="AR164" s="55"/>
      <c r="AS164" s="55"/>
      <c r="AT164" s="55"/>
      <c r="AU164" s="55"/>
      <c r="AV164" s="55"/>
      <c r="BA164" s="775" t="s">
        <v>170</v>
      </c>
      <c r="BB164" s="839">
        <v>2002</v>
      </c>
      <c r="BC164" s="775" t="s">
        <v>45</v>
      </c>
      <c r="BD164" s="775">
        <v>32.6</v>
      </c>
      <c r="BH164" s="775" t="s">
        <v>170</v>
      </c>
      <c r="BI164" s="836" t="s">
        <v>125</v>
      </c>
      <c r="BJ164" s="775" t="s">
        <v>45</v>
      </c>
      <c r="BK164" s="838">
        <v>35.4</v>
      </c>
      <c r="BL164" s="775">
        <v>2001</v>
      </c>
      <c r="CL164" s="773"/>
      <c r="CM164" s="773"/>
      <c r="CN164" s="773"/>
      <c r="CO164" s="773"/>
      <c r="CP164" s="773"/>
      <c r="CQ164" s="773"/>
      <c r="CR164" s="773"/>
    </row>
    <row r="165" spans="35:96" ht="15.75">
      <c r="AI165" s="55"/>
      <c r="AJ165" s="55"/>
      <c r="AK165" s="55"/>
      <c r="AL165" s="55"/>
      <c r="AM165" s="55"/>
      <c r="AN165" s="55"/>
      <c r="AO165" s="55"/>
      <c r="AP165" s="55"/>
      <c r="AQ165" s="55"/>
      <c r="AR165" s="55"/>
      <c r="AS165" s="55"/>
      <c r="AT165" s="55"/>
      <c r="AU165" s="55"/>
      <c r="AV165" s="55"/>
      <c r="BA165" s="775" t="s">
        <v>170</v>
      </c>
      <c r="BB165" s="839">
        <v>2002</v>
      </c>
      <c r="BC165" s="775" t="s">
        <v>48</v>
      </c>
      <c r="BD165" s="775">
        <v>20.399999999999999</v>
      </c>
      <c r="BH165" s="775" t="s">
        <v>170</v>
      </c>
      <c r="BI165" s="836" t="s">
        <v>125</v>
      </c>
      <c r="BJ165" s="775" t="s">
        <v>48</v>
      </c>
      <c r="BK165" s="838">
        <v>23.5</v>
      </c>
      <c r="BL165" s="775">
        <v>2001</v>
      </c>
      <c r="CL165" s="773"/>
      <c r="CM165" s="773"/>
      <c r="CN165" s="773"/>
      <c r="CO165" s="773"/>
      <c r="CP165" s="773"/>
      <c r="CQ165" s="773"/>
      <c r="CR165" s="773"/>
    </row>
    <row r="166" spans="35:96" ht="15.75">
      <c r="AI166" s="55"/>
      <c r="AJ166" s="55"/>
      <c r="AK166" s="55"/>
      <c r="AL166" s="55"/>
      <c r="AM166" s="55"/>
      <c r="AN166" s="55"/>
      <c r="AO166" s="55"/>
      <c r="AP166" s="55"/>
      <c r="AQ166" s="55"/>
      <c r="AR166" s="55"/>
      <c r="AS166" s="55"/>
      <c r="AT166" s="55"/>
      <c r="AU166" s="55"/>
      <c r="AV166" s="55"/>
      <c r="BA166" s="775" t="s">
        <v>170</v>
      </c>
      <c r="BB166" s="839">
        <v>2002</v>
      </c>
      <c r="BC166" s="775" t="s">
        <v>97</v>
      </c>
      <c r="BD166" s="775">
        <v>678.2</v>
      </c>
      <c r="BH166" s="775" t="s">
        <v>170</v>
      </c>
      <c r="BI166" s="836" t="s">
        <v>125</v>
      </c>
      <c r="BJ166" s="775" t="s">
        <v>97</v>
      </c>
      <c r="BK166" s="838">
        <v>640.6</v>
      </c>
      <c r="BL166" s="775">
        <v>2001</v>
      </c>
      <c r="CL166" s="773"/>
      <c r="CM166" s="773"/>
      <c r="CN166" s="773"/>
      <c r="CO166" s="773"/>
      <c r="CP166" s="773"/>
      <c r="CQ166" s="773"/>
      <c r="CR166" s="773"/>
    </row>
    <row r="167" spans="35:96" ht="15.75">
      <c r="AI167" s="55"/>
      <c r="AJ167" s="55"/>
      <c r="AK167" s="55"/>
      <c r="AL167" s="55"/>
      <c r="AM167" s="55"/>
      <c r="AN167" s="55"/>
      <c r="AO167" s="55"/>
      <c r="AP167" s="55"/>
      <c r="AQ167" s="55"/>
      <c r="AR167" s="55"/>
      <c r="AS167" s="55"/>
      <c r="AT167" s="55"/>
      <c r="AU167" s="55"/>
      <c r="AV167" s="55"/>
      <c r="BA167" s="775" t="s">
        <v>38</v>
      </c>
      <c r="BB167" s="839">
        <v>2003</v>
      </c>
      <c r="BC167" s="775" t="s">
        <v>15</v>
      </c>
      <c r="BD167" s="840">
        <v>1.3</v>
      </c>
      <c r="BH167" s="775" t="s">
        <v>38</v>
      </c>
      <c r="BI167" s="836" t="s">
        <v>126</v>
      </c>
      <c r="BJ167" s="775" t="s">
        <v>15</v>
      </c>
      <c r="BK167" s="776">
        <v>2.7</v>
      </c>
      <c r="BL167" s="775">
        <v>2002</v>
      </c>
      <c r="CL167" s="773"/>
      <c r="CM167" s="773"/>
      <c r="CN167" s="773"/>
      <c r="CO167" s="773"/>
      <c r="CP167" s="773"/>
      <c r="CQ167" s="773"/>
      <c r="CR167" s="773"/>
    </row>
    <row r="168" spans="35:96" ht="15.75">
      <c r="AI168" s="55"/>
      <c r="AJ168" s="55"/>
      <c r="AK168" s="55"/>
      <c r="AL168" s="55"/>
      <c r="AM168" s="55"/>
      <c r="AN168" s="55"/>
      <c r="AO168" s="55"/>
      <c r="AP168" s="55"/>
      <c r="AQ168" s="55"/>
      <c r="AR168" s="55"/>
      <c r="AS168" s="55"/>
      <c r="AT168" s="55"/>
      <c r="AU168" s="55"/>
      <c r="AV168" s="55"/>
      <c r="BA168" s="775" t="s">
        <v>38</v>
      </c>
      <c r="BB168" s="839">
        <v>2003</v>
      </c>
      <c r="BC168" s="775" t="s">
        <v>277</v>
      </c>
      <c r="BD168" s="840">
        <v>4.8000000000000007</v>
      </c>
      <c r="BH168" s="775" t="s">
        <v>38</v>
      </c>
      <c r="BI168" s="836" t="s">
        <v>126</v>
      </c>
      <c r="BJ168" s="775" t="s">
        <v>277</v>
      </c>
      <c r="BK168" s="776">
        <v>9.5</v>
      </c>
      <c r="BL168" s="775">
        <v>2002</v>
      </c>
      <c r="CL168" s="773"/>
      <c r="CM168" s="773"/>
      <c r="CN168" s="773"/>
      <c r="CO168" s="773"/>
      <c r="CP168" s="773"/>
      <c r="CQ168" s="773"/>
      <c r="CR168" s="773"/>
    </row>
    <row r="169" spans="35:96" ht="15.75">
      <c r="AI169" s="55"/>
      <c r="AJ169" s="55"/>
      <c r="AK169" s="55"/>
      <c r="AL169" s="55"/>
      <c r="AM169" s="55"/>
      <c r="AN169" s="55"/>
      <c r="AO169" s="55"/>
      <c r="AP169" s="55"/>
      <c r="AQ169" s="55"/>
      <c r="AR169" s="55"/>
      <c r="AS169" s="55"/>
      <c r="AT169" s="55"/>
      <c r="AU169" s="55"/>
      <c r="AV169" s="55"/>
      <c r="BA169" s="775" t="s">
        <v>38</v>
      </c>
      <c r="BB169" s="839">
        <v>2003</v>
      </c>
      <c r="BC169" s="775" t="s">
        <v>1064</v>
      </c>
      <c r="BD169" s="840">
        <v>60.699999999999996</v>
      </c>
      <c r="BH169" s="775" t="s">
        <v>38</v>
      </c>
      <c r="BI169" s="836" t="s">
        <v>126</v>
      </c>
      <c r="BJ169" s="775" t="s">
        <v>1064</v>
      </c>
      <c r="BK169" s="776">
        <v>54.099999999999994</v>
      </c>
      <c r="BL169" s="775">
        <v>2002</v>
      </c>
      <c r="CL169" s="773"/>
      <c r="CM169" s="773"/>
      <c r="CN169" s="773"/>
      <c r="CO169" s="773"/>
      <c r="CP169" s="773"/>
      <c r="CQ169" s="773"/>
      <c r="CR169" s="773"/>
    </row>
    <row r="170" spans="35:96" ht="15.75">
      <c r="AI170" s="55"/>
      <c r="AJ170" s="55"/>
      <c r="AK170" s="55"/>
      <c r="AL170" s="55"/>
      <c r="AM170" s="55"/>
      <c r="AN170" s="55"/>
      <c r="AO170" s="55"/>
      <c r="AP170" s="55"/>
      <c r="AQ170" s="55"/>
      <c r="AR170" s="55"/>
      <c r="AS170" s="55"/>
      <c r="AT170" s="55"/>
      <c r="AU170" s="55"/>
      <c r="AV170" s="55"/>
      <c r="BA170" s="775" t="s">
        <v>38</v>
      </c>
      <c r="BB170" s="839">
        <v>2003</v>
      </c>
      <c r="BC170" s="775" t="s">
        <v>8</v>
      </c>
      <c r="BD170" s="840">
        <v>260.10000000000002</v>
      </c>
      <c r="BH170" s="775" t="s">
        <v>38</v>
      </c>
      <c r="BI170" s="836" t="s">
        <v>126</v>
      </c>
      <c r="BJ170" s="775" t="s">
        <v>8</v>
      </c>
      <c r="BK170" s="776">
        <v>265.59999999999997</v>
      </c>
      <c r="BL170" s="775">
        <v>2002</v>
      </c>
      <c r="CL170" s="773"/>
      <c r="CM170" s="773"/>
      <c r="CN170" s="773"/>
      <c r="CO170" s="773"/>
      <c r="CP170" s="773"/>
      <c r="CQ170" s="773"/>
      <c r="CR170" s="773"/>
    </row>
    <row r="171" spans="35:96" ht="15.75">
      <c r="AI171" s="55"/>
      <c r="AJ171" s="55"/>
      <c r="AK171" s="55"/>
      <c r="AL171" s="55"/>
      <c r="AM171" s="55"/>
      <c r="AN171" s="55"/>
      <c r="AO171" s="55"/>
      <c r="AP171" s="55"/>
      <c r="AQ171" s="55"/>
      <c r="AR171" s="55"/>
      <c r="AS171" s="55"/>
      <c r="AT171" s="55"/>
      <c r="AU171" s="55"/>
      <c r="AV171" s="55"/>
      <c r="BA171" s="775" t="s">
        <v>38</v>
      </c>
      <c r="BB171" s="839">
        <v>2003</v>
      </c>
      <c r="BC171" s="775" t="s">
        <v>96</v>
      </c>
      <c r="BD171" s="840">
        <v>11.2</v>
      </c>
      <c r="BH171" s="775" t="s">
        <v>38</v>
      </c>
      <c r="BI171" s="836" t="s">
        <v>126</v>
      </c>
      <c r="BJ171" s="775" t="s">
        <v>96</v>
      </c>
      <c r="BK171" s="776">
        <v>11.2</v>
      </c>
      <c r="BL171" s="775">
        <v>2002</v>
      </c>
      <c r="CL171" s="773"/>
      <c r="CM171" s="773"/>
      <c r="CN171" s="773"/>
      <c r="CO171" s="773"/>
      <c r="CP171" s="773"/>
      <c r="CQ171" s="773"/>
      <c r="CR171" s="773"/>
    </row>
    <row r="172" spans="35:96" ht="15.75">
      <c r="AI172" s="55"/>
      <c r="AJ172" s="55"/>
      <c r="AK172" s="55"/>
      <c r="AL172" s="55"/>
      <c r="AM172" s="55"/>
      <c r="AN172" s="55"/>
      <c r="AO172" s="55"/>
      <c r="AP172" s="55"/>
      <c r="AQ172" s="55"/>
      <c r="AR172" s="55"/>
      <c r="AS172" s="55"/>
      <c r="AT172" s="55"/>
      <c r="AU172" s="55"/>
      <c r="AV172" s="55"/>
      <c r="BA172" s="775" t="s">
        <v>38</v>
      </c>
      <c r="BB172" s="839">
        <v>2003</v>
      </c>
      <c r="BC172" s="775" t="s">
        <v>196</v>
      </c>
      <c r="BD172" s="840">
        <v>7.1999999999999993</v>
      </c>
      <c r="BH172" s="775" t="s">
        <v>38</v>
      </c>
      <c r="BI172" s="836" t="s">
        <v>126</v>
      </c>
      <c r="BJ172" s="775" t="s">
        <v>196</v>
      </c>
      <c r="BK172" s="776">
        <v>5.5</v>
      </c>
      <c r="BL172" s="775">
        <v>2002</v>
      </c>
      <c r="CL172" s="773"/>
      <c r="CM172" s="773"/>
      <c r="CN172" s="773"/>
      <c r="CO172" s="773"/>
      <c r="CP172" s="773"/>
      <c r="CQ172" s="773"/>
      <c r="CR172" s="773"/>
    </row>
    <row r="173" spans="35:96" ht="15.75">
      <c r="AI173" s="55"/>
      <c r="AJ173" s="55"/>
      <c r="AK173" s="55"/>
      <c r="AL173" s="55"/>
      <c r="AM173" s="55"/>
      <c r="AN173" s="55"/>
      <c r="AO173" s="55"/>
      <c r="AP173" s="55"/>
      <c r="AQ173" s="55"/>
      <c r="AR173" s="55"/>
      <c r="AS173" s="55"/>
      <c r="AT173" s="55"/>
      <c r="AU173" s="55"/>
      <c r="AV173" s="55"/>
      <c r="BA173" s="775" t="s">
        <v>38</v>
      </c>
      <c r="BB173" s="839">
        <v>2003</v>
      </c>
      <c r="BC173" s="775" t="s">
        <v>278</v>
      </c>
      <c r="BD173" s="840">
        <v>0</v>
      </c>
      <c r="BH173" s="775" t="s">
        <v>38</v>
      </c>
      <c r="BI173" s="836" t="s">
        <v>126</v>
      </c>
      <c r="BJ173" s="775" t="s">
        <v>278</v>
      </c>
      <c r="BK173" s="776">
        <v>0</v>
      </c>
      <c r="BL173" s="775">
        <v>2002</v>
      </c>
      <c r="CL173" s="773"/>
      <c r="CM173" s="773"/>
      <c r="CN173" s="773"/>
      <c r="CO173" s="773"/>
      <c r="CP173" s="773"/>
      <c r="CQ173" s="773"/>
      <c r="CR173" s="773"/>
    </row>
    <row r="174" spans="35:96" ht="15.75">
      <c r="AI174" s="55"/>
      <c r="AJ174" s="55"/>
      <c r="AK174" s="55"/>
      <c r="AL174" s="55"/>
      <c r="AM174" s="55"/>
      <c r="AN174" s="55"/>
      <c r="AO174" s="55"/>
      <c r="AP174" s="55"/>
      <c r="AQ174" s="55"/>
      <c r="AR174" s="55"/>
      <c r="AS174" s="55"/>
      <c r="AT174" s="55"/>
      <c r="AU174" s="55"/>
      <c r="AV174" s="55"/>
      <c r="BA174" s="775" t="s">
        <v>38</v>
      </c>
      <c r="BB174" s="839">
        <v>2003</v>
      </c>
      <c r="BC174" s="775" t="s">
        <v>44</v>
      </c>
      <c r="BD174" s="840">
        <v>0</v>
      </c>
      <c r="BH174" s="775" t="s">
        <v>38</v>
      </c>
      <c r="BI174" s="836" t="s">
        <v>126</v>
      </c>
      <c r="BJ174" s="775" t="s">
        <v>44</v>
      </c>
      <c r="BK174" s="776">
        <v>0</v>
      </c>
      <c r="BL174" s="775">
        <v>2002</v>
      </c>
      <c r="CL174" s="773"/>
      <c r="CM174" s="773"/>
      <c r="CN174" s="773"/>
      <c r="CO174" s="773"/>
      <c r="CP174" s="773"/>
      <c r="CQ174" s="773"/>
      <c r="CR174" s="773"/>
    </row>
    <row r="175" spans="35:96" ht="15.75">
      <c r="AI175" s="55"/>
      <c r="AJ175" s="55"/>
      <c r="AK175" s="55"/>
      <c r="AL175" s="55"/>
      <c r="AM175" s="55"/>
      <c r="AN175" s="55"/>
      <c r="AO175" s="55"/>
      <c r="AP175" s="55"/>
      <c r="AQ175" s="55"/>
      <c r="AR175" s="55"/>
      <c r="AS175" s="55"/>
      <c r="AT175" s="55"/>
      <c r="AU175" s="55"/>
      <c r="AV175" s="55"/>
      <c r="BA175" s="775" t="s">
        <v>38</v>
      </c>
      <c r="BB175" s="839">
        <v>2003</v>
      </c>
      <c r="BC175" s="775" t="s">
        <v>45</v>
      </c>
      <c r="BD175" s="841">
        <v>17.3</v>
      </c>
      <c r="BH175" s="775" t="s">
        <v>38</v>
      </c>
      <c r="BI175" s="836" t="s">
        <v>126</v>
      </c>
      <c r="BJ175" s="775" t="s">
        <v>45</v>
      </c>
      <c r="BK175" s="776">
        <v>17.8</v>
      </c>
      <c r="BL175" s="775">
        <v>2002</v>
      </c>
      <c r="CL175" s="773"/>
      <c r="CM175" s="773"/>
      <c r="CN175" s="773"/>
      <c r="CO175" s="773"/>
      <c r="CP175" s="773"/>
      <c r="CQ175" s="773"/>
      <c r="CR175" s="773"/>
    </row>
    <row r="176" spans="35:96" ht="15.75">
      <c r="AI176" s="55"/>
      <c r="AJ176" s="55"/>
      <c r="AK176" s="55"/>
      <c r="AL176" s="55"/>
      <c r="AM176" s="55"/>
      <c r="AN176" s="55"/>
      <c r="AO176" s="55"/>
      <c r="AP176" s="55"/>
      <c r="AQ176" s="55"/>
      <c r="AR176" s="55"/>
      <c r="AS176" s="55"/>
      <c r="AT176" s="55"/>
      <c r="AU176" s="55"/>
      <c r="AV176" s="55"/>
      <c r="BA176" s="775" t="s">
        <v>38</v>
      </c>
      <c r="BB176" s="839">
        <v>2003</v>
      </c>
      <c r="BC176" s="775" t="s">
        <v>48</v>
      </c>
      <c r="BD176" s="841">
        <v>15.6</v>
      </c>
      <c r="BH176" s="775" t="s">
        <v>38</v>
      </c>
      <c r="BI176" s="836" t="s">
        <v>126</v>
      </c>
      <c r="BJ176" s="775" t="s">
        <v>48</v>
      </c>
      <c r="BK176" s="776">
        <v>12.9</v>
      </c>
      <c r="BL176" s="775">
        <v>2002</v>
      </c>
      <c r="CL176" s="773"/>
      <c r="CM176" s="773"/>
      <c r="CN176" s="773"/>
      <c r="CO176" s="773"/>
      <c r="CP176" s="773"/>
      <c r="CQ176" s="773"/>
      <c r="CR176" s="773"/>
    </row>
    <row r="177" spans="35:96" ht="15.75">
      <c r="AI177" s="55"/>
      <c r="AJ177" s="55"/>
      <c r="AK177" s="55"/>
      <c r="AL177" s="55"/>
      <c r="AM177" s="55"/>
      <c r="AN177" s="55"/>
      <c r="AO177" s="55"/>
      <c r="AP177" s="55"/>
      <c r="AQ177" s="55"/>
      <c r="AR177" s="55"/>
      <c r="AS177" s="55"/>
      <c r="AT177" s="55"/>
      <c r="AU177" s="55"/>
      <c r="AV177" s="55"/>
      <c r="BA177" s="775" t="s">
        <v>38</v>
      </c>
      <c r="BB177" s="839">
        <v>2003</v>
      </c>
      <c r="BC177" s="775" t="s">
        <v>97</v>
      </c>
      <c r="BD177" s="841">
        <v>432.9</v>
      </c>
      <c r="BH177" s="775" t="s">
        <v>38</v>
      </c>
      <c r="BI177" s="836" t="s">
        <v>126</v>
      </c>
      <c r="BJ177" s="775" t="s">
        <v>97</v>
      </c>
      <c r="BK177" s="776">
        <v>423.6</v>
      </c>
      <c r="BL177" s="775">
        <v>2002</v>
      </c>
      <c r="CL177" s="773"/>
      <c r="CM177" s="773"/>
      <c r="CN177" s="773"/>
      <c r="CO177" s="773"/>
      <c r="CP177" s="773"/>
      <c r="CQ177" s="773"/>
      <c r="CR177" s="773"/>
    </row>
    <row r="178" spans="35:96" ht="15.75">
      <c r="AI178" s="55"/>
      <c r="AJ178" s="55"/>
      <c r="AK178" s="55"/>
      <c r="AL178" s="55"/>
      <c r="AM178" s="55"/>
      <c r="AN178" s="55"/>
      <c r="AO178" s="55"/>
      <c r="AP178" s="55"/>
      <c r="AQ178" s="55"/>
      <c r="AR178" s="55"/>
      <c r="AS178" s="55"/>
      <c r="AT178" s="55"/>
      <c r="AU178" s="55"/>
      <c r="AV178" s="55"/>
      <c r="BA178" s="775" t="s">
        <v>172</v>
      </c>
      <c r="BB178" s="839">
        <v>2003</v>
      </c>
      <c r="BC178" s="775" t="s">
        <v>15</v>
      </c>
      <c r="BD178" s="775">
        <f t="shared" ref="BD178:BD188" si="14">BD189-BD167</f>
        <v>33.200000000000003</v>
      </c>
      <c r="BH178" s="775" t="s">
        <v>172</v>
      </c>
      <c r="BI178" s="836" t="s">
        <v>126</v>
      </c>
      <c r="BJ178" s="775" t="s">
        <v>15</v>
      </c>
      <c r="BK178" s="775">
        <f>BK189-BK167</f>
        <v>37.099999999999994</v>
      </c>
      <c r="BL178" s="775">
        <v>2002</v>
      </c>
      <c r="CL178" s="773"/>
      <c r="CM178" s="773"/>
      <c r="CN178" s="773"/>
      <c r="CO178" s="773"/>
      <c r="CP178" s="773"/>
      <c r="CQ178" s="773"/>
      <c r="CR178" s="773"/>
    </row>
    <row r="179" spans="35:96" ht="15.75">
      <c r="AI179" s="55"/>
      <c r="AJ179" s="55"/>
      <c r="AK179" s="55"/>
      <c r="AL179" s="55"/>
      <c r="AM179" s="55"/>
      <c r="AN179" s="55"/>
      <c r="AO179" s="55"/>
      <c r="AP179" s="55"/>
      <c r="AQ179" s="55"/>
      <c r="AR179" s="55"/>
      <c r="AS179" s="55"/>
      <c r="AT179" s="55"/>
      <c r="AU179" s="55"/>
      <c r="AV179" s="55"/>
      <c r="BA179" s="775" t="s">
        <v>172</v>
      </c>
      <c r="BB179" s="839">
        <v>2003</v>
      </c>
      <c r="BC179" s="775" t="s">
        <v>277</v>
      </c>
      <c r="BD179" s="775">
        <f t="shared" si="14"/>
        <v>24.900000000000002</v>
      </c>
      <c r="BH179" s="775" t="s">
        <v>172</v>
      </c>
      <c r="BI179" s="836" t="s">
        <v>126</v>
      </c>
      <c r="BJ179" s="775" t="s">
        <v>277</v>
      </c>
      <c r="BK179" s="775">
        <f t="shared" ref="BK179:BK188" si="15">BK190-BK168</f>
        <v>27.200000000000003</v>
      </c>
      <c r="BL179" s="775">
        <v>2002</v>
      </c>
      <c r="CL179" s="773"/>
      <c r="CM179" s="773"/>
      <c r="CN179" s="773"/>
      <c r="CO179" s="773"/>
      <c r="CP179" s="773"/>
      <c r="CQ179" s="773"/>
      <c r="CR179" s="773"/>
    </row>
    <row r="180" spans="35:96" ht="15.75">
      <c r="AI180" s="55"/>
      <c r="AJ180" s="55"/>
      <c r="AK180" s="55"/>
      <c r="AL180" s="55"/>
      <c r="AM180" s="55"/>
      <c r="AN180" s="55"/>
      <c r="AO180" s="55"/>
      <c r="AP180" s="55"/>
      <c r="AQ180" s="55"/>
      <c r="AR180" s="55"/>
      <c r="AS180" s="55"/>
      <c r="AT180" s="55"/>
      <c r="AU180" s="55"/>
      <c r="AV180" s="55"/>
      <c r="BA180" s="775" t="s">
        <v>172</v>
      </c>
      <c r="BB180" s="839">
        <v>2003</v>
      </c>
      <c r="BC180" s="775" t="s">
        <v>1064</v>
      </c>
      <c r="BD180" s="775">
        <f t="shared" si="14"/>
        <v>9.8000000000000043</v>
      </c>
      <c r="BH180" s="775" t="s">
        <v>172</v>
      </c>
      <c r="BI180" s="836" t="s">
        <v>126</v>
      </c>
      <c r="BJ180" s="775" t="s">
        <v>1064</v>
      </c>
      <c r="BK180" s="775">
        <f t="shared" si="15"/>
        <v>11.799999999999997</v>
      </c>
      <c r="BL180" s="775">
        <v>2002</v>
      </c>
      <c r="CL180" s="773"/>
      <c r="CM180" s="773"/>
      <c r="CN180" s="773"/>
      <c r="CO180" s="773"/>
      <c r="CP180" s="773"/>
      <c r="CQ180" s="773"/>
      <c r="CR180" s="773"/>
    </row>
    <row r="181" spans="35:96" ht="15.75">
      <c r="AI181" s="55"/>
      <c r="AJ181" s="55"/>
      <c r="AK181" s="55"/>
      <c r="AL181" s="55"/>
      <c r="AM181" s="55"/>
      <c r="AN181" s="55"/>
      <c r="AO181" s="55"/>
      <c r="AP181" s="55"/>
      <c r="AQ181" s="55"/>
      <c r="AR181" s="55"/>
      <c r="AS181" s="55"/>
      <c r="AT181" s="55"/>
      <c r="AU181" s="55"/>
      <c r="AV181" s="55"/>
      <c r="BA181" s="775" t="s">
        <v>172</v>
      </c>
      <c r="BB181" s="839">
        <v>2003</v>
      </c>
      <c r="BC181" s="775" t="s">
        <v>8</v>
      </c>
      <c r="BD181" s="775">
        <f t="shared" si="14"/>
        <v>113.59999999999991</v>
      </c>
      <c r="BH181" s="775" t="s">
        <v>172</v>
      </c>
      <c r="BI181" s="836" t="s">
        <v>126</v>
      </c>
      <c r="BJ181" s="775" t="s">
        <v>8</v>
      </c>
      <c r="BK181" s="775">
        <f t="shared" si="15"/>
        <v>112.80000000000007</v>
      </c>
      <c r="BL181" s="775">
        <v>2002</v>
      </c>
      <c r="CL181" s="773"/>
      <c r="CM181" s="773"/>
      <c r="CN181" s="773"/>
      <c r="CO181" s="773"/>
      <c r="CP181" s="773"/>
      <c r="CQ181" s="773"/>
      <c r="CR181" s="773"/>
    </row>
    <row r="182" spans="35:96" ht="15.75">
      <c r="AI182" s="55"/>
      <c r="AJ182" s="55"/>
      <c r="AK182" s="55"/>
      <c r="AL182" s="55"/>
      <c r="AM182" s="55"/>
      <c r="AN182" s="55"/>
      <c r="AO182" s="55"/>
      <c r="AP182" s="55"/>
      <c r="AQ182" s="55"/>
      <c r="AR182" s="55"/>
      <c r="AS182" s="55"/>
      <c r="AT182" s="55"/>
      <c r="AU182" s="55"/>
      <c r="AV182" s="55"/>
      <c r="BA182" s="775" t="s">
        <v>172</v>
      </c>
      <c r="BB182" s="839">
        <v>2003</v>
      </c>
      <c r="BC182" s="775" t="s">
        <v>96</v>
      </c>
      <c r="BD182" s="775">
        <f t="shared" si="14"/>
        <v>40.900000000000006</v>
      </c>
      <c r="BH182" s="775" t="s">
        <v>172</v>
      </c>
      <c r="BI182" s="836" t="s">
        <v>126</v>
      </c>
      <c r="BJ182" s="775" t="s">
        <v>96</v>
      </c>
      <c r="BK182" s="775">
        <f t="shared" si="15"/>
        <v>33.299999999999997</v>
      </c>
      <c r="BL182" s="775">
        <v>2002</v>
      </c>
      <c r="CL182" s="773"/>
      <c r="CM182" s="773"/>
      <c r="CN182" s="773"/>
      <c r="CO182" s="773"/>
      <c r="CP182" s="773"/>
      <c r="CQ182" s="773"/>
      <c r="CR182" s="773"/>
    </row>
    <row r="183" spans="35:96" ht="15.75">
      <c r="AI183" s="55"/>
      <c r="AJ183" s="55"/>
      <c r="AK183" s="55"/>
      <c r="AL183" s="55"/>
      <c r="AM183" s="55"/>
      <c r="AN183" s="55"/>
      <c r="AO183" s="55"/>
      <c r="AP183" s="55"/>
      <c r="AQ183" s="55"/>
      <c r="AR183" s="55"/>
      <c r="AS183" s="55"/>
      <c r="AT183" s="55"/>
      <c r="AU183" s="55"/>
      <c r="AV183" s="55"/>
      <c r="BA183" s="775" t="s">
        <v>172</v>
      </c>
      <c r="BB183" s="839">
        <v>2003</v>
      </c>
      <c r="BC183" s="775" t="s">
        <v>196</v>
      </c>
      <c r="BD183" s="775">
        <f t="shared" si="14"/>
        <v>19.100000000000005</v>
      </c>
      <c r="BH183" s="775" t="s">
        <v>172</v>
      </c>
      <c r="BI183" s="836" t="s">
        <v>126</v>
      </c>
      <c r="BJ183" s="775" t="s">
        <v>196</v>
      </c>
      <c r="BK183" s="775">
        <f t="shared" si="15"/>
        <v>21.8</v>
      </c>
      <c r="BL183" s="775">
        <v>2002</v>
      </c>
      <c r="CL183" s="773"/>
      <c r="CM183" s="773"/>
      <c r="CN183" s="773"/>
      <c r="CO183" s="773"/>
      <c r="CP183" s="773"/>
      <c r="CQ183" s="773"/>
      <c r="CR183" s="773"/>
    </row>
    <row r="184" spans="35:96" ht="15.75">
      <c r="AI184" s="55"/>
      <c r="AJ184" s="55"/>
      <c r="AK184" s="55"/>
      <c r="AL184" s="55"/>
      <c r="AM184" s="55"/>
      <c r="AN184" s="55"/>
      <c r="AO184" s="55"/>
      <c r="AP184" s="55"/>
      <c r="AQ184" s="55"/>
      <c r="AR184" s="55"/>
      <c r="AS184" s="55"/>
      <c r="AT184" s="55"/>
      <c r="AU184" s="55"/>
      <c r="AV184" s="55"/>
      <c r="BA184" s="775" t="s">
        <v>172</v>
      </c>
      <c r="BB184" s="839">
        <v>2003</v>
      </c>
      <c r="BC184" s="775" t="s">
        <v>278</v>
      </c>
      <c r="BD184" s="775">
        <f t="shared" si="14"/>
        <v>8.9</v>
      </c>
      <c r="BH184" s="775" t="s">
        <v>172</v>
      </c>
      <c r="BI184" s="836" t="s">
        <v>126</v>
      </c>
      <c r="BJ184" s="775" t="s">
        <v>278</v>
      </c>
      <c r="BK184" s="775">
        <f t="shared" si="15"/>
        <v>6.9</v>
      </c>
      <c r="BL184" s="775">
        <v>2002</v>
      </c>
      <c r="CL184" s="773"/>
      <c r="CM184" s="773"/>
      <c r="CN184" s="773"/>
      <c r="CO184" s="773"/>
      <c r="CP184" s="773"/>
      <c r="CQ184" s="773"/>
      <c r="CR184" s="773"/>
    </row>
    <row r="185" spans="35:96" ht="15.75">
      <c r="AI185" s="55"/>
      <c r="AJ185" s="55"/>
      <c r="AK185" s="55"/>
      <c r="AL185" s="55"/>
      <c r="AM185" s="55"/>
      <c r="AN185" s="55"/>
      <c r="AO185" s="55"/>
      <c r="AP185" s="55"/>
      <c r="AQ185" s="55"/>
      <c r="AR185" s="55"/>
      <c r="AS185" s="55"/>
      <c r="AT185" s="55"/>
      <c r="AU185" s="55"/>
      <c r="AV185" s="55"/>
      <c r="BA185" s="775" t="s">
        <v>172</v>
      </c>
      <c r="BB185" s="839">
        <v>2003</v>
      </c>
      <c r="BC185" s="775" t="s">
        <v>44</v>
      </c>
      <c r="BD185" s="775">
        <f t="shared" si="14"/>
        <v>84.7</v>
      </c>
      <c r="BH185" s="775" t="s">
        <v>172</v>
      </c>
      <c r="BI185" s="836" t="s">
        <v>126</v>
      </c>
      <c r="BJ185" s="775" t="s">
        <v>44</v>
      </c>
      <c r="BK185" s="775">
        <f t="shared" si="15"/>
        <v>77.8</v>
      </c>
      <c r="BL185" s="775">
        <v>2002</v>
      </c>
      <c r="CL185" s="773"/>
      <c r="CM185" s="773"/>
      <c r="CN185" s="773"/>
      <c r="CO185" s="773"/>
      <c r="CP185" s="773"/>
      <c r="CQ185" s="773"/>
      <c r="CR185" s="773"/>
    </row>
    <row r="186" spans="35:96" ht="15.75">
      <c r="AI186" s="55"/>
      <c r="AJ186" s="55"/>
      <c r="AK186" s="55"/>
      <c r="AL186" s="55"/>
      <c r="AM186" s="55"/>
      <c r="AN186" s="55"/>
      <c r="AO186" s="55"/>
      <c r="AP186" s="55"/>
      <c r="AQ186" s="55"/>
      <c r="AR186" s="55"/>
      <c r="AS186" s="55"/>
      <c r="AT186" s="55"/>
      <c r="AU186" s="55"/>
      <c r="AV186" s="55"/>
      <c r="BA186" s="775" t="s">
        <v>172</v>
      </c>
      <c r="BB186" s="839">
        <v>2003</v>
      </c>
      <c r="BC186" s="775" t="s">
        <v>45</v>
      </c>
      <c r="BD186" s="775">
        <f t="shared" si="14"/>
        <v>10.3</v>
      </c>
      <c r="BH186" s="775" t="s">
        <v>172</v>
      </c>
      <c r="BI186" s="836" t="s">
        <v>126</v>
      </c>
      <c r="BJ186" s="775" t="s">
        <v>45</v>
      </c>
      <c r="BK186" s="775">
        <f t="shared" si="15"/>
        <v>12.099999999999998</v>
      </c>
      <c r="BL186" s="775">
        <v>2002</v>
      </c>
      <c r="CL186" s="773"/>
      <c r="CM186" s="773"/>
      <c r="CN186" s="773"/>
      <c r="CO186" s="773"/>
      <c r="CP186" s="773"/>
      <c r="CQ186" s="773"/>
      <c r="CR186" s="773"/>
    </row>
    <row r="187" spans="35:96" ht="15.75">
      <c r="AI187" s="55"/>
      <c r="AJ187" s="55"/>
      <c r="AK187" s="55"/>
      <c r="AL187" s="55"/>
      <c r="AM187" s="55"/>
      <c r="AN187" s="55"/>
      <c r="AO187" s="55"/>
      <c r="AP187" s="55"/>
      <c r="AQ187" s="55"/>
      <c r="AR187" s="55"/>
      <c r="AS187" s="55"/>
      <c r="AT187" s="55"/>
      <c r="AU187" s="55"/>
      <c r="AV187" s="55"/>
      <c r="BA187" s="775" t="s">
        <v>172</v>
      </c>
      <c r="BB187" s="839">
        <v>2003</v>
      </c>
      <c r="BC187" s="775" t="s">
        <v>48</v>
      </c>
      <c r="BD187" s="775">
        <f t="shared" si="14"/>
        <v>12.9</v>
      </c>
      <c r="BH187" s="775" t="s">
        <v>172</v>
      </c>
      <c r="BI187" s="836" t="s">
        <v>126</v>
      </c>
      <c r="BJ187" s="775" t="s">
        <v>48</v>
      </c>
      <c r="BK187" s="775">
        <f t="shared" si="15"/>
        <v>12.899999999999997</v>
      </c>
      <c r="BL187" s="775">
        <v>2002</v>
      </c>
      <c r="CL187" s="773"/>
      <c r="CM187" s="773"/>
      <c r="CN187" s="773"/>
      <c r="CO187" s="773"/>
      <c r="CP187" s="773"/>
      <c r="CQ187" s="773"/>
      <c r="CR187" s="773"/>
    </row>
    <row r="188" spans="35:96" ht="15.75">
      <c r="AI188" s="55"/>
      <c r="AJ188" s="55"/>
      <c r="AK188" s="55"/>
      <c r="AL188" s="55"/>
      <c r="AM188" s="55"/>
      <c r="AN188" s="55"/>
      <c r="AO188" s="55"/>
      <c r="AP188" s="55"/>
      <c r="AQ188" s="55"/>
      <c r="AR188" s="55"/>
      <c r="AS188" s="55"/>
      <c r="AT188" s="55"/>
      <c r="AU188" s="55"/>
      <c r="AV188" s="55"/>
      <c r="BA188" s="775" t="s">
        <v>172</v>
      </c>
      <c r="BB188" s="839">
        <v>2003</v>
      </c>
      <c r="BC188" s="775" t="s">
        <v>97</v>
      </c>
      <c r="BD188" s="775">
        <f t="shared" si="14"/>
        <v>303.39999999999998</v>
      </c>
      <c r="BH188" s="775" t="s">
        <v>172</v>
      </c>
      <c r="BI188" s="836" t="s">
        <v>126</v>
      </c>
      <c r="BJ188" s="775" t="s">
        <v>97</v>
      </c>
      <c r="BK188" s="775">
        <f t="shared" si="15"/>
        <v>309.19999999999993</v>
      </c>
      <c r="BL188" s="775">
        <v>2002</v>
      </c>
      <c r="CL188" s="773"/>
      <c r="CM188" s="773"/>
      <c r="CN188" s="773"/>
      <c r="CO188" s="773"/>
      <c r="CP188" s="773"/>
      <c r="CQ188" s="773"/>
      <c r="CR188" s="773"/>
    </row>
    <row r="189" spans="35:96" ht="15.75">
      <c r="AI189" s="55"/>
      <c r="AJ189" s="55"/>
      <c r="AK189" s="55"/>
      <c r="AL189" s="55"/>
      <c r="AM189" s="55"/>
      <c r="AN189" s="55"/>
      <c r="AO189" s="55"/>
      <c r="AP189" s="55"/>
      <c r="AQ189" s="55"/>
      <c r="AR189" s="55"/>
      <c r="AS189" s="55"/>
      <c r="AT189" s="55"/>
      <c r="AU189" s="55"/>
      <c r="AV189" s="55"/>
      <c r="BA189" s="775" t="s">
        <v>170</v>
      </c>
      <c r="BB189" s="839">
        <v>2003</v>
      </c>
      <c r="BC189" s="775" t="s">
        <v>15</v>
      </c>
      <c r="BD189" s="775">
        <v>34.5</v>
      </c>
      <c r="BH189" s="775" t="s">
        <v>170</v>
      </c>
      <c r="BI189" s="836" t="s">
        <v>126</v>
      </c>
      <c r="BJ189" s="775" t="s">
        <v>15</v>
      </c>
      <c r="BK189" s="838">
        <v>39.799999999999997</v>
      </c>
      <c r="BL189" s="775">
        <v>2002</v>
      </c>
      <c r="CL189" s="773"/>
      <c r="CM189" s="773"/>
      <c r="CN189" s="773"/>
      <c r="CO189" s="773"/>
      <c r="CP189" s="773"/>
      <c r="CQ189" s="773"/>
      <c r="CR189" s="773"/>
    </row>
    <row r="190" spans="35:96" ht="15.75">
      <c r="AI190" s="55"/>
      <c r="AJ190" s="55"/>
      <c r="AK190" s="55"/>
      <c r="AL190" s="55"/>
      <c r="AM190" s="55"/>
      <c r="AN190" s="55"/>
      <c r="AO190" s="55"/>
      <c r="AP190" s="55"/>
      <c r="AQ190" s="55"/>
      <c r="AR190" s="55"/>
      <c r="AS190" s="55"/>
      <c r="AT190" s="55"/>
      <c r="AU190" s="55"/>
      <c r="AV190" s="55"/>
      <c r="BA190" s="775" t="s">
        <v>170</v>
      </c>
      <c r="BB190" s="839">
        <v>2003</v>
      </c>
      <c r="BC190" s="775" t="s">
        <v>277</v>
      </c>
      <c r="BD190" s="775">
        <v>29.700000000000003</v>
      </c>
      <c r="BH190" s="775" t="s">
        <v>170</v>
      </c>
      <c r="BI190" s="836" t="s">
        <v>126</v>
      </c>
      <c r="BJ190" s="775" t="s">
        <v>277</v>
      </c>
      <c r="BK190" s="838">
        <v>36.700000000000003</v>
      </c>
      <c r="BL190" s="775">
        <v>2002</v>
      </c>
      <c r="CL190" s="773"/>
      <c r="CM190" s="773"/>
      <c r="CN190" s="773"/>
      <c r="CO190" s="773"/>
      <c r="CP190" s="773"/>
      <c r="CQ190" s="773"/>
      <c r="CR190" s="773"/>
    </row>
    <row r="191" spans="35:96" ht="15.75">
      <c r="AI191" s="55"/>
      <c r="AJ191" s="55"/>
      <c r="AK191" s="55"/>
      <c r="AL191" s="55"/>
      <c r="AM191" s="55"/>
      <c r="AN191" s="55"/>
      <c r="AO191" s="55"/>
      <c r="AP191" s="55"/>
      <c r="AQ191" s="55"/>
      <c r="AR191" s="55"/>
      <c r="AS191" s="55"/>
      <c r="AT191" s="55"/>
      <c r="AU191" s="55"/>
      <c r="AV191" s="55"/>
      <c r="BA191" s="775" t="s">
        <v>170</v>
      </c>
      <c r="BB191" s="839">
        <v>2003</v>
      </c>
      <c r="BC191" s="775" t="s">
        <v>1064</v>
      </c>
      <c r="BD191" s="775">
        <v>70.5</v>
      </c>
      <c r="BH191" s="775" t="s">
        <v>170</v>
      </c>
      <c r="BI191" s="836" t="s">
        <v>126</v>
      </c>
      <c r="BJ191" s="775" t="s">
        <v>1064</v>
      </c>
      <c r="BK191" s="838">
        <v>65.899999999999991</v>
      </c>
      <c r="BL191" s="775">
        <v>2002</v>
      </c>
      <c r="CL191" s="773"/>
      <c r="CM191" s="773"/>
      <c r="CN191" s="773"/>
      <c r="CO191" s="773"/>
      <c r="CP191" s="773"/>
      <c r="CQ191" s="773"/>
      <c r="CR191" s="773"/>
    </row>
    <row r="192" spans="35:96" ht="15.75">
      <c r="AI192" s="55"/>
      <c r="AJ192" s="55"/>
      <c r="AK192" s="55"/>
      <c r="AL192" s="55"/>
      <c r="AM192" s="55"/>
      <c r="AN192" s="55"/>
      <c r="AO192" s="55"/>
      <c r="AP192" s="55"/>
      <c r="AQ192" s="55"/>
      <c r="AR192" s="55"/>
      <c r="AS192" s="55"/>
      <c r="AT192" s="55"/>
      <c r="AU192" s="55"/>
      <c r="AV192" s="55"/>
      <c r="BA192" s="775" t="s">
        <v>170</v>
      </c>
      <c r="BB192" s="839">
        <v>2003</v>
      </c>
      <c r="BC192" s="775" t="s">
        <v>8</v>
      </c>
      <c r="BD192" s="775">
        <v>373.69999999999993</v>
      </c>
      <c r="BH192" s="775" t="s">
        <v>170</v>
      </c>
      <c r="BI192" s="836" t="s">
        <v>126</v>
      </c>
      <c r="BJ192" s="775" t="s">
        <v>8</v>
      </c>
      <c r="BK192" s="838">
        <v>378.40000000000003</v>
      </c>
      <c r="BL192" s="775">
        <v>2002</v>
      </c>
      <c r="CL192" s="773"/>
      <c r="CM192" s="773"/>
      <c r="CN192" s="773"/>
      <c r="CO192" s="773"/>
      <c r="CP192" s="773"/>
      <c r="CQ192" s="773"/>
      <c r="CR192" s="773"/>
    </row>
    <row r="193" spans="35:96" ht="15.75">
      <c r="AI193" s="55"/>
      <c r="AJ193" s="55"/>
      <c r="AK193" s="55"/>
      <c r="AL193" s="55"/>
      <c r="AM193" s="55"/>
      <c r="AN193" s="55"/>
      <c r="AO193" s="55"/>
      <c r="AP193" s="55"/>
      <c r="AQ193" s="55"/>
      <c r="AR193" s="55"/>
      <c r="AS193" s="55"/>
      <c r="AT193" s="55"/>
      <c r="AU193" s="55"/>
      <c r="AV193" s="55"/>
      <c r="BA193" s="775" t="s">
        <v>170</v>
      </c>
      <c r="BB193" s="839">
        <v>2003</v>
      </c>
      <c r="BC193" s="775" t="s">
        <v>96</v>
      </c>
      <c r="BD193" s="775">
        <v>52.1</v>
      </c>
      <c r="BH193" s="775" t="s">
        <v>170</v>
      </c>
      <c r="BI193" s="836" t="s">
        <v>126</v>
      </c>
      <c r="BJ193" s="775" t="s">
        <v>96</v>
      </c>
      <c r="BK193" s="838">
        <v>44.5</v>
      </c>
      <c r="BL193" s="775">
        <v>2002</v>
      </c>
      <c r="CL193" s="773"/>
      <c r="CM193" s="773"/>
      <c r="CN193" s="773"/>
      <c r="CO193" s="773"/>
      <c r="CP193" s="773"/>
      <c r="CQ193" s="773"/>
      <c r="CR193" s="773"/>
    </row>
    <row r="194" spans="35:96" ht="15.75">
      <c r="AI194" s="55"/>
      <c r="AJ194" s="55"/>
      <c r="AK194" s="55"/>
      <c r="AL194" s="55"/>
      <c r="AM194" s="55"/>
      <c r="AN194" s="55"/>
      <c r="AO194" s="55"/>
      <c r="AP194" s="55"/>
      <c r="AQ194" s="55"/>
      <c r="AR194" s="55"/>
      <c r="AS194" s="55"/>
      <c r="AT194" s="55"/>
      <c r="AU194" s="55"/>
      <c r="AV194" s="55"/>
      <c r="BA194" s="775" t="s">
        <v>170</v>
      </c>
      <c r="BB194" s="839">
        <v>2003</v>
      </c>
      <c r="BC194" s="775" t="s">
        <v>196</v>
      </c>
      <c r="BD194" s="775">
        <v>26.300000000000004</v>
      </c>
      <c r="BH194" s="775" t="s">
        <v>170</v>
      </c>
      <c r="BI194" s="836" t="s">
        <v>126</v>
      </c>
      <c r="BJ194" s="775" t="s">
        <v>196</v>
      </c>
      <c r="BK194" s="838">
        <v>27.3</v>
      </c>
      <c r="BL194" s="775">
        <v>2002</v>
      </c>
      <c r="CL194" s="773"/>
      <c r="CM194" s="773"/>
      <c r="CN194" s="773"/>
      <c r="CO194" s="773"/>
      <c r="CP194" s="773"/>
      <c r="CQ194" s="773"/>
      <c r="CR194" s="773"/>
    </row>
    <row r="195" spans="35:96" ht="15.75">
      <c r="AI195" s="55"/>
      <c r="AJ195" s="55"/>
      <c r="AK195" s="55"/>
      <c r="AL195" s="55"/>
      <c r="AM195" s="55"/>
      <c r="AN195" s="55"/>
      <c r="AO195" s="55"/>
      <c r="AP195" s="55"/>
      <c r="AQ195" s="55"/>
      <c r="AR195" s="55"/>
      <c r="AS195" s="55"/>
      <c r="AT195" s="55"/>
      <c r="AU195" s="55"/>
      <c r="AV195" s="55"/>
      <c r="BA195" s="775" t="s">
        <v>170</v>
      </c>
      <c r="BB195" s="839">
        <v>2003</v>
      </c>
      <c r="BC195" s="775" t="s">
        <v>278</v>
      </c>
      <c r="BD195" s="775">
        <v>8.9</v>
      </c>
      <c r="BH195" s="775" t="s">
        <v>170</v>
      </c>
      <c r="BI195" s="836" t="s">
        <v>126</v>
      </c>
      <c r="BJ195" s="775" t="s">
        <v>278</v>
      </c>
      <c r="BK195" s="838">
        <v>6.9</v>
      </c>
      <c r="BL195" s="775">
        <v>2002</v>
      </c>
      <c r="CL195" s="773"/>
      <c r="CM195" s="773"/>
      <c r="CN195" s="773"/>
      <c r="CO195" s="773"/>
      <c r="CP195" s="773"/>
      <c r="CQ195" s="773"/>
      <c r="CR195" s="773"/>
    </row>
    <row r="196" spans="35:96" ht="15.75">
      <c r="AI196" s="55"/>
      <c r="AJ196" s="55"/>
      <c r="AK196" s="55"/>
      <c r="AL196" s="55"/>
      <c r="AM196" s="55"/>
      <c r="AN196" s="55"/>
      <c r="AO196" s="55"/>
      <c r="AP196" s="55"/>
      <c r="AQ196" s="55"/>
      <c r="AR196" s="55"/>
      <c r="AS196" s="55"/>
      <c r="AT196" s="55"/>
      <c r="AU196" s="55"/>
      <c r="AV196" s="55"/>
      <c r="BA196" s="775" t="s">
        <v>170</v>
      </c>
      <c r="BB196" s="839">
        <v>2003</v>
      </c>
      <c r="BC196" s="775" t="s">
        <v>44</v>
      </c>
      <c r="BD196" s="775">
        <v>84.7</v>
      </c>
      <c r="BH196" s="775" t="s">
        <v>170</v>
      </c>
      <c r="BI196" s="836" t="s">
        <v>126</v>
      </c>
      <c r="BJ196" s="775" t="s">
        <v>44</v>
      </c>
      <c r="BK196" s="838">
        <v>77.8</v>
      </c>
      <c r="BL196" s="775">
        <v>2002</v>
      </c>
      <c r="CL196" s="773"/>
      <c r="CM196" s="773"/>
      <c r="CN196" s="773"/>
      <c r="CO196" s="773"/>
      <c r="CP196" s="773"/>
      <c r="CQ196" s="773"/>
      <c r="CR196" s="773"/>
    </row>
    <row r="197" spans="35:96" ht="15.75">
      <c r="AI197" s="55"/>
      <c r="AJ197" s="55"/>
      <c r="AK197" s="55"/>
      <c r="AL197" s="55"/>
      <c r="AM197" s="55"/>
      <c r="AN197" s="55"/>
      <c r="AO197" s="55"/>
      <c r="AP197" s="55"/>
      <c r="AQ197" s="55"/>
      <c r="AR197" s="55"/>
      <c r="AS197" s="55"/>
      <c r="AT197" s="55"/>
      <c r="AU197" s="55"/>
      <c r="AV197" s="55"/>
      <c r="BA197" s="775" t="s">
        <v>170</v>
      </c>
      <c r="BB197" s="839">
        <v>2003</v>
      </c>
      <c r="BC197" s="775" t="s">
        <v>45</v>
      </c>
      <c r="BD197" s="775">
        <v>27.6</v>
      </c>
      <c r="BH197" s="775" t="s">
        <v>170</v>
      </c>
      <c r="BI197" s="836" t="s">
        <v>126</v>
      </c>
      <c r="BJ197" s="775" t="s">
        <v>45</v>
      </c>
      <c r="BK197" s="838">
        <v>29.9</v>
      </c>
      <c r="BL197" s="775">
        <v>2002</v>
      </c>
      <c r="CL197" s="773"/>
      <c r="CM197" s="773"/>
      <c r="CN197" s="773"/>
      <c r="CO197" s="773"/>
      <c r="CP197" s="773"/>
      <c r="CQ197" s="773"/>
      <c r="CR197" s="773"/>
    </row>
    <row r="198" spans="35:96" ht="15.75">
      <c r="AI198" s="55"/>
      <c r="AJ198" s="55"/>
      <c r="AK198" s="55"/>
      <c r="AL198" s="55"/>
      <c r="AM198" s="55"/>
      <c r="AN198" s="55"/>
      <c r="AO198" s="55"/>
      <c r="AP198" s="55"/>
      <c r="AQ198" s="55"/>
      <c r="AR198" s="55"/>
      <c r="AS198" s="55"/>
      <c r="AT198" s="55"/>
      <c r="AU198" s="55"/>
      <c r="AV198" s="55"/>
      <c r="BA198" s="775" t="s">
        <v>170</v>
      </c>
      <c r="BB198" s="839">
        <v>2003</v>
      </c>
      <c r="BC198" s="775" t="s">
        <v>48</v>
      </c>
      <c r="BD198" s="775">
        <v>28.5</v>
      </c>
      <c r="BH198" s="775" t="s">
        <v>170</v>
      </c>
      <c r="BI198" s="836" t="s">
        <v>126</v>
      </c>
      <c r="BJ198" s="775" t="s">
        <v>48</v>
      </c>
      <c r="BK198" s="838">
        <v>25.799999999999997</v>
      </c>
      <c r="BL198" s="775">
        <v>2002</v>
      </c>
      <c r="CL198" s="773"/>
      <c r="CM198" s="773"/>
      <c r="CN198" s="773"/>
      <c r="CO198" s="773"/>
      <c r="CP198" s="773"/>
      <c r="CQ198" s="773"/>
      <c r="CR198" s="773"/>
    </row>
    <row r="199" spans="35:96" ht="15.75">
      <c r="AI199" s="55"/>
      <c r="AJ199" s="55"/>
      <c r="AK199" s="55"/>
      <c r="AL199" s="55"/>
      <c r="AM199" s="55"/>
      <c r="AN199" s="55"/>
      <c r="AO199" s="55"/>
      <c r="AP199" s="55"/>
      <c r="AQ199" s="55"/>
      <c r="AR199" s="55"/>
      <c r="AS199" s="55"/>
      <c r="AT199" s="55"/>
      <c r="AU199" s="55"/>
      <c r="AV199" s="55"/>
      <c r="BA199" s="775" t="s">
        <v>170</v>
      </c>
      <c r="BB199" s="839">
        <v>2003</v>
      </c>
      <c r="BC199" s="775" t="s">
        <v>97</v>
      </c>
      <c r="BD199" s="775">
        <v>736.3</v>
      </c>
      <c r="BH199" s="775" t="s">
        <v>170</v>
      </c>
      <c r="BI199" s="836" t="s">
        <v>126</v>
      </c>
      <c r="BJ199" s="775" t="s">
        <v>97</v>
      </c>
      <c r="BK199" s="838">
        <v>732.8</v>
      </c>
      <c r="BL199" s="775">
        <v>2002</v>
      </c>
      <c r="CL199" s="773"/>
      <c r="CM199" s="773"/>
      <c r="CN199" s="773"/>
      <c r="CO199" s="773"/>
      <c r="CP199" s="773"/>
      <c r="CQ199" s="773"/>
      <c r="CR199" s="773"/>
    </row>
    <row r="200" spans="35:96" ht="15.75">
      <c r="AI200" s="55"/>
      <c r="AJ200" s="55"/>
      <c r="AK200" s="55"/>
      <c r="AL200" s="55"/>
      <c r="AM200" s="55"/>
      <c r="AN200" s="55"/>
      <c r="AO200" s="55"/>
      <c r="AP200" s="55"/>
      <c r="AQ200" s="55"/>
      <c r="AR200" s="55"/>
      <c r="AS200" s="55"/>
      <c r="AT200" s="55"/>
      <c r="AU200" s="55"/>
      <c r="AV200" s="55"/>
      <c r="BA200" s="775" t="s">
        <v>38</v>
      </c>
      <c r="BB200" s="839">
        <v>2004</v>
      </c>
      <c r="BC200" s="775" t="s">
        <v>15</v>
      </c>
      <c r="BD200" s="840">
        <v>3.8</v>
      </c>
      <c r="BH200" s="775" t="s">
        <v>38</v>
      </c>
      <c r="BI200" s="836" t="s">
        <v>127</v>
      </c>
      <c r="BJ200" s="775" t="s">
        <v>15</v>
      </c>
      <c r="BK200" s="776">
        <v>2.2000000000000002</v>
      </c>
      <c r="BL200" s="775">
        <v>2003</v>
      </c>
      <c r="CL200" s="773"/>
      <c r="CM200" s="773"/>
      <c r="CN200" s="773"/>
      <c r="CO200" s="773"/>
      <c r="CP200" s="773"/>
      <c r="CQ200" s="773"/>
      <c r="CR200" s="773"/>
    </row>
    <row r="201" spans="35:96" ht="15.75">
      <c r="AI201" s="55"/>
      <c r="AJ201" s="55"/>
      <c r="AK201" s="55"/>
      <c r="AL201" s="55"/>
      <c r="AM201" s="55"/>
      <c r="AN201" s="55"/>
      <c r="AO201" s="55"/>
      <c r="AP201" s="55"/>
      <c r="AQ201" s="55"/>
      <c r="AR201" s="55"/>
      <c r="AS201" s="55"/>
      <c r="AT201" s="55"/>
      <c r="AU201" s="55"/>
      <c r="AV201" s="55"/>
      <c r="BA201" s="775" t="s">
        <v>38</v>
      </c>
      <c r="BB201" s="839">
        <v>2004</v>
      </c>
      <c r="BC201" s="775" t="s">
        <v>277</v>
      </c>
      <c r="BD201" s="840">
        <v>1.9</v>
      </c>
      <c r="BH201" s="775" t="s">
        <v>38</v>
      </c>
      <c r="BI201" s="836" t="s">
        <v>127</v>
      </c>
      <c r="BJ201" s="775" t="s">
        <v>277</v>
      </c>
      <c r="BK201" s="776">
        <v>3.9</v>
      </c>
      <c r="BL201" s="775">
        <v>2003</v>
      </c>
      <c r="CL201" s="773"/>
      <c r="CM201" s="773"/>
      <c r="CN201" s="773"/>
      <c r="CO201" s="773"/>
      <c r="CP201" s="773"/>
      <c r="CQ201" s="773"/>
      <c r="CR201" s="773"/>
    </row>
    <row r="202" spans="35:96" ht="15.75">
      <c r="AI202" s="55"/>
      <c r="AJ202" s="55"/>
      <c r="AK202" s="55"/>
      <c r="AL202" s="55"/>
      <c r="AM202" s="55"/>
      <c r="AN202" s="55"/>
      <c r="AO202" s="55"/>
      <c r="AP202" s="55"/>
      <c r="AQ202" s="55"/>
      <c r="AR202" s="55"/>
      <c r="AS202" s="55"/>
      <c r="AT202" s="55"/>
      <c r="AU202" s="55"/>
      <c r="AV202" s="55"/>
      <c r="BA202" s="775" t="s">
        <v>38</v>
      </c>
      <c r="BB202" s="839">
        <v>2004</v>
      </c>
      <c r="BC202" s="775" t="s">
        <v>1064</v>
      </c>
      <c r="BD202" s="840">
        <v>104.4</v>
      </c>
      <c r="BH202" s="775" t="s">
        <v>38</v>
      </c>
      <c r="BI202" s="836" t="s">
        <v>127</v>
      </c>
      <c r="BJ202" s="775" t="s">
        <v>1064</v>
      </c>
      <c r="BK202" s="776">
        <v>70.599999999999994</v>
      </c>
      <c r="BL202" s="775">
        <v>2003</v>
      </c>
      <c r="CL202" s="773"/>
      <c r="CM202" s="773"/>
      <c r="CN202" s="773"/>
      <c r="CO202" s="773"/>
      <c r="CP202" s="773"/>
      <c r="CQ202" s="773"/>
      <c r="CR202" s="773"/>
    </row>
    <row r="203" spans="35:96" ht="15.75">
      <c r="AI203" s="55"/>
      <c r="AJ203" s="55"/>
      <c r="AK203" s="55"/>
      <c r="AL203" s="55"/>
      <c r="AM203" s="55"/>
      <c r="AN203" s="55"/>
      <c r="AO203" s="55"/>
      <c r="AP203" s="55"/>
      <c r="AQ203" s="55"/>
      <c r="AR203" s="55"/>
      <c r="AS203" s="55"/>
      <c r="AT203" s="55"/>
      <c r="AU203" s="55"/>
      <c r="AV203" s="55"/>
      <c r="BA203" s="775" t="s">
        <v>38</v>
      </c>
      <c r="BB203" s="839">
        <v>2004</v>
      </c>
      <c r="BC203" s="775" t="s">
        <v>8</v>
      </c>
      <c r="BD203" s="840">
        <v>283.70000000000005</v>
      </c>
      <c r="BH203" s="775" t="s">
        <v>38</v>
      </c>
      <c r="BI203" s="836" t="s">
        <v>127</v>
      </c>
      <c r="BJ203" s="775" t="s">
        <v>8</v>
      </c>
      <c r="BK203" s="776">
        <v>276.7</v>
      </c>
      <c r="BL203" s="775">
        <v>2003</v>
      </c>
      <c r="CL203" s="773"/>
      <c r="CM203" s="773"/>
      <c r="CN203" s="773"/>
      <c r="CO203" s="773"/>
      <c r="CP203" s="773"/>
      <c r="CQ203" s="773"/>
      <c r="CR203" s="773"/>
    </row>
    <row r="204" spans="35:96" ht="15.75">
      <c r="AI204" s="55"/>
      <c r="AJ204" s="55"/>
      <c r="AK204" s="55"/>
      <c r="AL204" s="55"/>
      <c r="AM204" s="55"/>
      <c r="AN204" s="55"/>
      <c r="AO204" s="55"/>
      <c r="AP204" s="55"/>
      <c r="AQ204" s="55"/>
      <c r="AR204" s="55"/>
      <c r="AS204" s="55"/>
      <c r="AT204" s="55"/>
      <c r="AU204" s="55"/>
      <c r="AV204" s="55"/>
      <c r="BA204" s="775" t="s">
        <v>38</v>
      </c>
      <c r="BB204" s="839">
        <v>2004</v>
      </c>
      <c r="BC204" s="775" t="s">
        <v>96</v>
      </c>
      <c r="BD204" s="840">
        <v>83.7</v>
      </c>
      <c r="BH204" s="775" t="s">
        <v>38</v>
      </c>
      <c r="BI204" s="836" t="s">
        <v>127</v>
      </c>
      <c r="BJ204" s="775" t="s">
        <v>96</v>
      </c>
      <c r="BK204" s="776">
        <v>19.100000000000001</v>
      </c>
      <c r="BL204" s="775">
        <v>2003</v>
      </c>
      <c r="CL204" s="773"/>
      <c r="CM204" s="773"/>
      <c r="CN204" s="773"/>
      <c r="CO204" s="773"/>
      <c r="CP204" s="773"/>
      <c r="CQ204" s="773"/>
      <c r="CR204" s="773"/>
    </row>
    <row r="205" spans="35:96" ht="15.75">
      <c r="AI205" s="55"/>
      <c r="AJ205" s="55"/>
      <c r="AK205" s="55"/>
      <c r="AL205" s="55"/>
      <c r="AM205" s="55"/>
      <c r="AN205" s="55"/>
      <c r="AO205" s="55"/>
      <c r="AP205" s="55"/>
      <c r="AQ205" s="55"/>
      <c r="AR205" s="55"/>
      <c r="AS205" s="55"/>
      <c r="AT205" s="55"/>
      <c r="AU205" s="55"/>
      <c r="AV205" s="55"/>
      <c r="BA205" s="775" t="s">
        <v>38</v>
      </c>
      <c r="BB205" s="839">
        <v>2004</v>
      </c>
      <c r="BC205" s="775" t="s">
        <v>196</v>
      </c>
      <c r="BD205" s="840">
        <v>5.2</v>
      </c>
      <c r="BH205" s="775" t="s">
        <v>38</v>
      </c>
      <c r="BI205" s="836" t="s">
        <v>127</v>
      </c>
      <c r="BJ205" s="775" t="s">
        <v>196</v>
      </c>
      <c r="BK205" s="776">
        <v>10.6</v>
      </c>
      <c r="BL205" s="775">
        <v>2003</v>
      </c>
      <c r="CL205" s="773"/>
      <c r="CM205" s="773"/>
      <c r="CN205" s="773"/>
      <c r="CO205" s="773"/>
      <c r="CP205" s="773"/>
      <c r="CQ205" s="773"/>
      <c r="CR205" s="773"/>
    </row>
    <row r="206" spans="35:96" ht="15.75">
      <c r="AI206" s="55"/>
      <c r="AJ206" s="55"/>
      <c r="AK206" s="55"/>
      <c r="AL206" s="55"/>
      <c r="AM206" s="55"/>
      <c r="AN206" s="55"/>
      <c r="AO206" s="55"/>
      <c r="AP206" s="55"/>
      <c r="AQ206" s="55"/>
      <c r="AR206" s="55"/>
      <c r="AS206" s="55"/>
      <c r="AT206" s="55"/>
      <c r="AU206" s="55"/>
      <c r="AV206" s="55"/>
      <c r="BA206" s="775" t="s">
        <v>38</v>
      </c>
      <c r="BB206" s="839">
        <v>2004</v>
      </c>
      <c r="BC206" s="775" t="s">
        <v>278</v>
      </c>
      <c r="BD206" s="840">
        <v>0.1</v>
      </c>
      <c r="BH206" s="775" t="s">
        <v>38</v>
      </c>
      <c r="BI206" s="836" t="s">
        <v>127</v>
      </c>
      <c r="BJ206" s="775" t="s">
        <v>278</v>
      </c>
      <c r="BK206" s="776">
        <v>0</v>
      </c>
      <c r="BL206" s="775">
        <v>2003</v>
      </c>
      <c r="CL206" s="773"/>
      <c r="CM206" s="773"/>
      <c r="CN206" s="773"/>
      <c r="CO206" s="773"/>
      <c r="CP206" s="773"/>
      <c r="CQ206" s="773"/>
      <c r="CR206" s="773"/>
    </row>
    <row r="207" spans="35:96" ht="15.75">
      <c r="AI207" s="55"/>
      <c r="AJ207" s="55"/>
      <c r="AK207" s="55"/>
      <c r="AL207" s="55"/>
      <c r="AM207" s="55"/>
      <c r="AN207" s="55"/>
      <c r="AO207" s="55"/>
      <c r="AP207" s="55"/>
      <c r="AQ207" s="55"/>
      <c r="AR207" s="55"/>
      <c r="AS207" s="55"/>
      <c r="AT207" s="55"/>
      <c r="AU207" s="55"/>
      <c r="AV207" s="55"/>
      <c r="BA207" s="775" t="s">
        <v>38</v>
      </c>
      <c r="BB207" s="839">
        <v>2004</v>
      </c>
      <c r="BC207" s="775" t="s">
        <v>44</v>
      </c>
      <c r="BD207" s="840">
        <v>0.4</v>
      </c>
      <c r="BH207" s="775" t="s">
        <v>38</v>
      </c>
      <c r="BI207" s="836" t="s">
        <v>127</v>
      </c>
      <c r="BJ207" s="775" t="s">
        <v>44</v>
      </c>
      <c r="BK207" s="776">
        <v>0</v>
      </c>
      <c r="BL207" s="775">
        <v>2003</v>
      </c>
      <c r="CL207" s="773"/>
      <c r="CM207" s="773"/>
      <c r="CN207" s="773"/>
      <c r="CO207" s="773"/>
      <c r="CP207" s="773"/>
      <c r="CQ207" s="773"/>
      <c r="CR207" s="773"/>
    </row>
    <row r="208" spans="35:96" ht="15.75">
      <c r="AI208" s="55"/>
      <c r="AJ208" s="55"/>
      <c r="AK208" s="55"/>
      <c r="AL208" s="55"/>
      <c r="AM208" s="55"/>
      <c r="AN208" s="55"/>
      <c r="AO208" s="55"/>
      <c r="AP208" s="55"/>
      <c r="AQ208" s="55"/>
      <c r="AR208" s="55"/>
      <c r="AS208" s="55"/>
      <c r="AT208" s="55"/>
      <c r="AU208" s="55"/>
      <c r="AV208" s="55"/>
      <c r="BA208" s="775" t="s">
        <v>38</v>
      </c>
      <c r="BB208" s="839">
        <v>2004</v>
      </c>
      <c r="BC208" s="775" t="s">
        <v>45</v>
      </c>
      <c r="BD208" s="841">
        <v>16.100000000000001</v>
      </c>
      <c r="BH208" s="775" t="s">
        <v>38</v>
      </c>
      <c r="BI208" s="836" t="s">
        <v>127</v>
      </c>
      <c r="BJ208" s="775" t="s">
        <v>45</v>
      </c>
      <c r="BK208" s="776">
        <v>16.899999999999999</v>
      </c>
      <c r="BL208" s="775">
        <v>2003</v>
      </c>
      <c r="CL208" s="773"/>
      <c r="CM208" s="773"/>
      <c r="CN208" s="773"/>
      <c r="CO208" s="773"/>
      <c r="CP208" s="773"/>
      <c r="CQ208" s="773"/>
      <c r="CR208" s="773"/>
    </row>
    <row r="209" spans="35:96" ht="15.75">
      <c r="AI209" s="55"/>
      <c r="AJ209" s="55"/>
      <c r="AK209" s="55"/>
      <c r="AL209" s="55"/>
      <c r="AM209" s="55"/>
      <c r="AN209" s="55"/>
      <c r="AO209" s="55"/>
      <c r="AP209" s="55"/>
      <c r="AQ209" s="55"/>
      <c r="AR209" s="55"/>
      <c r="AS209" s="55"/>
      <c r="AT209" s="55"/>
      <c r="AU209" s="55"/>
      <c r="AV209" s="55"/>
      <c r="BA209" s="775" t="s">
        <v>38</v>
      </c>
      <c r="BB209" s="839">
        <v>2004</v>
      </c>
      <c r="BC209" s="775" t="s">
        <v>48</v>
      </c>
      <c r="BD209" s="841">
        <v>17.2</v>
      </c>
      <c r="BH209" s="775" t="s">
        <v>38</v>
      </c>
      <c r="BI209" s="836" t="s">
        <v>127</v>
      </c>
      <c r="BJ209" s="775" t="s">
        <v>48</v>
      </c>
      <c r="BK209" s="776">
        <v>16.799999999999997</v>
      </c>
      <c r="BL209" s="775">
        <v>2003</v>
      </c>
      <c r="CL209" s="773"/>
      <c r="CM209" s="773"/>
      <c r="CN209" s="773"/>
      <c r="CO209" s="773"/>
      <c r="CP209" s="773"/>
      <c r="CQ209" s="773"/>
      <c r="CR209" s="773"/>
    </row>
    <row r="210" spans="35:96" ht="15.75">
      <c r="AI210" s="55"/>
      <c r="AJ210" s="55"/>
      <c r="AK210" s="55"/>
      <c r="AL210" s="55"/>
      <c r="AM210" s="55"/>
      <c r="AN210" s="55"/>
      <c r="AO210" s="55"/>
      <c r="AP210" s="55"/>
      <c r="AQ210" s="55"/>
      <c r="AR210" s="55"/>
      <c r="AS210" s="55"/>
      <c r="AT210" s="55"/>
      <c r="AU210" s="55"/>
      <c r="AV210" s="55"/>
      <c r="BA210" s="775" t="s">
        <v>38</v>
      </c>
      <c r="BB210" s="839">
        <v>2004</v>
      </c>
      <c r="BC210" s="775" t="s">
        <v>97</v>
      </c>
      <c r="BD210" s="841">
        <v>539.90000000000009</v>
      </c>
      <c r="BH210" s="775" t="s">
        <v>38</v>
      </c>
      <c r="BI210" s="836" t="s">
        <v>127</v>
      </c>
      <c r="BJ210" s="775" t="s">
        <v>97</v>
      </c>
      <c r="BK210" s="776">
        <v>465.8</v>
      </c>
      <c r="BL210" s="775">
        <v>2003</v>
      </c>
      <c r="CL210" s="773"/>
      <c r="CM210" s="773"/>
      <c r="CN210" s="773"/>
      <c r="CO210" s="773"/>
      <c r="CP210" s="773"/>
      <c r="CQ210" s="773"/>
      <c r="CR210" s="773"/>
    </row>
    <row r="211" spans="35:96" ht="15.75">
      <c r="AI211" s="55"/>
      <c r="AJ211" s="55"/>
      <c r="AK211" s="55"/>
      <c r="AL211" s="55"/>
      <c r="AM211" s="55"/>
      <c r="AN211" s="55"/>
      <c r="AO211" s="55"/>
      <c r="AP211" s="55"/>
      <c r="AQ211" s="55"/>
      <c r="AR211" s="55"/>
      <c r="AS211" s="55"/>
      <c r="AT211" s="55"/>
      <c r="AU211" s="55"/>
      <c r="AV211" s="55"/>
      <c r="BA211" s="775" t="s">
        <v>172</v>
      </c>
      <c r="BB211" s="839">
        <v>2004</v>
      </c>
      <c r="BC211" s="775" t="s">
        <v>15</v>
      </c>
      <c r="BD211" s="775">
        <f t="shared" ref="BD211:BD221" si="16">BD222-BD200</f>
        <v>52</v>
      </c>
      <c r="BH211" s="775" t="s">
        <v>172</v>
      </c>
      <c r="BI211" s="836" t="s">
        <v>127</v>
      </c>
      <c r="BJ211" s="775" t="s">
        <v>15</v>
      </c>
      <c r="BK211" s="775">
        <f>BK222-BK200</f>
        <v>35.700000000000003</v>
      </c>
      <c r="BL211" s="775">
        <v>2003</v>
      </c>
      <c r="CL211" s="773"/>
      <c r="CM211" s="773"/>
      <c r="CN211" s="773"/>
      <c r="CO211" s="773"/>
      <c r="CP211" s="773"/>
      <c r="CQ211" s="773"/>
      <c r="CR211" s="773"/>
    </row>
    <row r="212" spans="35:96" ht="15.75">
      <c r="AI212" s="55"/>
      <c r="AJ212" s="55"/>
      <c r="AK212" s="55"/>
      <c r="AL212" s="55"/>
      <c r="AM212" s="55"/>
      <c r="AN212" s="55"/>
      <c r="AO212" s="55"/>
      <c r="AP212" s="55"/>
      <c r="AQ212" s="55"/>
      <c r="AR212" s="55"/>
      <c r="AS212" s="55"/>
      <c r="AT212" s="55"/>
      <c r="AU212" s="55"/>
      <c r="AV212" s="55"/>
      <c r="BA212" s="775" t="s">
        <v>172</v>
      </c>
      <c r="BB212" s="839">
        <v>2004</v>
      </c>
      <c r="BC212" s="775" t="s">
        <v>277</v>
      </c>
      <c r="BD212" s="775">
        <f t="shared" si="16"/>
        <v>31.5</v>
      </c>
      <c r="BH212" s="775" t="s">
        <v>172</v>
      </c>
      <c r="BI212" s="836" t="s">
        <v>127</v>
      </c>
      <c r="BJ212" s="775" t="s">
        <v>277</v>
      </c>
      <c r="BK212" s="775">
        <f t="shared" ref="BK212:BK221" si="17">BK223-BK201</f>
        <v>25.900000000000002</v>
      </c>
      <c r="BL212" s="775">
        <v>2003</v>
      </c>
      <c r="CL212" s="773"/>
      <c r="CM212" s="773"/>
      <c r="CN212" s="773"/>
      <c r="CO212" s="773"/>
      <c r="CP212" s="773"/>
      <c r="CQ212" s="773"/>
      <c r="CR212" s="773"/>
    </row>
    <row r="213" spans="35:96" ht="15.75">
      <c r="AI213" s="55"/>
      <c r="AJ213" s="55"/>
      <c r="AK213" s="55"/>
      <c r="AL213" s="55"/>
      <c r="AM213" s="55"/>
      <c r="AN213" s="55"/>
      <c r="AO213" s="55"/>
      <c r="AP213" s="55"/>
      <c r="AQ213" s="55"/>
      <c r="AR213" s="55"/>
      <c r="AS213" s="55"/>
      <c r="AT213" s="55"/>
      <c r="AU213" s="55"/>
      <c r="AV213" s="55"/>
      <c r="BA213" s="775" t="s">
        <v>172</v>
      </c>
      <c r="BB213" s="839">
        <v>2004</v>
      </c>
      <c r="BC213" s="775" t="s">
        <v>1064</v>
      </c>
      <c r="BD213" s="775">
        <f t="shared" si="16"/>
        <v>13.799999999999983</v>
      </c>
      <c r="BH213" s="775" t="s">
        <v>172</v>
      </c>
      <c r="BI213" s="836" t="s">
        <v>127</v>
      </c>
      <c r="BJ213" s="775" t="s">
        <v>1064</v>
      </c>
      <c r="BK213" s="775">
        <f t="shared" si="17"/>
        <v>13.600000000000009</v>
      </c>
      <c r="BL213" s="775">
        <v>2003</v>
      </c>
      <c r="CL213" s="773"/>
      <c r="CM213" s="773"/>
      <c r="CN213" s="773"/>
      <c r="CO213" s="773"/>
      <c r="CP213" s="773"/>
      <c r="CQ213" s="773"/>
      <c r="CR213" s="773"/>
    </row>
    <row r="214" spans="35:96" ht="15.75">
      <c r="AI214" s="55"/>
      <c r="AJ214" s="55"/>
      <c r="AK214" s="55"/>
      <c r="AL214" s="55"/>
      <c r="AM214" s="55"/>
      <c r="AN214" s="55"/>
      <c r="AO214" s="55"/>
      <c r="AP214" s="55"/>
      <c r="AQ214" s="55"/>
      <c r="AR214" s="55"/>
      <c r="AS214" s="55"/>
      <c r="AT214" s="55"/>
      <c r="AU214" s="55"/>
      <c r="AV214" s="55"/>
      <c r="BA214" s="775" t="s">
        <v>172</v>
      </c>
      <c r="BB214" s="839">
        <v>2004</v>
      </c>
      <c r="BC214" s="775" t="s">
        <v>8</v>
      </c>
      <c r="BD214" s="775">
        <f t="shared" si="16"/>
        <v>130.30000000000001</v>
      </c>
      <c r="BH214" s="775" t="s">
        <v>172</v>
      </c>
      <c r="BI214" s="836" t="s">
        <v>127</v>
      </c>
      <c r="BJ214" s="775" t="s">
        <v>8</v>
      </c>
      <c r="BK214" s="775">
        <f t="shared" si="17"/>
        <v>120.40000000000003</v>
      </c>
      <c r="BL214" s="775">
        <v>2003</v>
      </c>
      <c r="CL214" s="773"/>
      <c r="CM214" s="773"/>
      <c r="CN214" s="773"/>
      <c r="CO214" s="773"/>
      <c r="CP214" s="773"/>
      <c r="CQ214" s="773"/>
      <c r="CR214" s="773"/>
    </row>
    <row r="215" spans="35:96" ht="15.75">
      <c r="AI215" s="55"/>
      <c r="AJ215" s="55"/>
      <c r="AK215" s="55"/>
      <c r="AL215" s="55"/>
      <c r="AM215" s="55"/>
      <c r="AN215" s="55"/>
      <c r="AO215" s="55"/>
      <c r="AP215" s="55"/>
      <c r="AQ215" s="55"/>
      <c r="AR215" s="55"/>
      <c r="AS215" s="55"/>
      <c r="AT215" s="55"/>
      <c r="AU215" s="55"/>
      <c r="AV215" s="55"/>
      <c r="BA215" s="775" t="s">
        <v>172</v>
      </c>
      <c r="BB215" s="839">
        <v>2004</v>
      </c>
      <c r="BC215" s="775" t="s">
        <v>96</v>
      </c>
      <c r="BD215" s="775">
        <f t="shared" si="16"/>
        <v>14.200000000000003</v>
      </c>
      <c r="BH215" s="775" t="s">
        <v>172</v>
      </c>
      <c r="BI215" s="836" t="s">
        <v>127</v>
      </c>
      <c r="BJ215" s="775" t="s">
        <v>96</v>
      </c>
      <c r="BK215" s="775">
        <f t="shared" si="17"/>
        <v>44.6</v>
      </c>
      <c r="BL215" s="775">
        <v>2003</v>
      </c>
      <c r="CL215" s="773"/>
      <c r="CM215" s="773"/>
      <c r="CN215" s="773"/>
      <c r="CO215" s="773"/>
      <c r="CP215" s="773"/>
      <c r="CQ215" s="773"/>
      <c r="CR215" s="773"/>
    </row>
    <row r="216" spans="35:96" ht="15.75">
      <c r="AI216" s="55"/>
      <c r="AJ216" s="55"/>
      <c r="AK216" s="55"/>
      <c r="AL216" s="55"/>
      <c r="AM216" s="55"/>
      <c r="AN216" s="55"/>
      <c r="AO216" s="55"/>
      <c r="AP216" s="55"/>
      <c r="AQ216" s="55"/>
      <c r="AR216" s="55"/>
      <c r="AS216" s="55"/>
      <c r="AT216" s="55"/>
      <c r="AU216" s="55"/>
      <c r="AV216" s="55"/>
      <c r="BA216" s="775" t="s">
        <v>172</v>
      </c>
      <c r="BB216" s="839">
        <v>2004</v>
      </c>
      <c r="BC216" s="775" t="s">
        <v>196</v>
      </c>
      <c r="BD216" s="775">
        <f t="shared" si="16"/>
        <v>19.500000000000004</v>
      </c>
      <c r="BH216" s="775" t="s">
        <v>172</v>
      </c>
      <c r="BI216" s="836" t="s">
        <v>127</v>
      </c>
      <c r="BJ216" s="775" t="s">
        <v>196</v>
      </c>
      <c r="BK216" s="775">
        <f t="shared" si="17"/>
        <v>13.200000000000001</v>
      </c>
      <c r="BL216" s="775">
        <v>2003</v>
      </c>
      <c r="CL216" s="773"/>
      <c r="CM216" s="773"/>
      <c r="CN216" s="773"/>
      <c r="CO216" s="773"/>
      <c r="CP216" s="773"/>
      <c r="CQ216" s="773"/>
      <c r="CR216" s="773"/>
    </row>
    <row r="217" spans="35:96" ht="15.75">
      <c r="AI217" s="55"/>
      <c r="AJ217" s="55"/>
      <c r="AK217" s="55"/>
      <c r="AL217" s="55"/>
      <c r="AM217" s="55"/>
      <c r="AN217" s="55"/>
      <c r="AO217" s="55"/>
      <c r="AP217" s="55"/>
      <c r="AQ217" s="55"/>
      <c r="AR217" s="55"/>
      <c r="AS217" s="55"/>
      <c r="AT217" s="55"/>
      <c r="AU217" s="55"/>
      <c r="AV217" s="55"/>
      <c r="BA217" s="775" t="s">
        <v>172</v>
      </c>
      <c r="BB217" s="839">
        <v>2004</v>
      </c>
      <c r="BC217" s="775" t="s">
        <v>278</v>
      </c>
      <c r="BD217" s="775">
        <f t="shared" si="16"/>
        <v>14.7</v>
      </c>
      <c r="BH217" s="775" t="s">
        <v>172</v>
      </c>
      <c r="BI217" s="836" t="s">
        <v>127</v>
      </c>
      <c r="BJ217" s="775" t="s">
        <v>278</v>
      </c>
      <c r="BK217" s="775">
        <f t="shared" si="17"/>
        <v>10.6</v>
      </c>
      <c r="BL217" s="775">
        <v>2003</v>
      </c>
      <c r="CL217" s="773"/>
      <c r="CM217" s="773"/>
      <c r="CN217" s="773"/>
      <c r="CO217" s="773"/>
      <c r="CP217" s="773"/>
      <c r="CQ217" s="773"/>
      <c r="CR217" s="773"/>
    </row>
    <row r="218" spans="35:96" ht="15.75">
      <c r="AI218" s="55"/>
      <c r="AJ218" s="55"/>
      <c r="AK218" s="55"/>
      <c r="AL218" s="55"/>
      <c r="AM218" s="55"/>
      <c r="AN218" s="55"/>
      <c r="AO218" s="55"/>
      <c r="AP218" s="55"/>
      <c r="AQ218" s="55"/>
      <c r="AR218" s="55"/>
      <c r="AS218" s="55"/>
      <c r="AT218" s="55"/>
      <c r="AU218" s="55"/>
      <c r="AV218" s="55"/>
      <c r="BA218" s="775" t="s">
        <v>172</v>
      </c>
      <c r="BB218" s="839">
        <v>2004</v>
      </c>
      <c r="BC218" s="775" t="s">
        <v>44</v>
      </c>
      <c r="BD218" s="775">
        <f t="shared" si="16"/>
        <v>96.5</v>
      </c>
      <c r="BH218" s="775" t="s">
        <v>172</v>
      </c>
      <c r="BI218" s="836" t="s">
        <v>127</v>
      </c>
      <c r="BJ218" s="775" t="s">
        <v>44</v>
      </c>
      <c r="BK218" s="775">
        <f t="shared" si="17"/>
        <v>81.5</v>
      </c>
      <c r="BL218" s="775">
        <v>2003</v>
      </c>
      <c r="CL218" s="773"/>
      <c r="CM218" s="773"/>
      <c r="CN218" s="773"/>
      <c r="CO218" s="773"/>
      <c r="CP218" s="773"/>
      <c r="CQ218" s="773"/>
      <c r="CR218" s="773"/>
    </row>
    <row r="219" spans="35:96" ht="15.75">
      <c r="AI219" s="55"/>
      <c r="AJ219" s="55"/>
      <c r="AK219" s="55"/>
      <c r="AL219" s="55"/>
      <c r="AM219" s="55"/>
      <c r="AN219" s="55"/>
      <c r="AO219" s="55"/>
      <c r="AP219" s="55"/>
      <c r="AQ219" s="55"/>
      <c r="AR219" s="55"/>
      <c r="AS219" s="55"/>
      <c r="AT219" s="55"/>
      <c r="AU219" s="55"/>
      <c r="AV219" s="55"/>
      <c r="BA219" s="775" t="s">
        <v>172</v>
      </c>
      <c r="BB219" s="839">
        <v>2004</v>
      </c>
      <c r="BC219" s="775" t="s">
        <v>45</v>
      </c>
      <c r="BD219" s="775">
        <f t="shared" si="16"/>
        <v>9.2999999999999972</v>
      </c>
      <c r="BH219" s="775" t="s">
        <v>172</v>
      </c>
      <c r="BI219" s="836" t="s">
        <v>127</v>
      </c>
      <c r="BJ219" s="775" t="s">
        <v>45</v>
      </c>
      <c r="BK219" s="775">
        <f t="shared" si="17"/>
        <v>9</v>
      </c>
      <c r="BL219" s="775">
        <v>2003</v>
      </c>
      <c r="CL219" s="773"/>
      <c r="CM219" s="773"/>
      <c r="CN219" s="773"/>
      <c r="CO219" s="773"/>
      <c r="CP219" s="773"/>
      <c r="CQ219" s="773"/>
      <c r="CR219" s="773"/>
    </row>
    <row r="220" spans="35:96" ht="15.75">
      <c r="AI220" s="55"/>
      <c r="AJ220" s="55"/>
      <c r="AK220" s="55"/>
      <c r="AL220" s="55"/>
      <c r="AM220" s="55"/>
      <c r="AN220" s="55"/>
      <c r="AO220" s="55"/>
      <c r="AP220" s="55"/>
      <c r="AQ220" s="55"/>
      <c r="AR220" s="55"/>
      <c r="AS220" s="55"/>
      <c r="AT220" s="55"/>
      <c r="AU220" s="55"/>
      <c r="AV220" s="55"/>
      <c r="BA220" s="775" t="s">
        <v>172</v>
      </c>
      <c r="BB220" s="839">
        <v>2004</v>
      </c>
      <c r="BC220" s="775" t="s">
        <v>48</v>
      </c>
      <c r="BD220" s="775">
        <f t="shared" si="16"/>
        <v>21.2</v>
      </c>
      <c r="BH220" s="775" t="s">
        <v>172</v>
      </c>
      <c r="BI220" s="836" t="s">
        <v>127</v>
      </c>
      <c r="BJ220" s="775" t="s">
        <v>48</v>
      </c>
      <c r="BK220" s="775">
        <f t="shared" si="17"/>
        <v>15.700000000000003</v>
      </c>
      <c r="BL220" s="775">
        <v>2003</v>
      </c>
      <c r="CL220" s="773"/>
      <c r="CM220" s="773"/>
      <c r="CN220" s="773"/>
      <c r="CO220" s="773"/>
      <c r="CP220" s="773"/>
      <c r="CQ220" s="773"/>
      <c r="CR220" s="773"/>
    </row>
    <row r="221" spans="35:96" ht="15.75">
      <c r="AI221" s="55"/>
      <c r="AJ221" s="55"/>
      <c r="AK221" s="55"/>
      <c r="AL221" s="55"/>
      <c r="AM221" s="55"/>
      <c r="AN221" s="55"/>
      <c r="AO221" s="55"/>
      <c r="AP221" s="55"/>
      <c r="AQ221" s="55"/>
      <c r="AR221" s="55"/>
      <c r="AS221" s="55"/>
      <c r="AT221" s="55"/>
      <c r="AU221" s="55"/>
      <c r="AV221" s="55"/>
      <c r="BA221" s="775" t="s">
        <v>172</v>
      </c>
      <c r="BB221" s="839">
        <v>2004</v>
      </c>
      <c r="BC221" s="775" t="s">
        <v>97</v>
      </c>
      <c r="BD221" s="775">
        <f t="shared" si="16"/>
        <v>379.5</v>
      </c>
      <c r="BH221" s="775" t="s">
        <v>172</v>
      </c>
      <c r="BI221" s="836" t="s">
        <v>127</v>
      </c>
      <c r="BJ221" s="775" t="s">
        <v>97</v>
      </c>
      <c r="BK221" s="775">
        <f t="shared" si="17"/>
        <v>320.90000000000003</v>
      </c>
      <c r="BL221" s="775">
        <v>2003</v>
      </c>
      <c r="CL221" s="773"/>
      <c r="CM221" s="773"/>
      <c r="CN221" s="773"/>
      <c r="CO221" s="773"/>
      <c r="CP221" s="773"/>
      <c r="CQ221" s="773"/>
      <c r="CR221" s="773"/>
    </row>
    <row r="222" spans="35:96" ht="15.75">
      <c r="AI222" s="55"/>
      <c r="AJ222" s="55"/>
      <c r="AK222" s="55"/>
      <c r="AL222" s="55"/>
      <c r="AM222" s="55"/>
      <c r="AN222" s="55"/>
      <c r="AO222" s="55"/>
      <c r="AP222" s="55"/>
      <c r="AQ222" s="55"/>
      <c r="AR222" s="55"/>
      <c r="AS222" s="55"/>
      <c r="AT222" s="55"/>
      <c r="AU222" s="55"/>
      <c r="AV222" s="55"/>
      <c r="BA222" s="775" t="s">
        <v>170</v>
      </c>
      <c r="BB222" s="839">
        <v>2004</v>
      </c>
      <c r="BC222" s="775" t="s">
        <v>15</v>
      </c>
      <c r="BD222" s="775">
        <v>55.8</v>
      </c>
      <c r="BH222" s="775" t="s">
        <v>170</v>
      </c>
      <c r="BI222" s="836" t="s">
        <v>127</v>
      </c>
      <c r="BJ222" s="775" t="s">
        <v>15</v>
      </c>
      <c r="BK222" s="838">
        <v>37.900000000000006</v>
      </c>
      <c r="BL222" s="775">
        <v>2003</v>
      </c>
      <c r="CL222" s="773"/>
      <c r="CM222" s="773"/>
      <c r="CN222" s="773"/>
      <c r="CO222" s="773"/>
      <c r="CP222" s="773"/>
      <c r="CQ222" s="773"/>
      <c r="CR222" s="773"/>
    </row>
    <row r="223" spans="35:96" ht="15.75">
      <c r="AI223" s="55"/>
      <c r="AJ223" s="55"/>
      <c r="AK223" s="55"/>
      <c r="AL223" s="55"/>
      <c r="AM223" s="55"/>
      <c r="AN223" s="55"/>
      <c r="AO223" s="55"/>
      <c r="AP223" s="55"/>
      <c r="AQ223" s="55"/>
      <c r="AR223" s="55"/>
      <c r="AS223" s="55"/>
      <c r="AT223" s="55"/>
      <c r="AU223" s="55"/>
      <c r="AV223" s="55"/>
      <c r="BA223" s="775" t="s">
        <v>170</v>
      </c>
      <c r="BB223" s="839">
        <v>2004</v>
      </c>
      <c r="BC223" s="775" t="s">
        <v>277</v>
      </c>
      <c r="BD223" s="775">
        <v>33.4</v>
      </c>
      <c r="BH223" s="775" t="s">
        <v>170</v>
      </c>
      <c r="BI223" s="836" t="s">
        <v>127</v>
      </c>
      <c r="BJ223" s="775" t="s">
        <v>277</v>
      </c>
      <c r="BK223" s="838">
        <v>29.8</v>
      </c>
      <c r="BL223" s="775">
        <v>2003</v>
      </c>
      <c r="CL223" s="773"/>
      <c r="CM223" s="773"/>
      <c r="CN223" s="773"/>
      <c r="CO223" s="773"/>
      <c r="CP223" s="773"/>
      <c r="CQ223" s="773"/>
      <c r="CR223" s="773"/>
    </row>
    <row r="224" spans="35:96" ht="15.75">
      <c r="AI224" s="55"/>
      <c r="AJ224" s="55"/>
      <c r="AK224" s="55"/>
      <c r="AL224" s="55"/>
      <c r="AM224" s="55"/>
      <c r="AN224" s="55"/>
      <c r="AO224" s="55"/>
      <c r="AP224" s="55"/>
      <c r="AQ224" s="55"/>
      <c r="AR224" s="55"/>
      <c r="AS224" s="55"/>
      <c r="AT224" s="55"/>
      <c r="AU224" s="55"/>
      <c r="AV224" s="55"/>
      <c r="BA224" s="775" t="s">
        <v>170</v>
      </c>
      <c r="BB224" s="839">
        <v>2004</v>
      </c>
      <c r="BC224" s="775" t="s">
        <v>1064</v>
      </c>
      <c r="BD224" s="775">
        <v>118.19999999999999</v>
      </c>
      <c r="BH224" s="775" t="s">
        <v>170</v>
      </c>
      <c r="BI224" s="836" t="s">
        <v>127</v>
      </c>
      <c r="BJ224" s="775" t="s">
        <v>1064</v>
      </c>
      <c r="BK224" s="838">
        <v>84.2</v>
      </c>
      <c r="BL224" s="775">
        <v>2003</v>
      </c>
      <c r="CL224" s="773"/>
      <c r="CM224" s="773"/>
      <c r="CN224" s="773"/>
      <c r="CO224" s="773"/>
      <c r="CP224" s="773"/>
      <c r="CQ224" s="773"/>
      <c r="CR224" s="773"/>
    </row>
    <row r="225" spans="35:96" ht="15.75">
      <c r="AI225" s="55"/>
      <c r="AJ225" s="55"/>
      <c r="AK225" s="55"/>
      <c r="AL225" s="55"/>
      <c r="AM225" s="55"/>
      <c r="AN225" s="55"/>
      <c r="AO225" s="55"/>
      <c r="AP225" s="55"/>
      <c r="AQ225" s="55"/>
      <c r="AR225" s="55"/>
      <c r="AS225" s="55"/>
      <c r="AT225" s="55"/>
      <c r="AU225" s="55"/>
      <c r="AV225" s="55"/>
      <c r="BA225" s="775" t="s">
        <v>170</v>
      </c>
      <c r="BB225" s="839">
        <v>2004</v>
      </c>
      <c r="BC225" s="775" t="s">
        <v>8</v>
      </c>
      <c r="BD225" s="775">
        <v>414.00000000000006</v>
      </c>
      <c r="BH225" s="775" t="s">
        <v>170</v>
      </c>
      <c r="BI225" s="836" t="s">
        <v>127</v>
      </c>
      <c r="BJ225" s="775" t="s">
        <v>8</v>
      </c>
      <c r="BK225" s="838">
        <v>397.1</v>
      </c>
      <c r="BL225" s="775">
        <v>2003</v>
      </c>
      <c r="CL225" s="773"/>
      <c r="CM225" s="773"/>
      <c r="CN225" s="773"/>
      <c r="CO225" s="773"/>
      <c r="CP225" s="773"/>
      <c r="CQ225" s="773"/>
      <c r="CR225" s="773"/>
    </row>
    <row r="226" spans="35:96" ht="15.75">
      <c r="AI226" s="55"/>
      <c r="AJ226" s="55"/>
      <c r="AK226" s="55"/>
      <c r="AL226" s="55"/>
      <c r="AM226" s="55"/>
      <c r="AN226" s="55"/>
      <c r="AO226" s="55"/>
      <c r="AP226" s="55"/>
      <c r="AQ226" s="55"/>
      <c r="AR226" s="55"/>
      <c r="AS226" s="55"/>
      <c r="AT226" s="55"/>
      <c r="AU226" s="55"/>
      <c r="AV226" s="55"/>
      <c r="BA226" s="775" t="s">
        <v>170</v>
      </c>
      <c r="BB226" s="839">
        <v>2004</v>
      </c>
      <c r="BC226" s="775" t="s">
        <v>96</v>
      </c>
      <c r="BD226" s="775">
        <v>97.9</v>
      </c>
      <c r="BH226" s="775" t="s">
        <v>170</v>
      </c>
      <c r="BI226" s="836" t="s">
        <v>127</v>
      </c>
      <c r="BJ226" s="775" t="s">
        <v>96</v>
      </c>
      <c r="BK226" s="838">
        <v>63.7</v>
      </c>
      <c r="BL226" s="775">
        <v>2003</v>
      </c>
      <c r="CL226" s="773"/>
      <c r="CM226" s="773"/>
      <c r="CN226" s="773"/>
      <c r="CO226" s="773"/>
      <c r="CP226" s="773"/>
      <c r="CQ226" s="773"/>
      <c r="CR226" s="773"/>
    </row>
    <row r="227" spans="35:96" ht="15.75">
      <c r="AI227" s="55"/>
      <c r="AJ227" s="55"/>
      <c r="AK227" s="55"/>
      <c r="AL227" s="55"/>
      <c r="AM227" s="55"/>
      <c r="AN227" s="55"/>
      <c r="AO227" s="55"/>
      <c r="AP227" s="55"/>
      <c r="AQ227" s="55"/>
      <c r="AR227" s="55"/>
      <c r="AS227" s="55"/>
      <c r="AT227" s="55"/>
      <c r="AU227" s="55"/>
      <c r="AV227" s="55"/>
      <c r="BA227" s="775" t="s">
        <v>170</v>
      </c>
      <c r="BB227" s="839">
        <v>2004</v>
      </c>
      <c r="BC227" s="775" t="s">
        <v>196</v>
      </c>
      <c r="BD227" s="775">
        <v>24.700000000000003</v>
      </c>
      <c r="BH227" s="775" t="s">
        <v>170</v>
      </c>
      <c r="BI227" s="836" t="s">
        <v>127</v>
      </c>
      <c r="BJ227" s="775" t="s">
        <v>196</v>
      </c>
      <c r="BK227" s="838">
        <v>23.8</v>
      </c>
      <c r="BL227" s="775">
        <v>2003</v>
      </c>
      <c r="CL227" s="773"/>
      <c r="CM227" s="773"/>
      <c r="CN227" s="773"/>
      <c r="CO227" s="773"/>
      <c r="CP227" s="773"/>
      <c r="CQ227" s="773"/>
      <c r="CR227" s="773"/>
    </row>
    <row r="228" spans="35:96" ht="15.75">
      <c r="AI228" s="55"/>
      <c r="AJ228" s="55"/>
      <c r="AK228" s="55"/>
      <c r="AL228" s="55"/>
      <c r="AM228" s="55"/>
      <c r="AN228" s="55"/>
      <c r="AO228" s="55"/>
      <c r="AP228" s="55"/>
      <c r="AQ228" s="55"/>
      <c r="AR228" s="55"/>
      <c r="AS228" s="55"/>
      <c r="AT228" s="55"/>
      <c r="AU228" s="55"/>
      <c r="AV228" s="55"/>
      <c r="BA228" s="775" t="s">
        <v>170</v>
      </c>
      <c r="BB228" s="839">
        <v>2004</v>
      </c>
      <c r="BC228" s="775" t="s">
        <v>278</v>
      </c>
      <c r="BD228" s="775">
        <v>14.799999999999999</v>
      </c>
      <c r="BH228" s="775" t="s">
        <v>170</v>
      </c>
      <c r="BI228" s="836" t="s">
        <v>127</v>
      </c>
      <c r="BJ228" s="775" t="s">
        <v>278</v>
      </c>
      <c r="BK228" s="838">
        <v>10.6</v>
      </c>
      <c r="BL228" s="775">
        <v>2003</v>
      </c>
      <c r="CL228" s="773"/>
      <c r="CM228" s="773"/>
      <c r="CN228" s="773"/>
      <c r="CO228" s="773"/>
      <c r="CP228" s="773"/>
      <c r="CQ228" s="773"/>
      <c r="CR228" s="773"/>
    </row>
    <row r="229" spans="35:96" ht="15.75">
      <c r="AI229" s="55"/>
      <c r="AJ229" s="55"/>
      <c r="AK229" s="55"/>
      <c r="AL229" s="55"/>
      <c r="AM229" s="55"/>
      <c r="AN229" s="55"/>
      <c r="AO229" s="55"/>
      <c r="AP229" s="55"/>
      <c r="AQ229" s="55"/>
      <c r="AR229" s="55"/>
      <c r="AS229" s="55"/>
      <c r="AT229" s="55"/>
      <c r="AU229" s="55"/>
      <c r="AV229" s="55"/>
      <c r="BA229" s="775" t="s">
        <v>170</v>
      </c>
      <c r="BB229" s="839">
        <v>2004</v>
      </c>
      <c r="BC229" s="775" t="s">
        <v>44</v>
      </c>
      <c r="BD229" s="775">
        <v>96.9</v>
      </c>
      <c r="BH229" s="775" t="s">
        <v>170</v>
      </c>
      <c r="BI229" s="836" t="s">
        <v>127</v>
      </c>
      <c r="BJ229" s="775" t="s">
        <v>44</v>
      </c>
      <c r="BK229" s="838">
        <v>81.5</v>
      </c>
      <c r="BL229" s="775">
        <v>2003</v>
      </c>
      <c r="CL229" s="773"/>
      <c r="CM229" s="773"/>
      <c r="CN229" s="773"/>
      <c r="CO229" s="773"/>
      <c r="CP229" s="773"/>
      <c r="CQ229" s="773"/>
      <c r="CR229" s="773"/>
    </row>
    <row r="230" spans="35:96" ht="15.75">
      <c r="AI230" s="55"/>
      <c r="AJ230" s="55"/>
      <c r="AK230" s="55"/>
      <c r="AL230" s="55"/>
      <c r="AM230" s="55"/>
      <c r="AN230" s="55"/>
      <c r="AO230" s="55"/>
      <c r="AP230" s="55"/>
      <c r="AQ230" s="55"/>
      <c r="AR230" s="55"/>
      <c r="AS230" s="55"/>
      <c r="AT230" s="55"/>
      <c r="AU230" s="55"/>
      <c r="AV230" s="55"/>
      <c r="BA230" s="775" t="s">
        <v>170</v>
      </c>
      <c r="BB230" s="839">
        <v>2004</v>
      </c>
      <c r="BC230" s="775" t="s">
        <v>45</v>
      </c>
      <c r="BD230" s="775">
        <v>25.4</v>
      </c>
      <c r="BH230" s="775" t="s">
        <v>170</v>
      </c>
      <c r="BI230" s="836" t="s">
        <v>127</v>
      </c>
      <c r="BJ230" s="775" t="s">
        <v>45</v>
      </c>
      <c r="BK230" s="838">
        <v>25.9</v>
      </c>
      <c r="BL230" s="775">
        <v>2003</v>
      </c>
      <c r="CL230" s="773"/>
      <c r="CM230" s="773"/>
      <c r="CN230" s="773"/>
      <c r="CO230" s="773"/>
      <c r="CP230" s="773"/>
      <c r="CQ230" s="773"/>
      <c r="CR230" s="773"/>
    </row>
    <row r="231" spans="35:96" ht="15.75">
      <c r="AI231" s="55"/>
      <c r="AJ231" s="55"/>
      <c r="AK231" s="55"/>
      <c r="AL231" s="55"/>
      <c r="AM231" s="55"/>
      <c r="AN231" s="55"/>
      <c r="AO231" s="55"/>
      <c r="AP231" s="55"/>
      <c r="AQ231" s="55"/>
      <c r="AR231" s="55"/>
      <c r="AS231" s="55"/>
      <c r="AT231" s="55"/>
      <c r="AU231" s="55"/>
      <c r="AV231" s="55"/>
      <c r="BA231" s="775" t="s">
        <v>170</v>
      </c>
      <c r="BB231" s="839">
        <v>2004</v>
      </c>
      <c r="BC231" s="775" t="s">
        <v>48</v>
      </c>
      <c r="BD231" s="775">
        <v>38.4</v>
      </c>
      <c r="BH231" s="775" t="s">
        <v>170</v>
      </c>
      <c r="BI231" s="836" t="s">
        <v>127</v>
      </c>
      <c r="BJ231" s="775" t="s">
        <v>48</v>
      </c>
      <c r="BK231" s="838">
        <v>32.5</v>
      </c>
      <c r="BL231" s="775">
        <v>2003</v>
      </c>
      <c r="CL231" s="773"/>
      <c r="CM231" s="773"/>
      <c r="CN231" s="773"/>
      <c r="CO231" s="773"/>
      <c r="CP231" s="773"/>
      <c r="CQ231" s="773"/>
      <c r="CR231" s="773"/>
    </row>
    <row r="232" spans="35:96" ht="15.75">
      <c r="AI232" s="55"/>
      <c r="AJ232" s="55"/>
      <c r="AK232" s="55"/>
      <c r="AL232" s="55"/>
      <c r="AM232" s="55"/>
      <c r="AN232" s="55"/>
      <c r="AO232" s="55"/>
      <c r="AP232" s="55"/>
      <c r="AQ232" s="55"/>
      <c r="AR232" s="55"/>
      <c r="AS232" s="55"/>
      <c r="AT232" s="55"/>
      <c r="AU232" s="55"/>
      <c r="AV232" s="55"/>
      <c r="BA232" s="775" t="s">
        <v>170</v>
      </c>
      <c r="BB232" s="839">
        <v>2004</v>
      </c>
      <c r="BC232" s="775" t="s">
        <v>97</v>
      </c>
      <c r="BD232" s="775">
        <v>919.40000000000009</v>
      </c>
      <c r="BH232" s="775" t="s">
        <v>170</v>
      </c>
      <c r="BI232" s="836" t="s">
        <v>127</v>
      </c>
      <c r="BJ232" s="775" t="s">
        <v>97</v>
      </c>
      <c r="BK232" s="838">
        <v>786.7</v>
      </c>
      <c r="BL232" s="775">
        <v>2003</v>
      </c>
      <c r="CL232" s="773"/>
      <c r="CM232" s="773"/>
      <c r="CN232" s="773"/>
      <c r="CO232" s="773"/>
      <c r="CP232" s="773"/>
      <c r="CQ232" s="773"/>
      <c r="CR232" s="773"/>
    </row>
    <row r="233" spans="35:96" ht="15.75">
      <c r="AI233" s="55"/>
      <c r="AJ233" s="55"/>
      <c r="AK233" s="55"/>
      <c r="AL233" s="55"/>
      <c r="AM233" s="55"/>
      <c r="AN233" s="55"/>
      <c r="AO233" s="55"/>
      <c r="AP233" s="55"/>
      <c r="AQ233" s="55"/>
      <c r="AR233" s="55"/>
      <c r="AS233" s="55"/>
      <c r="AT233" s="55"/>
      <c r="AU233" s="55"/>
      <c r="AV233" s="55"/>
      <c r="BA233" s="775" t="s">
        <v>38</v>
      </c>
      <c r="BB233" s="839">
        <v>2005</v>
      </c>
      <c r="BC233" s="775" t="s">
        <v>15</v>
      </c>
      <c r="BD233" s="840">
        <v>5.9</v>
      </c>
      <c r="BH233" s="775" t="s">
        <v>38</v>
      </c>
      <c r="BI233" s="836" t="s">
        <v>128</v>
      </c>
      <c r="BJ233" s="775" t="s">
        <v>15</v>
      </c>
      <c r="BK233" s="776">
        <v>3.3</v>
      </c>
      <c r="BL233" s="775">
        <v>2004</v>
      </c>
      <c r="CL233" s="773"/>
      <c r="CM233" s="773"/>
      <c r="CN233" s="773"/>
      <c r="CO233" s="773"/>
      <c r="CP233" s="773"/>
      <c r="CQ233" s="773"/>
      <c r="CR233" s="773"/>
    </row>
    <row r="234" spans="35:96" ht="15.75">
      <c r="AI234" s="55"/>
      <c r="AJ234" s="55"/>
      <c r="AK234" s="55"/>
      <c r="AL234" s="55"/>
      <c r="AM234" s="55"/>
      <c r="AN234" s="55"/>
      <c r="AO234" s="55"/>
      <c r="AP234" s="55"/>
      <c r="AQ234" s="55"/>
      <c r="AR234" s="55"/>
      <c r="AS234" s="55"/>
      <c r="AT234" s="55"/>
      <c r="AU234" s="55"/>
      <c r="AV234" s="55"/>
      <c r="BA234" s="775" t="s">
        <v>38</v>
      </c>
      <c r="BB234" s="839">
        <v>2005</v>
      </c>
      <c r="BC234" s="775" t="s">
        <v>277</v>
      </c>
      <c r="BD234" s="840">
        <v>7.9</v>
      </c>
      <c r="BH234" s="775" t="s">
        <v>38</v>
      </c>
      <c r="BI234" s="836" t="s">
        <v>128</v>
      </c>
      <c r="BJ234" s="775" t="s">
        <v>277</v>
      </c>
      <c r="BK234" s="776">
        <v>2.4</v>
      </c>
      <c r="BL234" s="775">
        <v>2004</v>
      </c>
      <c r="CL234" s="773"/>
      <c r="CM234" s="773"/>
      <c r="CN234" s="773"/>
      <c r="CO234" s="773"/>
      <c r="CP234" s="773"/>
      <c r="CQ234" s="773"/>
      <c r="CR234" s="773"/>
    </row>
    <row r="235" spans="35:96" ht="15.75">
      <c r="AI235" s="55"/>
      <c r="AJ235" s="55"/>
      <c r="AK235" s="55"/>
      <c r="AL235" s="55"/>
      <c r="AM235" s="55"/>
      <c r="AN235" s="55"/>
      <c r="AO235" s="55"/>
      <c r="AP235" s="55"/>
      <c r="AQ235" s="55"/>
      <c r="AR235" s="55"/>
      <c r="AS235" s="55"/>
      <c r="AT235" s="55"/>
      <c r="AU235" s="55"/>
      <c r="AV235" s="55"/>
      <c r="BA235" s="775" t="s">
        <v>38</v>
      </c>
      <c r="BB235" s="839">
        <v>2005</v>
      </c>
      <c r="BC235" s="775" t="s">
        <v>1064</v>
      </c>
      <c r="BD235" s="840">
        <v>152.19999999999999</v>
      </c>
      <c r="BH235" s="775" t="s">
        <v>38</v>
      </c>
      <c r="BI235" s="836" t="s">
        <v>128</v>
      </c>
      <c r="BJ235" s="775" t="s">
        <v>1064</v>
      </c>
      <c r="BK235" s="776">
        <v>148.69999999999999</v>
      </c>
      <c r="BL235" s="775">
        <v>2004</v>
      </c>
      <c r="CL235" s="773"/>
      <c r="CM235" s="773"/>
      <c r="CN235" s="773"/>
      <c r="CO235" s="773"/>
      <c r="CP235" s="773"/>
      <c r="CQ235" s="773"/>
      <c r="CR235" s="773"/>
    </row>
    <row r="236" spans="35:96" ht="15.75">
      <c r="AI236" s="55"/>
      <c r="AJ236" s="55"/>
      <c r="AK236" s="55"/>
      <c r="AL236" s="55"/>
      <c r="AM236" s="55"/>
      <c r="AN236" s="55"/>
      <c r="AO236" s="55"/>
      <c r="AP236" s="55"/>
      <c r="AQ236" s="55"/>
      <c r="AR236" s="55"/>
      <c r="AS236" s="55"/>
      <c r="AT236" s="55"/>
      <c r="AU236" s="55"/>
      <c r="AV236" s="55"/>
      <c r="BA236" s="775" t="s">
        <v>38</v>
      </c>
      <c r="BB236" s="839">
        <v>2005</v>
      </c>
      <c r="BC236" s="775" t="s">
        <v>8</v>
      </c>
      <c r="BD236" s="840">
        <v>241.29999999999998</v>
      </c>
      <c r="BH236" s="775" t="s">
        <v>38</v>
      </c>
      <c r="BI236" s="836" t="s">
        <v>128</v>
      </c>
      <c r="BJ236" s="775" t="s">
        <v>8</v>
      </c>
      <c r="BK236" s="776">
        <v>259.60000000000002</v>
      </c>
      <c r="BL236" s="775">
        <v>2004</v>
      </c>
      <c r="CL236" s="773"/>
      <c r="CM236" s="773"/>
      <c r="CN236" s="773"/>
      <c r="CO236" s="773"/>
      <c r="CP236" s="773"/>
      <c r="CQ236" s="773"/>
      <c r="CR236" s="773"/>
    </row>
    <row r="237" spans="35:96" ht="15.75">
      <c r="AI237" s="55"/>
      <c r="AJ237" s="55"/>
      <c r="AK237" s="55"/>
      <c r="AL237" s="55"/>
      <c r="AM237" s="55"/>
      <c r="AN237" s="55"/>
      <c r="AO237" s="55"/>
      <c r="AP237" s="55"/>
      <c r="AQ237" s="55"/>
      <c r="AR237" s="55"/>
      <c r="AS237" s="55"/>
      <c r="AT237" s="55"/>
      <c r="AU237" s="55"/>
      <c r="AV237" s="55"/>
      <c r="BA237" s="775" t="s">
        <v>38</v>
      </c>
      <c r="BB237" s="839">
        <v>2005</v>
      </c>
      <c r="BC237" s="775" t="s">
        <v>96</v>
      </c>
      <c r="BD237" s="840">
        <v>149.70000000000002</v>
      </c>
      <c r="BH237" s="775" t="s">
        <v>38</v>
      </c>
      <c r="BI237" s="836" t="s">
        <v>128</v>
      </c>
      <c r="BJ237" s="775" t="s">
        <v>96</v>
      </c>
      <c r="BK237" s="776">
        <v>137</v>
      </c>
      <c r="BL237" s="775">
        <v>2004</v>
      </c>
      <c r="CL237" s="773"/>
      <c r="CM237" s="773"/>
      <c r="CN237" s="773"/>
      <c r="CO237" s="773"/>
      <c r="CP237" s="773"/>
      <c r="CQ237" s="773"/>
      <c r="CR237" s="773"/>
    </row>
    <row r="238" spans="35:96" ht="15.75">
      <c r="AI238" s="55"/>
      <c r="AJ238" s="55"/>
      <c r="AK238" s="55"/>
      <c r="AL238" s="55"/>
      <c r="AM238" s="55"/>
      <c r="AN238" s="55"/>
      <c r="AO238" s="55"/>
      <c r="AP238" s="55"/>
      <c r="AQ238" s="55"/>
      <c r="AR238" s="55"/>
      <c r="AS238" s="55"/>
      <c r="AT238" s="55"/>
      <c r="AU238" s="55"/>
      <c r="AV238" s="55"/>
      <c r="BA238" s="775" t="s">
        <v>38</v>
      </c>
      <c r="BB238" s="839">
        <v>2005</v>
      </c>
      <c r="BC238" s="775" t="s">
        <v>196</v>
      </c>
      <c r="BD238" s="840">
        <v>13.9</v>
      </c>
      <c r="BH238" s="775" t="s">
        <v>38</v>
      </c>
      <c r="BI238" s="836" t="s">
        <v>128</v>
      </c>
      <c r="BJ238" s="775" t="s">
        <v>196</v>
      </c>
      <c r="BK238" s="776">
        <v>7.2</v>
      </c>
      <c r="BL238" s="775">
        <v>2004</v>
      </c>
      <c r="CL238" s="773"/>
      <c r="CM238" s="773"/>
      <c r="CN238" s="773"/>
      <c r="CO238" s="773"/>
      <c r="CP238" s="773"/>
      <c r="CQ238" s="773"/>
      <c r="CR238" s="773"/>
    </row>
    <row r="239" spans="35:96" ht="15.75">
      <c r="AI239" s="55"/>
      <c r="AJ239" s="55"/>
      <c r="AK239" s="55"/>
      <c r="AL239" s="55"/>
      <c r="AM239" s="55"/>
      <c r="AN239" s="55"/>
      <c r="AO239" s="55"/>
      <c r="AP239" s="55"/>
      <c r="AQ239" s="55"/>
      <c r="AR239" s="55"/>
      <c r="AS239" s="55"/>
      <c r="AT239" s="55"/>
      <c r="AU239" s="55"/>
      <c r="AV239" s="55"/>
      <c r="BA239" s="775" t="s">
        <v>38</v>
      </c>
      <c r="BB239" s="839">
        <v>2005</v>
      </c>
      <c r="BC239" s="775" t="s">
        <v>278</v>
      </c>
      <c r="BD239" s="840">
        <v>0.30000000000000004</v>
      </c>
      <c r="BH239" s="775" t="s">
        <v>38</v>
      </c>
      <c r="BI239" s="836" t="s">
        <v>128</v>
      </c>
      <c r="BJ239" s="775" t="s">
        <v>278</v>
      </c>
      <c r="BK239" s="776">
        <v>0.2</v>
      </c>
      <c r="BL239" s="775">
        <v>2004</v>
      </c>
      <c r="CL239" s="773"/>
      <c r="CM239" s="773"/>
      <c r="CN239" s="773"/>
      <c r="CO239" s="773"/>
      <c r="CP239" s="773"/>
      <c r="CQ239" s="773"/>
      <c r="CR239" s="773"/>
    </row>
    <row r="240" spans="35:96" ht="15.75">
      <c r="AI240" s="55"/>
      <c r="AJ240" s="55"/>
      <c r="AK240" s="55"/>
      <c r="AL240" s="55"/>
      <c r="AM240" s="55"/>
      <c r="AN240" s="55"/>
      <c r="AO240" s="55"/>
      <c r="AP240" s="55"/>
      <c r="AQ240" s="55"/>
      <c r="AR240" s="55"/>
      <c r="AS240" s="55"/>
      <c r="AT240" s="55"/>
      <c r="AU240" s="55"/>
      <c r="AV240" s="55"/>
      <c r="BA240" s="775" t="s">
        <v>38</v>
      </c>
      <c r="BB240" s="839">
        <v>2005</v>
      </c>
      <c r="BC240" s="775" t="s">
        <v>44</v>
      </c>
      <c r="BD240" s="840">
        <v>0.5</v>
      </c>
      <c r="BH240" s="775" t="s">
        <v>38</v>
      </c>
      <c r="BI240" s="836" t="s">
        <v>128</v>
      </c>
      <c r="BJ240" s="775" t="s">
        <v>44</v>
      </c>
      <c r="BK240" s="776">
        <v>0.7</v>
      </c>
      <c r="BL240" s="775">
        <v>2004</v>
      </c>
      <c r="CL240" s="773"/>
      <c r="CM240" s="773"/>
      <c r="CN240" s="773"/>
      <c r="CO240" s="773"/>
      <c r="CP240" s="773"/>
      <c r="CQ240" s="773"/>
      <c r="CR240" s="773"/>
    </row>
    <row r="241" spans="35:96" ht="15.75">
      <c r="AI241" s="55"/>
      <c r="AJ241" s="55"/>
      <c r="AK241" s="55"/>
      <c r="AL241" s="55"/>
      <c r="AM241" s="55"/>
      <c r="AN241" s="55"/>
      <c r="AO241" s="55"/>
      <c r="AP241" s="55"/>
      <c r="AQ241" s="55"/>
      <c r="AR241" s="55"/>
      <c r="AS241" s="55"/>
      <c r="AT241" s="55"/>
      <c r="AU241" s="55"/>
      <c r="AV241" s="55"/>
      <c r="BA241" s="775" t="s">
        <v>38</v>
      </c>
      <c r="BB241" s="839">
        <v>2005</v>
      </c>
      <c r="BC241" s="775" t="s">
        <v>45</v>
      </c>
      <c r="BD241" s="841">
        <v>14.6</v>
      </c>
      <c r="BH241" s="775" t="s">
        <v>38</v>
      </c>
      <c r="BI241" s="836" t="s">
        <v>128</v>
      </c>
      <c r="BJ241" s="775" t="s">
        <v>45</v>
      </c>
      <c r="BK241" s="776">
        <v>15.899999999999999</v>
      </c>
      <c r="BL241" s="775">
        <v>2004</v>
      </c>
      <c r="CL241" s="773"/>
      <c r="CM241" s="773"/>
      <c r="CN241" s="773"/>
      <c r="CO241" s="773"/>
      <c r="CP241" s="773"/>
      <c r="CQ241" s="773"/>
      <c r="CR241" s="773"/>
    </row>
    <row r="242" spans="35:96" ht="15.75">
      <c r="AI242" s="55"/>
      <c r="AJ242" s="55"/>
      <c r="AK242" s="55"/>
      <c r="AL242" s="55"/>
      <c r="AM242" s="55"/>
      <c r="AN242" s="55"/>
      <c r="AO242" s="55"/>
      <c r="AP242" s="55"/>
      <c r="AQ242" s="55"/>
      <c r="AR242" s="55"/>
      <c r="AS242" s="55"/>
      <c r="AT242" s="55"/>
      <c r="AU242" s="55"/>
      <c r="AV242" s="55"/>
      <c r="BA242" s="775" t="s">
        <v>38</v>
      </c>
      <c r="BB242" s="839">
        <v>2005</v>
      </c>
      <c r="BC242" s="775" t="s">
        <v>48</v>
      </c>
      <c r="BD242" s="841">
        <v>23.799999999999997</v>
      </c>
      <c r="BH242" s="775" t="s">
        <v>38</v>
      </c>
      <c r="BI242" s="836" t="s">
        <v>128</v>
      </c>
      <c r="BJ242" s="775" t="s">
        <v>48</v>
      </c>
      <c r="BK242" s="776">
        <v>18.799999999999997</v>
      </c>
      <c r="BL242" s="775">
        <v>2004</v>
      </c>
      <c r="CL242" s="773"/>
      <c r="CM242" s="773"/>
      <c r="CN242" s="773"/>
      <c r="CO242" s="773"/>
      <c r="CP242" s="773"/>
      <c r="CQ242" s="773"/>
      <c r="CR242" s="773"/>
    </row>
    <row r="243" spans="35:96" ht="15.75">
      <c r="AI243" s="55"/>
      <c r="AJ243" s="55"/>
      <c r="AK243" s="55"/>
      <c r="AL243" s="55"/>
      <c r="AM243" s="55"/>
      <c r="AN243" s="55"/>
      <c r="AO243" s="55"/>
      <c r="AP243" s="55"/>
      <c r="AQ243" s="55"/>
      <c r="AR243" s="55"/>
      <c r="AS243" s="55"/>
      <c r="AT243" s="55"/>
      <c r="AU243" s="55"/>
      <c r="AV243" s="55"/>
      <c r="BA243" s="775" t="s">
        <v>38</v>
      </c>
      <c r="BB243" s="839">
        <v>2005</v>
      </c>
      <c r="BC243" s="775" t="s">
        <v>97</v>
      </c>
      <c r="BD243" s="841">
        <v>613.79999999999995</v>
      </c>
      <c r="BH243" s="775" t="s">
        <v>38</v>
      </c>
      <c r="BI243" s="836" t="s">
        <v>128</v>
      </c>
      <c r="BJ243" s="775" t="s">
        <v>97</v>
      </c>
      <c r="BK243" s="776">
        <v>606</v>
      </c>
      <c r="BL243" s="775">
        <v>2004</v>
      </c>
      <c r="CL243" s="773"/>
      <c r="CM243" s="773"/>
      <c r="CN243" s="773"/>
      <c r="CO243" s="773"/>
      <c r="CP243" s="773"/>
      <c r="CQ243" s="773"/>
      <c r="CR243" s="773"/>
    </row>
    <row r="244" spans="35:96" ht="15.75">
      <c r="AI244" s="55"/>
      <c r="AJ244" s="55"/>
      <c r="AK244" s="55"/>
      <c r="AL244" s="55"/>
      <c r="AM244" s="55"/>
      <c r="AN244" s="55"/>
      <c r="AO244" s="55"/>
      <c r="AP244" s="55"/>
      <c r="AQ244" s="55"/>
      <c r="AR244" s="55"/>
      <c r="AS244" s="55"/>
      <c r="AT244" s="55"/>
      <c r="AU244" s="55"/>
      <c r="AV244" s="55"/>
      <c r="BA244" s="775" t="s">
        <v>172</v>
      </c>
      <c r="BB244" s="839">
        <v>2005</v>
      </c>
      <c r="BC244" s="775" t="s">
        <v>15</v>
      </c>
      <c r="BD244" s="775">
        <f t="shared" ref="BD244:BD254" si="18">BD255-BD233</f>
        <v>99.899999999999991</v>
      </c>
      <c r="BH244" s="775" t="s">
        <v>172</v>
      </c>
      <c r="BI244" s="836" t="s">
        <v>128</v>
      </c>
      <c r="BJ244" s="775" t="s">
        <v>15</v>
      </c>
      <c r="BK244" s="775">
        <f>BK255-BK233</f>
        <v>68.100000000000009</v>
      </c>
      <c r="BL244" s="775">
        <v>2004</v>
      </c>
      <c r="CL244" s="773"/>
      <c r="CM244" s="773"/>
      <c r="CN244" s="773"/>
      <c r="CO244" s="773"/>
      <c r="CP244" s="773"/>
      <c r="CQ244" s="773"/>
      <c r="CR244" s="773"/>
    </row>
    <row r="245" spans="35:96" ht="15.75">
      <c r="AI245" s="55"/>
      <c r="AJ245" s="55"/>
      <c r="AK245" s="55"/>
      <c r="AL245" s="55"/>
      <c r="AM245" s="55"/>
      <c r="AN245" s="55"/>
      <c r="AO245" s="55"/>
      <c r="AP245" s="55"/>
      <c r="AQ245" s="55"/>
      <c r="AR245" s="55"/>
      <c r="AS245" s="55"/>
      <c r="AT245" s="55"/>
      <c r="AU245" s="55"/>
      <c r="AV245" s="55"/>
      <c r="BA245" s="775" t="s">
        <v>172</v>
      </c>
      <c r="BB245" s="839">
        <v>2005</v>
      </c>
      <c r="BC245" s="775" t="s">
        <v>277</v>
      </c>
      <c r="BD245" s="775">
        <f t="shared" si="18"/>
        <v>38.6</v>
      </c>
      <c r="BH245" s="775" t="s">
        <v>172</v>
      </c>
      <c r="BI245" s="836" t="s">
        <v>128</v>
      </c>
      <c r="BJ245" s="775" t="s">
        <v>277</v>
      </c>
      <c r="BK245" s="775">
        <f t="shared" ref="BK245:BK254" si="19">BK256-BK234</f>
        <v>28.9</v>
      </c>
      <c r="BL245" s="775">
        <v>2004</v>
      </c>
      <c r="CL245" s="773"/>
      <c r="CM245" s="773"/>
      <c r="CN245" s="773"/>
      <c r="CO245" s="773"/>
      <c r="CP245" s="773"/>
      <c r="CQ245" s="773"/>
      <c r="CR245" s="773"/>
    </row>
    <row r="246" spans="35:96" ht="15.75">
      <c r="AI246" s="55"/>
      <c r="AJ246" s="55"/>
      <c r="AK246" s="55"/>
      <c r="AL246" s="55"/>
      <c r="AM246" s="55"/>
      <c r="AN246" s="55"/>
      <c r="AO246" s="55"/>
      <c r="AP246" s="55"/>
      <c r="AQ246" s="55"/>
      <c r="AR246" s="55"/>
      <c r="AS246" s="55"/>
      <c r="AT246" s="55"/>
      <c r="AU246" s="55"/>
      <c r="AV246" s="55"/>
      <c r="BA246" s="775" t="s">
        <v>172</v>
      </c>
      <c r="BB246" s="839">
        <v>2005</v>
      </c>
      <c r="BC246" s="775" t="s">
        <v>1064</v>
      </c>
      <c r="BD246" s="775">
        <f t="shared" si="18"/>
        <v>15.900000000000034</v>
      </c>
      <c r="BH246" s="775" t="s">
        <v>172</v>
      </c>
      <c r="BI246" s="836" t="s">
        <v>128</v>
      </c>
      <c r="BJ246" s="775" t="s">
        <v>1064</v>
      </c>
      <c r="BK246" s="775">
        <f t="shared" si="19"/>
        <v>9.9000000000000057</v>
      </c>
      <c r="BL246" s="775">
        <v>2004</v>
      </c>
      <c r="CL246" s="773"/>
      <c r="CM246" s="773"/>
      <c r="CN246" s="773"/>
      <c r="CO246" s="773"/>
      <c r="CP246" s="773"/>
      <c r="CQ246" s="773"/>
      <c r="CR246" s="773"/>
    </row>
    <row r="247" spans="35:96" ht="15.75">
      <c r="AI247" s="55"/>
      <c r="AJ247" s="55"/>
      <c r="AK247" s="55"/>
      <c r="AL247" s="55"/>
      <c r="AM247" s="55"/>
      <c r="AN247" s="55"/>
      <c r="AO247" s="55"/>
      <c r="AP247" s="55"/>
      <c r="AQ247" s="55"/>
      <c r="AR247" s="55"/>
      <c r="AS247" s="55"/>
      <c r="AT247" s="55"/>
      <c r="AU247" s="55"/>
      <c r="AV247" s="55"/>
      <c r="BA247" s="775" t="s">
        <v>172</v>
      </c>
      <c r="BB247" s="839">
        <v>2005</v>
      </c>
      <c r="BC247" s="775" t="s">
        <v>8</v>
      </c>
      <c r="BD247" s="775">
        <f t="shared" si="18"/>
        <v>142.80000000000004</v>
      </c>
      <c r="BH247" s="775" t="s">
        <v>172</v>
      </c>
      <c r="BI247" s="836" t="s">
        <v>128</v>
      </c>
      <c r="BJ247" s="775" t="s">
        <v>8</v>
      </c>
      <c r="BK247" s="775">
        <f t="shared" si="19"/>
        <v>132.10000000000002</v>
      </c>
      <c r="BL247" s="775">
        <v>2004</v>
      </c>
      <c r="CL247" s="773"/>
      <c r="CM247" s="773"/>
      <c r="CN247" s="773"/>
      <c r="CO247" s="773"/>
      <c r="CP247" s="773"/>
      <c r="CQ247" s="773"/>
      <c r="CR247" s="773"/>
    </row>
    <row r="248" spans="35:96" ht="15.75">
      <c r="AI248" s="55"/>
      <c r="AJ248" s="55"/>
      <c r="AK248" s="55"/>
      <c r="AL248" s="55"/>
      <c r="AM248" s="55"/>
      <c r="AN248" s="55"/>
      <c r="AO248" s="55"/>
      <c r="AP248" s="55"/>
      <c r="AQ248" s="55"/>
      <c r="AR248" s="55"/>
      <c r="AS248" s="55"/>
      <c r="AT248" s="55"/>
      <c r="AU248" s="55"/>
      <c r="AV248" s="55"/>
      <c r="BA248" s="775" t="s">
        <v>172</v>
      </c>
      <c r="BB248" s="839">
        <v>2005</v>
      </c>
      <c r="BC248" s="775" t="s">
        <v>96</v>
      </c>
      <c r="BD248" s="775">
        <f t="shared" si="18"/>
        <v>2.4999999999999716</v>
      </c>
      <c r="BH248" s="775" t="s">
        <v>172</v>
      </c>
      <c r="BI248" s="836" t="s">
        <v>128</v>
      </c>
      <c r="BJ248" s="775" t="s">
        <v>96</v>
      </c>
      <c r="BK248" s="775">
        <f t="shared" si="19"/>
        <v>0.90000000000000568</v>
      </c>
      <c r="BL248" s="775">
        <v>2004</v>
      </c>
      <c r="CL248" s="773"/>
      <c r="CM248" s="773"/>
      <c r="CN248" s="773"/>
      <c r="CO248" s="773"/>
      <c r="CP248" s="773"/>
      <c r="CQ248" s="773"/>
      <c r="CR248" s="773"/>
    </row>
    <row r="249" spans="35:96" ht="15.75">
      <c r="AI249" s="55"/>
      <c r="AJ249" s="55"/>
      <c r="AK249" s="55"/>
      <c r="AL249" s="55"/>
      <c r="AM249" s="55"/>
      <c r="AN249" s="55"/>
      <c r="AO249" s="55"/>
      <c r="AP249" s="55"/>
      <c r="AQ249" s="55"/>
      <c r="AR249" s="55"/>
      <c r="AS249" s="55"/>
      <c r="AT249" s="55"/>
      <c r="AU249" s="55"/>
      <c r="AV249" s="55"/>
      <c r="BA249" s="775" t="s">
        <v>172</v>
      </c>
      <c r="BB249" s="839">
        <v>2005</v>
      </c>
      <c r="BC249" s="775" t="s">
        <v>196</v>
      </c>
      <c r="BD249" s="775">
        <f t="shared" si="18"/>
        <v>16.199999999999996</v>
      </c>
      <c r="BH249" s="775" t="s">
        <v>172</v>
      </c>
      <c r="BI249" s="836" t="s">
        <v>128</v>
      </c>
      <c r="BJ249" s="775" t="s">
        <v>196</v>
      </c>
      <c r="BK249" s="775">
        <f t="shared" si="19"/>
        <v>20.400000000000002</v>
      </c>
      <c r="BL249" s="775">
        <v>2004</v>
      </c>
      <c r="CL249" s="773"/>
      <c r="CM249" s="773"/>
      <c r="CN249" s="773"/>
      <c r="CO249" s="773"/>
      <c r="CP249" s="773"/>
      <c r="CQ249" s="773"/>
      <c r="CR249" s="773"/>
    </row>
    <row r="250" spans="35:96" ht="15.75">
      <c r="AI250" s="55"/>
      <c r="AJ250" s="55"/>
      <c r="AK250" s="55"/>
      <c r="AL250" s="55"/>
      <c r="AM250" s="55"/>
      <c r="AN250" s="55"/>
      <c r="AO250" s="55"/>
      <c r="AP250" s="55"/>
      <c r="AQ250" s="55"/>
      <c r="AR250" s="55"/>
      <c r="AS250" s="55"/>
      <c r="AT250" s="55"/>
      <c r="AU250" s="55"/>
      <c r="AV250" s="55"/>
      <c r="BA250" s="775" t="s">
        <v>172</v>
      </c>
      <c r="BB250" s="839">
        <v>2005</v>
      </c>
      <c r="BC250" s="775" t="s">
        <v>278</v>
      </c>
      <c r="BD250" s="775">
        <f t="shared" si="18"/>
        <v>37.400000000000006</v>
      </c>
      <c r="BH250" s="775" t="s">
        <v>172</v>
      </c>
      <c r="BI250" s="836" t="s">
        <v>128</v>
      </c>
      <c r="BJ250" s="775" t="s">
        <v>278</v>
      </c>
      <c r="BK250" s="775">
        <f t="shared" si="19"/>
        <v>20.5</v>
      </c>
      <c r="BL250" s="775">
        <v>2004</v>
      </c>
      <c r="CL250" s="773"/>
      <c r="CM250" s="773"/>
      <c r="CN250" s="773"/>
      <c r="CO250" s="773"/>
      <c r="CP250" s="773"/>
      <c r="CQ250" s="773"/>
      <c r="CR250" s="773"/>
    </row>
    <row r="251" spans="35:96" ht="15.75">
      <c r="AI251" s="55"/>
      <c r="AJ251" s="55"/>
      <c r="AK251" s="55"/>
      <c r="AL251" s="55"/>
      <c r="AM251" s="55"/>
      <c r="AN251" s="55"/>
      <c r="AO251" s="55"/>
      <c r="AP251" s="55"/>
      <c r="AQ251" s="55"/>
      <c r="AR251" s="55"/>
      <c r="AS251" s="55"/>
      <c r="AT251" s="55"/>
      <c r="AU251" s="55"/>
      <c r="AV251" s="55"/>
      <c r="BA251" s="775" t="s">
        <v>172</v>
      </c>
      <c r="BB251" s="839">
        <v>2005</v>
      </c>
      <c r="BC251" s="775" t="s">
        <v>44</v>
      </c>
      <c r="BD251" s="775">
        <f t="shared" si="18"/>
        <v>145.10000000000002</v>
      </c>
      <c r="BH251" s="775" t="s">
        <v>172</v>
      </c>
      <c r="BI251" s="836" t="s">
        <v>128</v>
      </c>
      <c r="BJ251" s="775" t="s">
        <v>44</v>
      </c>
      <c r="BK251" s="775">
        <f t="shared" si="19"/>
        <v>126.10000000000001</v>
      </c>
      <c r="BL251" s="775">
        <v>2004</v>
      </c>
      <c r="CL251" s="773"/>
      <c r="CM251" s="773"/>
      <c r="CN251" s="773"/>
      <c r="CO251" s="773"/>
      <c r="CP251" s="773"/>
      <c r="CQ251" s="773"/>
      <c r="CR251" s="773"/>
    </row>
    <row r="252" spans="35:96" ht="15.75">
      <c r="AI252" s="55"/>
      <c r="AJ252" s="55"/>
      <c r="AK252" s="55"/>
      <c r="AL252" s="55"/>
      <c r="AM252" s="55"/>
      <c r="AN252" s="55"/>
      <c r="AO252" s="55"/>
      <c r="AP252" s="55"/>
      <c r="AQ252" s="55"/>
      <c r="AR252" s="55"/>
      <c r="AS252" s="55"/>
      <c r="AT252" s="55"/>
      <c r="AU252" s="55"/>
      <c r="AV252" s="55"/>
      <c r="BA252" s="775" t="s">
        <v>172</v>
      </c>
      <c r="BB252" s="839">
        <v>2005</v>
      </c>
      <c r="BC252" s="775" t="s">
        <v>45</v>
      </c>
      <c r="BD252" s="775">
        <f t="shared" si="18"/>
        <v>8.2000000000000011</v>
      </c>
      <c r="BH252" s="775" t="s">
        <v>172</v>
      </c>
      <c r="BI252" s="836" t="s">
        <v>128</v>
      </c>
      <c r="BJ252" s="775" t="s">
        <v>45</v>
      </c>
      <c r="BK252" s="775">
        <f t="shared" si="19"/>
        <v>7.8000000000000043</v>
      </c>
      <c r="BL252" s="775">
        <v>2004</v>
      </c>
      <c r="CL252" s="773"/>
      <c r="CM252" s="773"/>
      <c r="CN252" s="773"/>
      <c r="CO252" s="773"/>
      <c r="CP252" s="773"/>
      <c r="CQ252" s="773"/>
      <c r="CR252" s="773"/>
    </row>
    <row r="253" spans="35:96" ht="15.75">
      <c r="AI253" s="55"/>
      <c r="AJ253" s="55"/>
      <c r="AK253" s="55"/>
      <c r="AL253" s="55"/>
      <c r="AM253" s="55"/>
      <c r="AN253" s="55"/>
      <c r="AO253" s="55"/>
      <c r="AP253" s="55"/>
      <c r="AQ253" s="55"/>
      <c r="AR253" s="55"/>
      <c r="AS253" s="55"/>
      <c r="AT253" s="55"/>
      <c r="AU253" s="55"/>
      <c r="AV253" s="55"/>
      <c r="BA253" s="775" t="s">
        <v>172</v>
      </c>
      <c r="BB253" s="839">
        <v>2005</v>
      </c>
      <c r="BC253" s="775" t="s">
        <v>48</v>
      </c>
      <c r="BD253" s="775">
        <f t="shared" si="18"/>
        <v>19.400000000000006</v>
      </c>
      <c r="BH253" s="775" t="s">
        <v>172</v>
      </c>
      <c r="BI253" s="836" t="s">
        <v>128</v>
      </c>
      <c r="BJ253" s="775" t="s">
        <v>48</v>
      </c>
      <c r="BK253" s="775">
        <f t="shared" si="19"/>
        <v>19.800000000000004</v>
      </c>
      <c r="BL253" s="775">
        <v>2004</v>
      </c>
      <c r="CL253" s="773"/>
      <c r="CM253" s="773"/>
      <c r="CN253" s="773"/>
      <c r="CO253" s="773"/>
      <c r="CP253" s="773"/>
      <c r="CQ253" s="773"/>
      <c r="CR253" s="773"/>
    </row>
    <row r="254" spans="35:96" ht="15.75">
      <c r="AI254" s="55"/>
      <c r="AJ254" s="55"/>
      <c r="AK254" s="55"/>
      <c r="AL254" s="55"/>
      <c r="AM254" s="55"/>
      <c r="AN254" s="55"/>
      <c r="AO254" s="55"/>
      <c r="AP254" s="55"/>
      <c r="AQ254" s="55"/>
      <c r="AR254" s="55"/>
      <c r="AS254" s="55"/>
      <c r="AT254" s="55"/>
      <c r="AU254" s="55"/>
      <c r="AV254" s="55"/>
      <c r="BA254" s="775" t="s">
        <v>172</v>
      </c>
      <c r="BB254" s="839">
        <v>2005</v>
      </c>
      <c r="BC254" s="775" t="s">
        <v>97</v>
      </c>
      <c r="BD254" s="775">
        <f t="shared" si="18"/>
        <v>522.29999999999995</v>
      </c>
      <c r="BH254" s="775" t="s">
        <v>172</v>
      </c>
      <c r="BI254" s="836" t="s">
        <v>128</v>
      </c>
      <c r="BJ254" s="775" t="s">
        <v>97</v>
      </c>
      <c r="BK254" s="775">
        <f t="shared" si="19"/>
        <v>422.40000000000009</v>
      </c>
      <c r="BL254" s="775">
        <v>2004</v>
      </c>
      <c r="CL254" s="773"/>
      <c r="CM254" s="773"/>
      <c r="CN254" s="773"/>
      <c r="CO254" s="773"/>
      <c r="CP254" s="773"/>
      <c r="CQ254" s="773"/>
      <c r="CR254" s="773"/>
    </row>
    <row r="255" spans="35:96" ht="15.75">
      <c r="AI255" s="55"/>
      <c r="AJ255" s="55"/>
      <c r="AK255" s="55"/>
      <c r="AL255" s="55"/>
      <c r="AM255" s="55"/>
      <c r="AN255" s="55"/>
      <c r="AO255" s="55"/>
      <c r="AP255" s="55"/>
      <c r="AQ255" s="55"/>
      <c r="AR255" s="55"/>
      <c r="AS255" s="55"/>
      <c r="AT255" s="55"/>
      <c r="AU255" s="55"/>
      <c r="AV255" s="55"/>
      <c r="BA255" s="775" t="s">
        <v>170</v>
      </c>
      <c r="BB255" s="839">
        <v>2005</v>
      </c>
      <c r="BC255" s="775" t="s">
        <v>15</v>
      </c>
      <c r="BD255" s="775">
        <v>105.8</v>
      </c>
      <c r="BH255" s="775" t="s">
        <v>170</v>
      </c>
      <c r="BI255" s="836" t="s">
        <v>128</v>
      </c>
      <c r="BJ255" s="775" t="s">
        <v>15</v>
      </c>
      <c r="BK255" s="838">
        <v>71.400000000000006</v>
      </c>
      <c r="BL255" s="775">
        <v>2004</v>
      </c>
      <c r="CL255" s="773"/>
      <c r="CM255" s="773"/>
      <c r="CN255" s="773"/>
      <c r="CO255" s="773"/>
      <c r="CP255" s="773"/>
      <c r="CQ255" s="773"/>
      <c r="CR255" s="773"/>
    </row>
    <row r="256" spans="35:96" ht="15.75">
      <c r="AI256" s="55"/>
      <c r="AJ256" s="55"/>
      <c r="AK256" s="55"/>
      <c r="AL256" s="55"/>
      <c r="AM256" s="55"/>
      <c r="AN256" s="55"/>
      <c r="AO256" s="55"/>
      <c r="AP256" s="55"/>
      <c r="AQ256" s="55"/>
      <c r="AR256" s="55"/>
      <c r="AS256" s="55"/>
      <c r="AT256" s="55"/>
      <c r="AU256" s="55"/>
      <c r="AV256" s="55"/>
      <c r="BA256" s="775" t="s">
        <v>170</v>
      </c>
      <c r="BB256" s="839">
        <v>2005</v>
      </c>
      <c r="BC256" s="775" t="s">
        <v>277</v>
      </c>
      <c r="BD256" s="775">
        <v>46.5</v>
      </c>
      <c r="BH256" s="775" t="s">
        <v>170</v>
      </c>
      <c r="BI256" s="836" t="s">
        <v>128</v>
      </c>
      <c r="BJ256" s="775" t="s">
        <v>277</v>
      </c>
      <c r="BK256" s="838">
        <v>31.299999999999997</v>
      </c>
      <c r="BL256" s="775">
        <v>2004</v>
      </c>
      <c r="CL256" s="773"/>
      <c r="CM256" s="773"/>
      <c r="CN256" s="773"/>
      <c r="CO256" s="773"/>
      <c r="CP256" s="773"/>
      <c r="CQ256" s="773"/>
      <c r="CR256" s="773"/>
    </row>
    <row r="257" spans="35:96" ht="15.75">
      <c r="AI257" s="55"/>
      <c r="AJ257" s="55"/>
      <c r="AK257" s="55"/>
      <c r="AL257" s="55"/>
      <c r="AM257" s="55"/>
      <c r="AN257" s="55"/>
      <c r="AO257" s="55"/>
      <c r="AP257" s="55"/>
      <c r="AQ257" s="55"/>
      <c r="AR257" s="55"/>
      <c r="AS257" s="55"/>
      <c r="AT257" s="55"/>
      <c r="AU257" s="55"/>
      <c r="AV257" s="55"/>
      <c r="BA257" s="775" t="s">
        <v>170</v>
      </c>
      <c r="BB257" s="839">
        <v>2005</v>
      </c>
      <c r="BC257" s="775" t="s">
        <v>1064</v>
      </c>
      <c r="BD257" s="775">
        <v>168.10000000000002</v>
      </c>
      <c r="BH257" s="775" t="s">
        <v>170</v>
      </c>
      <c r="BI257" s="836" t="s">
        <v>128</v>
      </c>
      <c r="BJ257" s="775" t="s">
        <v>1064</v>
      </c>
      <c r="BK257" s="838">
        <v>158.6</v>
      </c>
      <c r="BL257" s="775">
        <v>2004</v>
      </c>
      <c r="CL257" s="773"/>
      <c r="CM257" s="773"/>
      <c r="CN257" s="773"/>
      <c r="CO257" s="773"/>
      <c r="CP257" s="773"/>
      <c r="CQ257" s="773"/>
      <c r="CR257" s="773"/>
    </row>
    <row r="258" spans="35:96" ht="15.75">
      <c r="AI258" s="55"/>
      <c r="AJ258" s="55"/>
      <c r="AK258" s="55"/>
      <c r="AL258" s="55"/>
      <c r="AM258" s="55"/>
      <c r="AN258" s="55"/>
      <c r="AO258" s="55"/>
      <c r="AP258" s="55"/>
      <c r="AQ258" s="55"/>
      <c r="AR258" s="55"/>
      <c r="AS258" s="55"/>
      <c r="AT258" s="55"/>
      <c r="AU258" s="55"/>
      <c r="AV258" s="55"/>
      <c r="BA258" s="775" t="s">
        <v>170</v>
      </c>
      <c r="BB258" s="839">
        <v>2005</v>
      </c>
      <c r="BC258" s="775" t="s">
        <v>8</v>
      </c>
      <c r="BD258" s="775">
        <v>384.1</v>
      </c>
      <c r="BH258" s="775" t="s">
        <v>170</v>
      </c>
      <c r="BI258" s="836" t="s">
        <v>128</v>
      </c>
      <c r="BJ258" s="775" t="s">
        <v>8</v>
      </c>
      <c r="BK258" s="838">
        <v>391.70000000000005</v>
      </c>
      <c r="BL258" s="775">
        <v>2004</v>
      </c>
      <c r="CL258" s="773"/>
      <c r="CM258" s="773"/>
      <c r="CN258" s="773"/>
      <c r="CO258" s="773"/>
      <c r="CP258" s="773"/>
      <c r="CQ258" s="773"/>
      <c r="CR258" s="773"/>
    </row>
    <row r="259" spans="35:96" ht="15.75">
      <c r="AI259" s="55"/>
      <c r="AJ259" s="55"/>
      <c r="AK259" s="55"/>
      <c r="AL259" s="55"/>
      <c r="AM259" s="55"/>
      <c r="AN259" s="55"/>
      <c r="AO259" s="55"/>
      <c r="AP259" s="55"/>
      <c r="AQ259" s="55"/>
      <c r="AR259" s="55"/>
      <c r="AS259" s="55"/>
      <c r="AT259" s="55"/>
      <c r="AU259" s="55"/>
      <c r="AV259" s="55"/>
      <c r="BA259" s="775" t="s">
        <v>170</v>
      </c>
      <c r="BB259" s="839">
        <v>2005</v>
      </c>
      <c r="BC259" s="775" t="s">
        <v>96</v>
      </c>
      <c r="BD259" s="775">
        <v>152.19999999999999</v>
      </c>
      <c r="BH259" s="775" t="s">
        <v>170</v>
      </c>
      <c r="BI259" s="836" t="s">
        <v>128</v>
      </c>
      <c r="BJ259" s="775" t="s">
        <v>96</v>
      </c>
      <c r="BK259" s="838">
        <v>137.9</v>
      </c>
      <c r="BL259" s="775">
        <v>2004</v>
      </c>
      <c r="CL259" s="773"/>
      <c r="CM259" s="773"/>
      <c r="CN259" s="773"/>
      <c r="CO259" s="773"/>
      <c r="CP259" s="773"/>
      <c r="CQ259" s="773"/>
      <c r="CR259" s="773"/>
    </row>
    <row r="260" spans="35:96" ht="15.75">
      <c r="AI260" s="55"/>
      <c r="AJ260" s="55"/>
      <c r="AK260" s="55"/>
      <c r="AL260" s="55"/>
      <c r="AM260" s="55"/>
      <c r="AN260" s="55"/>
      <c r="AO260" s="55"/>
      <c r="AP260" s="55"/>
      <c r="AQ260" s="55"/>
      <c r="AR260" s="55"/>
      <c r="AS260" s="55"/>
      <c r="AT260" s="55"/>
      <c r="AU260" s="55"/>
      <c r="AV260" s="55"/>
      <c r="BA260" s="775" t="s">
        <v>170</v>
      </c>
      <c r="BB260" s="839">
        <v>2005</v>
      </c>
      <c r="BC260" s="775" t="s">
        <v>196</v>
      </c>
      <c r="BD260" s="775">
        <v>30.099999999999998</v>
      </c>
      <c r="BH260" s="775" t="s">
        <v>170</v>
      </c>
      <c r="BI260" s="836" t="s">
        <v>128</v>
      </c>
      <c r="BJ260" s="775" t="s">
        <v>196</v>
      </c>
      <c r="BK260" s="838">
        <v>27.6</v>
      </c>
      <c r="BL260" s="775">
        <v>2004</v>
      </c>
      <c r="CL260" s="773"/>
      <c r="CM260" s="773"/>
      <c r="CN260" s="773"/>
      <c r="CO260" s="773"/>
      <c r="CP260" s="773"/>
      <c r="CQ260" s="773"/>
      <c r="CR260" s="773"/>
    </row>
    <row r="261" spans="35:96" ht="15.75">
      <c r="AI261" s="55"/>
      <c r="AJ261" s="55"/>
      <c r="AK261" s="55"/>
      <c r="AL261" s="55"/>
      <c r="AM261" s="55"/>
      <c r="AN261" s="55"/>
      <c r="AO261" s="55"/>
      <c r="AP261" s="55"/>
      <c r="AQ261" s="55"/>
      <c r="AR261" s="55"/>
      <c r="AS261" s="55"/>
      <c r="AT261" s="55"/>
      <c r="AU261" s="55"/>
      <c r="AV261" s="55"/>
      <c r="BA261" s="775" t="s">
        <v>170</v>
      </c>
      <c r="BB261" s="839">
        <v>2005</v>
      </c>
      <c r="BC261" s="775" t="s">
        <v>278</v>
      </c>
      <c r="BD261" s="775">
        <v>37.700000000000003</v>
      </c>
      <c r="BH261" s="775" t="s">
        <v>170</v>
      </c>
      <c r="BI261" s="836" t="s">
        <v>128</v>
      </c>
      <c r="BJ261" s="775" t="s">
        <v>278</v>
      </c>
      <c r="BK261" s="838">
        <v>20.7</v>
      </c>
      <c r="BL261" s="775">
        <v>2004</v>
      </c>
      <c r="CL261" s="773"/>
      <c r="CM261" s="773"/>
      <c r="CN261" s="773"/>
      <c r="CO261" s="773"/>
      <c r="CP261" s="773"/>
      <c r="CQ261" s="773"/>
      <c r="CR261" s="773"/>
    </row>
    <row r="262" spans="35:96" ht="15.75">
      <c r="AI262" s="55"/>
      <c r="AJ262" s="55"/>
      <c r="AK262" s="55"/>
      <c r="AL262" s="55"/>
      <c r="AM262" s="55"/>
      <c r="AN262" s="55"/>
      <c r="AO262" s="55"/>
      <c r="AP262" s="55"/>
      <c r="AQ262" s="55"/>
      <c r="AR262" s="55"/>
      <c r="AS262" s="55"/>
      <c r="AT262" s="55"/>
      <c r="AU262" s="55"/>
      <c r="AV262" s="55"/>
      <c r="BA262" s="775" t="s">
        <v>170</v>
      </c>
      <c r="BB262" s="839">
        <v>2005</v>
      </c>
      <c r="BC262" s="775" t="s">
        <v>44</v>
      </c>
      <c r="BD262" s="775">
        <v>145.60000000000002</v>
      </c>
      <c r="BH262" s="775" t="s">
        <v>170</v>
      </c>
      <c r="BI262" s="836" t="s">
        <v>128</v>
      </c>
      <c r="BJ262" s="775" t="s">
        <v>44</v>
      </c>
      <c r="BK262" s="838">
        <v>126.80000000000001</v>
      </c>
      <c r="BL262" s="775">
        <v>2004</v>
      </c>
      <c r="CL262" s="773"/>
      <c r="CM262" s="773"/>
      <c r="CN262" s="773"/>
      <c r="CO262" s="773"/>
      <c r="CP262" s="773"/>
      <c r="CQ262" s="773"/>
      <c r="CR262" s="773"/>
    </row>
    <row r="263" spans="35:96" ht="15.75">
      <c r="AI263" s="55"/>
      <c r="AJ263" s="55"/>
      <c r="AK263" s="55"/>
      <c r="AL263" s="55"/>
      <c r="AM263" s="55"/>
      <c r="AN263" s="55"/>
      <c r="AO263" s="55"/>
      <c r="AP263" s="55"/>
      <c r="AQ263" s="55"/>
      <c r="AR263" s="55"/>
      <c r="AS263" s="55"/>
      <c r="AT263" s="55"/>
      <c r="AU263" s="55"/>
      <c r="AV263" s="55"/>
      <c r="BA263" s="775" t="s">
        <v>170</v>
      </c>
      <c r="BB263" s="839">
        <v>2005</v>
      </c>
      <c r="BC263" s="775" t="s">
        <v>45</v>
      </c>
      <c r="BD263" s="775">
        <v>22.8</v>
      </c>
      <c r="BH263" s="775" t="s">
        <v>170</v>
      </c>
      <c r="BI263" s="836" t="s">
        <v>128</v>
      </c>
      <c r="BJ263" s="775" t="s">
        <v>45</v>
      </c>
      <c r="BK263" s="838">
        <v>23.700000000000003</v>
      </c>
      <c r="BL263" s="775">
        <v>2004</v>
      </c>
      <c r="CL263" s="773"/>
      <c r="CM263" s="773"/>
      <c r="CN263" s="773"/>
      <c r="CO263" s="773"/>
      <c r="CP263" s="773"/>
      <c r="CQ263" s="773"/>
      <c r="CR263" s="773"/>
    </row>
    <row r="264" spans="35:96" ht="15.75">
      <c r="AI264" s="55"/>
      <c r="AJ264" s="55"/>
      <c r="AK264" s="55"/>
      <c r="AL264" s="55"/>
      <c r="AM264" s="55"/>
      <c r="AN264" s="55"/>
      <c r="AO264" s="55"/>
      <c r="AP264" s="55"/>
      <c r="AQ264" s="55"/>
      <c r="AR264" s="55"/>
      <c r="AS264" s="55"/>
      <c r="AT264" s="55"/>
      <c r="AU264" s="55"/>
      <c r="AV264" s="55"/>
      <c r="BA264" s="775" t="s">
        <v>170</v>
      </c>
      <c r="BB264" s="839">
        <v>2005</v>
      </c>
      <c r="BC264" s="775" t="s">
        <v>48</v>
      </c>
      <c r="BD264" s="775">
        <v>43.2</v>
      </c>
      <c r="BH264" s="775" t="s">
        <v>170</v>
      </c>
      <c r="BI264" s="836" t="s">
        <v>128</v>
      </c>
      <c r="BJ264" s="775" t="s">
        <v>48</v>
      </c>
      <c r="BK264" s="838">
        <v>38.6</v>
      </c>
      <c r="BL264" s="775">
        <v>2004</v>
      </c>
      <c r="CL264" s="773"/>
      <c r="CM264" s="773"/>
      <c r="CN264" s="773"/>
      <c r="CO264" s="773"/>
      <c r="CP264" s="773"/>
      <c r="CQ264" s="773"/>
      <c r="CR264" s="773"/>
    </row>
    <row r="265" spans="35:96" ht="15.75">
      <c r="AI265" s="55"/>
      <c r="AJ265" s="55"/>
      <c r="AK265" s="55"/>
      <c r="AL265" s="55"/>
      <c r="AM265" s="55"/>
      <c r="AN265" s="55"/>
      <c r="AO265" s="55"/>
      <c r="AP265" s="55"/>
      <c r="AQ265" s="55"/>
      <c r="AR265" s="55"/>
      <c r="AS265" s="55"/>
      <c r="AT265" s="55"/>
      <c r="AU265" s="55"/>
      <c r="AV265" s="55"/>
      <c r="BA265" s="775" t="s">
        <v>170</v>
      </c>
      <c r="BB265" s="839">
        <v>2005</v>
      </c>
      <c r="BC265" s="775" t="s">
        <v>97</v>
      </c>
      <c r="BD265" s="775">
        <v>1136.0999999999999</v>
      </c>
      <c r="BH265" s="775" t="s">
        <v>170</v>
      </c>
      <c r="BI265" s="836" t="s">
        <v>128</v>
      </c>
      <c r="BJ265" s="775" t="s">
        <v>97</v>
      </c>
      <c r="BK265" s="838">
        <v>1028.4000000000001</v>
      </c>
      <c r="BL265" s="775">
        <v>2004</v>
      </c>
      <c r="CL265" s="773"/>
      <c r="CM265" s="773"/>
      <c r="CN265" s="773"/>
      <c r="CO265" s="773"/>
      <c r="CP265" s="773"/>
      <c r="CQ265" s="773"/>
      <c r="CR265" s="773"/>
    </row>
    <row r="266" spans="35:96" ht="15.75">
      <c r="AI266" s="55"/>
      <c r="AJ266" s="55"/>
      <c r="AK266" s="55"/>
      <c r="AL266" s="55"/>
      <c r="AM266" s="55"/>
      <c r="AN266" s="55"/>
      <c r="AO266" s="55"/>
      <c r="AP266" s="55"/>
      <c r="AQ266" s="55"/>
      <c r="AR266" s="55"/>
      <c r="AS266" s="55"/>
      <c r="AT266" s="55"/>
      <c r="AU266" s="55"/>
      <c r="AV266" s="55"/>
      <c r="BA266" s="775" t="s">
        <v>38</v>
      </c>
      <c r="BB266" s="839">
        <v>2006</v>
      </c>
      <c r="BC266" s="775" t="s">
        <v>15</v>
      </c>
      <c r="BD266" s="840">
        <v>14.2</v>
      </c>
      <c r="BH266" s="775" t="s">
        <v>38</v>
      </c>
      <c r="BI266" s="836" t="s">
        <v>129</v>
      </c>
      <c r="BJ266" s="775" t="s">
        <v>15</v>
      </c>
      <c r="BK266" s="776">
        <v>9.4</v>
      </c>
      <c r="BL266" s="775">
        <v>2005</v>
      </c>
      <c r="CL266" s="773"/>
      <c r="CM266" s="773"/>
      <c r="CN266" s="773"/>
      <c r="CO266" s="773"/>
      <c r="CP266" s="773"/>
      <c r="CQ266" s="773"/>
      <c r="CR266" s="773"/>
    </row>
    <row r="267" spans="35:96" ht="15.75">
      <c r="AI267" s="55"/>
      <c r="AJ267" s="55"/>
      <c r="AK267" s="55"/>
      <c r="AL267" s="55"/>
      <c r="AM267" s="55"/>
      <c r="AN267" s="55"/>
      <c r="AO267" s="55"/>
      <c r="AP267" s="55"/>
      <c r="AQ267" s="55"/>
      <c r="AR267" s="55"/>
      <c r="AS267" s="55"/>
      <c r="AT267" s="55"/>
      <c r="AU267" s="55"/>
      <c r="AV267" s="55"/>
      <c r="BA267" s="775" t="s">
        <v>38</v>
      </c>
      <c r="BB267" s="839">
        <v>2006</v>
      </c>
      <c r="BC267" s="775" t="s">
        <v>277</v>
      </c>
      <c r="BD267" s="840">
        <v>25.400000000000002</v>
      </c>
      <c r="BH267" s="775" t="s">
        <v>38</v>
      </c>
      <c r="BI267" s="836" t="s">
        <v>129</v>
      </c>
      <c r="BJ267" s="775" t="s">
        <v>277</v>
      </c>
      <c r="BK267" s="776">
        <v>14</v>
      </c>
      <c r="BL267" s="775">
        <v>2005</v>
      </c>
      <c r="CL267" s="773"/>
      <c r="CM267" s="773"/>
      <c r="CN267" s="773"/>
      <c r="CO267" s="773"/>
      <c r="CP267" s="773"/>
      <c r="CQ267" s="773"/>
      <c r="CR267" s="773"/>
    </row>
    <row r="268" spans="35:96" ht="15.75">
      <c r="AI268" s="55"/>
      <c r="AJ268" s="55"/>
      <c r="AK268" s="55"/>
      <c r="AL268" s="55"/>
      <c r="AM268" s="55"/>
      <c r="AN268" s="55"/>
      <c r="AO268" s="55"/>
      <c r="AP268" s="55"/>
      <c r="AQ268" s="55"/>
      <c r="AR268" s="55"/>
      <c r="AS268" s="55"/>
      <c r="AT268" s="55"/>
      <c r="AU268" s="55"/>
      <c r="AV268" s="55"/>
      <c r="BA268" s="775" t="s">
        <v>38</v>
      </c>
      <c r="BB268" s="839">
        <v>2006</v>
      </c>
      <c r="BC268" s="775" t="s">
        <v>1064</v>
      </c>
      <c r="BD268" s="840">
        <v>113.1</v>
      </c>
      <c r="BH268" s="775" t="s">
        <v>38</v>
      </c>
      <c r="BI268" s="836" t="s">
        <v>129</v>
      </c>
      <c r="BJ268" s="775" t="s">
        <v>1064</v>
      </c>
      <c r="BK268" s="776">
        <v>114.9</v>
      </c>
      <c r="BL268" s="775">
        <v>2005</v>
      </c>
      <c r="CL268" s="773"/>
      <c r="CM268" s="773"/>
      <c r="CN268" s="773"/>
      <c r="CO268" s="773"/>
      <c r="CP268" s="773"/>
      <c r="CQ268" s="773"/>
      <c r="CR268" s="773"/>
    </row>
    <row r="269" spans="35:96" ht="15.75">
      <c r="AI269" s="55"/>
      <c r="AJ269" s="55"/>
      <c r="AK269" s="55"/>
      <c r="AL269" s="55"/>
      <c r="AM269" s="55"/>
      <c r="AN269" s="55"/>
      <c r="AO269" s="55"/>
      <c r="AP269" s="55"/>
      <c r="AQ269" s="55"/>
      <c r="AR269" s="55"/>
      <c r="AS269" s="55"/>
      <c r="AT269" s="55"/>
      <c r="AU269" s="55"/>
      <c r="AV269" s="55"/>
      <c r="BA269" s="775" t="s">
        <v>38</v>
      </c>
      <c r="BB269" s="839">
        <v>2006</v>
      </c>
      <c r="BC269" s="775" t="s">
        <v>8</v>
      </c>
      <c r="BD269" s="840">
        <v>259.7</v>
      </c>
      <c r="BH269" s="775" t="s">
        <v>38</v>
      </c>
      <c r="BI269" s="836" t="s">
        <v>129</v>
      </c>
      <c r="BJ269" s="775" t="s">
        <v>8</v>
      </c>
      <c r="BK269" s="776">
        <v>240.3</v>
      </c>
      <c r="BL269" s="775">
        <v>2005</v>
      </c>
      <c r="CL269" s="773"/>
      <c r="CM269" s="773"/>
      <c r="CN269" s="773"/>
      <c r="CO269" s="773"/>
      <c r="CP269" s="773"/>
      <c r="CQ269" s="773"/>
      <c r="CR269" s="773"/>
    </row>
    <row r="270" spans="35:96" ht="15.75">
      <c r="AI270" s="55"/>
      <c r="AJ270" s="55"/>
      <c r="AK270" s="55"/>
      <c r="AL270" s="55"/>
      <c r="AM270" s="55"/>
      <c r="AN270" s="55"/>
      <c r="AO270" s="55"/>
      <c r="AP270" s="55"/>
      <c r="AQ270" s="55"/>
      <c r="AR270" s="55"/>
      <c r="AS270" s="55"/>
      <c r="AT270" s="55"/>
      <c r="AU270" s="55"/>
      <c r="AV270" s="55"/>
      <c r="BA270" s="775" t="s">
        <v>38</v>
      </c>
      <c r="BB270" s="839">
        <v>2006</v>
      </c>
      <c r="BC270" s="775" t="s">
        <v>96</v>
      </c>
      <c r="BD270" s="840">
        <v>215.8</v>
      </c>
      <c r="BH270" s="775" t="s">
        <v>38</v>
      </c>
      <c r="BI270" s="836" t="s">
        <v>129</v>
      </c>
      <c r="BJ270" s="775" t="s">
        <v>96</v>
      </c>
      <c r="BK270" s="776">
        <v>155.69999999999999</v>
      </c>
      <c r="BL270" s="775">
        <v>2005</v>
      </c>
      <c r="CL270" s="773"/>
      <c r="CM270" s="773"/>
      <c r="CN270" s="773"/>
      <c r="CO270" s="773"/>
      <c r="CP270" s="773"/>
      <c r="CQ270" s="773"/>
      <c r="CR270" s="773"/>
    </row>
    <row r="271" spans="35:96" ht="15.75">
      <c r="AI271" s="55"/>
      <c r="AJ271" s="55"/>
      <c r="AK271" s="55"/>
      <c r="AL271" s="55"/>
      <c r="AM271" s="55"/>
      <c r="AN271" s="55"/>
      <c r="AO271" s="55"/>
      <c r="AP271" s="55"/>
      <c r="AQ271" s="55"/>
      <c r="AR271" s="55"/>
      <c r="AS271" s="55"/>
      <c r="AT271" s="55"/>
      <c r="AU271" s="55"/>
      <c r="AV271" s="55"/>
      <c r="BA271" s="775" t="s">
        <v>38</v>
      </c>
      <c r="BB271" s="839">
        <v>2006</v>
      </c>
      <c r="BC271" s="775" t="s">
        <v>196</v>
      </c>
      <c r="BD271" s="840">
        <v>14.099999999999998</v>
      </c>
      <c r="BH271" s="775" t="s">
        <v>38</v>
      </c>
      <c r="BI271" s="836" t="s">
        <v>129</v>
      </c>
      <c r="BJ271" s="775" t="s">
        <v>196</v>
      </c>
      <c r="BK271" s="776">
        <v>12.8</v>
      </c>
      <c r="BL271" s="775">
        <v>2005</v>
      </c>
      <c r="CL271" s="773"/>
      <c r="CM271" s="773"/>
      <c r="CN271" s="773"/>
      <c r="CO271" s="773"/>
      <c r="CP271" s="773"/>
      <c r="CQ271" s="773"/>
      <c r="CR271" s="773"/>
    </row>
    <row r="272" spans="35:96" ht="15.75">
      <c r="AI272" s="55"/>
      <c r="AJ272" s="55"/>
      <c r="AK272" s="55"/>
      <c r="AL272" s="55"/>
      <c r="AM272" s="55"/>
      <c r="AN272" s="55"/>
      <c r="AO272" s="55"/>
      <c r="AP272" s="55"/>
      <c r="AQ272" s="55"/>
      <c r="AR272" s="55"/>
      <c r="AS272" s="55"/>
      <c r="AT272" s="55"/>
      <c r="AU272" s="55"/>
      <c r="AV272" s="55"/>
      <c r="BA272" s="775" t="s">
        <v>38</v>
      </c>
      <c r="BB272" s="839">
        <v>2006</v>
      </c>
      <c r="BC272" s="775" t="s">
        <v>278</v>
      </c>
      <c r="BD272" s="840">
        <v>1.7</v>
      </c>
      <c r="BH272" s="775" t="s">
        <v>38</v>
      </c>
      <c r="BI272" s="836" t="s">
        <v>129</v>
      </c>
      <c r="BJ272" s="775" t="s">
        <v>278</v>
      </c>
      <c r="BK272" s="776">
        <v>0.2</v>
      </c>
      <c r="BL272" s="775">
        <v>2005</v>
      </c>
      <c r="CL272" s="773"/>
      <c r="CM272" s="773"/>
      <c r="CN272" s="773"/>
      <c r="CO272" s="773"/>
      <c r="CP272" s="773"/>
      <c r="CQ272" s="773"/>
      <c r="CR272" s="773"/>
    </row>
    <row r="273" spans="35:96" ht="15.75">
      <c r="AI273" s="55"/>
      <c r="AJ273" s="55"/>
      <c r="AK273" s="55"/>
      <c r="AL273" s="55"/>
      <c r="AM273" s="55"/>
      <c r="AN273" s="55"/>
      <c r="AO273" s="55"/>
      <c r="AP273" s="55"/>
      <c r="AQ273" s="55"/>
      <c r="AR273" s="55"/>
      <c r="AS273" s="55"/>
      <c r="AT273" s="55"/>
      <c r="AU273" s="55"/>
      <c r="AV273" s="55"/>
      <c r="BA273" s="775" t="s">
        <v>38</v>
      </c>
      <c r="BB273" s="839">
        <v>2006</v>
      </c>
      <c r="BC273" s="775" t="s">
        <v>44</v>
      </c>
      <c r="BD273" s="840">
        <v>0.5</v>
      </c>
      <c r="BH273" s="775" t="s">
        <v>38</v>
      </c>
      <c r="BI273" s="836" t="s">
        <v>129</v>
      </c>
      <c r="BJ273" s="775" t="s">
        <v>44</v>
      </c>
      <c r="BK273" s="776">
        <v>0.7</v>
      </c>
      <c r="BL273" s="775">
        <v>2005</v>
      </c>
      <c r="CL273" s="773"/>
      <c r="CM273" s="773"/>
      <c r="CN273" s="773"/>
      <c r="CO273" s="773"/>
      <c r="CP273" s="773"/>
      <c r="CQ273" s="773"/>
      <c r="CR273" s="773"/>
    </row>
    <row r="274" spans="35:96" ht="15.75">
      <c r="AI274" s="55"/>
      <c r="AJ274" s="55"/>
      <c r="AK274" s="55"/>
      <c r="AL274" s="55"/>
      <c r="AM274" s="55"/>
      <c r="AN274" s="55"/>
      <c r="AO274" s="55"/>
      <c r="AP274" s="55"/>
      <c r="AQ274" s="55"/>
      <c r="AR274" s="55"/>
      <c r="AS274" s="55"/>
      <c r="AT274" s="55"/>
      <c r="AU274" s="55"/>
      <c r="AV274" s="55"/>
      <c r="BA274" s="775" t="s">
        <v>38</v>
      </c>
      <c r="BB274" s="839">
        <v>2006</v>
      </c>
      <c r="BC274" s="775" t="s">
        <v>45</v>
      </c>
      <c r="BD274" s="841">
        <v>13.9</v>
      </c>
      <c r="BH274" s="775" t="s">
        <v>38</v>
      </c>
      <c r="BI274" s="836" t="s">
        <v>129</v>
      </c>
      <c r="BJ274" s="775" t="s">
        <v>45</v>
      </c>
      <c r="BK274" s="776">
        <v>11.1</v>
      </c>
      <c r="BL274" s="775">
        <v>2005</v>
      </c>
      <c r="CL274" s="773"/>
      <c r="CM274" s="773"/>
      <c r="CN274" s="773"/>
      <c r="CO274" s="773"/>
      <c r="CP274" s="773"/>
      <c r="CQ274" s="773"/>
      <c r="CR274" s="773"/>
    </row>
    <row r="275" spans="35:96" ht="15.75">
      <c r="AI275" s="55"/>
      <c r="AJ275" s="55"/>
      <c r="AK275" s="55"/>
      <c r="AL275" s="55"/>
      <c r="AM275" s="55"/>
      <c r="AN275" s="55"/>
      <c r="AO275" s="55"/>
      <c r="AP275" s="55"/>
      <c r="AQ275" s="55"/>
      <c r="AR275" s="55"/>
      <c r="AS275" s="55"/>
      <c r="AT275" s="55"/>
      <c r="AU275" s="55"/>
      <c r="AV275" s="55"/>
      <c r="BA275" s="775" t="s">
        <v>38</v>
      </c>
      <c r="BB275" s="839">
        <v>2006</v>
      </c>
      <c r="BC275" s="775" t="s">
        <v>48</v>
      </c>
      <c r="BD275" s="841">
        <v>16</v>
      </c>
      <c r="BH275" s="775" t="s">
        <v>38</v>
      </c>
      <c r="BI275" s="836" t="s">
        <v>129</v>
      </c>
      <c r="BJ275" s="775" t="s">
        <v>48</v>
      </c>
      <c r="BK275" s="776">
        <v>26</v>
      </c>
      <c r="BL275" s="775">
        <v>2005</v>
      </c>
      <c r="CL275" s="773"/>
      <c r="CM275" s="773"/>
      <c r="CN275" s="773"/>
      <c r="CO275" s="773"/>
      <c r="CP275" s="773"/>
      <c r="CQ275" s="773"/>
      <c r="CR275" s="773"/>
    </row>
    <row r="276" spans="35:96" ht="15.75">
      <c r="AI276" s="55"/>
      <c r="AJ276" s="55"/>
      <c r="AK276" s="55"/>
      <c r="AL276" s="55"/>
      <c r="AM276" s="55"/>
      <c r="AN276" s="55"/>
      <c r="AO276" s="55"/>
      <c r="AP276" s="55"/>
      <c r="AQ276" s="55"/>
      <c r="AR276" s="55"/>
      <c r="AS276" s="55"/>
      <c r="AT276" s="55"/>
      <c r="AU276" s="55"/>
      <c r="AV276" s="55"/>
      <c r="BA276" s="775" t="s">
        <v>38</v>
      </c>
      <c r="BB276" s="839">
        <v>2006</v>
      </c>
      <c r="BC276" s="775" t="s">
        <v>97</v>
      </c>
      <c r="BD276" s="841">
        <v>685.3</v>
      </c>
      <c r="BH276" s="775" t="s">
        <v>38</v>
      </c>
      <c r="BI276" s="836" t="s">
        <v>129</v>
      </c>
      <c r="BJ276" s="775" t="s">
        <v>97</v>
      </c>
      <c r="BK276" s="776">
        <v>590.20000000000005</v>
      </c>
      <c r="BL276" s="775">
        <v>2005</v>
      </c>
      <c r="CL276" s="773"/>
      <c r="CM276" s="773"/>
      <c r="CN276" s="773"/>
      <c r="CO276" s="773"/>
      <c r="CP276" s="773"/>
      <c r="CQ276" s="773"/>
      <c r="CR276" s="773"/>
    </row>
    <row r="277" spans="35:96" ht="15.75">
      <c r="AI277" s="55"/>
      <c r="AJ277" s="55"/>
      <c r="AK277" s="55"/>
      <c r="AL277" s="55"/>
      <c r="AM277" s="55"/>
      <c r="AN277" s="55"/>
      <c r="AO277" s="55"/>
      <c r="AP277" s="55"/>
      <c r="AQ277" s="55"/>
      <c r="AR277" s="55"/>
      <c r="AS277" s="55"/>
      <c r="AT277" s="55"/>
      <c r="AU277" s="55"/>
      <c r="AV277" s="55"/>
      <c r="BA277" s="775" t="s">
        <v>172</v>
      </c>
      <c r="BB277" s="839">
        <v>2006</v>
      </c>
      <c r="BC277" s="775" t="s">
        <v>15</v>
      </c>
      <c r="BD277" s="775">
        <f t="shared" ref="BD277:BD287" si="20">BD288-BD266</f>
        <v>163.30000000000001</v>
      </c>
      <c r="BH277" s="775" t="s">
        <v>172</v>
      </c>
      <c r="BI277" s="836" t="s">
        <v>129</v>
      </c>
      <c r="BJ277" s="775" t="s">
        <v>15</v>
      </c>
      <c r="BK277" s="837">
        <f>BK288-BK266</f>
        <v>130.1</v>
      </c>
      <c r="BL277" s="775">
        <v>2005</v>
      </c>
      <c r="CL277" s="773"/>
      <c r="CM277" s="773"/>
      <c r="CN277" s="773"/>
      <c r="CO277" s="773"/>
      <c r="CP277" s="773"/>
      <c r="CQ277" s="773"/>
      <c r="CR277" s="773"/>
    </row>
    <row r="278" spans="35:96" ht="15.75">
      <c r="AI278" s="55"/>
      <c r="AJ278" s="55"/>
      <c r="AK278" s="55"/>
      <c r="AL278" s="55"/>
      <c r="AM278" s="55"/>
      <c r="AN278" s="55"/>
      <c r="AO278" s="55"/>
      <c r="AP278" s="55"/>
      <c r="AQ278" s="55"/>
      <c r="AR278" s="55"/>
      <c r="AS278" s="55"/>
      <c r="AT278" s="55"/>
      <c r="AU278" s="55"/>
      <c r="AV278" s="55"/>
      <c r="BA278" s="775" t="s">
        <v>172</v>
      </c>
      <c r="BB278" s="839">
        <v>2006</v>
      </c>
      <c r="BC278" s="775" t="s">
        <v>277</v>
      </c>
      <c r="BD278" s="775">
        <f t="shared" si="20"/>
        <v>75.299999999999983</v>
      </c>
      <c r="BH278" s="775" t="s">
        <v>172</v>
      </c>
      <c r="BI278" s="836" t="s">
        <v>129</v>
      </c>
      <c r="BJ278" s="775" t="s">
        <v>277</v>
      </c>
      <c r="BK278" s="775">
        <f t="shared" ref="BK278:BK287" si="21">BK289-BK267</f>
        <v>57.2</v>
      </c>
      <c r="BL278" s="775">
        <v>2005</v>
      </c>
      <c r="CL278" s="773"/>
      <c r="CM278" s="773"/>
      <c r="CN278" s="773"/>
      <c r="CO278" s="773"/>
      <c r="CP278" s="773"/>
      <c r="CQ278" s="773"/>
      <c r="CR278" s="773"/>
    </row>
    <row r="279" spans="35:96" ht="15.75">
      <c r="AI279" s="55"/>
      <c r="AJ279" s="55"/>
      <c r="AK279" s="55"/>
      <c r="AL279" s="55"/>
      <c r="AM279" s="55"/>
      <c r="AN279" s="55"/>
      <c r="AO279" s="55"/>
      <c r="AP279" s="55"/>
      <c r="AQ279" s="55"/>
      <c r="AR279" s="55"/>
      <c r="AS279" s="55"/>
      <c r="AT279" s="55"/>
      <c r="AU279" s="55"/>
      <c r="AV279" s="55"/>
      <c r="BA279" s="775" t="s">
        <v>172</v>
      </c>
      <c r="BB279" s="839">
        <v>2006</v>
      </c>
      <c r="BC279" s="775" t="s">
        <v>1064</v>
      </c>
      <c r="BD279" s="775">
        <f t="shared" si="20"/>
        <v>34.799999999999983</v>
      </c>
      <c r="BH279" s="775" t="s">
        <v>172</v>
      </c>
      <c r="BI279" s="836" t="s">
        <v>129</v>
      </c>
      <c r="BJ279" s="775" t="s">
        <v>1064</v>
      </c>
      <c r="BK279" s="775">
        <f t="shared" si="21"/>
        <v>31.099999999999994</v>
      </c>
      <c r="BL279" s="775">
        <v>2005</v>
      </c>
      <c r="CL279" s="773"/>
      <c r="CM279" s="773"/>
      <c r="CN279" s="773"/>
      <c r="CO279" s="773"/>
      <c r="CP279" s="773"/>
      <c r="CQ279" s="773"/>
      <c r="CR279" s="773"/>
    </row>
    <row r="280" spans="35:96" ht="15.75">
      <c r="AI280" s="55"/>
      <c r="AJ280" s="55"/>
      <c r="AK280" s="55"/>
      <c r="AL280" s="55"/>
      <c r="AM280" s="55"/>
      <c r="AN280" s="55"/>
      <c r="AO280" s="55"/>
      <c r="AP280" s="55"/>
      <c r="AQ280" s="55"/>
      <c r="AR280" s="55"/>
      <c r="AS280" s="55"/>
      <c r="AT280" s="55"/>
      <c r="AU280" s="55"/>
      <c r="AV280" s="55"/>
      <c r="BA280" s="775" t="s">
        <v>172</v>
      </c>
      <c r="BB280" s="839">
        <v>2006</v>
      </c>
      <c r="BC280" s="775" t="s">
        <v>8</v>
      </c>
      <c r="BD280" s="775">
        <f t="shared" si="20"/>
        <v>170.10000000000002</v>
      </c>
      <c r="BH280" s="775" t="s">
        <v>172</v>
      </c>
      <c r="BI280" s="836" t="s">
        <v>129</v>
      </c>
      <c r="BJ280" s="775" t="s">
        <v>8</v>
      </c>
      <c r="BK280" s="775">
        <f t="shared" si="21"/>
        <v>159.30000000000001</v>
      </c>
      <c r="BL280" s="775">
        <v>2005</v>
      </c>
      <c r="CL280" s="773"/>
      <c r="CM280" s="773"/>
      <c r="CN280" s="773"/>
      <c r="CO280" s="773"/>
      <c r="CP280" s="773"/>
      <c r="CQ280" s="773"/>
      <c r="CR280" s="773"/>
    </row>
    <row r="281" spans="35:96" ht="15.75">
      <c r="AI281" s="55"/>
      <c r="AJ281" s="55"/>
      <c r="AK281" s="55"/>
      <c r="AL281" s="55"/>
      <c r="AM281" s="55"/>
      <c r="AN281" s="55"/>
      <c r="AO281" s="55"/>
      <c r="AP281" s="55"/>
      <c r="AQ281" s="55"/>
      <c r="AR281" s="55"/>
      <c r="AS281" s="55"/>
      <c r="AT281" s="55"/>
      <c r="AU281" s="55"/>
      <c r="AV281" s="55"/>
      <c r="BA281" s="775" t="s">
        <v>172</v>
      </c>
      <c r="BB281" s="839">
        <v>2006</v>
      </c>
      <c r="BC281" s="775" t="s">
        <v>96</v>
      </c>
      <c r="BD281" s="775">
        <f t="shared" si="20"/>
        <v>8.8999999999999773</v>
      </c>
      <c r="BH281" s="775" t="s">
        <v>172</v>
      </c>
      <c r="BI281" s="836" t="s">
        <v>129</v>
      </c>
      <c r="BJ281" s="775" t="s">
        <v>96</v>
      </c>
      <c r="BK281" s="775">
        <f t="shared" si="21"/>
        <v>5.6000000000000227</v>
      </c>
      <c r="BL281" s="775">
        <v>2005</v>
      </c>
      <c r="CL281" s="773"/>
      <c r="CM281" s="773"/>
      <c r="CN281" s="773"/>
      <c r="CO281" s="773"/>
      <c r="CP281" s="773"/>
      <c r="CQ281" s="773"/>
      <c r="CR281" s="773"/>
    </row>
    <row r="282" spans="35:96" ht="15.75">
      <c r="AI282" s="55"/>
      <c r="AJ282" s="55"/>
      <c r="AK282" s="55"/>
      <c r="AL282" s="55"/>
      <c r="AM282" s="55"/>
      <c r="AN282" s="55"/>
      <c r="AO282" s="55"/>
      <c r="AP282" s="55"/>
      <c r="AQ282" s="55"/>
      <c r="AR282" s="55"/>
      <c r="AS282" s="55"/>
      <c r="AT282" s="55"/>
      <c r="AU282" s="55"/>
      <c r="AV282" s="55"/>
      <c r="BA282" s="775" t="s">
        <v>172</v>
      </c>
      <c r="BB282" s="839">
        <v>2006</v>
      </c>
      <c r="BC282" s="775" t="s">
        <v>196</v>
      </c>
      <c r="BD282" s="775">
        <f t="shared" si="20"/>
        <v>17.200000000000003</v>
      </c>
      <c r="BH282" s="775" t="s">
        <v>172</v>
      </c>
      <c r="BI282" s="836" t="s">
        <v>129</v>
      </c>
      <c r="BJ282" s="775" t="s">
        <v>196</v>
      </c>
      <c r="BK282" s="775">
        <f t="shared" si="21"/>
        <v>16.399999999999999</v>
      </c>
      <c r="BL282" s="775">
        <v>2005</v>
      </c>
      <c r="CL282" s="773"/>
      <c r="CM282" s="773"/>
      <c r="CN282" s="773"/>
      <c r="CO282" s="773"/>
      <c r="CP282" s="773"/>
      <c r="CQ282" s="773"/>
      <c r="CR282" s="773"/>
    </row>
    <row r="283" spans="35:96" ht="15.75">
      <c r="AI283" s="55"/>
      <c r="AJ283" s="55"/>
      <c r="AK283" s="55"/>
      <c r="AL283" s="55"/>
      <c r="AM283" s="55"/>
      <c r="AN283" s="55"/>
      <c r="AO283" s="55"/>
      <c r="AP283" s="55"/>
      <c r="AQ283" s="55"/>
      <c r="AR283" s="55"/>
      <c r="AS283" s="55"/>
      <c r="AT283" s="55"/>
      <c r="AU283" s="55"/>
      <c r="AV283" s="55"/>
      <c r="BA283" s="775" t="s">
        <v>172</v>
      </c>
      <c r="BB283" s="839">
        <v>2006</v>
      </c>
      <c r="BC283" s="775" t="s">
        <v>278</v>
      </c>
      <c r="BD283" s="775">
        <f t="shared" si="20"/>
        <v>78.999999999999986</v>
      </c>
      <c r="BH283" s="775" t="s">
        <v>172</v>
      </c>
      <c r="BI283" s="836" t="s">
        <v>129</v>
      </c>
      <c r="BJ283" s="775" t="s">
        <v>278</v>
      </c>
      <c r="BK283" s="775">
        <f t="shared" si="21"/>
        <v>55.900000000000006</v>
      </c>
      <c r="BL283" s="775">
        <v>2005</v>
      </c>
      <c r="CL283" s="773"/>
      <c r="CM283" s="773"/>
      <c r="CN283" s="773"/>
      <c r="CO283" s="773"/>
      <c r="CP283" s="773"/>
      <c r="CQ283" s="773"/>
      <c r="CR283" s="773"/>
    </row>
    <row r="284" spans="35:96" ht="15.75">
      <c r="AI284" s="55"/>
      <c r="AJ284" s="55"/>
      <c r="AK284" s="55"/>
      <c r="AL284" s="55"/>
      <c r="AM284" s="55"/>
      <c r="AN284" s="55"/>
      <c r="AO284" s="55"/>
      <c r="AP284" s="55"/>
      <c r="AQ284" s="55"/>
      <c r="AR284" s="55"/>
      <c r="AS284" s="55"/>
      <c r="AT284" s="55"/>
      <c r="AU284" s="55"/>
      <c r="AV284" s="55"/>
      <c r="BA284" s="775" t="s">
        <v>172</v>
      </c>
      <c r="BB284" s="839">
        <v>2006</v>
      </c>
      <c r="BC284" s="775" t="s">
        <v>44</v>
      </c>
      <c r="BD284" s="775">
        <f t="shared" si="20"/>
        <v>198.2</v>
      </c>
      <c r="BH284" s="775" t="s">
        <v>172</v>
      </c>
      <c r="BI284" s="836" t="s">
        <v>129</v>
      </c>
      <c r="BJ284" s="775" t="s">
        <v>44</v>
      </c>
      <c r="BK284" s="775">
        <f t="shared" si="21"/>
        <v>165.70000000000002</v>
      </c>
      <c r="BL284" s="775">
        <v>2005</v>
      </c>
      <c r="CL284" s="773"/>
      <c r="CM284" s="773"/>
      <c r="CN284" s="773"/>
      <c r="CO284" s="773"/>
      <c r="CP284" s="773"/>
      <c r="CQ284" s="773"/>
      <c r="CR284" s="773"/>
    </row>
    <row r="285" spans="35:96" ht="15.75">
      <c r="AI285" s="55"/>
      <c r="AJ285" s="55"/>
      <c r="AK285" s="55"/>
      <c r="AL285" s="55"/>
      <c r="AM285" s="55"/>
      <c r="AN285" s="55"/>
      <c r="AO285" s="55"/>
      <c r="AP285" s="55"/>
      <c r="AQ285" s="55"/>
      <c r="AR285" s="55"/>
      <c r="AS285" s="55"/>
      <c r="AT285" s="55"/>
      <c r="AU285" s="55"/>
      <c r="AV285" s="55"/>
      <c r="BA285" s="775" t="s">
        <v>172</v>
      </c>
      <c r="BB285" s="839">
        <v>2006</v>
      </c>
      <c r="BC285" s="775" t="s">
        <v>45</v>
      </c>
      <c r="BD285" s="775">
        <f t="shared" si="20"/>
        <v>13.9</v>
      </c>
      <c r="BH285" s="775" t="s">
        <v>172</v>
      </c>
      <c r="BI285" s="836" t="s">
        <v>129</v>
      </c>
      <c r="BJ285" s="775" t="s">
        <v>45</v>
      </c>
      <c r="BK285" s="775">
        <f t="shared" si="21"/>
        <v>11.500000000000002</v>
      </c>
      <c r="BL285" s="775">
        <v>2005</v>
      </c>
      <c r="CL285" s="773"/>
      <c r="CM285" s="773"/>
      <c r="CN285" s="773"/>
      <c r="CO285" s="773"/>
      <c r="CP285" s="773"/>
      <c r="CQ285" s="773"/>
      <c r="CR285" s="773"/>
    </row>
    <row r="286" spans="35:96" ht="15.75">
      <c r="AI286" s="55"/>
      <c r="AJ286" s="55"/>
      <c r="AK286" s="55"/>
      <c r="AL286" s="55"/>
      <c r="AM286" s="55"/>
      <c r="AN286" s="55"/>
      <c r="AO286" s="55"/>
      <c r="AP286" s="55"/>
      <c r="AQ286" s="55"/>
      <c r="AR286" s="55"/>
      <c r="AS286" s="55"/>
      <c r="AT286" s="55"/>
      <c r="AU286" s="55"/>
      <c r="AV286" s="55"/>
      <c r="BA286" s="775" t="s">
        <v>172</v>
      </c>
      <c r="BB286" s="839">
        <v>2006</v>
      </c>
      <c r="BC286" s="775" t="s">
        <v>48</v>
      </c>
      <c r="BD286" s="775">
        <f t="shared" si="20"/>
        <v>29.299999999999997</v>
      </c>
      <c r="BH286" s="775" t="s">
        <v>172</v>
      </c>
      <c r="BI286" s="836" t="s">
        <v>129</v>
      </c>
      <c r="BJ286" s="775" t="s">
        <v>48</v>
      </c>
      <c r="BK286" s="775">
        <f t="shared" si="21"/>
        <v>23.099999999999994</v>
      </c>
      <c r="BL286" s="775">
        <v>2005</v>
      </c>
      <c r="CL286" s="773"/>
      <c r="CM286" s="773"/>
      <c r="CN286" s="773"/>
      <c r="CO286" s="773"/>
      <c r="CP286" s="773"/>
      <c r="CQ286" s="773"/>
      <c r="CR286" s="773"/>
    </row>
    <row r="287" spans="35:96" ht="15.75">
      <c r="AI287" s="55"/>
      <c r="AJ287" s="55"/>
      <c r="AK287" s="55"/>
      <c r="AL287" s="55"/>
      <c r="AM287" s="55"/>
      <c r="AN287" s="55"/>
      <c r="AO287" s="55"/>
      <c r="AP287" s="55"/>
      <c r="AQ287" s="55"/>
      <c r="AR287" s="55"/>
      <c r="AS287" s="55"/>
      <c r="AT287" s="55"/>
      <c r="AU287" s="55"/>
      <c r="AV287" s="55"/>
      <c r="BA287" s="775" t="s">
        <v>172</v>
      </c>
      <c r="BB287" s="839">
        <v>2006</v>
      </c>
      <c r="BC287" s="775" t="s">
        <v>97</v>
      </c>
      <c r="BD287" s="775">
        <f t="shared" si="20"/>
        <v>778.59999999999991</v>
      </c>
      <c r="BH287" s="775" t="s">
        <v>172</v>
      </c>
      <c r="BI287" s="836" t="s">
        <v>129</v>
      </c>
      <c r="BJ287" s="775" t="s">
        <v>97</v>
      </c>
      <c r="BK287" s="775">
        <f t="shared" si="21"/>
        <v>650.49999999999977</v>
      </c>
      <c r="BL287" s="775">
        <v>2005</v>
      </c>
      <c r="CL287" s="773"/>
      <c r="CM287" s="773"/>
      <c r="CN287" s="773"/>
      <c r="CO287" s="773"/>
      <c r="CP287" s="773"/>
      <c r="CQ287" s="773"/>
      <c r="CR287" s="773"/>
    </row>
    <row r="288" spans="35:96" ht="15.75">
      <c r="AI288" s="55"/>
      <c r="AJ288" s="55"/>
      <c r="AK288" s="55"/>
      <c r="AL288" s="55"/>
      <c r="AM288" s="55"/>
      <c r="AN288" s="55"/>
      <c r="AO288" s="55"/>
      <c r="AP288" s="55"/>
      <c r="AQ288" s="55"/>
      <c r="AR288" s="55"/>
      <c r="AS288" s="55"/>
      <c r="AT288" s="55"/>
      <c r="AU288" s="55"/>
      <c r="AV288" s="55"/>
      <c r="BA288" s="775" t="s">
        <v>170</v>
      </c>
      <c r="BB288" s="839">
        <v>2006</v>
      </c>
      <c r="BC288" s="775" t="s">
        <v>15</v>
      </c>
      <c r="BD288" s="775">
        <v>177.5</v>
      </c>
      <c r="BH288" s="775" t="s">
        <v>170</v>
      </c>
      <c r="BI288" s="836" t="s">
        <v>129</v>
      </c>
      <c r="BJ288" s="775" t="s">
        <v>15</v>
      </c>
      <c r="BK288" s="838">
        <v>139.5</v>
      </c>
      <c r="BL288" s="775">
        <v>2005</v>
      </c>
      <c r="CL288" s="773"/>
      <c r="CM288" s="773"/>
      <c r="CN288" s="773"/>
      <c r="CO288" s="773"/>
      <c r="CP288" s="773"/>
      <c r="CQ288" s="773"/>
      <c r="CR288" s="773"/>
    </row>
    <row r="289" spans="35:96" ht="15.75">
      <c r="AI289" s="55"/>
      <c r="AJ289" s="55"/>
      <c r="AK289" s="55"/>
      <c r="AL289" s="55"/>
      <c r="AM289" s="55"/>
      <c r="AN289" s="55"/>
      <c r="AO289" s="55"/>
      <c r="AP289" s="55"/>
      <c r="AQ289" s="55"/>
      <c r="AR289" s="55"/>
      <c r="AS289" s="55"/>
      <c r="AT289" s="55"/>
      <c r="AU289" s="55"/>
      <c r="AV289" s="55"/>
      <c r="BA289" s="775" t="s">
        <v>170</v>
      </c>
      <c r="BB289" s="839">
        <v>2006</v>
      </c>
      <c r="BC289" s="775" t="s">
        <v>277</v>
      </c>
      <c r="BD289" s="775">
        <v>100.69999999999999</v>
      </c>
      <c r="BH289" s="775" t="s">
        <v>170</v>
      </c>
      <c r="BI289" s="836" t="s">
        <v>129</v>
      </c>
      <c r="BJ289" s="775" t="s">
        <v>277</v>
      </c>
      <c r="BK289" s="838">
        <v>71.2</v>
      </c>
      <c r="BL289" s="775">
        <v>2005</v>
      </c>
      <c r="CL289" s="773"/>
      <c r="CM289" s="773"/>
      <c r="CN289" s="773"/>
      <c r="CO289" s="773"/>
      <c r="CP289" s="773"/>
      <c r="CQ289" s="773"/>
      <c r="CR289" s="773"/>
    </row>
    <row r="290" spans="35:96" ht="15.75">
      <c r="AI290" s="55"/>
      <c r="AJ290" s="55"/>
      <c r="AK290" s="55"/>
      <c r="AL290" s="55"/>
      <c r="AM290" s="55"/>
      <c r="AN290" s="55"/>
      <c r="AO290" s="55"/>
      <c r="AP290" s="55"/>
      <c r="AQ290" s="55"/>
      <c r="AR290" s="55"/>
      <c r="AS290" s="55"/>
      <c r="AT290" s="55"/>
      <c r="AU290" s="55"/>
      <c r="AV290" s="55"/>
      <c r="BA290" s="775" t="s">
        <v>170</v>
      </c>
      <c r="BB290" s="839">
        <v>2006</v>
      </c>
      <c r="BC290" s="775" t="s">
        <v>1064</v>
      </c>
      <c r="BD290" s="775">
        <v>147.89999999999998</v>
      </c>
      <c r="BH290" s="775" t="s">
        <v>170</v>
      </c>
      <c r="BI290" s="836" t="s">
        <v>129</v>
      </c>
      <c r="BJ290" s="775" t="s">
        <v>1064</v>
      </c>
      <c r="BK290" s="838">
        <v>146</v>
      </c>
      <c r="BL290" s="775">
        <v>2005</v>
      </c>
      <c r="CL290" s="773"/>
      <c r="CM290" s="773"/>
      <c r="CN290" s="773"/>
      <c r="CO290" s="773"/>
      <c r="CP290" s="773"/>
      <c r="CQ290" s="773"/>
      <c r="CR290" s="773"/>
    </row>
    <row r="291" spans="35:96" ht="15.75">
      <c r="AI291" s="55"/>
      <c r="AJ291" s="55"/>
      <c r="AK291" s="55"/>
      <c r="AL291" s="55"/>
      <c r="AM291" s="55"/>
      <c r="AN291" s="55"/>
      <c r="AO291" s="55"/>
      <c r="AP291" s="55"/>
      <c r="AQ291" s="55"/>
      <c r="AR291" s="55"/>
      <c r="AS291" s="55"/>
      <c r="AT291" s="55"/>
      <c r="AU291" s="55"/>
      <c r="AV291" s="55"/>
      <c r="BA291" s="775" t="s">
        <v>170</v>
      </c>
      <c r="BB291" s="839">
        <v>2006</v>
      </c>
      <c r="BC291" s="775" t="s">
        <v>8</v>
      </c>
      <c r="BD291" s="775">
        <v>429.8</v>
      </c>
      <c r="BH291" s="775" t="s">
        <v>170</v>
      </c>
      <c r="BI291" s="836" t="s">
        <v>129</v>
      </c>
      <c r="BJ291" s="775" t="s">
        <v>8</v>
      </c>
      <c r="BK291" s="838">
        <v>399.6</v>
      </c>
      <c r="BL291" s="775">
        <v>2005</v>
      </c>
      <c r="CL291" s="773"/>
      <c r="CM291" s="773"/>
      <c r="CN291" s="773"/>
      <c r="CO291" s="773"/>
      <c r="CP291" s="773"/>
      <c r="CQ291" s="773"/>
      <c r="CR291" s="773"/>
    </row>
    <row r="292" spans="35:96" ht="15.75">
      <c r="AI292" s="55"/>
      <c r="AJ292" s="55"/>
      <c r="AK292" s="55"/>
      <c r="AL292" s="55"/>
      <c r="AM292" s="55"/>
      <c r="AN292" s="55"/>
      <c r="AO292" s="55"/>
      <c r="AP292" s="55"/>
      <c r="AQ292" s="55"/>
      <c r="AR292" s="55"/>
      <c r="AS292" s="55"/>
      <c r="AT292" s="55"/>
      <c r="AU292" s="55"/>
      <c r="AV292" s="55"/>
      <c r="BA292" s="775" t="s">
        <v>170</v>
      </c>
      <c r="BB292" s="839">
        <v>2006</v>
      </c>
      <c r="BC292" s="775" t="s">
        <v>96</v>
      </c>
      <c r="BD292" s="775">
        <v>224.7</v>
      </c>
      <c r="BH292" s="775" t="s">
        <v>170</v>
      </c>
      <c r="BI292" s="836" t="s">
        <v>129</v>
      </c>
      <c r="BJ292" s="775" t="s">
        <v>96</v>
      </c>
      <c r="BK292" s="838">
        <v>161.30000000000001</v>
      </c>
      <c r="BL292" s="775">
        <v>2005</v>
      </c>
      <c r="CL292" s="773"/>
      <c r="CM292" s="773"/>
      <c r="CN292" s="773"/>
      <c r="CO292" s="773"/>
      <c r="CP292" s="773"/>
      <c r="CQ292" s="773"/>
      <c r="CR292" s="773"/>
    </row>
    <row r="293" spans="35:96" ht="15.75">
      <c r="AI293" s="55"/>
      <c r="AJ293" s="55"/>
      <c r="AK293" s="55"/>
      <c r="AL293" s="55"/>
      <c r="AM293" s="55"/>
      <c r="AN293" s="55"/>
      <c r="AO293" s="55"/>
      <c r="AP293" s="55"/>
      <c r="AQ293" s="55"/>
      <c r="AR293" s="55"/>
      <c r="AS293" s="55"/>
      <c r="AT293" s="55"/>
      <c r="AU293" s="55"/>
      <c r="AV293" s="55"/>
      <c r="BA293" s="775" t="s">
        <v>170</v>
      </c>
      <c r="BB293" s="839">
        <v>2006</v>
      </c>
      <c r="BC293" s="775" t="s">
        <v>196</v>
      </c>
      <c r="BD293" s="775">
        <v>31.3</v>
      </c>
      <c r="BH293" s="775" t="s">
        <v>170</v>
      </c>
      <c r="BI293" s="836" t="s">
        <v>129</v>
      </c>
      <c r="BJ293" s="775" t="s">
        <v>196</v>
      </c>
      <c r="BK293" s="838">
        <v>29.2</v>
      </c>
      <c r="BL293" s="775">
        <v>2005</v>
      </c>
      <c r="CL293" s="773"/>
      <c r="CM293" s="773"/>
      <c r="CN293" s="773"/>
      <c r="CO293" s="773"/>
      <c r="CP293" s="773"/>
      <c r="CQ293" s="773"/>
      <c r="CR293" s="773"/>
    </row>
    <row r="294" spans="35:96" ht="15.75">
      <c r="AI294" s="55"/>
      <c r="AJ294" s="55"/>
      <c r="AK294" s="55"/>
      <c r="AL294" s="55"/>
      <c r="AM294" s="55"/>
      <c r="AN294" s="55"/>
      <c r="AO294" s="55"/>
      <c r="AP294" s="55"/>
      <c r="AQ294" s="55"/>
      <c r="AR294" s="55"/>
      <c r="AS294" s="55"/>
      <c r="AT294" s="55"/>
      <c r="AU294" s="55"/>
      <c r="AV294" s="55"/>
      <c r="BA294" s="775" t="s">
        <v>170</v>
      </c>
      <c r="BB294" s="839">
        <v>2006</v>
      </c>
      <c r="BC294" s="775" t="s">
        <v>278</v>
      </c>
      <c r="BD294" s="775">
        <v>80.699999999999989</v>
      </c>
      <c r="BH294" s="775" t="s">
        <v>170</v>
      </c>
      <c r="BI294" s="836" t="s">
        <v>129</v>
      </c>
      <c r="BJ294" s="775" t="s">
        <v>278</v>
      </c>
      <c r="BK294" s="838">
        <v>56.100000000000009</v>
      </c>
      <c r="BL294" s="775">
        <v>2005</v>
      </c>
      <c r="CL294" s="773"/>
      <c r="CM294" s="773"/>
      <c r="CN294" s="773"/>
      <c r="CO294" s="773"/>
      <c r="CP294" s="773"/>
      <c r="CQ294" s="773"/>
      <c r="CR294" s="773"/>
    </row>
    <row r="295" spans="35:96" ht="15.75">
      <c r="AI295" s="55"/>
      <c r="AJ295" s="55"/>
      <c r="AK295" s="55"/>
      <c r="AL295" s="55"/>
      <c r="AM295" s="55"/>
      <c r="AN295" s="55"/>
      <c r="AO295" s="55"/>
      <c r="AP295" s="55"/>
      <c r="AQ295" s="55"/>
      <c r="AR295" s="55"/>
      <c r="AS295" s="55"/>
      <c r="AT295" s="55"/>
      <c r="AU295" s="55"/>
      <c r="AV295" s="55"/>
      <c r="BA295" s="775" t="s">
        <v>170</v>
      </c>
      <c r="BB295" s="839">
        <v>2006</v>
      </c>
      <c r="BC295" s="775" t="s">
        <v>44</v>
      </c>
      <c r="BD295" s="775">
        <v>198.7</v>
      </c>
      <c r="BH295" s="775" t="s">
        <v>170</v>
      </c>
      <c r="BI295" s="836" t="s">
        <v>129</v>
      </c>
      <c r="BJ295" s="775" t="s">
        <v>44</v>
      </c>
      <c r="BK295" s="838">
        <v>166.4</v>
      </c>
      <c r="BL295" s="775">
        <v>2005</v>
      </c>
      <c r="CL295" s="773"/>
      <c r="CM295" s="773"/>
      <c r="CN295" s="773"/>
      <c r="CO295" s="773"/>
      <c r="CP295" s="773"/>
      <c r="CQ295" s="773"/>
      <c r="CR295" s="773"/>
    </row>
    <row r="296" spans="35:96" ht="15.75">
      <c r="AI296" s="55"/>
      <c r="AJ296" s="55"/>
      <c r="AK296" s="55"/>
      <c r="AL296" s="55"/>
      <c r="AM296" s="55"/>
      <c r="AN296" s="55"/>
      <c r="AO296" s="55"/>
      <c r="AP296" s="55"/>
      <c r="AQ296" s="55"/>
      <c r="AR296" s="55"/>
      <c r="AS296" s="55"/>
      <c r="AT296" s="55"/>
      <c r="AU296" s="55"/>
      <c r="AV296" s="55"/>
      <c r="BA296" s="775" t="s">
        <v>170</v>
      </c>
      <c r="BB296" s="839">
        <v>2006</v>
      </c>
      <c r="BC296" s="775" t="s">
        <v>45</v>
      </c>
      <c r="BD296" s="775">
        <v>27.8</v>
      </c>
      <c r="BH296" s="775" t="s">
        <v>170</v>
      </c>
      <c r="BI296" s="836" t="s">
        <v>129</v>
      </c>
      <c r="BJ296" s="775" t="s">
        <v>45</v>
      </c>
      <c r="BK296" s="838">
        <v>22.6</v>
      </c>
      <c r="BL296" s="775">
        <v>2005</v>
      </c>
      <c r="CL296" s="773"/>
      <c r="CM296" s="773"/>
      <c r="CN296" s="773"/>
      <c r="CO296" s="773"/>
      <c r="CP296" s="773"/>
      <c r="CQ296" s="773"/>
      <c r="CR296" s="773"/>
    </row>
    <row r="297" spans="35:96" ht="15.75">
      <c r="AI297" s="55"/>
      <c r="AJ297" s="55"/>
      <c r="AK297" s="55"/>
      <c r="AL297" s="55"/>
      <c r="AM297" s="55"/>
      <c r="AN297" s="55"/>
      <c r="AO297" s="55"/>
      <c r="AP297" s="55"/>
      <c r="AQ297" s="55"/>
      <c r="AR297" s="55"/>
      <c r="AS297" s="55"/>
      <c r="AT297" s="55"/>
      <c r="AU297" s="55"/>
      <c r="AV297" s="55"/>
      <c r="BA297" s="775" t="s">
        <v>170</v>
      </c>
      <c r="BB297" s="839">
        <v>2006</v>
      </c>
      <c r="BC297" s="775" t="s">
        <v>48</v>
      </c>
      <c r="BD297" s="775">
        <v>45.3</v>
      </c>
      <c r="BH297" s="775" t="s">
        <v>170</v>
      </c>
      <c r="BI297" s="836" t="s">
        <v>129</v>
      </c>
      <c r="BJ297" s="775" t="s">
        <v>48</v>
      </c>
      <c r="BK297" s="838">
        <v>49.099999999999994</v>
      </c>
      <c r="BL297" s="775">
        <v>2005</v>
      </c>
      <c r="CL297" s="773"/>
      <c r="CM297" s="773"/>
      <c r="CN297" s="773"/>
      <c r="CO297" s="773"/>
      <c r="CP297" s="773"/>
      <c r="CQ297" s="773"/>
      <c r="CR297" s="773"/>
    </row>
    <row r="298" spans="35:96" ht="15.75">
      <c r="AI298" s="55"/>
      <c r="AJ298" s="55"/>
      <c r="AK298" s="55"/>
      <c r="AL298" s="55"/>
      <c r="AM298" s="55"/>
      <c r="AN298" s="55"/>
      <c r="AO298" s="55"/>
      <c r="AP298" s="55"/>
      <c r="AQ298" s="55"/>
      <c r="AR298" s="55"/>
      <c r="AS298" s="55"/>
      <c r="AT298" s="55"/>
      <c r="AU298" s="55"/>
      <c r="AV298" s="55"/>
      <c r="BA298" s="775" t="s">
        <v>170</v>
      </c>
      <c r="BB298" s="839">
        <v>2006</v>
      </c>
      <c r="BC298" s="775" t="s">
        <v>97</v>
      </c>
      <c r="BD298" s="775">
        <v>1463.8999999999999</v>
      </c>
      <c r="BH298" s="775" t="s">
        <v>170</v>
      </c>
      <c r="BI298" s="836" t="s">
        <v>129</v>
      </c>
      <c r="BJ298" s="775" t="s">
        <v>97</v>
      </c>
      <c r="BK298" s="838">
        <v>1240.6999999999998</v>
      </c>
      <c r="BL298" s="775">
        <v>2005</v>
      </c>
      <c r="CL298" s="773"/>
      <c r="CM298" s="773"/>
      <c r="CN298" s="773"/>
      <c r="CO298" s="773"/>
      <c r="CP298" s="773"/>
      <c r="CQ298" s="773"/>
      <c r="CR298" s="773"/>
    </row>
    <row r="299" spans="35:96" ht="15.75">
      <c r="AI299" s="55"/>
      <c r="AJ299" s="55"/>
      <c r="AK299" s="55"/>
      <c r="AL299" s="55"/>
      <c r="AM299" s="55"/>
      <c r="AN299" s="55"/>
      <c r="AO299" s="55"/>
      <c r="AP299" s="55"/>
      <c r="AQ299" s="55"/>
      <c r="AR299" s="55"/>
      <c r="AS299" s="55"/>
      <c r="AT299" s="55"/>
      <c r="AU299" s="55"/>
      <c r="AV299" s="55"/>
      <c r="BA299" s="775" t="s">
        <v>38</v>
      </c>
      <c r="BB299" s="839">
        <v>2007</v>
      </c>
      <c r="BC299" s="775" t="s">
        <v>15</v>
      </c>
      <c r="BD299" s="840">
        <v>33.1</v>
      </c>
      <c r="BH299" s="775" t="s">
        <v>38</v>
      </c>
      <c r="BI299" s="836" t="s">
        <v>130</v>
      </c>
      <c r="BJ299" s="775" t="s">
        <v>15</v>
      </c>
      <c r="BK299" s="776">
        <v>22.8</v>
      </c>
      <c r="BL299" s="775">
        <v>2006</v>
      </c>
      <c r="CL299" s="773"/>
      <c r="CM299" s="773"/>
      <c r="CN299" s="773"/>
      <c r="CO299" s="773"/>
      <c r="CP299" s="773"/>
      <c r="CQ299" s="773"/>
      <c r="CR299" s="773"/>
    </row>
    <row r="300" spans="35:96" ht="15.75">
      <c r="AI300" s="55"/>
      <c r="AJ300" s="55"/>
      <c r="AK300" s="55"/>
      <c r="AL300" s="55"/>
      <c r="AM300" s="55"/>
      <c r="AN300" s="55"/>
      <c r="AO300" s="55"/>
      <c r="AP300" s="55"/>
      <c r="AQ300" s="55"/>
      <c r="AR300" s="55"/>
      <c r="AS300" s="55"/>
      <c r="AT300" s="55"/>
      <c r="AU300" s="55"/>
      <c r="AV300" s="55"/>
      <c r="BA300" s="775" t="s">
        <v>38</v>
      </c>
      <c r="BB300" s="839">
        <v>2007</v>
      </c>
      <c r="BC300" s="775" t="s">
        <v>277</v>
      </c>
      <c r="BD300" s="840">
        <v>60.400000000000006</v>
      </c>
      <c r="BH300" s="775" t="s">
        <v>38</v>
      </c>
      <c r="BI300" s="836" t="s">
        <v>130</v>
      </c>
      <c r="BJ300" s="775" t="s">
        <v>277</v>
      </c>
      <c r="BK300" s="776">
        <v>41.8</v>
      </c>
      <c r="BL300" s="775">
        <v>2006</v>
      </c>
      <c r="CL300" s="773"/>
      <c r="CM300" s="773"/>
      <c r="CN300" s="773"/>
      <c r="CO300" s="773"/>
      <c r="CP300" s="773"/>
      <c r="CQ300" s="773"/>
      <c r="CR300" s="773"/>
    </row>
    <row r="301" spans="35:96" ht="15.75">
      <c r="AI301" s="55"/>
      <c r="AJ301" s="55"/>
      <c r="AK301" s="55"/>
      <c r="AL301" s="55"/>
      <c r="AM301" s="55"/>
      <c r="AN301" s="55"/>
      <c r="AO301" s="55"/>
      <c r="AP301" s="55"/>
      <c r="AQ301" s="55"/>
      <c r="AR301" s="55"/>
      <c r="AS301" s="55"/>
      <c r="AT301" s="55"/>
      <c r="AU301" s="55"/>
      <c r="AV301" s="55"/>
      <c r="BA301" s="775" t="s">
        <v>38</v>
      </c>
      <c r="BB301" s="839">
        <v>2007</v>
      </c>
      <c r="BC301" s="775" t="s">
        <v>1064</v>
      </c>
      <c r="BD301" s="840">
        <v>230.60000000000002</v>
      </c>
      <c r="BH301" s="775" t="s">
        <v>38</v>
      </c>
      <c r="BI301" s="836" t="s">
        <v>130</v>
      </c>
      <c r="BJ301" s="775" t="s">
        <v>1064</v>
      </c>
      <c r="BK301" s="776">
        <v>158.30000000000001</v>
      </c>
      <c r="BL301" s="775">
        <v>2006</v>
      </c>
      <c r="CL301" s="773"/>
      <c r="CM301" s="773"/>
      <c r="CN301" s="773"/>
      <c r="CO301" s="773"/>
      <c r="CP301" s="773"/>
      <c r="CQ301" s="773"/>
      <c r="CR301" s="773"/>
    </row>
    <row r="302" spans="35:96" ht="15.75">
      <c r="AI302" s="55"/>
      <c r="AJ302" s="55"/>
      <c r="AK302" s="55"/>
      <c r="AL302" s="55"/>
      <c r="AM302" s="55"/>
      <c r="AN302" s="55"/>
      <c r="AO302" s="55"/>
      <c r="AP302" s="55"/>
      <c r="AQ302" s="55"/>
      <c r="AR302" s="55"/>
      <c r="AS302" s="55"/>
      <c r="AT302" s="55"/>
      <c r="AU302" s="55"/>
      <c r="AV302" s="55"/>
      <c r="BA302" s="775" t="s">
        <v>38</v>
      </c>
      <c r="BB302" s="839">
        <v>2007</v>
      </c>
      <c r="BC302" s="775" t="s">
        <v>8</v>
      </c>
      <c r="BD302" s="840">
        <v>296.3</v>
      </c>
      <c r="BH302" s="775" t="s">
        <v>38</v>
      </c>
      <c r="BI302" s="836" t="s">
        <v>130</v>
      </c>
      <c r="BJ302" s="775" t="s">
        <v>8</v>
      </c>
      <c r="BK302" s="776">
        <v>276.5</v>
      </c>
      <c r="BL302" s="775">
        <v>2006</v>
      </c>
      <c r="CL302" s="773"/>
      <c r="CM302" s="773"/>
      <c r="CN302" s="773"/>
      <c r="CO302" s="773"/>
      <c r="CP302" s="773"/>
      <c r="CQ302" s="773"/>
      <c r="CR302" s="773"/>
    </row>
    <row r="303" spans="35:96" ht="15.75">
      <c r="AI303" s="55"/>
      <c r="AJ303" s="55"/>
      <c r="AK303" s="55"/>
      <c r="AL303" s="55"/>
      <c r="AM303" s="55"/>
      <c r="AN303" s="55"/>
      <c r="AO303" s="55"/>
      <c r="AP303" s="55"/>
      <c r="AQ303" s="55"/>
      <c r="AR303" s="55"/>
      <c r="AS303" s="55"/>
      <c r="AT303" s="55"/>
      <c r="AU303" s="55"/>
      <c r="AV303" s="55"/>
      <c r="BA303" s="775" t="s">
        <v>38</v>
      </c>
      <c r="BB303" s="839">
        <v>2007</v>
      </c>
      <c r="BC303" s="775" t="s">
        <v>96</v>
      </c>
      <c r="BD303" s="840">
        <v>333.3</v>
      </c>
      <c r="BH303" s="775" t="s">
        <v>38</v>
      </c>
      <c r="BI303" s="836" t="s">
        <v>130</v>
      </c>
      <c r="BJ303" s="775" t="s">
        <v>96</v>
      </c>
      <c r="BK303" s="776">
        <v>272.2</v>
      </c>
      <c r="BL303" s="775">
        <v>2006</v>
      </c>
      <c r="CL303" s="773"/>
      <c r="CM303" s="773"/>
      <c r="CN303" s="773"/>
      <c r="CO303" s="773"/>
      <c r="CP303" s="773"/>
      <c r="CQ303" s="773"/>
      <c r="CR303" s="773"/>
    </row>
    <row r="304" spans="35:96" ht="15.75">
      <c r="AI304" s="55"/>
      <c r="AJ304" s="55"/>
      <c r="AK304" s="55"/>
      <c r="AL304" s="55"/>
      <c r="AM304" s="55"/>
      <c r="AN304" s="55"/>
      <c r="AO304" s="55"/>
      <c r="AP304" s="55"/>
      <c r="AQ304" s="55"/>
      <c r="AR304" s="55"/>
      <c r="AS304" s="55"/>
      <c r="AT304" s="55"/>
      <c r="AU304" s="55"/>
      <c r="AV304" s="55"/>
      <c r="BA304" s="775" t="s">
        <v>38</v>
      </c>
      <c r="BB304" s="839">
        <v>2007</v>
      </c>
      <c r="BC304" s="775" t="s">
        <v>196</v>
      </c>
      <c r="BD304" s="840">
        <v>15.600000000000001</v>
      </c>
      <c r="BH304" s="775" t="s">
        <v>38</v>
      </c>
      <c r="BI304" s="836" t="s">
        <v>130</v>
      </c>
      <c r="BJ304" s="775" t="s">
        <v>196</v>
      </c>
      <c r="BK304" s="776">
        <v>16.399999999999999</v>
      </c>
      <c r="BL304" s="775">
        <v>2006</v>
      </c>
      <c r="CL304" s="773"/>
      <c r="CM304" s="773"/>
      <c r="CN304" s="773"/>
      <c r="CO304" s="773"/>
      <c r="CP304" s="773"/>
      <c r="CQ304" s="773"/>
      <c r="CR304" s="773"/>
    </row>
    <row r="305" spans="35:96" ht="15.75">
      <c r="AI305" s="55"/>
      <c r="AJ305" s="55"/>
      <c r="AK305" s="55"/>
      <c r="AL305" s="55"/>
      <c r="AM305" s="55"/>
      <c r="AN305" s="55"/>
      <c r="AO305" s="55"/>
      <c r="AP305" s="55"/>
      <c r="AQ305" s="55"/>
      <c r="AR305" s="55"/>
      <c r="AS305" s="55"/>
      <c r="AT305" s="55"/>
      <c r="AU305" s="55"/>
      <c r="AV305" s="55"/>
      <c r="BA305" s="775" t="s">
        <v>38</v>
      </c>
      <c r="BB305" s="839">
        <v>2007</v>
      </c>
      <c r="BC305" s="775" t="s">
        <v>278</v>
      </c>
      <c r="BD305" s="840">
        <v>20.5</v>
      </c>
      <c r="BH305" s="775" t="s">
        <v>38</v>
      </c>
      <c r="BI305" s="836" t="s">
        <v>130</v>
      </c>
      <c r="BJ305" s="775" t="s">
        <v>278</v>
      </c>
      <c r="BK305" s="776">
        <v>9.1999999999999993</v>
      </c>
      <c r="BL305" s="775">
        <v>2006</v>
      </c>
      <c r="CL305" s="773"/>
      <c r="CM305" s="773"/>
      <c r="CN305" s="773"/>
      <c r="CO305" s="773"/>
      <c r="CP305" s="773"/>
      <c r="CQ305" s="773"/>
      <c r="CR305" s="773"/>
    </row>
    <row r="306" spans="35:96" ht="15.75">
      <c r="AI306" s="55"/>
      <c r="AJ306" s="55"/>
      <c r="AK306" s="55"/>
      <c r="AL306" s="55"/>
      <c r="AM306" s="55"/>
      <c r="AN306" s="55"/>
      <c r="AO306" s="55"/>
      <c r="AP306" s="55"/>
      <c r="AQ306" s="55"/>
      <c r="AR306" s="55"/>
      <c r="AS306" s="55"/>
      <c r="AT306" s="55"/>
      <c r="AU306" s="55"/>
      <c r="AV306" s="55"/>
      <c r="BA306" s="775" t="s">
        <v>38</v>
      </c>
      <c r="BB306" s="839">
        <v>2007</v>
      </c>
      <c r="BC306" s="775" t="s">
        <v>44</v>
      </c>
      <c r="BD306" s="840">
        <v>0</v>
      </c>
      <c r="BH306" s="775" t="s">
        <v>38</v>
      </c>
      <c r="BI306" s="836" t="s">
        <v>130</v>
      </c>
      <c r="BJ306" s="775" t="s">
        <v>44</v>
      </c>
      <c r="BK306" s="776">
        <v>0</v>
      </c>
      <c r="BL306" s="775">
        <v>2006</v>
      </c>
      <c r="CL306" s="773"/>
      <c r="CM306" s="773"/>
      <c r="CN306" s="773"/>
      <c r="CO306" s="773"/>
      <c r="CP306" s="773"/>
      <c r="CQ306" s="773"/>
      <c r="CR306" s="773"/>
    </row>
    <row r="307" spans="35:96" ht="15.75">
      <c r="AI307" s="55"/>
      <c r="AJ307" s="55"/>
      <c r="AK307" s="55"/>
      <c r="AL307" s="55"/>
      <c r="AM307" s="55"/>
      <c r="AN307" s="55"/>
      <c r="AO307" s="55"/>
      <c r="AP307" s="55"/>
      <c r="AQ307" s="55"/>
      <c r="AR307" s="55"/>
      <c r="AS307" s="55"/>
      <c r="AT307" s="55"/>
      <c r="AU307" s="55"/>
      <c r="AV307" s="55"/>
      <c r="BA307" s="775" t="s">
        <v>38</v>
      </c>
      <c r="BB307" s="839">
        <v>2007</v>
      </c>
      <c r="BC307" s="775" t="s">
        <v>45</v>
      </c>
      <c r="BD307" s="841">
        <v>0</v>
      </c>
      <c r="BH307" s="775" t="s">
        <v>38</v>
      </c>
      <c r="BI307" s="836" t="s">
        <v>130</v>
      </c>
      <c r="BJ307" s="775" t="s">
        <v>45</v>
      </c>
      <c r="BK307" s="776">
        <v>11.4</v>
      </c>
      <c r="BL307" s="775">
        <v>2006</v>
      </c>
      <c r="CL307" s="773"/>
      <c r="CM307" s="773"/>
      <c r="CN307" s="773"/>
      <c r="CO307" s="773"/>
      <c r="CP307" s="773"/>
      <c r="CQ307" s="773"/>
      <c r="CR307" s="773"/>
    </row>
    <row r="308" spans="35:96" ht="15.75">
      <c r="AI308" s="55"/>
      <c r="AJ308" s="55"/>
      <c r="AK308" s="55"/>
      <c r="AL308" s="55"/>
      <c r="AM308" s="55"/>
      <c r="AN308" s="55"/>
      <c r="AO308" s="55"/>
      <c r="AP308" s="55"/>
      <c r="AQ308" s="55"/>
      <c r="AR308" s="55"/>
      <c r="AS308" s="55"/>
      <c r="AT308" s="55"/>
      <c r="AU308" s="55"/>
      <c r="AV308" s="55"/>
      <c r="BA308" s="775" t="s">
        <v>38</v>
      </c>
      <c r="BB308" s="839">
        <v>2007</v>
      </c>
      <c r="BC308" s="775" t="s">
        <v>48</v>
      </c>
      <c r="BD308" s="841">
        <v>29.799999999999997</v>
      </c>
      <c r="BH308" s="775" t="s">
        <v>38</v>
      </c>
      <c r="BI308" s="836" t="s">
        <v>130</v>
      </c>
      <c r="BJ308" s="775" t="s">
        <v>48</v>
      </c>
      <c r="BK308" s="776">
        <v>11</v>
      </c>
      <c r="BL308" s="775">
        <v>2006</v>
      </c>
      <c r="CL308" s="773"/>
      <c r="CM308" s="773"/>
      <c r="CN308" s="773"/>
      <c r="CO308" s="773"/>
      <c r="CP308" s="773"/>
      <c r="CQ308" s="773"/>
      <c r="CR308" s="773"/>
    </row>
    <row r="309" spans="35:96" ht="15.75">
      <c r="AI309" s="55"/>
      <c r="AJ309" s="55"/>
      <c r="AK309" s="55"/>
      <c r="AL309" s="55"/>
      <c r="AM309" s="55"/>
      <c r="AN309" s="55"/>
      <c r="AO309" s="55"/>
      <c r="AP309" s="55"/>
      <c r="AQ309" s="55"/>
      <c r="AR309" s="55"/>
      <c r="AS309" s="55"/>
      <c r="AT309" s="55"/>
      <c r="AU309" s="55"/>
      <c r="AV309" s="55"/>
      <c r="BA309" s="775" t="s">
        <v>38</v>
      </c>
      <c r="BB309" s="839">
        <v>2007</v>
      </c>
      <c r="BC309" s="775" t="s">
        <v>97</v>
      </c>
      <c r="BD309" s="841">
        <v>1038.8</v>
      </c>
      <c r="BH309" s="775" t="s">
        <v>38</v>
      </c>
      <c r="BI309" s="836" t="s">
        <v>130</v>
      </c>
      <c r="BJ309" s="775" t="s">
        <v>97</v>
      </c>
      <c r="BK309" s="776">
        <v>839.2</v>
      </c>
      <c r="BL309" s="775">
        <v>2006</v>
      </c>
      <c r="CL309" s="773"/>
      <c r="CM309" s="773"/>
      <c r="CN309" s="773"/>
      <c r="CO309" s="773"/>
      <c r="CP309" s="773"/>
      <c r="CQ309" s="773"/>
      <c r="CR309" s="773"/>
    </row>
    <row r="310" spans="35:96" ht="15.75">
      <c r="AI310" s="55"/>
      <c r="AJ310" s="55"/>
      <c r="AK310" s="55"/>
      <c r="AL310" s="55"/>
      <c r="AM310" s="55"/>
      <c r="AN310" s="55"/>
      <c r="AO310" s="55"/>
      <c r="AP310" s="55"/>
      <c r="AQ310" s="55"/>
      <c r="AR310" s="55"/>
      <c r="AS310" s="55"/>
      <c r="AT310" s="55"/>
      <c r="AU310" s="55"/>
      <c r="AV310" s="55"/>
      <c r="BA310" s="775" t="s">
        <v>172</v>
      </c>
      <c r="BB310" s="839">
        <v>2007</v>
      </c>
      <c r="BC310" s="775" t="s">
        <v>15</v>
      </c>
      <c r="BD310" s="775">
        <f t="shared" ref="BD310:BD320" si="22">BD321-BD299</f>
        <v>230.6</v>
      </c>
      <c r="BH310" s="775" t="s">
        <v>172</v>
      </c>
      <c r="BI310" s="836" t="s">
        <v>130</v>
      </c>
      <c r="BJ310" s="775" t="s">
        <v>15</v>
      </c>
      <c r="BK310" s="775">
        <f t="shared" ref="BK310:BK320" si="23">BK321-BK299</f>
        <v>211.7</v>
      </c>
      <c r="BL310" s="775">
        <v>2006</v>
      </c>
      <c r="CL310" s="773"/>
      <c r="CM310" s="773"/>
      <c r="CN310" s="773"/>
      <c r="CO310" s="773"/>
      <c r="CP310" s="773"/>
      <c r="CQ310" s="773"/>
      <c r="CR310" s="773"/>
    </row>
    <row r="311" spans="35:96" ht="15.75">
      <c r="AI311" s="55"/>
      <c r="AJ311" s="55"/>
      <c r="AK311" s="55"/>
      <c r="AL311" s="55"/>
      <c r="AM311" s="55"/>
      <c r="AN311" s="55"/>
      <c r="AO311" s="55"/>
      <c r="AP311" s="55"/>
      <c r="AQ311" s="55"/>
      <c r="AR311" s="55"/>
      <c r="AS311" s="55"/>
      <c r="AT311" s="55"/>
      <c r="AU311" s="55"/>
      <c r="AV311" s="55"/>
      <c r="BA311" s="775" t="s">
        <v>172</v>
      </c>
      <c r="BB311" s="839">
        <v>2007</v>
      </c>
      <c r="BC311" s="775" t="s">
        <v>277</v>
      </c>
      <c r="BD311" s="775">
        <f t="shared" si="22"/>
        <v>127</v>
      </c>
      <c r="BH311" s="775" t="s">
        <v>172</v>
      </c>
      <c r="BI311" s="836" t="s">
        <v>130</v>
      </c>
      <c r="BJ311" s="775" t="s">
        <v>277</v>
      </c>
      <c r="BK311" s="775">
        <f t="shared" si="23"/>
        <v>97.600000000000009</v>
      </c>
      <c r="BL311" s="775">
        <v>2006</v>
      </c>
      <c r="CL311" s="773"/>
      <c r="CM311" s="773"/>
      <c r="CN311" s="773"/>
      <c r="CO311" s="773"/>
      <c r="CP311" s="773"/>
      <c r="CQ311" s="773"/>
      <c r="CR311" s="773"/>
    </row>
    <row r="312" spans="35:96" ht="15.75">
      <c r="AI312" s="55"/>
      <c r="AJ312" s="55"/>
      <c r="AK312" s="55"/>
      <c r="AL312" s="55"/>
      <c r="AM312" s="55"/>
      <c r="AN312" s="55"/>
      <c r="AO312" s="55"/>
      <c r="AP312" s="55"/>
      <c r="AQ312" s="55"/>
      <c r="AR312" s="55"/>
      <c r="AS312" s="55"/>
      <c r="AT312" s="55"/>
      <c r="AU312" s="55"/>
      <c r="AV312" s="55"/>
      <c r="BA312" s="775" t="s">
        <v>172</v>
      </c>
      <c r="BB312" s="839">
        <v>2007</v>
      </c>
      <c r="BC312" s="775" t="s">
        <v>1064</v>
      </c>
      <c r="BD312" s="775">
        <f t="shared" si="22"/>
        <v>20.599999999999994</v>
      </c>
      <c r="BH312" s="775" t="s">
        <v>172</v>
      </c>
      <c r="BI312" s="836" t="s">
        <v>130</v>
      </c>
      <c r="BJ312" s="775" t="s">
        <v>1064</v>
      </c>
      <c r="BK312" s="775">
        <f t="shared" si="23"/>
        <v>22.799999999999983</v>
      </c>
      <c r="BL312" s="775">
        <v>2006</v>
      </c>
      <c r="CL312" s="773"/>
      <c r="CM312" s="773"/>
      <c r="CN312" s="773"/>
      <c r="CO312" s="773"/>
      <c r="CP312" s="773"/>
      <c r="CQ312" s="773"/>
      <c r="CR312" s="773"/>
    </row>
    <row r="313" spans="35:96" ht="15.75">
      <c r="AI313" s="55"/>
      <c r="AJ313" s="55"/>
      <c r="AK313" s="55"/>
      <c r="AL313" s="55"/>
      <c r="AM313" s="55"/>
      <c r="AN313" s="55"/>
      <c r="AO313" s="55"/>
      <c r="AP313" s="55"/>
      <c r="AQ313" s="55"/>
      <c r="AR313" s="55"/>
      <c r="AS313" s="55"/>
      <c r="AT313" s="55"/>
      <c r="AU313" s="55"/>
      <c r="AV313" s="55"/>
      <c r="BA313" s="775" t="s">
        <v>172</v>
      </c>
      <c r="BB313" s="839">
        <v>2007</v>
      </c>
      <c r="BC313" s="775" t="s">
        <v>8</v>
      </c>
      <c r="BD313" s="775">
        <f t="shared" si="22"/>
        <v>206.59999999999997</v>
      </c>
      <c r="BH313" s="775" t="s">
        <v>172</v>
      </c>
      <c r="BI313" s="836" t="s">
        <v>130</v>
      </c>
      <c r="BJ313" s="775" t="s">
        <v>8</v>
      </c>
      <c r="BK313" s="775">
        <f t="shared" si="23"/>
        <v>179.39999999999998</v>
      </c>
      <c r="BL313" s="775">
        <v>2006</v>
      </c>
      <c r="CL313" s="773"/>
      <c r="CM313" s="773"/>
      <c r="CN313" s="773"/>
      <c r="CO313" s="773"/>
      <c r="CP313" s="773"/>
      <c r="CQ313" s="773"/>
      <c r="CR313" s="773"/>
    </row>
    <row r="314" spans="35:96" ht="15.75">
      <c r="AI314" s="55"/>
      <c r="AJ314" s="55"/>
      <c r="AK314" s="55"/>
      <c r="AL314" s="55"/>
      <c r="AM314" s="55"/>
      <c r="AN314" s="55"/>
      <c r="AO314" s="55"/>
      <c r="AP314" s="55"/>
      <c r="AQ314" s="55"/>
      <c r="AR314" s="55"/>
      <c r="AS314" s="55"/>
      <c r="AT314" s="55"/>
      <c r="AU314" s="55"/>
      <c r="AV314" s="55"/>
      <c r="BA314" s="775" t="s">
        <v>172</v>
      </c>
      <c r="BB314" s="839">
        <v>2007</v>
      </c>
      <c r="BC314" s="775" t="s">
        <v>96</v>
      </c>
      <c r="BD314" s="775">
        <f t="shared" si="22"/>
        <v>20.800000000000011</v>
      </c>
      <c r="BH314" s="775" t="s">
        <v>172</v>
      </c>
      <c r="BI314" s="836" t="s">
        <v>130</v>
      </c>
      <c r="BJ314" s="775" t="s">
        <v>96</v>
      </c>
      <c r="BK314" s="775">
        <f t="shared" si="23"/>
        <v>13.199999999999989</v>
      </c>
      <c r="BL314" s="775">
        <v>2006</v>
      </c>
      <c r="CL314" s="773"/>
      <c r="CM314" s="773"/>
      <c r="CN314" s="773"/>
      <c r="CO314" s="773"/>
      <c r="CP314" s="773"/>
      <c r="CQ314" s="773"/>
      <c r="CR314" s="773"/>
    </row>
    <row r="315" spans="35:96" ht="15.75">
      <c r="AI315" s="55"/>
      <c r="AJ315" s="55"/>
      <c r="AK315" s="55"/>
      <c r="AL315" s="55"/>
      <c r="AM315" s="55"/>
      <c r="AN315" s="55"/>
      <c r="AO315" s="55"/>
      <c r="AP315" s="55"/>
      <c r="AQ315" s="55"/>
      <c r="AR315" s="55"/>
      <c r="AS315" s="55"/>
      <c r="AT315" s="55"/>
      <c r="AU315" s="55"/>
      <c r="AV315" s="55"/>
      <c r="BA315" s="775" t="s">
        <v>172</v>
      </c>
      <c r="BB315" s="839">
        <v>2007</v>
      </c>
      <c r="BC315" s="775" t="s">
        <v>196</v>
      </c>
      <c r="BD315" s="775">
        <f t="shared" si="22"/>
        <v>20.9</v>
      </c>
      <c r="BH315" s="775" t="s">
        <v>172</v>
      </c>
      <c r="BI315" s="836" t="s">
        <v>130</v>
      </c>
      <c r="BJ315" s="775" t="s">
        <v>196</v>
      </c>
      <c r="BK315" s="775">
        <f t="shared" si="23"/>
        <v>20.9</v>
      </c>
      <c r="BL315" s="775">
        <v>2006</v>
      </c>
      <c r="CL315" s="773"/>
      <c r="CM315" s="773"/>
      <c r="CN315" s="773"/>
      <c r="CO315" s="773"/>
      <c r="CP315" s="773"/>
      <c r="CQ315" s="773"/>
      <c r="CR315" s="773"/>
    </row>
    <row r="316" spans="35:96" ht="15.75">
      <c r="AI316" s="55"/>
      <c r="AJ316" s="55"/>
      <c r="AK316" s="55"/>
      <c r="AL316" s="55"/>
      <c r="AM316" s="55"/>
      <c r="AN316" s="55"/>
      <c r="AO316" s="55"/>
      <c r="AP316" s="55"/>
      <c r="AQ316" s="55"/>
      <c r="AR316" s="55"/>
      <c r="AS316" s="55"/>
      <c r="AT316" s="55"/>
      <c r="AU316" s="55"/>
      <c r="AV316" s="55"/>
      <c r="BA316" s="775" t="s">
        <v>172</v>
      </c>
      <c r="BB316" s="839">
        <v>2007</v>
      </c>
      <c r="BC316" s="775" t="s">
        <v>278</v>
      </c>
      <c r="BD316" s="775">
        <f t="shared" si="22"/>
        <v>160.89999999999998</v>
      </c>
      <c r="BH316" s="775" t="s">
        <v>172</v>
      </c>
      <c r="BI316" s="836" t="s">
        <v>130</v>
      </c>
      <c r="BJ316" s="775" t="s">
        <v>278</v>
      </c>
      <c r="BK316" s="775">
        <f t="shared" si="23"/>
        <v>104.89999999999999</v>
      </c>
      <c r="BL316" s="775">
        <v>2006</v>
      </c>
      <c r="CL316" s="773"/>
      <c r="CM316" s="773"/>
      <c r="CN316" s="773"/>
      <c r="CO316" s="773"/>
      <c r="CP316" s="773"/>
      <c r="CQ316" s="773"/>
      <c r="CR316" s="773"/>
    </row>
    <row r="317" spans="35:96" ht="15.75">
      <c r="AI317" s="55"/>
      <c r="AJ317" s="55"/>
      <c r="AK317" s="55"/>
      <c r="AL317" s="55"/>
      <c r="AM317" s="55"/>
      <c r="AN317" s="55"/>
      <c r="AO317" s="55"/>
      <c r="AP317" s="55"/>
      <c r="AQ317" s="55"/>
      <c r="AR317" s="55"/>
      <c r="AS317" s="55"/>
      <c r="AT317" s="55"/>
      <c r="AU317" s="55"/>
      <c r="AV317" s="55"/>
      <c r="BA317" s="775" t="s">
        <v>172</v>
      </c>
      <c r="BB317" s="839">
        <v>2007</v>
      </c>
      <c r="BC317" s="775" t="s">
        <v>44</v>
      </c>
      <c r="BD317" s="775">
        <f t="shared" si="22"/>
        <v>192.59999999999997</v>
      </c>
      <c r="BH317" s="775" t="s">
        <v>172</v>
      </c>
      <c r="BI317" s="836" t="s">
        <v>130</v>
      </c>
      <c r="BJ317" s="775" t="s">
        <v>44</v>
      </c>
      <c r="BK317" s="775">
        <f t="shared" si="23"/>
        <v>193.20000000000002</v>
      </c>
      <c r="BL317" s="775">
        <v>2006</v>
      </c>
      <c r="CL317" s="773"/>
      <c r="CM317" s="773"/>
      <c r="CN317" s="773"/>
      <c r="CO317" s="773"/>
      <c r="CP317" s="773"/>
      <c r="CQ317" s="773"/>
      <c r="CR317" s="773"/>
    </row>
    <row r="318" spans="35:96" ht="15.75">
      <c r="AI318" s="55"/>
      <c r="AJ318" s="55"/>
      <c r="AK318" s="55"/>
      <c r="AL318" s="55"/>
      <c r="AM318" s="55"/>
      <c r="AN318" s="55"/>
      <c r="AO318" s="55"/>
      <c r="AP318" s="55"/>
      <c r="AQ318" s="55"/>
      <c r="AR318" s="55"/>
      <c r="AS318" s="55"/>
      <c r="AT318" s="55"/>
      <c r="AU318" s="55"/>
      <c r="AV318" s="55"/>
      <c r="BA318" s="775" t="s">
        <v>172</v>
      </c>
      <c r="BB318" s="839">
        <v>2007</v>
      </c>
      <c r="BC318" s="775" t="s">
        <v>45</v>
      </c>
      <c r="BD318" s="775">
        <f t="shared" si="22"/>
        <v>18.399999999999999</v>
      </c>
      <c r="BH318" s="775" t="s">
        <v>172</v>
      </c>
      <c r="BI318" s="836" t="s">
        <v>130</v>
      </c>
      <c r="BJ318" s="775" t="s">
        <v>45</v>
      </c>
      <c r="BK318" s="775">
        <f t="shared" si="23"/>
        <v>15.499999999999998</v>
      </c>
      <c r="BL318" s="775">
        <v>2006</v>
      </c>
      <c r="CL318" s="773"/>
      <c r="CM318" s="773"/>
      <c r="CN318" s="773"/>
      <c r="CO318" s="773"/>
      <c r="CP318" s="773"/>
      <c r="CQ318" s="773"/>
      <c r="CR318" s="773"/>
    </row>
    <row r="319" spans="35:96" ht="15.75">
      <c r="AI319" s="55"/>
      <c r="AJ319" s="55"/>
      <c r="AK319" s="55"/>
      <c r="AL319" s="55"/>
      <c r="AM319" s="55"/>
      <c r="AN319" s="55"/>
      <c r="AO319" s="55"/>
      <c r="AP319" s="55"/>
      <c r="AQ319" s="55"/>
      <c r="AR319" s="55"/>
      <c r="AS319" s="55"/>
      <c r="AT319" s="55"/>
      <c r="AU319" s="55"/>
      <c r="AV319" s="55"/>
      <c r="BA319" s="775" t="s">
        <v>172</v>
      </c>
      <c r="BB319" s="839">
        <v>2007</v>
      </c>
      <c r="BC319" s="775" t="s">
        <v>48</v>
      </c>
      <c r="BD319" s="775">
        <f t="shared" si="22"/>
        <v>42.7</v>
      </c>
      <c r="BH319" s="775" t="s">
        <v>172</v>
      </c>
      <c r="BI319" s="836" t="s">
        <v>130</v>
      </c>
      <c r="BJ319" s="775" t="s">
        <v>48</v>
      </c>
      <c r="BK319" s="775">
        <f t="shared" si="23"/>
        <v>35.9</v>
      </c>
      <c r="BL319" s="775">
        <v>2006</v>
      </c>
      <c r="CL319" s="773"/>
      <c r="CM319" s="773"/>
      <c r="CN319" s="773"/>
      <c r="CO319" s="773"/>
      <c r="CP319" s="773"/>
      <c r="CQ319" s="773"/>
      <c r="CR319" s="773"/>
    </row>
    <row r="320" spans="35:96" ht="15.75">
      <c r="AI320" s="55"/>
      <c r="AJ320" s="55"/>
      <c r="AK320" s="55"/>
      <c r="AL320" s="55"/>
      <c r="AM320" s="55"/>
      <c r="AN320" s="55"/>
      <c r="AO320" s="55"/>
      <c r="AP320" s="55"/>
      <c r="AQ320" s="55"/>
      <c r="AR320" s="55"/>
      <c r="AS320" s="55"/>
      <c r="AT320" s="55"/>
      <c r="AU320" s="55"/>
      <c r="AV320" s="55"/>
      <c r="BA320" s="775" t="s">
        <v>172</v>
      </c>
      <c r="BB320" s="839">
        <v>2007</v>
      </c>
      <c r="BC320" s="775" t="s">
        <v>97</v>
      </c>
      <c r="BD320" s="775">
        <f t="shared" si="22"/>
        <v>1022.3</v>
      </c>
      <c r="BH320" s="775" t="s">
        <v>172</v>
      </c>
      <c r="BI320" s="836" t="s">
        <v>130</v>
      </c>
      <c r="BJ320" s="775" t="s">
        <v>97</v>
      </c>
      <c r="BK320" s="775">
        <f t="shared" si="23"/>
        <v>875.39999999999986</v>
      </c>
      <c r="BL320" s="775">
        <v>2006</v>
      </c>
      <c r="CL320" s="773"/>
      <c r="CM320" s="773"/>
      <c r="CN320" s="773"/>
      <c r="CO320" s="773"/>
      <c r="CP320" s="773"/>
      <c r="CQ320" s="773"/>
      <c r="CR320" s="773"/>
    </row>
    <row r="321" spans="35:96" ht="15.75">
      <c r="AI321" s="55"/>
      <c r="AJ321" s="55"/>
      <c r="AK321" s="55"/>
      <c r="AL321" s="55"/>
      <c r="AM321" s="55"/>
      <c r="AN321" s="55"/>
      <c r="AO321" s="55"/>
      <c r="AP321" s="55"/>
      <c r="AQ321" s="55"/>
      <c r="AR321" s="55"/>
      <c r="AS321" s="55"/>
      <c r="AT321" s="55"/>
      <c r="AU321" s="55"/>
      <c r="AV321" s="55"/>
      <c r="BA321" s="775" t="s">
        <v>170</v>
      </c>
      <c r="BB321" s="839">
        <v>2007</v>
      </c>
      <c r="BC321" s="775" t="s">
        <v>15</v>
      </c>
      <c r="BD321" s="775">
        <v>263.7</v>
      </c>
      <c r="BH321" s="775" t="s">
        <v>170</v>
      </c>
      <c r="BI321" s="836" t="s">
        <v>130</v>
      </c>
      <c r="BJ321" s="775" t="s">
        <v>15</v>
      </c>
      <c r="BK321" s="838">
        <v>234.5</v>
      </c>
      <c r="BL321" s="775">
        <v>2006</v>
      </c>
      <c r="CL321" s="773"/>
      <c r="CM321" s="773"/>
      <c r="CN321" s="773"/>
      <c r="CO321" s="773"/>
      <c r="CP321" s="773"/>
      <c r="CQ321" s="773"/>
      <c r="CR321" s="773"/>
    </row>
    <row r="322" spans="35:96" ht="15.75">
      <c r="AI322" s="55"/>
      <c r="AJ322" s="55"/>
      <c r="AK322" s="55"/>
      <c r="AL322" s="55"/>
      <c r="AM322" s="55"/>
      <c r="AN322" s="55"/>
      <c r="AO322" s="55"/>
      <c r="AP322" s="55"/>
      <c r="AQ322" s="55"/>
      <c r="AR322" s="55"/>
      <c r="AS322" s="55"/>
      <c r="AT322" s="55"/>
      <c r="AU322" s="55"/>
      <c r="AV322" s="55"/>
      <c r="BA322" s="775" t="s">
        <v>170</v>
      </c>
      <c r="BB322" s="839">
        <v>2007</v>
      </c>
      <c r="BC322" s="775" t="s">
        <v>277</v>
      </c>
      <c r="BD322" s="775">
        <v>187.4</v>
      </c>
      <c r="BH322" s="775" t="s">
        <v>170</v>
      </c>
      <c r="BI322" s="836" t="s">
        <v>130</v>
      </c>
      <c r="BJ322" s="775" t="s">
        <v>277</v>
      </c>
      <c r="BK322" s="838">
        <v>139.4</v>
      </c>
      <c r="BL322" s="775">
        <v>2006</v>
      </c>
      <c r="CL322" s="773"/>
      <c r="CM322" s="773"/>
      <c r="CN322" s="773"/>
      <c r="CO322" s="773"/>
      <c r="CP322" s="773"/>
      <c r="CQ322" s="773"/>
      <c r="CR322" s="773"/>
    </row>
    <row r="323" spans="35:96" ht="15.75">
      <c r="AI323" s="55"/>
      <c r="AJ323" s="55"/>
      <c r="AK323" s="55"/>
      <c r="AL323" s="55"/>
      <c r="AM323" s="55"/>
      <c r="AN323" s="55"/>
      <c r="AO323" s="55"/>
      <c r="AP323" s="55"/>
      <c r="AQ323" s="55"/>
      <c r="AR323" s="55"/>
      <c r="AS323" s="55"/>
      <c r="AT323" s="55"/>
      <c r="AU323" s="55"/>
      <c r="AV323" s="55"/>
      <c r="BA323" s="775" t="s">
        <v>170</v>
      </c>
      <c r="BB323" s="839">
        <v>2007</v>
      </c>
      <c r="BC323" s="775" t="s">
        <v>1064</v>
      </c>
      <c r="BD323" s="775">
        <v>251.20000000000002</v>
      </c>
      <c r="BH323" s="775" t="s">
        <v>170</v>
      </c>
      <c r="BI323" s="836" t="s">
        <v>130</v>
      </c>
      <c r="BJ323" s="775" t="s">
        <v>1064</v>
      </c>
      <c r="BK323" s="838">
        <v>181.1</v>
      </c>
      <c r="BL323" s="775">
        <v>2006</v>
      </c>
      <c r="CL323" s="773"/>
      <c r="CM323" s="773"/>
      <c r="CN323" s="773"/>
      <c r="CO323" s="773"/>
      <c r="CP323" s="773"/>
      <c r="CQ323" s="773"/>
      <c r="CR323" s="773"/>
    </row>
    <row r="324" spans="35:96" ht="15.75">
      <c r="AI324" s="55"/>
      <c r="AJ324" s="55"/>
      <c r="AK324" s="55"/>
      <c r="AL324" s="55"/>
      <c r="AM324" s="55"/>
      <c r="AN324" s="55"/>
      <c r="AO324" s="55"/>
      <c r="AP324" s="55"/>
      <c r="AQ324" s="55"/>
      <c r="AR324" s="55"/>
      <c r="AS324" s="55"/>
      <c r="AT324" s="55"/>
      <c r="AU324" s="55"/>
      <c r="AV324" s="55"/>
      <c r="BA324" s="775" t="s">
        <v>170</v>
      </c>
      <c r="BB324" s="839">
        <v>2007</v>
      </c>
      <c r="BC324" s="775" t="s">
        <v>8</v>
      </c>
      <c r="BD324" s="775">
        <v>502.9</v>
      </c>
      <c r="BH324" s="775" t="s">
        <v>170</v>
      </c>
      <c r="BI324" s="836" t="s">
        <v>130</v>
      </c>
      <c r="BJ324" s="775" t="s">
        <v>8</v>
      </c>
      <c r="BK324" s="838">
        <v>455.9</v>
      </c>
      <c r="BL324" s="775">
        <v>2006</v>
      </c>
      <c r="CL324" s="773"/>
      <c r="CM324" s="773"/>
      <c r="CN324" s="773"/>
      <c r="CO324" s="773"/>
      <c r="CP324" s="773"/>
      <c r="CQ324" s="773"/>
      <c r="CR324" s="773"/>
    </row>
    <row r="325" spans="35:96" ht="15.75">
      <c r="AI325" s="55"/>
      <c r="AJ325" s="55"/>
      <c r="AK325" s="55"/>
      <c r="AL325" s="55"/>
      <c r="AM325" s="55"/>
      <c r="AN325" s="55"/>
      <c r="AO325" s="55"/>
      <c r="AP325" s="55"/>
      <c r="AQ325" s="55"/>
      <c r="AR325" s="55"/>
      <c r="AS325" s="55"/>
      <c r="AT325" s="55"/>
      <c r="AU325" s="55"/>
      <c r="AV325" s="55"/>
      <c r="BA325" s="775" t="s">
        <v>170</v>
      </c>
      <c r="BB325" s="839">
        <v>2007</v>
      </c>
      <c r="BC325" s="775" t="s">
        <v>96</v>
      </c>
      <c r="BD325" s="775">
        <v>354.1</v>
      </c>
      <c r="BH325" s="775" t="s">
        <v>170</v>
      </c>
      <c r="BI325" s="836" t="s">
        <v>130</v>
      </c>
      <c r="BJ325" s="775" t="s">
        <v>96</v>
      </c>
      <c r="BK325" s="838">
        <v>285.39999999999998</v>
      </c>
      <c r="BL325" s="775">
        <v>2006</v>
      </c>
      <c r="CL325" s="773"/>
      <c r="CM325" s="773"/>
      <c r="CN325" s="773"/>
      <c r="CO325" s="773"/>
      <c r="CP325" s="773"/>
      <c r="CQ325" s="773"/>
      <c r="CR325" s="773"/>
    </row>
    <row r="326" spans="35:96" ht="15.75">
      <c r="AI326" s="55"/>
      <c r="AJ326" s="55"/>
      <c r="AK326" s="55"/>
      <c r="AL326" s="55"/>
      <c r="AM326" s="55"/>
      <c r="AN326" s="55"/>
      <c r="AO326" s="55"/>
      <c r="AP326" s="55"/>
      <c r="AQ326" s="55"/>
      <c r="AR326" s="55"/>
      <c r="AS326" s="55"/>
      <c r="AT326" s="55"/>
      <c r="AU326" s="55"/>
      <c r="AV326" s="55"/>
      <c r="BA326" s="775" t="s">
        <v>170</v>
      </c>
      <c r="BB326" s="839">
        <v>2007</v>
      </c>
      <c r="BC326" s="775" t="s">
        <v>196</v>
      </c>
      <c r="BD326" s="775">
        <v>36.5</v>
      </c>
      <c r="BH326" s="775" t="s">
        <v>170</v>
      </c>
      <c r="BI326" s="836" t="s">
        <v>130</v>
      </c>
      <c r="BJ326" s="775" t="s">
        <v>196</v>
      </c>
      <c r="BK326" s="838">
        <v>37.299999999999997</v>
      </c>
      <c r="BL326" s="775">
        <v>2006</v>
      </c>
      <c r="CL326" s="773"/>
      <c r="CM326" s="773"/>
      <c r="CN326" s="773"/>
      <c r="CO326" s="773"/>
      <c r="CP326" s="773"/>
      <c r="CQ326" s="773"/>
      <c r="CR326" s="773"/>
    </row>
    <row r="327" spans="35:96" ht="15.75">
      <c r="AI327" s="55"/>
      <c r="AJ327" s="55"/>
      <c r="AK327" s="55"/>
      <c r="AL327" s="55"/>
      <c r="AM327" s="55"/>
      <c r="AN327" s="55"/>
      <c r="AO327" s="55"/>
      <c r="AP327" s="55"/>
      <c r="AQ327" s="55"/>
      <c r="AR327" s="55"/>
      <c r="AS327" s="55"/>
      <c r="AT327" s="55"/>
      <c r="AU327" s="55"/>
      <c r="AV327" s="55"/>
      <c r="BA327" s="775" t="s">
        <v>170</v>
      </c>
      <c r="BB327" s="839">
        <v>2007</v>
      </c>
      <c r="BC327" s="775" t="s">
        <v>278</v>
      </c>
      <c r="BD327" s="775">
        <v>181.39999999999998</v>
      </c>
      <c r="BH327" s="775" t="s">
        <v>170</v>
      </c>
      <c r="BI327" s="836" t="s">
        <v>130</v>
      </c>
      <c r="BJ327" s="775" t="s">
        <v>278</v>
      </c>
      <c r="BK327" s="838">
        <v>114.1</v>
      </c>
      <c r="BL327" s="775">
        <v>2006</v>
      </c>
      <c r="CL327" s="773"/>
      <c r="CM327" s="773"/>
      <c r="CN327" s="773"/>
      <c r="CO327" s="773"/>
      <c r="CP327" s="773"/>
      <c r="CQ327" s="773"/>
      <c r="CR327" s="773"/>
    </row>
    <row r="328" spans="35:96" ht="15.75">
      <c r="AI328" s="55"/>
      <c r="AJ328" s="55"/>
      <c r="AK328" s="55"/>
      <c r="AL328" s="55"/>
      <c r="AM328" s="55"/>
      <c r="AN328" s="55"/>
      <c r="AO328" s="55"/>
      <c r="AP328" s="55"/>
      <c r="AQ328" s="55"/>
      <c r="AR328" s="55"/>
      <c r="AS328" s="55"/>
      <c r="AT328" s="55"/>
      <c r="AU328" s="55"/>
      <c r="AV328" s="55"/>
      <c r="BA328" s="775" t="s">
        <v>170</v>
      </c>
      <c r="BB328" s="839">
        <v>2007</v>
      </c>
      <c r="BC328" s="775" t="s">
        <v>44</v>
      </c>
      <c r="BD328" s="775">
        <v>192.59999999999997</v>
      </c>
      <c r="BH328" s="775" t="s">
        <v>170</v>
      </c>
      <c r="BI328" s="836" t="s">
        <v>130</v>
      </c>
      <c r="BJ328" s="775" t="s">
        <v>44</v>
      </c>
      <c r="BK328" s="838">
        <v>193.20000000000002</v>
      </c>
      <c r="BL328" s="775">
        <v>2006</v>
      </c>
      <c r="CL328" s="773"/>
      <c r="CM328" s="773"/>
      <c r="CN328" s="773"/>
      <c r="CO328" s="773"/>
      <c r="CP328" s="773"/>
      <c r="CQ328" s="773"/>
      <c r="CR328" s="773"/>
    </row>
    <row r="329" spans="35:96" ht="15.75">
      <c r="AI329" s="55"/>
      <c r="AJ329" s="55"/>
      <c r="AK329" s="55"/>
      <c r="AL329" s="55"/>
      <c r="AM329" s="55"/>
      <c r="AN329" s="55"/>
      <c r="AO329" s="55"/>
      <c r="AP329" s="55"/>
      <c r="AQ329" s="55"/>
      <c r="AR329" s="55"/>
      <c r="AS329" s="55"/>
      <c r="AT329" s="55"/>
      <c r="AU329" s="55"/>
      <c r="AV329" s="55"/>
      <c r="BA329" s="775" t="s">
        <v>170</v>
      </c>
      <c r="BB329" s="839">
        <v>2007</v>
      </c>
      <c r="BC329" s="775" t="s">
        <v>45</v>
      </c>
      <c r="BD329" s="775">
        <v>18.399999999999999</v>
      </c>
      <c r="BH329" s="775" t="s">
        <v>170</v>
      </c>
      <c r="BI329" s="836" t="s">
        <v>130</v>
      </c>
      <c r="BJ329" s="775" t="s">
        <v>45</v>
      </c>
      <c r="BK329" s="838">
        <v>26.9</v>
      </c>
      <c r="BL329" s="775">
        <v>2006</v>
      </c>
      <c r="CL329" s="773"/>
      <c r="CM329" s="773"/>
      <c r="CN329" s="773"/>
      <c r="CO329" s="773"/>
      <c r="CP329" s="773"/>
      <c r="CQ329" s="773"/>
      <c r="CR329" s="773"/>
    </row>
    <row r="330" spans="35:96" ht="15.75">
      <c r="AI330" s="55"/>
      <c r="AJ330" s="55"/>
      <c r="AK330" s="55"/>
      <c r="AL330" s="55"/>
      <c r="AM330" s="55"/>
      <c r="AN330" s="55"/>
      <c r="AO330" s="55"/>
      <c r="AP330" s="55"/>
      <c r="AQ330" s="55"/>
      <c r="AR330" s="55"/>
      <c r="AS330" s="55"/>
      <c r="AT330" s="55"/>
      <c r="AU330" s="55"/>
      <c r="AV330" s="55"/>
      <c r="BA330" s="775" t="s">
        <v>170</v>
      </c>
      <c r="BB330" s="839">
        <v>2007</v>
      </c>
      <c r="BC330" s="775" t="s">
        <v>48</v>
      </c>
      <c r="BD330" s="775">
        <v>72.5</v>
      </c>
      <c r="BH330" s="775" t="s">
        <v>170</v>
      </c>
      <c r="BI330" s="836" t="s">
        <v>130</v>
      </c>
      <c r="BJ330" s="775" t="s">
        <v>48</v>
      </c>
      <c r="BK330" s="838">
        <v>46.9</v>
      </c>
      <c r="BL330" s="775">
        <v>2006</v>
      </c>
      <c r="CL330" s="773"/>
      <c r="CM330" s="773"/>
      <c r="CN330" s="773"/>
      <c r="CO330" s="773"/>
      <c r="CP330" s="773"/>
      <c r="CQ330" s="773"/>
      <c r="CR330" s="773"/>
    </row>
    <row r="331" spans="35:96" ht="15.75">
      <c r="AI331" s="55"/>
      <c r="AJ331" s="55"/>
      <c r="AK331" s="55"/>
      <c r="AL331" s="55"/>
      <c r="AM331" s="55"/>
      <c r="AN331" s="55"/>
      <c r="AO331" s="55"/>
      <c r="AP331" s="55"/>
      <c r="AQ331" s="55"/>
      <c r="AR331" s="55"/>
      <c r="AS331" s="55"/>
      <c r="AT331" s="55"/>
      <c r="AU331" s="55"/>
      <c r="AV331" s="55"/>
      <c r="BA331" s="775" t="s">
        <v>170</v>
      </c>
      <c r="BB331" s="839">
        <v>2007</v>
      </c>
      <c r="BC331" s="775" t="s">
        <v>97</v>
      </c>
      <c r="BD331" s="775">
        <v>2061.1</v>
      </c>
      <c r="BH331" s="775" t="s">
        <v>170</v>
      </c>
      <c r="BI331" s="836" t="s">
        <v>130</v>
      </c>
      <c r="BJ331" s="775" t="s">
        <v>97</v>
      </c>
      <c r="BK331" s="838">
        <v>1714.6</v>
      </c>
      <c r="BL331" s="775">
        <v>2006</v>
      </c>
      <c r="CL331" s="773"/>
      <c r="CM331" s="773"/>
      <c r="CN331" s="773"/>
      <c r="CO331" s="773"/>
      <c r="CP331" s="773"/>
      <c r="CQ331" s="773"/>
      <c r="CR331" s="773"/>
    </row>
    <row r="332" spans="35:96" ht="15.75">
      <c r="AI332" s="55"/>
      <c r="AJ332" s="55"/>
      <c r="AK332" s="55"/>
      <c r="AL332" s="55"/>
      <c r="AM332" s="55"/>
      <c r="AN332" s="55"/>
      <c r="AO332" s="55"/>
      <c r="AP332" s="55"/>
      <c r="AQ332" s="55"/>
      <c r="AR332" s="55"/>
      <c r="AS332" s="55"/>
      <c r="AT332" s="55"/>
      <c r="AU332" s="55"/>
      <c r="AV332" s="55"/>
      <c r="BA332" s="775" t="s">
        <v>38</v>
      </c>
      <c r="BB332" s="839">
        <v>2008</v>
      </c>
      <c r="BC332" s="775" t="s">
        <v>15</v>
      </c>
      <c r="BD332" s="840">
        <v>39.700000000000003</v>
      </c>
      <c r="BH332" s="775" t="s">
        <v>38</v>
      </c>
      <c r="BI332" s="836" t="s">
        <v>131</v>
      </c>
      <c r="BJ332" s="775" t="s">
        <v>15</v>
      </c>
      <c r="BK332" s="776">
        <v>38.900000000000006</v>
      </c>
      <c r="BL332" s="775">
        <v>2007</v>
      </c>
      <c r="CL332" s="773"/>
      <c r="CM332" s="773"/>
      <c r="CN332" s="773"/>
      <c r="CO332" s="773"/>
      <c r="CP332" s="773"/>
      <c r="CQ332" s="773"/>
      <c r="CR332" s="773"/>
    </row>
    <row r="333" spans="35:96" ht="15.75">
      <c r="AI333" s="55"/>
      <c r="AJ333" s="55"/>
      <c r="AK333" s="55"/>
      <c r="AL333" s="55"/>
      <c r="AM333" s="55"/>
      <c r="AN333" s="55"/>
      <c r="AO333" s="55"/>
      <c r="AP333" s="55"/>
      <c r="AQ333" s="55"/>
      <c r="AR333" s="55"/>
      <c r="AS333" s="55"/>
      <c r="AT333" s="55"/>
      <c r="AU333" s="55"/>
      <c r="AV333" s="55"/>
      <c r="BA333" s="775" t="s">
        <v>38</v>
      </c>
      <c r="BB333" s="839">
        <v>2008</v>
      </c>
      <c r="BC333" s="775" t="s">
        <v>277</v>
      </c>
      <c r="BD333" s="840">
        <v>39.799999999999997</v>
      </c>
      <c r="BH333" s="775" t="s">
        <v>38</v>
      </c>
      <c r="BI333" s="836" t="s">
        <v>131</v>
      </c>
      <c r="BJ333" s="775" t="s">
        <v>277</v>
      </c>
      <c r="BK333" s="776">
        <v>56.3</v>
      </c>
      <c r="BL333" s="775">
        <v>2007</v>
      </c>
      <c r="CL333" s="773"/>
      <c r="CM333" s="773"/>
      <c r="CN333" s="773"/>
      <c r="CO333" s="773"/>
      <c r="CP333" s="773"/>
      <c r="CQ333" s="773"/>
      <c r="CR333" s="773"/>
    </row>
    <row r="334" spans="35:96" ht="15.75">
      <c r="AI334" s="55"/>
      <c r="AJ334" s="55"/>
      <c r="AK334" s="55"/>
      <c r="AL334" s="55"/>
      <c r="AM334" s="55"/>
      <c r="AN334" s="55"/>
      <c r="AO334" s="55"/>
      <c r="AP334" s="55"/>
      <c r="AQ334" s="55"/>
      <c r="AR334" s="55"/>
      <c r="AS334" s="55"/>
      <c r="AT334" s="55"/>
      <c r="AU334" s="55"/>
      <c r="AV334" s="55"/>
      <c r="BA334" s="775" t="s">
        <v>38</v>
      </c>
      <c r="BB334" s="839">
        <v>2008</v>
      </c>
      <c r="BC334" s="775" t="s">
        <v>1064</v>
      </c>
      <c r="BD334" s="840">
        <v>303.2</v>
      </c>
      <c r="BH334" s="775" t="s">
        <v>38</v>
      </c>
      <c r="BI334" s="836" t="s">
        <v>131</v>
      </c>
      <c r="BJ334" s="775" t="s">
        <v>1064</v>
      </c>
      <c r="BK334" s="776">
        <v>279.89999999999998</v>
      </c>
      <c r="BL334" s="775">
        <v>2007</v>
      </c>
      <c r="CL334" s="773"/>
      <c r="CM334" s="773"/>
      <c r="CN334" s="773"/>
      <c r="CO334" s="773"/>
      <c r="CP334" s="773"/>
      <c r="CQ334" s="773"/>
      <c r="CR334" s="773"/>
    </row>
    <row r="335" spans="35:96" ht="15.75">
      <c r="AI335" s="55"/>
      <c r="AJ335" s="55"/>
      <c r="AK335" s="55"/>
      <c r="AL335" s="55"/>
      <c r="AM335" s="55"/>
      <c r="AN335" s="55"/>
      <c r="AO335" s="55"/>
      <c r="AP335" s="55"/>
      <c r="AQ335" s="55"/>
      <c r="AR335" s="55"/>
      <c r="AS335" s="55"/>
      <c r="AT335" s="55"/>
      <c r="AU335" s="55"/>
      <c r="AV335" s="55"/>
      <c r="BA335" s="775" t="s">
        <v>38</v>
      </c>
      <c r="BB335" s="839">
        <v>2008</v>
      </c>
      <c r="BC335" s="775" t="s">
        <v>8</v>
      </c>
      <c r="BD335" s="840">
        <v>329.09999999999997</v>
      </c>
      <c r="BH335" s="775" t="s">
        <v>38</v>
      </c>
      <c r="BI335" s="836" t="s">
        <v>131</v>
      </c>
      <c r="BJ335" s="775" t="s">
        <v>8</v>
      </c>
      <c r="BK335" s="776">
        <v>347.8</v>
      </c>
      <c r="BL335" s="775">
        <v>2007</v>
      </c>
      <c r="CL335" s="773"/>
      <c r="CM335" s="773"/>
      <c r="CN335" s="773"/>
      <c r="CO335" s="773"/>
      <c r="CP335" s="773"/>
      <c r="CQ335" s="773"/>
      <c r="CR335" s="773"/>
    </row>
    <row r="336" spans="35:96" ht="15.75">
      <c r="AI336" s="55"/>
      <c r="AJ336" s="55"/>
      <c r="AK336" s="55"/>
      <c r="AL336" s="55"/>
      <c r="AM336" s="55"/>
      <c r="AN336" s="55"/>
      <c r="AO336" s="55"/>
      <c r="AP336" s="55"/>
      <c r="AQ336" s="55"/>
      <c r="AR336" s="55"/>
      <c r="AS336" s="55"/>
      <c r="AT336" s="55"/>
      <c r="AU336" s="55"/>
      <c r="AV336" s="55"/>
      <c r="BA336" s="775" t="s">
        <v>38</v>
      </c>
      <c r="BB336" s="839">
        <v>2008</v>
      </c>
      <c r="BC336" s="775" t="s">
        <v>96</v>
      </c>
      <c r="BD336" s="840">
        <v>546</v>
      </c>
      <c r="BH336" s="775" t="s">
        <v>38</v>
      </c>
      <c r="BI336" s="836" t="s">
        <v>131</v>
      </c>
      <c r="BJ336" s="775" t="s">
        <v>96</v>
      </c>
      <c r="BK336" s="776">
        <v>420.7</v>
      </c>
      <c r="BL336" s="775">
        <v>2007</v>
      </c>
      <c r="CL336" s="773"/>
      <c r="CM336" s="773"/>
      <c r="CN336" s="773"/>
      <c r="CO336" s="773"/>
      <c r="CP336" s="773"/>
      <c r="CQ336" s="773"/>
      <c r="CR336" s="773"/>
    </row>
    <row r="337" spans="35:96" ht="15.75">
      <c r="AI337" s="55"/>
      <c r="AJ337" s="55"/>
      <c r="AK337" s="55"/>
      <c r="AL337" s="55"/>
      <c r="AM337" s="55"/>
      <c r="AN337" s="55"/>
      <c r="AO337" s="55"/>
      <c r="AP337" s="55"/>
      <c r="AQ337" s="55"/>
      <c r="AR337" s="55"/>
      <c r="AS337" s="55"/>
      <c r="AT337" s="55"/>
      <c r="AU337" s="55"/>
      <c r="AV337" s="55"/>
      <c r="BA337" s="775" t="s">
        <v>38</v>
      </c>
      <c r="BB337" s="839">
        <v>2008</v>
      </c>
      <c r="BC337" s="775" t="s">
        <v>196</v>
      </c>
      <c r="BD337" s="840">
        <v>14.299999999999999</v>
      </c>
      <c r="BH337" s="775" t="s">
        <v>38</v>
      </c>
      <c r="BI337" s="836" t="s">
        <v>131</v>
      </c>
      <c r="BJ337" s="775" t="s">
        <v>196</v>
      </c>
      <c r="BK337" s="776">
        <v>14.7</v>
      </c>
      <c r="BL337" s="775">
        <v>2007</v>
      </c>
      <c r="CL337" s="773"/>
      <c r="CM337" s="773"/>
      <c r="CN337" s="773"/>
      <c r="CO337" s="773"/>
      <c r="CP337" s="773"/>
      <c r="CQ337" s="773"/>
      <c r="CR337" s="773"/>
    </row>
    <row r="338" spans="35:96" ht="15.75">
      <c r="AI338" s="55"/>
      <c r="AJ338" s="55"/>
      <c r="AK338" s="55"/>
      <c r="AL338" s="55"/>
      <c r="AM338" s="55"/>
      <c r="AN338" s="55"/>
      <c r="AO338" s="55"/>
      <c r="AP338" s="55"/>
      <c r="AQ338" s="55"/>
      <c r="AR338" s="55"/>
      <c r="AS338" s="55"/>
      <c r="AT338" s="55"/>
      <c r="AU338" s="55"/>
      <c r="AV338" s="55"/>
      <c r="BA338" s="775" t="s">
        <v>38</v>
      </c>
      <c r="BB338" s="839">
        <v>2008</v>
      </c>
      <c r="BC338" s="775" t="s">
        <v>278</v>
      </c>
      <c r="BD338" s="840">
        <v>0</v>
      </c>
      <c r="BH338" s="775" t="s">
        <v>38</v>
      </c>
      <c r="BI338" s="836" t="s">
        <v>131</v>
      </c>
      <c r="BJ338" s="775" t="s">
        <v>278</v>
      </c>
      <c r="BK338" s="776">
        <v>13</v>
      </c>
      <c r="BL338" s="775">
        <v>2007</v>
      </c>
      <c r="CL338" s="773"/>
      <c r="CM338" s="773"/>
      <c r="CN338" s="773"/>
      <c r="CO338" s="773"/>
      <c r="CP338" s="773"/>
      <c r="CQ338" s="773"/>
      <c r="CR338" s="773"/>
    </row>
    <row r="339" spans="35:96" ht="15.75">
      <c r="AI339" s="55"/>
      <c r="AJ339" s="55"/>
      <c r="AK339" s="55"/>
      <c r="AL339" s="55"/>
      <c r="AM339" s="55"/>
      <c r="AN339" s="55"/>
      <c r="AO339" s="55"/>
      <c r="AP339" s="55"/>
      <c r="AQ339" s="55"/>
      <c r="AR339" s="55"/>
      <c r="AS339" s="55"/>
      <c r="AT339" s="55"/>
      <c r="AU339" s="55"/>
      <c r="AV339" s="55"/>
      <c r="BA339" s="775" t="s">
        <v>38</v>
      </c>
      <c r="BB339" s="839">
        <v>2008</v>
      </c>
      <c r="BC339" s="775" t="s">
        <v>44</v>
      </c>
      <c r="BD339" s="840">
        <v>4.5</v>
      </c>
      <c r="BH339" s="775" t="s">
        <v>38</v>
      </c>
      <c r="BI339" s="836" t="s">
        <v>131</v>
      </c>
      <c r="BJ339" s="775" t="s">
        <v>44</v>
      </c>
      <c r="BK339" s="776">
        <v>0</v>
      </c>
      <c r="BL339" s="775">
        <v>2007</v>
      </c>
      <c r="CL339" s="773"/>
      <c r="CM339" s="773"/>
      <c r="CN339" s="773"/>
      <c r="CO339" s="773"/>
      <c r="CP339" s="773"/>
      <c r="CQ339" s="773"/>
      <c r="CR339" s="773"/>
    </row>
    <row r="340" spans="35:96" ht="15.75">
      <c r="AI340" s="55"/>
      <c r="AJ340" s="55"/>
      <c r="AK340" s="55"/>
      <c r="AL340" s="55"/>
      <c r="AM340" s="55"/>
      <c r="AN340" s="55"/>
      <c r="AO340" s="55"/>
      <c r="AP340" s="55"/>
      <c r="AQ340" s="55"/>
      <c r="AR340" s="55"/>
      <c r="AS340" s="55"/>
      <c r="AT340" s="55"/>
      <c r="AU340" s="55"/>
      <c r="AV340" s="55"/>
      <c r="BA340" s="775" t="s">
        <v>38</v>
      </c>
      <c r="BB340" s="839">
        <v>2008</v>
      </c>
      <c r="BC340" s="775" t="s">
        <v>45</v>
      </c>
      <c r="BD340" s="841">
        <v>4.5</v>
      </c>
      <c r="BH340" s="775" t="s">
        <v>38</v>
      </c>
      <c r="BI340" s="836" t="s">
        <v>131</v>
      </c>
      <c r="BJ340" s="775" t="s">
        <v>45</v>
      </c>
      <c r="BK340" s="776">
        <v>3.2</v>
      </c>
      <c r="BL340" s="775">
        <v>2007</v>
      </c>
      <c r="CL340" s="773"/>
      <c r="CM340" s="773"/>
      <c r="CN340" s="773"/>
      <c r="CO340" s="773"/>
      <c r="CP340" s="773"/>
      <c r="CQ340" s="773"/>
      <c r="CR340" s="773"/>
    </row>
    <row r="341" spans="35:96" ht="15.75">
      <c r="AI341" s="55"/>
      <c r="AJ341" s="55"/>
      <c r="AK341" s="55"/>
      <c r="AL341" s="55"/>
      <c r="AM341" s="55"/>
      <c r="AN341" s="55"/>
      <c r="AO341" s="55"/>
      <c r="AP341" s="55"/>
      <c r="AQ341" s="55"/>
      <c r="AR341" s="55"/>
      <c r="AS341" s="55"/>
      <c r="AT341" s="55"/>
      <c r="AU341" s="55"/>
      <c r="AV341" s="55"/>
      <c r="BA341" s="775" t="s">
        <v>38</v>
      </c>
      <c r="BB341" s="839">
        <v>2008</v>
      </c>
      <c r="BC341" s="775" t="s">
        <v>48</v>
      </c>
      <c r="BD341" s="841">
        <v>83.4</v>
      </c>
      <c r="BH341" s="775" t="s">
        <v>38</v>
      </c>
      <c r="BI341" s="836" t="s">
        <v>131</v>
      </c>
      <c r="BJ341" s="775" t="s">
        <v>48</v>
      </c>
      <c r="BK341" s="776">
        <v>60.2</v>
      </c>
      <c r="BL341" s="775">
        <v>2007</v>
      </c>
      <c r="CL341" s="773"/>
      <c r="CM341" s="773"/>
      <c r="CN341" s="773"/>
      <c r="CO341" s="773"/>
      <c r="CP341" s="773"/>
      <c r="CQ341" s="773"/>
      <c r="CR341" s="773"/>
    </row>
    <row r="342" spans="35:96" ht="15.75">
      <c r="AI342" s="55"/>
      <c r="AJ342" s="55"/>
      <c r="AK342" s="55"/>
      <c r="AL342" s="55"/>
      <c r="AM342" s="55"/>
      <c r="AN342" s="55"/>
      <c r="AO342" s="55"/>
      <c r="AP342" s="55"/>
      <c r="AQ342" s="55"/>
      <c r="AR342" s="55"/>
      <c r="AS342" s="55"/>
      <c r="AT342" s="55"/>
      <c r="AU342" s="55"/>
      <c r="AV342" s="55"/>
      <c r="BA342" s="775" t="s">
        <v>38</v>
      </c>
      <c r="BB342" s="839">
        <v>2008</v>
      </c>
      <c r="BC342" s="775" t="s">
        <v>97</v>
      </c>
      <c r="BD342" s="841">
        <v>1400.3999999999999</v>
      </c>
      <c r="BH342" s="775" t="s">
        <v>38</v>
      </c>
      <c r="BI342" s="836" t="s">
        <v>131</v>
      </c>
      <c r="BJ342" s="775" t="s">
        <v>97</v>
      </c>
      <c r="BK342" s="776">
        <v>1259.7</v>
      </c>
      <c r="BL342" s="775">
        <v>2007</v>
      </c>
      <c r="CL342" s="773"/>
      <c r="CM342" s="773"/>
      <c r="CN342" s="773"/>
      <c r="CO342" s="773"/>
      <c r="CP342" s="773"/>
      <c r="CQ342" s="773"/>
      <c r="CR342" s="773"/>
    </row>
    <row r="343" spans="35:96" ht="15.75">
      <c r="AI343" s="55"/>
      <c r="AJ343" s="55"/>
      <c r="AK343" s="55"/>
      <c r="AL343" s="55"/>
      <c r="AM343" s="55"/>
      <c r="AN343" s="55"/>
      <c r="AO343" s="55"/>
      <c r="AP343" s="55"/>
      <c r="AQ343" s="55"/>
      <c r="AR343" s="55"/>
      <c r="AS343" s="55"/>
      <c r="AT343" s="55"/>
      <c r="AU343" s="55"/>
      <c r="AV343" s="55"/>
      <c r="BA343" s="775" t="s">
        <v>172</v>
      </c>
      <c r="BB343" s="839">
        <v>2008</v>
      </c>
      <c r="BC343" s="775" t="s">
        <v>15</v>
      </c>
      <c r="BD343" s="775">
        <f t="shared" ref="BD343:BD353" si="24">BD354-BD332</f>
        <v>253.3</v>
      </c>
      <c r="BH343" s="775" t="s">
        <v>172</v>
      </c>
      <c r="BI343" s="836" t="s">
        <v>131</v>
      </c>
      <c r="BJ343" s="775" t="s">
        <v>15</v>
      </c>
      <c r="BK343" s="775">
        <f t="shared" ref="BK343:BK353" si="25">BK354-BK332</f>
        <v>254.6</v>
      </c>
      <c r="BL343" s="775">
        <v>2007</v>
      </c>
      <c r="CL343" s="773"/>
      <c r="CM343" s="773"/>
      <c r="CN343" s="773"/>
      <c r="CO343" s="773"/>
      <c r="CP343" s="773"/>
      <c r="CQ343" s="773"/>
      <c r="CR343" s="773"/>
    </row>
    <row r="344" spans="35:96" ht="15.75">
      <c r="AI344" s="55"/>
      <c r="AJ344" s="55"/>
      <c r="AK344" s="55"/>
      <c r="AL344" s="55"/>
      <c r="AM344" s="55"/>
      <c r="AN344" s="55"/>
      <c r="AO344" s="55"/>
      <c r="AP344" s="55"/>
      <c r="AQ344" s="55"/>
      <c r="AR344" s="55"/>
      <c r="AS344" s="55"/>
      <c r="AT344" s="55"/>
      <c r="AU344" s="55"/>
      <c r="AV344" s="55"/>
      <c r="BA344" s="775" t="s">
        <v>172</v>
      </c>
      <c r="BB344" s="839">
        <v>2008</v>
      </c>
      <c r="BC344" s="775" t="s">
        <v>277</v>
      </c>
      <c r="BD344" s="775">
        <f t="shared" si="24"/>
        <v>93.3</v>
      </c>
      <c r="BH344" s="775" t="s">
        <v>172</v>
      </c>
      <c r="BI344" s="836" t="s">
        <v>131</v>
      </c>
      <c r="BJ344" s="775" t="s">
        <v>277</v>
      </c>
      <c r="BK344" s="775">
        <f t="shared" si="25"/>
        <v>130.19999999999999</v>
      </c>
      <c r="BL344" s="775">
        <v>2007</v>
      </c>
      <c r="CL344" s="773"/>
      <c r="CM344" s="773"/>
      <c r="CN344" s="773"/>
      <c r="CO344" s="773"/>
      <c r="CP344" s="773"/>
      <c r="CQ344" s="773"/>
      <c r="CR344" s="773"/>
    </row>
    <row r="345" spans="35:96" ht="15.75">
      <c r="AI345" s="55"/>
      <c r="AJ345" s="55"/>
      <c r="AK345" s="55"/>
      <c r="AL345" s="55"/>
      <c r="AM345" s="55"/>
      <c r="AN345" s="55"/>
      <c r="AO345" s="55"/>
      <c r="AP345" s="55"/>
      <c r="AQ345" s="55"/>
      <c r="AR345" s="55"/>
      <c r="AS345" s="55"/>
      <c r="AT345" s="55"/>
      <c r="AU345" s="55"/>
      <c r="AV345" s="55"/>
      <c r="BA345" s="775" t="s">
        <v>172</v>
      </c>
      <c r="BB345" s="839">
        <v>2008</v>
      </c>
      <c r="BC345" s="775" t="s">
        <v>1064</v>
      </c>
      <c r="BD345" s="775">
        <f t="shared" si="24"/>
        <v>20.800000000000011</v>
      </c>
      <c r="BH345" s="775" t="s">
        <v>172</v>
      </c>
      <c r="BI345" s="836" t="s">
        <v>131</v>
      </c>
      <c r="BJ345" s="775" t="s">
        <v>1064</v>
      </c>
      <c r="BK345" s="775">
        <f t="shared" si="25"/>
        <v>23.300000000000011</v>
      </c>
      <c r="BL345" s="775">
        <v>2007</v>
      </c>
      <c r="CL345" s="773"/>
      <c r="CM345" s="773"/>
      <c r="CN345" s="773"/>
      <c r="CO345" s="773"/>
      <c r="CP345" s="773"/>
      <c r="CQ345" s="773"/>
      <c r="CR345" s="773"/>
    </row>
    <row r="346" spans="35:96" ht="15.75">
      <c r="AI346" s="55"/>
      <c r="AJ346" s="55"/>
      <c r="AK346" s="55"/>
      <c r="AL346" s="55"/>
      <c r="AM346" s="55"/>
      <c r="AN346" s="55"/>
      <c r="AO346" s="55"/>
      <c r="AP346" s="55"/>
      <c r="AQ346" s="55"/>
      <c r="AR346" s="55"/>
      <c r="AS346" s="55"/>
      <c r="AT346" s="55"/>
      <c r="AU346" s="55"/>
      <c r="AV346" s="55"/>
      <c r="BA346" s="775" t="s">
        <v>172</v>
      </c>
      <c r="BB346" s="839">
        <v>2008</v>
      </c>
      <c r="BC346" s="775" t="s">
        <v>8</v>
      </c>
      <c r="BD346" s="775">
        <f t="shared" si="24"/>
        <v>240.8</v>
      </c>
      <c r="BH346" s="775" t="s">
        <v>172</v>
      </c>
      <c r="BI346" s="836" t="s">
        <v>131</v>
      </c>
      <c r="BJ346" s="775" t="s">
        <v>8</v>
      </c>
      <c r="BK346" s="775">
        <f t="shared" si="25"/>
        <v>244.7999999999999</v>
      </c>
      <c r="BL346" s="775">
        <v>2007</v>
      </c>
      <c r="CL346" s="773"/>
      <c r="CM346" s="773"/>
      <c r="CN346" s="773"/>
      <c r="CO346" s="773"/>
      <c r="CP346" s="773"/>
      <c r="CQ346" s="773"/>
      <c r="CR346" s="773"/>
    </row>
    <row r="347" spans="35:96" ht="15.75">
      <c r="AI347" s="55"/>
      <c r="AJ347" s="55"/>
      <c r="AK347" s="55"/>
      <c r="AL347" s="55"/>
      <c r="AM347" s="55"/>
      <c r="AN347" s="55"/>
      <c r="AO347" s="55"/>
      <c r="AP347" s="55"/>
      <c r="AQ347" s="55"/>
      <c r="AR347" s="55"/>
      <c r="AS347" s="55"/>
      <c r="AT347" s="55"/>
      <c r="AU347" s="55"/>
      <c r="AV347" s="55"/>
      <c r="BA347" s="775" t="s">
        <v>172</v>
      </c>
      <c r="BB347" s="839">
        <v>2008</v>
      </c>
      <c r="BC347" s="775" t="s">
        <v>96</v>
      </c>
      <c r="BD347" s="775">
        <f t="shared" si="24"/>
        <v>37</v>
      </c>
      <c r="BH347" s="775" t="s">
        <v>172</v>
      </c>
      <c r="BI347" s="836" t="s">
        <v>131</v>
      </c>
      <c r="BJ347" s="775" t="s">
        <v>96</v>
      </c>
      <c r="BK347" s="775">
        <f t="shared" si="25"/>
        <v>29.10000000000008</v>
      </c>
      <c r="BL347" s="775">
        <v>2007</v>
      </c>
      <c r="CL347" s="773"/>
      <c r="CM347" s="773"/>
      <c r="CN347" s="773"/>
      <c r="CO347" s="773"/>
      <c r="CP347" s="773"/>
      <c r="CQ347" s="773"/>
      <c r="CR347" s="773"/>
    </row>
    <row r="348" spans="35:96" ht="15.75">
      <c r="AI348" s="55"/>
      <c r="AJ348" s="55"/>
      <c r="AK348" s="55"/>
      <c r="AL348" s="55"/>
      <c r="AM348" s="55"/>
      <c r="AN348" s="55"/>
      <c r="AO348" s="55"/>
      <c r="AP348" s="55"/>
      <c r="AQ348" s="55"/>
      <c r="AR348" s="55"/>
      <c r="AS348" s="55"/>
      <c r="AT348" s="55"/>
      <c r="AU348" s="55"/>
      <c r="AV348" s="55"/>
      <c r="BA348" s="775" t="s">
        <v>172</v>
      </c>
      <c r="BB348" s="839">
        <v>2008</v>
      </c>
      <c r="BC348" s="775" t="s">
        <v>196</v>
      </c>
      <c r="BD348" s="775">
        <f t="shared" si="24"/>
        <v>23.200000000000003</v>
      </c>
      <c r="BH348" s="775" t="s">
        <v>172</v>
      </c>
      <c r="BI348" s="836" t="s">
        <v>131</v>
      </c>
      <c r="BJ348" s="775" t="s">
        <v>196</v>
      </c>
      <c r="BK348" s="775">
        <f t="shared" si="25"/>
        <v>22.3</v>
      </c>
      <c r="BL348" s="775">
        <v>2007</v>
      </c>
      <c r="CL348" s="773"/>
      <c r="CM348" s="773"/>
      <c r="CN348" s="773"/>
      <c r="CO348" s="773"/>
      <c r="CP348" s="773"/>
      <c r="CQ348" s="773"/>
      <c r="CR348" s="773"/>
    </row>
    <row r="349" spans="35:96" ht="15.75">
      <c r="AI349" s="55"/>
      <c r="AJ349" s="55"/>
      <c r="AK349" s="55"/>
      <c r="AL349" s="55"/>
      <c r="AM349" s="55"/>
      <c r="AN349" s="55"/>
      <c r="AO349" s="55"/>
      <c r="AP349" s="55"/>
      <c r="AQ349" s="55"/>
      <c r="AR349" s="55"/>
      <c r="AS349" s="55"/>
      <c r="AT349" s="55"/>
      <c r="AU349" s="55"/>
      <c r="AV349" s="55"/>
      <c r="BA349" s="775" t="s">
        <v>172</v>
      </c>
      <c r="BB349" s="839">
        <v>2008</v>
      </c>
      <c r="BC349" s="775" t="s">
        <v>278</v>
      </c>
      <c r="BD349" s="775">
        <f t="shared" si="24"/>
        <v>220.50000000000003</v>
      </c>
      <c r="BH349" s="775" t="s">
        <v>172</v>
      </c>
      <c r="BI349" s="836" t="s">
        <v>131</v>
      </c>
      <c r="BJ349" s="775" t="s">
        <v>278</v>
      </c>
      <c r="BK349" s="775">
        <f t="shared" si="25"/>
        <v>218.5</v>
      </c>
      <c r="BL349" s="775">
        <v>2007</v>
      </c>
      <c r="CL349" s="773"/>
      <c r="CM349" s="773"/>
      <c r="CN349" s="773"/>
      <c r="CO349" s="773"/>
      <c r="CP349" s="773"/>
      <c r="CQ349" s="773"/>
      <c r="CR349" s="773"/>
    </row>
    <row r="350" spans="35:96" ht="15.75">
      <c r="AI350" s="55"/>
      <c r="AJ350" s="55"/>
      <c r="AK350" s="55"/>
      <c r="AL350" s="55"/>
      <c r="AM350" s="55"/>
      <c r="AN350" s="55"/>
      <c r="AO350" s="55"/>
      <c r="AP350" s="55"/>
      <c r="AQ350" s="55"/>
      <c r="AR350" s="55"/>
      <c r="AS350" s="55"/>
      <c r="AT350" s="55"/>
      <c r="AU350" s="55"/>
      <c r="AV350" s="55"/>
      <c r="BA350" s="775" t="s">
        <v>172</v>
      </c>
      <c r="BB350" s="839">
        <v>2008</v>
      </c>
      <c r="BC350" s="775" t="s">
        <v>44</v>
      </c>
      <c r="BD350" s="775">
        <f t="shared" si="24"/>
        <v>271.8</v>
      </c>
      <c r="BH350" s="775" t="s">
        <v>172</v>
      </c>
      <c r="BI350" s="836" t="s">
        <v>131</v>
      </c>
      <c r="BJ350" s="775" t="s">
        <v>44</v>
      </c>
      <c r="BK350" s="775">
        <f t="shared" si="25"/>
        <v>234.8</v>
      </c>
      <c r="BL350" s="775">
        <v>2007</v>
      </c>
      <c r="CL350" s="773"/>
      <c r="CM350" s="773"/>
      <c r="CN350" s="773"/>
      <c r="CO350" s="773"/>
      <c r="CP350" s="773"/>
      <c r="CQ350" s="773"/>
      <c r="CR350" s="773"/>
    </row>
    <row r="351" spans="35:96" ht="15.75">
      <c r="AI351" s="55"/>
      <c r="AJ351" s="55"/>
      <c r="AK351" s="55"/>
      <c r="AL351" s="55"/>
      <c r="AM351" s="55"/>
      <c r="AN351" s="55"/>
      <c r="AO351" s="55"/>
      <c r="AP351" s="55"/>
      <c r="AQ351" s="55"/>
      <c r="AR351" s="55"/>
      <c r="AS351" s="55"/>
      <c r="AT351" s="55"/>
      <c r="AU351" s="55"/>
      <c r="AV351" s="55"/>
      <c r="BA351" s="775" t="s">
        <v>172</v>
      </c>
      <c r="BB351" s="839">
        <v>2008</v>
      </c>
      <c r="BC351" s="775" t="s">
        <v>45</v>
      </c>
      <c r="BD351" s="775">
        <f t="shared" si="24"/>
        <v>12.799999999999997</v>
      </c>
      <c r="BH351" s="775" t="s">
        <v>172</v>
      </c>
      <c r="BI351" s="836" t="s">
        <v>131</v>
      </c>
      <c r="BJ351" s="775" t="s">
        <v>45</v>
      </c>
      <c r="BK351" s="775">
        <f t="shared" si="25"/>
        <v>18.5</v>
      </c>
      <c r="BL351" s="775">
        <v>2007</v>
      </c>
      <c r="CL351" s="773"/>
      <c r="CM351" s="773"/>
      <c r="CN351" s="773"/>
      <c r="CO351" s="773"/>
      <c r="CP351" s="773"/>
      <c r="CQ351" s="773"/>
      <c r="CR351" s="773"/>
    </row>
    <row r="352" spans="35:96" ht="15.75">
      <c r="AI352" s="55"/>
      <c r="AJ352" s="55"/>
      <c r="AK352" s="55"/>
      <c r="AL352" s="55"/>
      <c r="AM352" s="55"/>
      <c r="AN352" s="55"/>
      <c r="AO352" s="55"/>
      <c r="AP352" s="55"/>
      <c r="AQ352" s="55"/>
      <c r="AR352" s="55"/>
      <c r="AS352" s="55"/>
      <c r="AT352" s="55"/>
      <c r="AU352" s="55"/>
      <c r="AV352" s="55"/>
      <c r="BA352" s="775" t="s">
        <v>172</v>
      </c>
      <c r="BB352" s="839">
        <v>2008</v>
      </c>
      <c r="BC352" s="775" t="s">
        <v>48</v>
      </c>
      <c r="BD352" s="775">
        <f t="shared" si="24"/>
        <v>69.999999999999972</v>
      </c>
      <c r="BH352" s="775" t="s">
        <v>172</v>
      </c>
      <c r="BI352" s="836" t="s">
        <v>131</v>
      </c>
      <c r="BJ352" s="775" t="s">
        <v>48</v>
      </c>
      <c r="BK352" s="775">
        <f t="shared" si="25"/>
        <v>50.100000000000009</v>
      </c>
      <c r="BL352" s="775">
        <v>2007</v>
      </c>
      <c r="CL352" s="773"/>
      <c r="CM352" s="773"/>
      <c r="CN352" s="773"/>
      <c r="CO352" s="773"/>
      <c r="CP352" s="773"/>
      <c r="CQ352" s="773"/>
      <c r="CR352" s="773"/>
    </row>
    <row r="353" spans="35:96" ht="15.75">
      <c r="AI353" s="55"/>
      <c r="AJ353" s="55"/>
      <c r="AK353" s="55"/>
      <c r="AL353" s="55"/>
      <c r="AM353" s="55"/>
      <c r="AN353" s="55"/>
      <c r="AO353" s="55"/>
      <c r="AP353" s="55"/>
      <c r="AQ353" s="55"/>
      <c r="AR353" s="55"/>
      <c r="AS353" s="55"/>
      <c r="AT353" s="55"/>
      <c r="AU353" s="55"/>
      <c r="AV353" s="55"/>
      <c r="BA353" s="775" t="s">
        <v>172</v>
      </c>
      <c r="BB353" s="839">
        <v>2008</v>
      </c>
      <c r="BC353" s="775" t="s">
        <v>97</v>
      </c>
      <c r="BD353" s="775">
        <f t="shared" si="24"/>
        <v>1207.9000000000003</v>
      </c>
      <c r="BH353" s="775" t="s">
        <v>172</v>
      </c>
      <c r="BI353" s="836" t="s">
        <v>131</v>
      </c>
      <c r="BJ353" s="775" t="s">
        <v>97</v>
      </c>
      <c r="BK353" s="775">
        <f t="shared" si="25"/>
        <v>1201.7</v>
      </c>
      <c r="BL353" s="775">
        <v>2007</v>
      </c>
      <c r="CL353" s="773"/>
      <c r="CM353" s="773"/>
      <c r="CN353" s="773"/>
      <c r="CO353" s="773"/>
      <c r="CP353" s="773"/>
      <c r="CQ353" s="773"/>
      <c r="CR353" s="773"/>
    </row>
    <row r="354" spans="35:96" ht="15.75">
      <c r="AI354" s="55"/>
      <c r="AJ354" s="55"/>
      <c r="AK354" s="55"/>
      <c r="AL354" s="55"/>
      <c r="AM354" s="55"/>
      <c r="AN354" s="55"/>
      <c r="AO354" s="55"/>
      <c r="AP354" s="55"/>
      <c r="AQ354" s="55"/>
      <c r="AR354" s="55"/>
      <c r="AS354" s="55"/>
      <c r="AT354" s="55"/>
      <c r="AU354" s="55"/>
      <c r="AV354" s="55"/>
      <c r="BA354" s="775" t="s">
        <v>170</v>
      </c>
      <c r="BB354" s="839">
        <v>2008</v>
      </c>
      <c r="BC354" s="775" t="s">
        <v>15</v>
      </c>
      <c r="BD354" s="775">
        <v>293</v>
      </c>
      <c r="BH354" s="775" t="s">
        <v>170</v>
      </c>
      <c r="BI354" s="836" t="s">
        <v>131</v>
      </c>
      <c r="BJ354" s="775" t="s">
        <v>15</v>
      </c>
      <c r="BK354" s="838">
        <v>293.5</v>
      </c>
      <c r="BL354" s="775">
        <v>2007</v>
      </c>
      <c r="CL354" s="773"/>
      <c r="CM354" s="773"/>
      <c r="CN354" s="773"/>
      <c r="CO354" s="773"/>
      <c r="CP354" s="773"/>
      <c r="CQ354" s="773"/>
      <c r="CR354" s="773"/>
    </row>
    <row r="355" spans="35:96" ht="15.75">
      <c r="AI355" s="55"/>
      <c r="AJ355" s="55"/>
      <c r="AK355" s="55"/>
      <c r="AL355" s="55"/>
      <c r="AM355" s="55"/>
      <c r="AN355" s="55"/>
      <c r="AO355" s="55"/>
      <c r="AP355" s="55"/>
      <c r="AQ355" s="55"/>
      <c r="AR355" s="55"/>
      <c r="AS355" s="55"/>
      <c r="AT355" s="55"/>
      <c r="AU355" s="55"/>
      <c r="AV355" s="55"/>
      <c r="BA355" s="775" t="s">
        <v>170</v>
      </c>
      <c r="BB355" s="839">
        <v>2008</v>
      </c>
      <c r="BC355" s="775" t="s">
        <v>277</v>
      </c>
      <c r="BD355" s="775">
        <v>133.1</v>
      </c>
      <c r="BH355" s="775" t="s">
        <v>170</v>
      </c>
      <c r="BI355" s="836" t="s">
        <v>131</v>
      </c>
      <c r="BJ355" s="775" t="s">
        <v>277</v>
      </c>
      <c r="BK355" s="838">
        <v>186.5</v>
      </c>
      <c r="BL355" s="775">
        <v>2007</v>
      </c>
      <c r="CL355" s="773"/>
      <c r="CM355" s="773"/>
      <c r="CN355" s="773"/>
      <c r="CO355" s="773"/>
      <c r="CP355" s="773"/>
      <c r="CQ355" s="773"/>
      <c r="CR355" s="773"/>
    </row>
    <row r="356" spans="35:96" ht="15.75">
      <c r="AI356" s="55"/>
      <c r="AJ356" s="55"/>
      <c r="AK356" s="55"/>
      <c r="AL356" s="55"/>
      <c r="AM356" s="55"/>
      <c r="AN356" s="55"/>
      <c r="AO356" s="55"/>
      <c r="AP356" s="55"/>
      <c r="AQ356" s="55"/>
      <c r="AR356" s="55"/>
      <c r="AS356" s="55"/>
      <c r="AT356" s="55"/>
      <c r="AU356" s="55"/>
      <c r="AV356" s="55"/>
      <c r="BA356" s="775" t="s">
        <v>170</v>
      </c>
      <c r="BB356" s="839">
        <v>2008</v>
      </c>
      <c r="BC356" s="775" t="s">
        <v>1064</v>
      </c>
      <c r="BD356" s="775">
        <v>324</v>
      </c>
      <c r="BH356" s="775" t="s">
        <v>170</v>
      </c>
      <c r="BI356" s="836" t="s">
        <v>131</v>
      </c>
      <c r="BJ356" s="775" t="s">
        <v>1064</v>
      </c>
      <c r="BK356" s="838">
        <v>303.2</v>
      </c>
      <c r="BL356" s="775">
        <v>2007</v>
      </c>
      <c r="CL356" s="773"/>
      <c r="CM356" s="773"/>
      <c r="CN356" s="773"/>
      <c r="CO356" s="773"/>
      <c r="CP356" s="773"/>
      <c r="CQ356" s="773"/>
      <c r="CR356" s="773"/>
    </row>
    <row r="357" spans="35:96" ht="15.75">
      <c r="AI357" s="55"/>
      <c r="AJ357" s="55"/>
      <c r="AK357" s="55"/>
      <c r="AL357" s="55"/>
      <c r="AM357" s="55"/>
      <c r="AN357" s="55"/>
      <c r="AO357" s="55"/>
      <c r="AP357" s="55"/>
      <c r="AQ357" s="55"/>
      <c r="AR357" s="55"/>
      <c r="AS357" s="55"/>
      <c r="AT357" s="55"/>
      <c r="AU357" s="55"/>
      <c r="AV357" s="55"/>
      <c r="BA357" s="775" t="s">
        <v>170</v>
      </c>
      <c r="BB357" s="839">
        <v>2008</v>
      </c>
      <c r="BC357" s="775" t="s">
        <v>8</v>
      </c>
      <c r="BD357" s="775">
        <v>569.9</v>
      </c>
      <c r="BH357" s="775" t="s">
        <v>170</v>
      </c>
      <c r="BI357" s="836" t="s">
        <v>131</v>
      </c>
      <c r="BJ357" s="775" t="s">
        <v>8</v>
      </c>
      <c r="BK357" s="838">
        <v>592.59999999999991</v>
      </c>
      <c r="BL357" s="775">
        <v>2007</v>
      </c>
      <c r="CL357" s="773"/>
      <c r="CM357" s="773"/>
      <c r="CN357" s="773"/>
      <c r="CO357" s="773"/>
      <c r="CP357" s="773"/>
      <c r="CQ357" s="773"/>
      <c r="CR357" s="773"/>
    </row>
    <row r="358" spans="35:96" ht="15.75">
      <c r="AI358" s="55"/>
      <c r="AJ358" s="55"/>
      <c r="AK358" s="55"/>
      <c r="AL358" s="55"/>
      <c r="AM358" s="55"/>
      <c r="AN358" s="55"/>
      <c r="AO358" s="55"/>
      <c r="AP358" s="55"/>
      <c r="AQ358" s="55"/>
      <c r="AR358" s="55"/>
      <c r="AS358" s="55"/>
      <c r="AT358" s="55"/>
      <c r="AU358" s="55"/>
      <c r="AV358" s="55"/>
      <c r="BA358" s="775" t="s">
        <v>170</v>
      </c>
      <c r="BB358" s="839">
        <v>2008</v>
      </c>
      <c r="BC358" s="775" t="s">
        <v>96</v>
      </c>
      <c r="BD358" s="775">
        <v>583</v>
      </c>
      <c r="BH358" s="775" t="s">
        <v>170</v>
      </c>
      <c r="BI358" s="836" t="s">
        <v>131</v>
      </c>
      <c r="BJ358" s="775" t="s">
        <v>96</v>
      </c>
      <c r="BK358" s="838">
        <v>449.80000000000007</v>
      </c>
      <c r="BL358" s="775">
        <v>2007</v>
      </c>
      <c r="CL358" s="773"/>
      <c r="CM358" s="773"/>
      <c r="CN358" s="773"/>
      <c r="CO358" s="773"/>
      <c r="CP358" s="773"/>
      <c r="CQ358" s="773"/>
      <c r="CR358" s="773"/>
    </row>
    <row r="359" spans="35:96" ht="15.75">
      <c r="AI359" s="55"/>
      <c r="AJ359" s="55"/>
      <c r="AK359" s="55"/>
      <c r="AL359" s="55"/>
      <c r="AM359" s="55"/>
      <c r="AN359" s="55"/>
      <c r="AO359" s="55"/>
      <c r="AP359" s="55"/>
      <c r="AQ359" s="55"/>
      <c r="AR359" s="55"/>
      <c r="AS359" s="55"/>
      <c r="AT359" s="55"/>
      <c r="AU359" s="55"/>
      <c r="AV359" s="55"/>
      <c r="BA359" s="775" t="s">
        <v>170</v>
      </c>
      <c r="BB359" s="839">
        <v>2008</v>
      </c>
      <c r="BC359" s="775" t="s">
        <v>196</v>
      </c>
      <c r="BD359" s="775">
        <v>37.5</v>
      </c>
      <c r="BH359" s="775" t="s">
        <v>170</v>
      </c>
      <c r="BI359" s="836" t="s">
        <v>131</v>
      </c>
      <c r="BJ359" s="775" t="s">
        <v>196</v>
      </c>
      <c r="BK359" s="838">
        <v>37</v>
      </c>
      <c r="BL359" s="775">
        <v>2007</v>
      </c>
      <c r="CL359" s="773"/>
      <c r="CM359" s="773"/>
      <c r="CN359" s="773"/>
      <c r="CO359" s="773"/>
      <c r="CP359" s="773"/>
      <c r="CQ359" s="773"/>
      <c r="CR359" s="773"/>
    </row>
    <row r="360" spans="35:96" ht="15.75">
      <c r="AI360" s="55"/>
      <c r="AJ360" s="55"/>
      <c r="AK360" s="55"/>
      <c r="AL360" s="55"/>
      <c r="AM360" s="55"/>
      <c r="AN360" s="55"/>
      <c r="AO360" s="55"/>
      <c r="AP360" s="55"/>
      <c r="AQ360" s="55"/>
      <c r="AR360" s="55"/>
      <c r="AS360" s="55"/>
      <c r="AT360" s="55"/>
      <c r="AU360" s="55"/>
      <c r="AV360" s="55"/>
      <c r="BA360" s="775" t="s">
        <v>170</v>
      </c>
      <c r="BB360" s="839">
        <v>2008</v>
      </c>
      <c r="BC360" s="775" t="s">
        <v>278</v>
      </c>
      <c r="BD360" s="775">
        <v>220.50000000000003</v>
      </c>
      <c r="BH360" s="775" t="s">
        <v>170</v>
      </c>
      <c r="BI360" s="836" t="s">
        <v>131</v>
      </c>
      <c r="BJ360" s="775" t="s">
        <v>278</v>
      </c>
      <c r="BK360" s="838">
        <v>231.5</v>
      </c>
      <c r="BL360" s="775">
        <v>2007</v>
      </c>
      <c r="CL360" s="773"/>
      <c r="CM360" s="773"/>
      <c r="CN360" s="773"/>
      <c r="CO360" s="773"/>
      <c r="CP360" s="773"/>
      <c r="CQ360" s="773"/>
      <c r="CR360" s="773"/>
    </row>
    <row r="361" spans="35:96" ht="15.75">
      <c r="AI361" s="55"/>
      <c r="AJ361" s="55"/>
      <c r="AK361" s="55"/>
      <c r="AL361" s="55"/>
      <c r="AM361" s="55"/>
      <c r="AN361" s="55"/>
      <c r="AO361" s="55"/>
      <c r="AP361" s="55"/>
      <c r="AQ361" s="55"/>
      <c r="AR361" s="55"/>
      <c r="AS361" s="55"/>
      <c r="AT361" s="55"/>
      <c r="AU361" s="55"/>
      <c r="AV361" s="55"/>
      <c r="BA361" s="775" t="s">
        <v>170</v>
      </c>
      <c r="BB361" s="839">
        <v>2008</v>
      </c>
      <c r="BC361" s="775" t="s">
        <v>44</v>
      </c>
      <c r="BD361" s="775">
        <v>276.3</v>
      </c>
      <c r="BH361" s="775" t="s">
        <v>170</v>
      </c>
      <c r="BI361" s="836" t="s">
        <v>131</v>
      </c>
      <c r="BJ361" s="775" t="s">
        <v>44</v>
      </c>
      <c r="BK361" s="838">
        <v>234.8</v>
      </c>
      <c r="BL361" s="775">
        <v>2007</v>
      </c>
      <c r="CL361" s="773"/>
      <c r="CM361" s="773"/>
      <c r="CN361" s="773"/>
      <c r="CO361" s="773"/>
      <c r="CP361" s="773"/>
      <c r="CQ361" s="773"/>
      <c r="CR361" s="773"/>
    </row>
    <row r="362" spans="35:96" ht="15.75">
      <c r="AI362" s="55"/>
      <c r="AJ362" s="55"/>
      <c r="AK362" s="55"/>
      <c r="AL362" s="55"/>
      <c r="AM362" s="55"/>
      <c r="AN362" s="55"/>
      <c r="AO362" s="55"/>
      <c r="AP362" s="55"/>
      <c r="AQ362" s="55"/>
      <c r="AR362" s="55"/>
      <c r="AS362" s="55"/>
      <c r="AT362" s="55"/>
      <c r="AU362" s="55"/>
      <c r="AV362" s="55"/>
      <c r="BA362" s="775" t="s">
        <v>170</v>
      </c>
      <c r="BB362" s="839">
        <v>2008</v>
      </c>
      <c r="BC362" s="775" t="s">
        <v>45</v>
      </c>
      <c r="BD362" s="775">
        <v>17.299999999999997</v>
      </c>
      <c r="BH362" s="775" t="s">
        <v>170</v>
      </c>
      <c r="BI362" s="836" t="s">
        <v>131</v>
      </c>
      <c r="BJ362" s="775" t="s">
        <v>45</v>
      </c>
      <c r="BK362" s="838">
        <v>21.7</v>
      </c>
      <c r="BL362" s="775">
        <v>2007</v>
      </c>
      <c r="CL362" s="773"/>
      <c r="CM362" s="773"/>
      <c r="CN362" s="773"/>
      <c r="CO362" s="773"/>
      <c r="CP362" s="773"/>
      <c r="CQ362" s="773"/>
      <c r="CR362" s="773"/>
    </row>
    <row r="363" spans="35:96" ht="15.75">
      <c r="AI363" s="55"/>
      <c r="AJ363" s="55"/>
      <c r="AK363" s="55"/>
      <c r="AL363" s="55"/>
      <c r="AM363" s="55"/>
      <c r="AN363" s="55"/>
      <c r="AO363" s="55"/>
      <c r="AP363" s="55"/>
      <c r="AQ363" s="55"/>
      <c r="AR363" s="55"/>
      <c r="AS363" s="55"/>
      <c r="AT363" s="55"/>
      <c r="AU363" s="55"/>
      <c r="AV363" s="55"/>
      <c r="BA363" s="775" t="s">
        <v>170</v>
      </c>
      <c r="BB363" s="839">
        <v>2008</v>
      </c>
      <c r="BC363" s="775" t="s">
        <v>48</v>
      </c>
      <c r="BD363" s="775">
        <v>153.39999999999998</v>
      </c>
      <c r="BH363" s="775" t="s">
        <v>170</v>
      </c>
      <c r="BI363" s="836" t="s">
        <v>131</v>
      </c>
      <c r="BJ363" s="775" t="s">
        <v>48</v>
      </c>
      <c r="BK363" s="838">
        <v>110.30000000000001</v>
      </c>
      <c r="BL363" s="775">
        <v>2007</v>
      </c>
      <c r="CL363" s="773"/>
      <c r="CM363" s="773"/>
      <c r="CN363" s="773"/>
      <c r="CO363" s="773"/>
      <c r="CP363" s="773"/>
      <c r="CQ363" s="773"/>
      <c r="CR363" s="773"/>
    </row>
    <row r="364" spans="35:96" ht="15.75">
      <c r="AI364" s="55"/>
      <c r="AJ364" s="55"/>
      <c r="AK364" s="55"/>
      <c r="AL364" s="55"/>
      <c r="AM364" s="55"/>
      <c r="AN364" s="55"/>
      <c r="AO364" s="55"/>
      <c r="AP364" s="55"/>
      <c r="AQ364" s="55"/>
      <c r="AR364" s="55"/>
      <c r="AS364" s="55"/>
      <c r="AT364" s="55"/>
      <c r="AU364" s="55"/>
      <c r="AV364" s="55"/>
      <c r="BA364" s="775" t="s">
        <v>170</v>
      </c>
      <c r="BB364" s="839">
        <v>2008</v>
      </c>
      <c r="BC364" s="775" t="s">
        <v>97</v>
      </c>
      <c r="BD364" s="775">
        <v>2608.3000000000002</v>
      </c>
      <c r="BH364" s="775" t="s">
        <v>170</v>
      </c>
      <c r="BI364" s="836" t="s">
        <v>131</v>
      </c>
      <c r="BJ364" s="775" t="s">
        <v>97</v>
      </c>
      <c r="BK364" s="838">
        <v>2461.4</v>
      </c>
      <c r="BL364" s="775">
        <v>2007</v>
      </c>
      <c r="CL364" s="773"/>
      <c r="CM364" s="773"/>
      <c r="CN364" s="773"/>
      <c r="CO364" s="773"/>
      <c r="CP364" s="773"/>
      <c r="CQ364" s="773"/>
      <c r="CR364" s="773"/>
    </row>
    <row r="365" spans="35:96" ht="15.75">
      <c r="AI365" s="55"/>
      <c r="AJ365" s="55"/>
      <c r="AK365" s="55"/>
      <c r="AL365" s="55"/>
      <c r="AM365" s="55"/>
      <c r="AN365" s="55"/>
      <c r="AO365" s="55"/>
      <c r="AP365" s="55"/>
      <c r="AQ365" s="55"/>
      <c r="AR365" s="55"/>
      <c r="AS365" s="55"/>
      <c r="AT365" s="55"/>
      <c r="AU365" s="55"/>
      <c r="AV365" s="55"/>
      <c r="BA365" s="775" t="s">
        <v>38</v>
      </c>
      <c r="BB365" s="839">
        <v>2009</v>
      </c>
      <c r="BC365" s="775" t="s">
        <v>15</v>
      </c>
      <c r="BD365" s="840">
        <v>29.900000000000002</v>
      </c>
      <c r="BH365" s="775" t="s">
        <v>38</v>
      </c>
      <c r="BI365" s="836" t="s">
        <v>132</v>
      </c>
      <c r="BJ365" s="775" t="s">
        <v>15</v>
      </c>
      <c r="BK365" s="776">
        <v>28.099999999999998</v>
      </c>
      <c r="BL365" s="775">
        <v>2008</v>
      </c>
      <c r="CL365" s="773"/>
      <c r="CM365" s="773"/>
      <c r="CN365" s="773"/>
      <c r="CO365" s="773"/>
      <c r="CP365" s="773"/>
      <c r="CQ365" s="773"/>
      <c r="CR365" s="773"/>
    </row>
    <row r="366" spans="35:96" ht="15.75">
      <c r="AI366" s="55"/>
      <c r="AJ366" s="55"/>
      <c r="AK366" s="55"/>
      <c r="AL366" s="55"/>
      <c r="AM366" s="55"/>
      <c r="AN366" s="55"/>
      <c r="AO366" s="55"/>
      <c r="AP366" s="55"/>
      <c r="AQ366" s="55"/>
      <c r="AR366" s="55"/>
      <c r="AS366" s="55"/>
      <c r="AT366" s="55"/>
      <c r="AU366" s="55"/>
      <c r="AV366" s="55"/>
      <c r="BA366" s="775" t="s">
        <v>38</v>
      </c>
      <c r="BB366" s="839">
        <v>2009</v>
      </c>
      <c r="BC366" s="775" t="s">
        <v>277</v>
      </c>
      <c r="BD366" s="840">
        <v>13.100000000000001</v>
      </c>
      <c r="BH366" s="775" t="s">
        <v>38</v>
      </c>
      <c r="BI366" s="836" t="s">
        <v>132</v>
      </c>
      <c r="BJ366" s="775" t="s">
        <v>277</v>
      </c>
      <c r="BK366" s="776">
        <v>24.6</v>
      </c>
      <c r="BL366" s="775">
        <v>2008</v>
      </c>
      <c r="CL366" s="773"/>
      <c r="CM366" s="773"/>
      <c r="CN366" s="773"/>
      <c r="CO366" s="773"/>
      <c r="CP366" s="773"/>
      <c r="CQ366" s="773"/>
      <c r="CR366" s="773"/>
    </row>
    <row r="367" spans="35:96" ht="15.75">
      <c r="AI367" s="55"/>
      <c r="AJ367" s="55"/>
      <c r="AK367" s="55"/>
      <c r="AL367" s="55"/>
      <c r="AM367" s="55"/>
      <c r="AN367" s="55"/>
      <c r="AO367" s="55"/>
      <c r="AP367" s="55"/>
      <c r="AQ367" s="55"/>
      <c r="AR367" s="55"/>
      <c r="AS367" s="55"/>
      <c r="AT367" s="55"/>
      <c r="AU367" s="55"/>
      <c r="AV367" s="55"/>
      <c r="BA367" s="775" t="s">
        <v>38</v>
      </c>
      <c r="BB367" s="839">
        <v>2009</v>
      </c>
      <c r="BC367" s="775" t="s">
        <v>1064</v>
      </c>
      <c r="BD367" s="840">
        <v>176.79999999999998</v>
      </c>
      <c r="BH367" s="775" t="s">
        <v>38</v>
      </c>
      <c r="BI367" s="836" t="s">
        <v>132</v>
      </c>
      <c r="BJ367" s="775" t="s">
        <v>1064</v>
      </c>
      <c r="BK367" s="776">
        <v>246.7</v>
      </c>
      <c r="BL367" s="775">
        <v>2008</v>
      </c>
      <c r="CL367" s="773"/>
      <c r="CM367" s="773"/>
      <c r="CN367" s="773"/>
      <c r="CO367" s="773"/>
      <c r="CP367" s="773"/>
      <c r="CQ367" s="773"/>
      <c r="CR367" s="773"/>
    </row>
    <row r="368" spans="35:96" ht="15.75">
      <c r="AI368" s="55"/>
      <c r="AJ368" s="55"/>
      <c r="AK368" s="55"/>
      <c r="AL368" s="55"/>
      <c r="AM368" s="55"/>
      <c r="AN368" s="55"/>
      <c r="AO368" s="55"/>
      <c r="AP368" s="55"/>
      <c r="AQ368" s="55"/>
      <c r="AR368" s="55"/>
      <c r="AS368" s="55"/>
      <c r="AT368" s="55"/>
      <c r="AU368" s="55"/>
      <c r="AV368" s="55"/>
      <c r="BA368" s="775" t="s">
        <v>38</v>
      </c>
      <c r="BB368" s="839">
        <v>2009</v>
      </c>
      <c r="BC368" s="775" t="s">
        <v>8</v>
      </c>
      <c r="BD368" s="840">
        <v>276.8</v>
      </c>
      <c r="BH368" s="775" t="s">
        <v>38</v>
      </c>
      <c r="BI368" s="836" t="s">
        <v>132</v>
      </c>
      <c r="BJ368" s="775" t="s">
        <v>8</v>
      </c>
      <c r="BK368" s="776">
        <v>262.70000000000005</v>
      </c>
      <c r="BL368" s="775">
        <v>2008</v>
      </c>
      <c r="CL368" s="773"/>
      <c r="CM368" s="773"/>
      <c r="CN368" s="773"/>
      <c r="CO368" s="773"/>
      <c r="CP368" s="773"/>
      <c r="CQ368" s="773"/>
      <c r="CR368" s="773"/>
    </row>
    <row r="369" spans="35:96" ht="15.75">
      <c r="AI369" s="55"/>
      <c r="AJ369" s="55"/>
      <c r="AK369" s="55"/>
      <c r="AL369" s="55"/>
      <c r="AM369" s="55"/>
      <c r="AN369" s="55"/>
      <c r="AO369" s="55"/>
      <c r="AP369" s="55"/>
      <c r="AQ369" s="55"/>
      <c r="AR369" s="55"/>
      <c r="AS369" s="55"/>
      <c r="AT369" s="55"/>
      <c r="AU369" s="55"/>
      <c r="AV369" s="55"/>
      <c r="BA369" s="775" t="s">
        <v>38</v>
      </c>
      <c r="BB369" s="839">
        <v>2009</v>
      </c>
      <c r="BC369" s="775" t="s">
        <v>96</v>
      </c>
      <c r="BD369" s="840">
        <v>500.3</v>
      </c>
      <c r="BH369" s="775" t="s">
        <v>38</v>
      </c>
      <c r="BI369" s="836" t="s">
        <v>132</v>
      </c>
      <c r="BJ369" s="775" t="s">
        <v>96</v>
      </c>
      <c r="BK369" s="776">
        <v>558.70000000000005</v>
      </c>
      <c r="BL369" s="775">
        <v>2008</v>
      </c>
      <c r="CL369" s="773"/>
      <c r="CM369" s="773"/>
      <c r="CN369" s="773"/>
      <c r="CO369" s="773"/>
      <c r="CP369" s="773"/>
      <c r="CQ369" s="773"/>
      <c r="CR369" s="773"/>
    </row>
    <row r="370" spans="35:96" ht="15.75">
      <c r="AI370" s="55"/>
      <c r="AJ370" s="55"/>
      <c r="AK370" s="55"/>
      <c r="AL370" s="55"/>
      <c r="AM370" s="55"/>
      <c r="AN370" s="55"/>
      <c r="AO370" s="55"/>
      <c r="AP370" s="55"/>
      <c r="AQ370" s="55"/>
      <c r="AR370" s="55"/>
      <c r="AS370" s="55"/>
      <c r="AT370" s="55"/>
      <c r="AU370" s="55"/>
      <c r="AV370" s="55"/>
      <c r="BA370" s="775" t="s">
        <v>38</v>
      </c>
      <c r="BB370" s="839">
        <v>2009</v>
      </c>
      <c r="BC370" s="775" t="s">
        <v>196</v>
      </c>
      <c r="BD370" s="840">
        <v>10</v>
      </c>
      <c r="BH370" s="775" t="s">
        <v>38</v>
      </c>
      <c r="BI370" s="836" t="s">
        <v>132</v>
      </c>
      <c r="BJ370" s="775" t="s">
        <v>196</v>
      </c>
      <c r="BK370" s="776">
        <v>13</v>
      </c>
      <c r="BL370" s="775">
        <v>2008</v>
      </c>
      <c r="CL370" s="773"/>
      <c r="CM370" s="773"/>
      <c r="CN370" s="773"/>
      <c r="CO370" s="773"/>
      <c r="CP370" s="773"/>
      <c r="CQ370" s="773"/>
      <c r="CR370" s="773"/>
    </row>
    <row r="371" spans="35:96" ht="15.75">
      <c r="AI371" s="55"/>
      <c r="AJ371" s="55"/>
      <c r="AK371" s="55"/>
      <c r="AL371" s="55"/>
      <c r="AM371" s="55"/>
      <c r="AN371" s="55"/>
      <c r="AO371" s="55"/>
      <c r="AP371" s="55"/>
      <c r="AQ371" s="55"/>
      <c r="AR371" s="55"/>
      <c r="AS371" s="55"/>
      <c r="AT371" s="55"/>
      <c r="AU371" s="55"/>
      <c r="AV371" s="55"/>
      <c r="BA371" s="775" t="s">
        <v>38</v>
      </c>
      <c r="BB371" s="839">
        <v>2009</v>
      </c>
      <c r="BC371" s="775" t="s">
        <v>278</v>
      </c>
      <c r="BD371" s="840">
        <v>44.8</v>
      </c>
      <c r="BH371" s="775" t="s">
        <v>38</v>
      </c>
      <c r="BI371" s="836" t="s">
        <v>132</v>
      </c>
      <c r="BJ371" s="775" t="s">
        <v>278</v>
      </c>
      <c r="BK371" s="776">
        <v>15.5</v>
      </c>
      <c r="BL371" s="775">
        <v>2008</v>
      </c>
      <c r="CL371" s="773"/>
      <c r="CM371" s="773"/>
      <c r="CN371" s="773"/>
      <c r="CO371" s="773"/>
      <c r="CP371" s="773"/>
      <c r="CQ371" s="773"/>
      <c r="CR371" s="773"/>
    </row>
    <row r="372" spans="35:96" ht="15.75">
      <c r="AI372" s="55"/>
      <c r="AJ372" s="55"/>
      <c r="AK372" s="55"/>
      <c r="AL372" s="55"/>
      <c r="AM372" s="55"/>
      <c r="AN372" s="55"/>
      <c r="AO372" s="55"/>
      <c r="AP372" s="55"/>
      <c r="AQ372" s="55"/>
      <c r="AR372" s="55"/>
      <c r="AS372" s="55"/>
      <c r="AT372" s="55"/>
      <c r="AU372" s="55"/>
      <c r="AV372" s="55"/>
      <c r="BA372" s="775" t="s">
        <v>38</v>
      </c>
      <c r="BB372" s="839">
        <v>2009</v>
      </c>
      <c r="BC372" s="775" t="s">
        <v>44</v>
      </c>
      <c r="BD372" s="840">
        <v>0</v>
      </c>
      <c r="BH372" s="775" t="s">
        <v>38</v>
      </c>
      <c r="BI372" s="836" t="s">
        <v>132</v>
      </c>
      <c r="BJ372" s="775" t="s">
        <v>44</v>
      </c>
      <c r="BK372" s="776">
        <v>4.5</v>
      </c>
      <c r="BL372" s="775">
        <v>2008</v>
      </c>
      <c r="CL372" s="773"/>
      <c r="CM372" s="773"/>
      <c r="CN372" s="773"/>
      <c r="CO372" s="773"/>
      <c r="CP372" s="773"/>
      <c r="CQ372" s="773"/>
      <c r="CR372" s="773"/>
    </row>
    <row r="373" spans="35:96" ht="15.75">
      <c r="AI373" s="55"/>
      <c r="AJ373" s="55"/>
      <c r="AK373" s="55"/>
      <c r="AL373" s="55"/>
      <c r="AM373" s="55"/>
      <c r="AN373" s="55"/>
      <c r="AO373" s="55"/>
      <c r="AP373" s="55"/>
      <c r="AQ373" s="55"/>
      <c r="AR373" s="55"/>
      <c r="AS373" s="55"/>
      <c r="AT373" s="55"/>
      <c r="AU373" s="55"/>
      <c r="AV373" s="55"/>
      <c r="BA373" s="775" t="s">
        <v>38</v>
      </c>
      <c r="BB373" s="839">
        <v>2009</v>
      </c>
      <c r="BC373" s="775" t="s">
        <v>45</v>
      </c>
      <c r="BD373" s="841">
        <v>0.1</v>
      </c>
      <c r="BH373" s="775" t="s">
        <v>38</v>
      </c>
      <c r="BI373" s="836" t="s">
        <v>132</v>
      </c>
      <c r="BJ373" s="775" t="s">
        <v>45</v>
      </c>
      <c r="BK373" s="776">
        <v>1.3</v>
      </c>
      <c r="BL373" s="775">
        <v>2008</v>
      </c>
      <c r="CL373" s="773"/>
      <c r="CM373" s="773"/>
      <c r="CN373" s="773"/>
      <c r="CO373" s="773"/>
      <c r="CP373" s="773"/>
      <c r="CQ373" s="773"/>
      <c r="CR373" s="773"/>
    </row>
    <row r="374" spans="35:96" ht="15.75">
      <c r="AI374" s="55"/>
      <c r="AJ374" s="55"/>
      <c r="AK374" s="55"/>
      <c r="AL374" s="55"/>
      <c r="AM374" s="55"/>
      <c r="AN374" s="55"/>
      <c r="AO374" s="55"/>
      <c r="AP374" s="55"/>
      <c r="AQ374" s="55"/>
      <c r="AR374" s="55"/>
      <c r="AS374" s="55"/>
      <c r="AT374" s="55"/>
      <c r="AU374" s="55"/>
      <c r="AV374" s="55"/>
      <c r="BA374" s="775" t="s">
        <v>38</v>
      </c>
      <c r="BB374" s="839">
        <v>2009</v>
      </c>
      <c r="BC374" s="775" t="s">
        <v>48</v>
      </c>
      <c r="BD374" s="841">
        <v>59.7</v>
      </c>
      <c r="BH374" s="775" t="s">
        <v>38</v>
      </c>
      <c r="BI374" s="836" t="s">
        <v>132</v>
      </c>
      <c r="BJ374" s="775" t="s">
        <v>48</v>
      </c>
      <c r="BK374" s="776">
        <v>71.2</v>
      </c>
      <c r="BL374" s="775">
        <v>2008</v>
      </c>
      <c r="CL374" s="773"/>
      <c r="CM374" s="773"/>
      <c r="CN374" s="773"/>
      <c r="CO374" s="773"/>
      <c r="CP374" s="773"/>
      <c r="CQ374" s="773"/>
      <c r="CR374" s="773"/>
    </row>
    <row r="375" spans="35:96" ht="15.75">
      <c r="AI375" s="55"/>
      <c r="AJ375" s="55"/>
      <c r="AK375" s="55"/>
      <c r="AL375" s="55"/>
      <c r="AM375" s="55"/>
      <c r="AN375" s="55"/>
      <c r="AO375" s="55"/>
      <c r="AP375" s="55"/>
      <c r="AQ375" s="55"/>
      <c r="AR375" s="55"/>
      <c r="AS375" s="55"/>
      <c r="AT375" s="55"/>
      <c r="AU375" s="55"/>
      <c r="AV375" s="55"/>
      <c r="BA375" s="775" t="s">
        <v>38</v>
      </c>
      <c r="BB375" s="839">
        <v>2009</v>
      </c>
      <c r="BC375" s="775" t="s">
        <v>97</v>
      </c>
      <c r="BD375" s="841">
        <v>1119.5999999999999</v>
      </c>
      <c r="BH375" s="775" t="s">
        <v>38</v>
      </c>
      <c r="BI375" s="836" t="s">
        <v>132</v>
      </c>
      <c r="BJ375" s="775" t="s">
        <v>97</v>
      </c>
      <c r="BK375" s="776">
        <v>1246.8</v>
      </c>
      <c r="BL375" s="775">
        <v>2008</v>
      </c>
      <c r="CL375" s="773"/>
      <c r="CM375" s="773"/>
      <c r="CN375" s="773"/>
      <c r="CO375" s="773"/>
      <c r="CP375" s="773"/>
      <c r="CQ375" s="773"/>
      <c r="CR375" s="773"/>
    </row>
    <row r="376" spans="35:96" ht="15.75">
      <c r="AI376" s="55"/>
      <c r="AJ376" s="55"/>
      <c r="AK376" s="55"/>
      <c r="AL376" s="55"/>
      <c r="AM376" s="55"/>
      <c r="AN376" s="55"/>
      <c r="AO376" s="55"/>
      <c r="AP376" s="55"/>
      <c r="AQ376" s="55"/>
      <c r="AR376" s="55"/>
      <c r="AS376" s="55"/>
      <c r="AT376" s="55"/>
      <c r="AU376" s="55"/>
      <c r="AV376" s="55"/>
      <c r="BA376" s="775" t="s">
        <v>172</v>
      </c>
      <c r="BB376" s="839">
        <v>2009</v>
      </c>
      <c r="BC376" s="775" t="s">
        <v>15</v>
      </c>
      <c r="BD376" s="775">
        <f t="shared" ref="BD376:BD386" si="26">BD387-BD365</f>
        <v>104.9</v>
      </c>
      <c r="BH376" s="775" t="s">
        <v>172</v>
      </c>
      <c r="BI376" s="836" t="s">
        <v>132</v>
      </c>
      <c r="BJ376" s="775" t="s">
        <v>15</v>
      </c>
      <c r="BK376" s="775">
        <f t="shared" ref="BK376:BK386" si="27">BK387-BK365</f>
        <v>150.60000000000002</v>
      </c>
      <c r="BL376" s="775">
        <v>2008</v>
      </c>
      <c r="CL376" s="773"/>
      <c r="CM376" s="773"/>
      <c r="CN376" s="773"/>
      <c r="CO376" s="773"/>
      <c r="CP376" s="773"/>
      <c r="CQ376" s="773"/>
      <c r="CR376" s="773"/>
    </row>
    <row r="377" spans="35:96" ht="15.75">
      <c r="AI377" s="55"/>
      <c r="AJ377" s="55"/>
      <c r="AK377" s="55"/>
      <c r="AL377" s="55"/>
      <c r="AM377" s="55"/>
      <c r="AN377" s="55"/>
      <c r="AO377" s="55"/>
      <c r="AP377" s="55"/>
      <c r="AQ377" s="55"/>
      <c r="AR377" s="55"/>
      <c r="AS377" s="55"/>
      <c r="AT377" s="55"/>
      <c r="AU377" s="55"/>
      <c r="AV377" s="55"/>
      <c r="BA377" s="775" t="s">
        <v>172</v>
      </c>
      <c r="BB377" s="839">
        <v>2009</v>
      </c>
      <c r="BC377" s="775" t="s">
        <v>277</v>
      </c>
      <c r="BD377" s="775">
        <f t="shared" si="26"/>
        <v>35.099999999999994</v>
      </c>
      <c r="BH377" s="775" t="s">
        <v>172</v>
      </c>
      <c r="BI377" s="836" t="s">
        <v>132</v>
      </c>
      <c r="BJ377" s="775" t="s">
        <v>277</v>
      </c>
      <c r="BK377" s="775">
        <f t="shared" si="27"/>
        <v>55.9</v>
      </c>
      <c r="BL377" s="775">
        <v>2008</v>
      </c>
      <c r="CL377" s="773"/>
      <c r="CM377" s="773"/>
      <c r="CN377" s="773"/>
      <c r="CO377" s="773"/>
      <c r="CP377" s="773"/>
      <c r="CQ377" s="773"/>
      <c r="CR377" s="773"/>
    </row>
    <row r="378" spans="35:96" ht="15.75">
      <c r="AI378" s="55"/>
      <c r="AJ378" s="55"/>
      <c r="AK378" s="55"/>
      <c r="AL378" s="55"/>
      <c r="AM378" s="55"/>
      <c r="AN378" s="55"/>
      <c r="AO378" s="55"/>
      <c r="AP378" s="55"/>
      <c r="AQ378" s="55"/>
      <c r="AR378" s="55"/>
      <c r="AS378" s="55"/>
      <c r="AT378" s="55"/>
      <c r="AU378" s="55"/>
      <c r="AV378" s="55"/>
      <c r="BA378" s="775" t="s">
        <v>172</v>
      </c>
      <c r="BB378" s="839">
        <v>2009</v>
      </c>
      <c r="BC378" s="775" t="s">
        <v>1064</v>
      </c>
      <c r="BD378" s="775">
        <f t="shared" si="26"/>
        <v>9.5000000000000284</v>
      </c>
      <c r="BH378" s="775" t="s">
        <v>172</v>
      </c>
      <c r="BI378" s="836" t="s">
        <v>132</v>
      </c>
      <c r="BJ378" s="775" t="s">
        <v>1064</v>
      </c>
      <c r="BK378" s="775">
        <f t="shared" si="27"/>
        <v>13.199999999999989</v>
      </c>
      <c r="BL378" s="775">
        <v>2008</v>
      </c>
      <c r="CL378" s="773"/>
      <c r="CM378" s="773"/>
      <c r="CN378" s="773"/>
      <c r="CO378" s="773"/>
      <c r="CP378" s="773"/>
      <c r="CQ378" s="773"/>
      <c r="CR378" s="773"/>
    </row>
    <row r="379" spans="35:96" ht="15.75">
      <c r="AI379" s="55"/>
      <c r="AJ379" s="55"/>
      <c r="AK379" s="55"/>
      <c r="AL379" s="55"/>
      <c r="AM379" s="55"/>
      <c r="AN379" s="55"/>
      <c r="AO379" s="55"/>
      <c r="AP379" s="55"/>
      <c r="AQ379" s="55"/>
      <c r="AR379" s="55"/>
      <c r="AS379" s="55"/>
      <c r="AT379" s="55"/>
      <c r="AU379" s="55"/>
      <c r="AV379" s="55"/>
      <c r="BA379" s="775" t="s">
        <v>172</v>
      </c>
      <c r="BB379" s="839">
        <v>2009</v>
      </c>
      <c r="BC379" s="775" t="s">
        <v>8</v>
      </c>
      <c r="BD379" s="775">
        <f t="shared" si="26"/>
        <v>186.49999999999994</v>
      </c>
      <c r="BH379" s="775" t="s">
        <v>172</v>
      </c>
      <c r="BI379" s="836" t="s">
        <v>132</v>
      </c>
      <c r="BJ379" s="775" t="s">
        <v>8</v>
      </c>
      <c r="BK379" s="775">
        <f t="shared" si="27"/>
        <v>175.29999999999995</v>
      </c>
      <c r="BL379" s="775">
        <v>2008</v>
      </c>
      <c r="CL379" s="773"/>
      <c r="CM379" s="773"/>
      <c r="CN379" s="773"/>
      <c r="CO379" s="773"/>
      <c r="CP379" s="773"/>
      <c r="CQ379" s="773"/>
      <c r="CR379" s="773"/>
    </row>
    <row r="380" spans="35:96" ht="15.75">
      <c r="AI380" s="55"/>
      <c r="AJ380" s="55"/>
      <c r="AK380" s="55"/>
      <c r="AL380" s="55"/>
      <c r="AM380" s="55"/>
      <c r="AN380" s="55"/>
      <c r="AO380" s="55"/>
      <c r="AP380" s="55"/>
      <c r="AQ380" s="55"/>
      <c r="AR380" s="55"/>
      <c r="AS380" s="55"/>
      <c r="AT380" s="55"/>
      <c r="AU380" s="55"/>
      <c r="AV380" s="55"/>
      <c r="BA380" s="775" t="s">
        <v>172</v>
      </c>
      <c r="BB380" s="839">
        <v>2009</v>
      </c>
      <c r="BC380" s="775" t="s">
        <v>96</v>
      </c>
      <c r="BD380" s="775">
        <f t="shared" si="26"/>
        <v>20.900000000000034</v>
      </c>
      <c r="BH380" s="775" t="s">
        <v>172</v>
      </c>
      <c r="BI380" s="836" t="s">
        <v>132</v>
      </c>
      <c r="BJ380" s="775" t="s">
        <v>96</v>
      </c>
      <c r="BK380" s="775">
        <f t="shared" si="27"/>
        <v>30</v>
      </c>
      <c r="BL380" s="775">
        <v>2008</v>
      </c>
      <c r="CL380" s="773"/>
      <c r="CM380" s="773"/>
      <c r="CN380" s="773"/>
      <c r="CO380" s="773"/>
      <c r="CP380" s="773"/>
      <c r="CQ380" s="773"/>
      <c r="CR380" s="773"/>
    </row>
    <row r="381" spans="35:96" ht="15.75">
      <c r="AI381" s="55"/>
      <c r="AJ381" s="55"/>
      <c r="AK381" s="55"/>
      <c r="AL381" s="55"/>
      <c r="AM381" s="55"/>
      <c r="AN381" s="55"/>
      <c r="AO381" s="55"/>
      <c r="AP381" s="55"/>
      <c r="AQ381" s="55"/>
      <c r="AR381" s="55"/>
      <c r="AS381" s="55"/>
      <c r="AT381" s="55"/>
      <c r="AU381" s="55"/>
      <c r="AV381" s="55"/>
      <c r="BA381" s="775" t="s">
        <v>172</v>
      </c>
      <c r="BB381" s="839">
        <v>2009</v>
      </c>
      <c r="BC381" s="775" t="s">
        <v>196</v>
      </c>
      <c r="BD381" s="775">
        <f t="shared" si="26"/>
        <v>18.399999999999999</v>
      </c>
      <c r="BH381" s="775" t="s">
        <v>172</v>
      </c>
      <c r="BI381" s="836" t="s">
        <v>132</v>
      </c>
      <c r="BJ381" s="775" t="s">
        <v>196</v>
      </c>
      <c r="BK381" s="775">
        <f t="shared" si="27"/>
        <v>17.600000000000001</v>
      </c>
      <c r="BL381" s="775">
        <v>2008</v>
      </c>
      <c r="CL381" s="773"/>
      <c r="CM381" s="773"/>
      <c r="CN381" s="773"/>
      <c r="CO381" s="773"/>
      <c r="CP381" s="773"/>
      <c r="CQ381" s="773"/>
      <c r="CR381" s="773"/>
    </row>
    <row r="382" spans="35:96" ht="15.75">
      <c r="AI382" s="55"/>
      <c r="AJ382" s="55"/>
      <c r="AK382" s="55"/>
      <c r="AL382" s="55"/>
      <c r="AM382" s="55"/>
      <c r="AN382" s="55"/>
      <c r="AO382" s="55"/>
      <c r="AP382" s="55"/>
      <c r="AQ382" s="55"/>
      <c r="AR382" s="55"/>
      <c r="AS382" s="55"/>
      <c r="AT382" s="55"/>
      <c r="AU382" s="55"/>
      <c r="AV382" s="55"/>
      <c r="BA382" s="775" t="s">
        <v>172</v>
      </c>
      <c r="BB382" s="839">
        <v>2009</v>
      </c>
      <c r="BC382" s="775" t="s">
        <v>278</v>
      </c>
      <c r="BD382" s="775">
        <f t="shared" si="26"/>
        <v>134.80000000000001</v>
      </c>
      <c r="BH382" s="775" t="s">
        <v>172</v>
      </c>
      <c r="BI382" s="836" t="s">
        <v>132</v>
      </c>
      <c r="BJ382" s="775" t="s">
        <v>278</v>
      </c>
      <c r="BK382" s="775">
        <f t="shared" si="27"/>
        <v>169.7</v>
      </c>
      <c r="BL382" s="775">
        <v>2008</v>
      </c>
      <c r="CL382" s="773"/>
      <c r="CM382" s="773"/>
      <c r="CN382" s="773"/>
      <c r="CO382" s="773"/>
      <c r="CP382" s="773"/>
      <c r="CQ382" s="773"/>
      <c r="CR382" s="773"/>
    </row>
    <row r="383" spans="35:96" ht="15.75">
      <c r="AI383" s="55"/>
      <c r="AJ383" s="55"/>
      <c r="AK383" s="55"/>
      <c r="AL383" s="55"/>
      <c r="AM383" s="55"/>
      <c r="AN383" s="55"/>
      <c r="AO383" s="55"/>
      <c r="AP383" s="55"/>
      <c r="AQ383" s="55"/>
      <c r="AR383" s="55"/>
      <c r="AS383" s="55"/>
      <c r="AT383" s="55"/>
      <c r="AU383" s="55"/>
      <c r="AV383" s="55"/>
      <c r="BA383" s="775" t="s">
        <v>172</v>
      </c>
      <c r="BB383" s="839">
        <v>2009</v>
      </c>
      <c r="BC383" s="775" t="s">
        <v>44</v>
      </c>
      <c r="BD383" s="775">
        <f t="shared" si="26"/>
        <v>312.7</v>
      </c>
      <c r="BH383" s="775" t="s">
        <v>172</v>
      </c>
      <c r="BI383" s="836" t="s">
        <v>132</v>
      </c>
      <c r="BJ383" s="775" t="s">
        <v>44</v>
      </c>
      <c r="BK383" s="775">
        <f t="shared" si="27"/>
        <v>292.8</v>
      </c>
      <c r="BL383" s="775">
        <v>2008</v>
      </c>
      <c r="CL383" s="773"/>
      <c r="CM383" s="773"/>
      <c r="CN383" s="773"/>
      <c r="CO383" s="773"/>
      <c r="CP383" s="773"/>
      <c r="CQ383" s="773"/>
      <c r="CR383" s="773"/>
    </row>
    <row r="384" spans="35:96" ht="15.75">
      <c r="AI384" s="55"/>
      <c r="AJ384" s="55"/>
      <c r="AK384" s="55"/>
      <c r="AL384" s="55"/>
      <c r="AM384" s="55"/>
      <c r="AN384" s="55"/>
      <c r="AO384" s="55"/>
      <c r="AP384" s="55"/>
      <c r="AQ384" s="55"/>
      <c r="AR384" s="55"/>
      <c r="AS384" s="55"/>
      <c r="AT384" s="55"/>
      <c r="AU384" s="55"/>
      <c r="AV384" s="55"/>
      <c r="BA384" s="775" t="s">
        <v>172</v>
      </c>
      <c r="BB384" s="839">
        <v>2009</v>
      </c>
      <c r="BC384" s="775" t="s">
        <v>45</v>
      </c>
      <c r="BD384" s="775">
        <f t="shared" si="26"/>
        <v>7.7</v>
      </c>
      <c r="BH384" s="775" t="s">
        <v>172</v>
      </c>
      <c r="BI384" s="836" t="s">
        <v>132</v>
      </c>
      <c r="BJ384" s="775" t="s">
        <v>45</v>
      </c>
      <c r="BK384" s="775">
        <f t="shared" si="27"/>
        <v>8.6999999999999993</v>
      </c>
      <c r="BL384" s="775">
        <v>2008</v>
      </c>
      <c r="CL384" s="773"/>
      <c r="CM384" s="773"/>
      <c r="CN384" s="773"/>
      <c r="CO384" s="773"/>
      <c r="CP384" s="773"/>
      <c r="CQ384" s="773"/>
      <c r="CR384" s="773"/>
    </row>
    <row r="385" spans="35:96" ht="15.75">
      <c r="AI385" s="55"/>
      <c r="AJ385" s="55"/>
      <c r="AK385" s="55"/>
      <c r="AL385" s="55"/>
      <c r="AM385" s="55"/>
      <c r="AN385" s="55"/>
      <c r="AO385" s="55"/>
      <c r="AP385" s="55"/>
      <c r="AQ385" s="55"/>
      <c r="AR385" s="55"/>
      <c r="AS385" s="55"/>
      <c r="AT385" s="55"/>
      <c r="AU385" s="55"/>
      <c r="AV385" s="55"/>
      <c r="BA385" s="775" t="s">
        <v>172</v>
      </c>
      <c r="BB385" s="839">
        <v>2009</v>
      </c>
      <c r="BC385" s="775" t="s">
        <v>48</v>
      </c>
      <c r="BD385" s="775">
        <f t="shared" si="26"/>
        <v>80.999999999999986</v>
      </c>
      <c r="BH385" s="775" t="s">
        <v>172</v>
      </c>
      <c r="BI385" s="836" t="s">
        <v>132</v>
      </c>
      <c r="BJ385" s="775" t="s">
        <v>48</v>
      </c>
      <c r="BK385" s="775">
        <f t="shared" si="27"/>
        <v>82.899999999999991</v>
      </c>
      <c r="BL385" s="775">
        <v>2008</v>
      </c>
      <c r="CL385" s="773"/>
      <c r="CM385" s="773"/>
      <c r="CN385" s="773"/>
      <c r="CO385" s="773"/>
      <c r="CP385" s="773"/>
      <c r="CQ385" s="773"/>
      <c r="CR385" s="773"/>
    </row>
    <row r="386" spans="35:96" ht="15.75">
      <c r="AI386" s="55"/>
      <c r="AJ386" s="55"/>
      <c r="AK386" s="55"/>
      <c r="AL386" s="55"/>
      <c r="AM386" s="55"/>
      <c r="AN386" s="55"/>
      <c r="AO386" s="55"/>
      <c r="AP386" s="55"/>
      <c r="AQ386" s="55"/>
      <c r="AR386" s="55"/>
      <c r="AS386" s="55"/>
      <c r="AT386" s="55"/>
      <c r="AU386" s="55"/>
      <c r="AV386" s="55"/>
      <c r="BA386" s="775" t="s">
        <v>172</v>
      </c>
      <c r="BB386" s="839">
        <v>2009</v>
      </c>
      <c r="BC386" s="775" t="s">
        <v>97</v>
      </c>
      <c r="BD386" s="775">
        <f t="shared" si="26"/>
        <v>903.60000000000014</v>
      </c>
      <c r="BH386" s="775" t="s">
        <v>172</v>
      </c>
      <c r="BI386" s="836" t="s">
        <v>132</v>
      </c>
      <c r="BJ386" s="775" t="s">
        <v>97</v>
      </c>
      <c r="BK386" s="775">
        <f t="shared" si="27"/>
        <v>976.39999999999986</v>
      </c>
      <c r="BL386" s="775">
        <v>2008</v>
      </c>
      <c r="CL386" s="773"/>
      <c r="CM386" s="773"/>
      <c r="CN386" s="773"/>
      <c r="CO386" s="773"/>
      <c r="CP386" s="773"/>
      <c r="CQ386" s="773"/>
      <c r="CR386" s="773"/>
    </row>
    <row r="387" spans="35:96" ht="15.75">
      <c r="AI387" s="55"/>
      <c r="AJ387" s="55"/>
      <c r="AK387" s="55"/>
      <c r="AL387" s="55"/>
      <c r="AM387" s="55"/>
      <c r="AN387" s="55"/>
      <c r="AO387" s="55"/>
      <c r="AP387" s="55"/>
      <c r="AQ387" s="55"/>
      <c r="AR387" s="55"/>
      <c r="AS387" s="55"/>
      <c r="AT387" s="55"/>
      <c r="AU387" s="55"/>
      <c r="AV387" s="55"/>
      <c r="BA387" s="775" t="s">
        <v>170</v>
      </c>
      <c r="BB387" s="839">
        <v>2009</v>
      </c>
      <c r="BC387" s="775" t="s">
        <v>15</v>
      </c>
      <c r="BD387" s="775">
        <v>134.80000000000001</v>
      </c>
      <c r="BH387" s="775" t="s">
        <v>170</v>
      </c>
      <c r="BI387" s="836" t="s">
        <v>132</v>
      </c>
      <c r="BJ387" s="775" t="s">
        <v>15</v>
      </c>
      <c r="BK387" s="838">
        <v>178.70000000000002</v>
      </c>
      <c r="BL387" s="775">
        <v>2008</v>
      </c>
      <c r="CL387" s="773"/>
      <c r="CM387" s="773"/>
      <c r="CN387" s="773"/>
      <c r="CO387" s="773"/>
      <c r="CP387" s="773"/>
      <c r="CQ387" s="773"/>
      <c r="CR387" s="773"/>
    </row>
    <row r="388" spans="35:96" ht="15.75">
      <c r="AI388" s="55"/>
      <c r="AJ388" s="55"/>
      <c r="AK388" s="55"/>
      <c r="AL388" s="55"/>
      <c r="AM388" s="55"/>
      <c r="AN388" s="55"/>
      <c r="AO388" s="55"/>
      <c r="AP388" s="55"/>
      <c r="AQ388" s="55"/>
      <c r="AR388" s="55"/>
      <c r="AS388" s="55"/>
      <c r="AT388" s="55"/>
      <c r="AU388" s="55"/>
      <c r="AV388" s="55"/>
      <c r="BA388" s="775" t="s">
        <v>170</v>
      </c>
      <c r="BB388" s="839">
        <v>2009</v>
      </c>
      <c r="BC388" s="775" t="s">
        <v>277</v>
      </c>
      <c r="BD388" s="775">
        <v>48.199999999999996</v>
      </c>
      <c r="BH388" s="775" t="s">
        <v>170</v>
      </c>
      <c r="BI388" s="836" t="s">
        <v>132</v>
      </c>
      <c r="BJ388" s="775" t="s">
        <v>277</v>
      </c>
      <c r="BK388" s="838">
        <v>80.5</v>
      </c>
      <c r="BL388" s="775">
        <v>2008</v>
      </c>
      <c r="CL388" s="773"/>
      <c r="CM388" s="773"/>
      <c r="CN388" s="773"/>
      <c r="CO388" s="773"/>
      <c r="CP388" s="773"/>
      <c r="CQ388" s="773"/>
      <c r="CR388" s="773"/>
    </row>
    <row r="389" spans="35:96" ht="15.75">
      <c r="AI389" s="55"/>
      <c r="AJ389" s="55"/>
      <c r="AK389" s="55"/>
      <c r="AL389" s="55"/>
      <c r="AM389" s="55"/>
      <c r="AN389" s="55"/>
      <c r="AO389" s="55"/>
      <c r="AP389" s="55"/>
      <c r="AQ389" s="55"/>
      <c r="AR389" s="55"/>
      <c r="AS389" s="55"/>
      <c r="AT389" s="55"/>
      <c r="AU389" s="55"/>
      <c r="AV389" s="55"/>
      <c r="BA389" s="775" t="s">
        <v>170</v>
      </c>
      <c r="BB389" s="839">
        <v>2009</v>
      </c>
      <c r="BC389" s="775" t="s">
        <v>1064</v>
      </c>
      <c r="BD389" s="775">
        <v>186.3</v>
      </c>
      <c r="BH389" s="775" t="s">
        <v>170</v>
      </c>
      <c r="BI389" s="836" t="s">
        <v>132</v>
      </c>
      <c r="BJ389" s="775" t="s">
        <v>1064</v>
      </c>
      <c r="BK389" s="838">
        <v>259.89999999999998</v>
      </c>
      <c r="BL389" s="775">
        <v>2008</v>
      </c>
      <c r="CL389" s="773"/>
      <c r="CM389" s="773"/>
      <c r="CN389" s="773"/>
      <c r="CO389" s="773"/>
      <c r="CP389" s="773"/>
      <c r="CQ389" s="773"/>
      <c r="CR389" s="773"/>
    </row>
    <row r="390" spans="35:96" ht="15.75">
      <c r="AI390" s="55"/>
      <c r="AJ390" s="55"/>
      <c r="AK390" s="55"/>
      <c r="AL390" s="55"/>
      <c r="AM390" s="55"/>
      <c r="AN390" s="55"/>
      <c r="AO390" s="55"/>
      <c r="AP390" s="55"/>
      <c r="AQ390" s="55"/>
      <c r="AR390" s="55"/>
      <c r="AS390" s="55"/>
      <c r="AT390" s="55"/>
      <c r="AU390" s="55"/>
      <c r="AV390" s="55"/>
      <c r="BA390" s="775" t="s">
        <v>170</v>
      </c>
      <c r="BB390" s="839">
        <v>2009</v>
      </c>
      <c r="BC390" s="775" t="s">
        <v>8</v>
      </c>
      <c r="BD390" s="775">
        <v>463.29999999999995</v>
      </c>
      <c r="BH390" s="775" t="s">
        <v>170</v>
      </c>
      <c r="BI390" s="836" t="s">
        <v>132</v>
      </c>
      <c r="BJ390" s="775" t="s">
        <v>8</v>
      </c>
      <c r="BK390" s="838">
        <v>438</v>
      </c>
      <c r="BL390" s="775">
        <v>2008</v>
      </c>
      <c r="CL390" s="773"/>
      <c r="CM390" s="773"/>
      <c r="CN390" s="773"/>
      <c r="CO390" s="773"/>
      <c r="CP390" s="773"/>
      <c r="CQ390" s="773"/>
      <c r="CR390" s="773"/>
    </row>
    <row r="391" spans="35:96" ht="15.75">
      <c r="AI391" s="55"/>
      <c r="AJ391" s="55"/>
      <c r="AK391" s="55"/>
      <c r="AL391" s="55"/>
      <c r="AM391" s="55"/>
      <c r="AN391" s="55"/>
      <c r="AO391" s="55"/>
      <c r="AP391" s="55"/>
      <c r="AQ391" s="55"/>
      <c r="AR391" s="55"/>
      <c r="AS391" s="55"/>
      <c r="AT391" s="55"/>
      <c r="AU391" s="55"/>
      <c r="AV391" s="55"/>
      <c r="BA391" s="775" t="s">
        <v>170</v>
      </c>
      <c r="BB391" s="839">
        <v>2009</v>
      </c>
      <c r="BC391" s="775" t="s">
        <v>96</v>
      </c>
      <c r="BD391" s="775">
        <v>521.20000000000005</v>
      </c>
      <c r="BH391" s="775" t="s">
        <v>170</v>
      </c>
      <c r="BI391" s="836" t="s">
        <v>132</v>
      </c>
      <c r="BJ391" s="775" t="s">
        <v>96</v>
      </c>
      <c r="BK391" s="838">
        <v>588.70000000000005</v>
      </c>
      <c r="BL391" s="775">
        <v>2008</v>
      </c>
      <c r="CL391" s="773"/>
      <c r="CM391" s="773"/>
      <c r="CN391" s="773"/>
      <c r="CO391" s="773"/>
      <c r="CP391" s="773"/>
      <c r="CQ391" s="773"/>
      <c r="CR391" s="773"/>
    </row>
    <row r="392" spans="35:96" ht="15.75">
      <c r="AI392" s="55"/>
      <c r="AJ392" s="55"/>
      <c r="AK392" s="55"/>
      <c r="AL392" s="55"/>
      <c r="AM392" s="55"/>
      <c r="AN392" s="55"/>
      <c r="AO392" s="55"/>
      <c r="AP392" s="55"/>
      <c r="AQ392" s="55"/>
      <c r="AR392" s="55"/>
      <c r="AS392" s="55"/>
      <c r="AT392" s="55"/>
      <c r="AU392" s="55"/>
      <c r="AV392" s="55"/>
      <c r="BA392" s="775" t="s">
        <v>170</v>
      </c>
      <c r="BB392" s="839">
        <v>2009</v>
      </c>
      <c r="BC392" s="775" t="s">
        <v>196</v>
      </c>
      <c r="BD392" s="775">
        <v>28.4</v>
      </c>
      <c r="BH392" s="775" t="s">
        <v>170</v>
      </c>
      <c r="BI392" s="836" t="s">
        <v>132</v>
      </c>
      <c r="BJ392" s="775" t="s">
        <v>196</v>
      </c>
      <c r="BK392" s="838">
        <v>30.6</v>
      </c>
      <c r="BL392" s="775">
        <v>2008</v>
      </c>
      <c r="CL392" s="773"/>
      <c r="CM392" s="773"/>
      <c r="CN392" s="773"/>
      <c r="CO392" s="773"/>
      <c r="CP392" s="773"/>
      <c r="CQ392" s="773"/>
      <c r="CR392" s="773"/>
    </row>
    <row r="393" spans="35:96" ht="15.75">
      <c r="AI393" s="55"/>
      <c r="AJ393" s="55"/>
      <c r="AK393" s="55"/>
      <c r="AL393" s="55"/>
      <c r="AM393" s="55"/>
      <c r="AN393" s="55"/>
      <c r="AO393" s="55"/>
      <c r="AP393" s="55"/>
      <c r="AQ393" s="55"/>
      <c r="AR393" s="55"/>
      <c r="AS393" s="55"/>
      <c r="AT393" s="55"/>
      <c r="AU393" s="55"/>
      <c r="AV393" s="55"/>
      <c r="BA393" s="775" t="s">
        <v>170</v>
      </c>
      <c r="BB393" s="839">
        <v>2009</v>
      </c>
      <c r="BC393" s="775" t="s">
        <v>278</v>
      </c>
      <c r="BD393" s="775">
        <v>179.6</v>
      </c>
      <c r="BH393" s="775" t="s">
        <v>170</v>
      </c>
      <c r="BI393" s="836" t="s">
        <v>132</v>
      </c>
      <c r="BJ393" s="775" t="s">
        <v>278</v>
      </c>
      <c r="BK393" s="838">
        <v>185.2</v>
      </c>
      <c r="BL393" s="775">
        <v>2008</v>
      </c>
      <c r="CL393" s="773"/>
      <c r="CM393" s="773"/>
      <c r="CN393" s="773"/>
      <c r="CO393" s="773"/>
      <c r="CP393" s="773"/>
      <c r="CQ393" s="773"/>
      <c r="CR393" s="773"/>
    </row>
    <row r="394" spans="35:96" ht="15.75">
      <c r="AI394" s="55"/>
      <c r="AJ394" s="55"/>
      <c r="AK394" s="55"/>
      <c r="AL394" s="55"/>
      <c r="AM394" s="55"/>
      <c r="AN394" s="55"/>
      <c r="AO394" s="55"/>
      <c r="AP394" s="55"/>
      <c r="AQ394" s="55"/>
      <c r="AR394" s="55"/>
      <c r="AS394" s="55"/>
      <c r="AT394" s="55"/>
      <c r="AU394" s="55"/>
      <c r="AV394" s="55"/>
      <c r="BA394" s="775" t="s">
        <v>170</v>
      </c>
      <c r="BB394" s="839">
        <v>2009</v>
      </c>
      <c r="BC394" s="775" t="s">
        <v>44</v>
      </c>
      <c r="BD394" s="775">
        <v>312.7</v>
      </c>
      <c r="BH394" s="775" t="s">
        <v>170</v>
      </c>
      <c r="BI394" s="836" t="s">
        <v>132</v>
      </c>
      <c r="BJ394" s="775" t="s">
        <v>44</v>
      </c>
      <c r="BK394" s="838">
        <v>297.3</v>
      </c>
      <c r="BL394" s="775">
        <v>2008</v>
      </c>
      <c r="CL394" s="773"/>
      <c r="CM394" s="773"/>
      <c r="CN394" s="773"/>
      <c r="CO394" s="773"/>
      <c r="CP394" s="773"/>
      <c r="CQ394" s="773"/>
      <c r="CR394" s="773"/>
    </row>
    <row r="395" spans="35:96" ht="15.75">
      <c r="AI395" s="55"/>
      <c r="AJ395" s="55"/>
      <c r="AK395" s="55"/>
      <c r="AL395" s="55"/>
      <c r="AM395" s="55"/>
      <c r="AN395" s="55"/>
      <c r="AO395" s="55"/>
      <c r="AP395" s="55"/>
      <c r="AQ395" s="55"/>
      <c r="AR395" s="55"/>
      <c r="AS395" s="55"/>
      <c r="AT395" s="55"/>
      <c r="AU395" s="55"/>
      <c r="AV395" s="55"/>
      <c r="BA395" s="775" t="s">
        <v>170</v>
      </c>
      <c r="BB395" s="839">
        <v>2009</v>
      </c>
      <c r="BC395" s="775" t="s">
        <v>45</v>
      </c>
      <c r="BD395" s="775">
        <v>7.8</v>
      </c>
      <c r="BH395" s="775" t="s">
        <v>170</v>
      </c>
      <c r="BI395" s="836" t="s">
        <v>132</v>
      </c>
      <c r="BJ395" s="775" t="s">
        <v>45</v>
      </c>
      <c r="BK395" s="838">
        <v>10</v>
      </c>
      <c r="BL395" s="775">
        <v>2008</v>
      </c>
      <c r="CL395" s="773"/>
      <c r="CM395" s="773"/>
      <c r="CN395" s="773"/>
      <c r="CO395" s="773"/>
      <c r="CP395" s="773"/>
      <c r="CQ395" s="773"/>
      <c r="CR395" s="773"/>
    </row>
    <row r="396" spans="35:96" ht="15.75">
      <c r="AI396" s="55"/>
      <c r="AJ396" s="55"/>
      <c r="AK396" s="55"/>
      <c r="AL396" s="55"/>
      <c r="AM396" s="55"/>
      <c r="AN396" s="55"/>
      <c r="AO396" s="55"/>
      <c r="AP396" s="55"/>
      <c r="AQ396" s="55"/>
      <c r="AR396" s="55"/>
      <c r="AS396" s="55"/>
      <c r="AT396" s="55"/>
      <c r="AU396" s="55"/>
      <c r="AV396" s="55"/>
      <c r="BA396" s="775" t="s">
        <v>170</v>
      </c>
      <c r="BB396" s="839">
        <v>2009</v>
      </c>
      <c r="BC396" s="775" t="s">
        <v>48</v>
      </c>
      <c r="BD396" s="775">
        <v>140.69999999999999</v>
      </c>
      <c r="BH396" s="775" t="s">
        <v>170</v>
      </c>
      <c r="BI396" s="836" t="s">
        <v>132</v>
      </c>
      <c r="BJ396" s="775" t="s">
        <v>48</v>
      </c>
      <c r="BK396" s="838">
        <v>154.1</v>
      </c>
      <c r="BL396" s="775">
        <v>2008</v>
      </c>
      <c r="CL396" s="773"/>
      <c r="CM396" s="773"/>
      <c r="CN396" s="773"/>
      <c r="CO396" s="773"/>
      <c r="CP396" s="773"/>
      <c r="CQ396" s="773"/>
      <c r="CR396" s="773"/>
    </row>
    <row r="397" spans="35:96" ht="15.75">
      <c r="AI397" s="55"/>
      <c r="AJ397" s="55"/>
      <c r="AK397" s="55"/>
      <c r="AL397" s="55"/>
      <c r="AM397" s="55"/>
      <c r="AN397" s="55"/>
      <c r="AO397" s="55"/>
      <c r="AP397" s="55"/>
      <c r="AQ397" s="55"/>
      <c r="AR397" s="55"/>
      <c r="AS397" s="55"/>
      <c r="AT397" s="55"/>
      <c r="AU397" s="55"/>
      <c r="AV397" s="55"/>
      <c r="BA397" s="775" t="s">
        <v>170</v>
      </c>
      <c r="BB397" s="839">
        <v>2009</v>
      </c>
      <c r="BC397" s="775" t="s">
        <v>97</v>
      </c>
      <c r="BD397" s="775">
        <v>2023.2</v>
      </c>
      <c r="BH397" s="775" t="s">
        <v>170</v>
      </c>
      <c r="BI397" s="836" t="s">
        <v>132</v>
      </c>
      <c r="BJ397" s="775" t="s">
        <v>97</v>
      </c>
      <c r="BK397" s="838">
        <v>2223.1999999999998</v>
      </c>
      <c r="BL397" s="775">
        <v>2008</v>
      </c>
      <c r="CL397" s="773"/>
      <c r="CM397" s="773"/>
      <c r="CN397" s="773"/>
      <c r="CO397" s="773"/>
      <c r="CP397" s="773"/>
      <c r="CQ397" s="773"/>
      <c r="CR397" s="773"/>
    </row>
    <row r="398" spans="35:96" ht="15.75">
      <c r="AI398" s="55"/>
      <c r="AJ398" s="55"/>
      <c r="AK398" s="55"/>
      <c r="AL398" s="55"/>
      <c r="AM398" s="55"/>
      <c r="AN398" s="55"/>
      <c r="AO398" s="55"/>
      <c r="AP398" s="55"/>
      <c r="AQ398" s="55"/>
      <c r="AR398" s="55"/>
      <c r="AS398" s="55"/>
      <c r="AT398" s="55"/>
      <c r="AU398" s="55"/>
      <c r="AV398" s="55"/>
      <c r="BA398" s="775" t="s">
        <v>38</v>
      </c>
      <c r="BB398" s="839">
        <v>2010</v>
      </c>
      <c r="BC398" s="775" t="s">
        <v>15</v>
      </c>
      <c r="BD398" s="840">
        <v>65.800000000000011</v>
      </c>
      <c r="BH398" s="775" t="s">
        <v>38</v>
      </c>
      <c r="BI398" s="836" t="s">
        <v>133</v>
      </c>
      <c r="BJ398" s="775" t="s">
        <v>15</v>
      </c>
      <c r="BK398" s="776">
        <v>45.900000000000006</v>
      </c>
      <c r="BL398" s="775">
        <v>2009</v>
      </c>
      <c r="CL398" s="773"/>
      <c r="CM398" s="773"/>
      <c r="CN398" s="773"/>
      <c r="CO398" s="773"/>
      <c r="CP398" s="773"/>
      <c r="CQ398" s="773"/>
      <c r="CR398" s="773"/>
    </row>
    <row r="399" spans="35:96" ht="15.75">
      <c r="AI399" s="55"/>
      <c r="AJ399" s="55"/>
      <c r="AK399" s="55"/>
      <c r="AL399" s="55"/>
      <c r="AM399" s="55"/>
      <c r="AN399" s="55"/>
      <c r="AO399" s="55"/>
      <c r="AP399" s="55"/>
      <c r="AQ399" s="55"/>
      <c r="AR399" s="55"/>
      <c r="AS399" s="55"/>
      <c r="AT399" s="55"/>
      <c r="AU399" s="55"/>
      <c r="AV399" s="55"/>
      <c r="BA399" s="775" t="s">
        <v>38</v>
      </c>
      <c r="BB399" s="839">
        <v>2010</v>
      </c>
      <c r="BC399" s="775" t="s">
        <v>277</v>
      </c>
      <c r="BD399" s="840">
        <v>28.3</v>
      </c>
      <c r="BH399" s="775" t="s">
        <v>38</v>
      </c>
      <c r="BI399" s="836" t="s">
        <v>133</v>
      </c>
      <c r="BJ399" s="775" t="s">
        <v>277</v>
      </c>
      <c r="BK399" s="776">
        <v>21.5</v>
      </c>
      <c r="BL399" s="775">
        <v>2009</v>
      </c>
      <c r="CL399" s="773"/>
      <c r="CM399" s="773"/>
      <c r="CN399" s="773"/>
      <c r="CO399" s="773"/>
      <c r="CP399" s="773"/>
      <c r="CQ399" s="773"/>
      <c r="CR399" s="773"/>
    </row>
    <row r="400" spans="35:96" ht="15.75">
      <c r="AI400" s="55"/>
      <c r="AJ400" s="55"/>
      <c r="AK400" s="55"/>
      <c r="AL400" s="55"/>
      <c r="AM400" s="55"/>
      <c r="AN400" s="55"/>
      <c r="AO400" s="55"/>
      <c r="AP400" s="55"/>
      <c r="AQ400" s="55"/>
      <c r="AR400" s="55"/>
      <c r="AS400" s="55"/>
      <c r="AT400" s="55"/>
      <c r="AU400" s="55"/>
      <c r="AV400" s="55"/>
      <c r="BA400" s="775" t="s">
        <v>38</v>
      </c>
      <c r="BB400" s="839">
        <v>2010</v>
      </c>
      <c r="BC400" s="775" t="s">
        <v>1064</v>
      </c>
      <c r="BD400" s="840">
        <v>227.8</v>
      </c>
      <c r="BH400" s="775" t="s">
        <v>38</v>
      </c>
      <c r="BI400" s="836" t="s">
        <v>133</v>
      </c>
      <c r="BJ400" s="775" t="s">
        <v>1064</v>
      </c>
      <c r="BK400" s="776">
        <v>194.7</v>
      </c>
      <c r="BL400" s="775">
        <v>2009</v>
      </c>
      <c r="CL400" s="773"/>
      <c r="CM400" s="773"/>
      <c r="CN400" s="773"/>
      <c r="CO400" s="773"/>
      <c r="CP400" s="773"/>
      <c r="CQ400" s="773"/>
      <c r="CR400" s="773"/>
    </row>
    <row r="401" spans="35:96" ht="15.75">
      <c r="AI401" s="55"/>
      <c r="AJ401" s="55"/>
      <c r="AK401" s="55"/>
      <c r="AL401" s="55"/>
      <c r="AM401" s="55"/>
      <c r="AN401" s="55"/>
      <c r="AO401" s="55"/>
      <c r="AP401" s="55"/>
      <c r="AQ401" s="55"/>
      <c r="AR401" s="55"/>
      <c r="AS401" s="55"/>
      <c r="AT401" s="55"/>
      <c r="AU401" s="55"/>
      <c r="AV401" s="55"/>
      <c r="BA401" s="775" t="s">
        <v>38</v>
      </c>
      <c r="BB401" s="839">
        <v>2010</v>
      </c>
      <c r="BC401" s="775" t="s">
        <v>8</v>
      </c>
      <c r="BD401" s="840">
        <v>412.1</v>
      </c>
      <c r="BH401" s="775" t="s">
        <v>38</v>
      </c>
      <c r="BI401" s="836" t="s">
        <v>133</v>
      </c>
      <c r="BJ401" s="775" t="s">
        <v>8</v>
      </c>
      <c r="BK401" s="776">
        <v>348.5</v>
      </c>
      <c r="BL401" s="775">
        <v>2009</v>
      </c>
      <c r="CL401" s="773"/>
      <c r="CM401" s="773"/>
      <c r="CN401" s="773"/>
      <c r="CO401" s="773"/>
      <c r="CP401" s="773"/>
      <c r="CQ401" s="773"/>
      <c r="CR401" s="773"/>
    </row>
    <row r="402" spans="35:96" ht="15.75">
      <c r="AI402" s="55"/>
      <c r="AJ402" s="55"/>
      <c r="AK402" s="55"/>
      <c r="AL402" s="55"/>
      <c r="AM402" s="55"/>
      <c r="AN402" s="55"/>
      <c r="AO402" s="55"/>
      <c r="AP402" s="55"/>
      <c r="AQ402" s="55"/>
      <c r="AR402" s="55"/>
      <c r="AS402" s="55"/>
      <c r="AT402" s="55"/>
      <c r="AU402" s="55"/>
      <c r="AV402" s="55"/>
      <c r="BA402" s="775" t="s">
        <v>38</v>
      </c>
      <c r="BB402" s="839">
        <v>2010</v>
      </c>
      <c r="BC402" s="775" t="s">
        <v>96</v>
      </c>
      <c r="BD402" s="840">
        <v>502.4</v>
      </c>
      <c r="BH402" s="775" t="s">
        <v>38</v>
      </c>
      <c r="BI402" s="836" t="s">
        <v>133</v>
      </c>
      <c r="BJ402" s="775" t="s">
        <v>96</v>
      </c>
      <c r="BK402" s="776">
        <v>497.09999999999997</v>
      </c>
      <c r="BL402" s="775">
        <v>2009</v>
      </c>
      <c r="CL402" s="773"/>
      <c r="CM402" s="773"/>
      <c r="CN402" s="773"/>
      <c r="CO402" s="773"/>
      <c r="CP402" s="773"/>
      <c r="CQ402" s="773"/>
      <c r="CR402" s="773"/>
    </row>
    <row r="403" spans="35:96" ht="15.75">
      <c r="AI403" s="55"/>
      <c r="AJ403" s="55"/>
      <c r="AK403" s="55"/>
      <c r="AL403" s="55"/>
      <c r="AM403" s="55"/>
      <c r="AN403" s="55"/>
      <c r="AO403" s="55"/>
      <c r="AP403" s="55"/>
      <c r="AQ403" s="55"/>
      <c r="AR403" s="55"/>
      <c r="AS403" s="55"/>
      <c r="AT403" s="55"/>
      <c r="AU403" s="55"/>
      <c r="AV403" s="55"/>
      <c r="BA403" s="775" t="s">
        <v>38</v>
      </c>
      <c r="BB403" s="839">
        <v>2010</v>
      </c>
      <c r="BC403" s="775" t="s">
        <v>196</v>
      </c>
      <c r="BD403" s="840">
        <v>7.6</v>
      </c>
      <c r="BH403" s="775" t="s">
        <v>38</v>
      </c>
      <c r="BI403" s="836" t="s">
        <v>133</v>
      </c>
      <c r="BJ403" s="775" t="s">
        <v>196</v>
      </c>
      <c r="BK403" s="776">
        <v>6.9</v>
      </c>
      <c r="BL403" s="775">
        <v>2009</v>
      </c>
      <c r="CL403" s="773"/>
      <c r="CM403" s="773"/>
      <c r="CN403" s="773"/>
      <c r="CO403" s="773"/>
      <c r="CP403" s="773"/>
      <c r="CQ403" s="773"/>
      <c r="CR403" s="773"/>
    </row>
    <row r="404" spans="35:96" ht="15.75">
      <c r="AI404" s="55"/>
      <c r="AJ404" s="55"/>
      <c r="AK404" s="55"/>
      <c r="AL404" s="55"/>
      <c r="AM404" s="55"/>
      <c r="AN404" s="55"/>
      <c r="AO404" s="55"/>
      <c r="AP404" s="55"/>
      <c r="AQ404" s="55"/>
      <c r="AR404" s="55"/>
      <c r="AS404" s="55"/>
      <c r="AT404" s="55"/>
      <c r="AU404" s="55"/>
      <c r="AV404" s="55"/>
      <c r="BA404" s="775" t="s">
        <v>38</v>
      </c>
      <c r="BB404" s="839">
        <v>2010</v>
      </c>
      <c r="BC404" s="775" t="s">
        <v>278</v>
      </c>
      <c r="BD404" s="840">
        <v>84</v>
      </c>
      <c r="BH404" s="775" t="s">
        <v>38</v>
      </c>
      <c r="BI404" s="836" t="s">
        <v>133</v>
      </c>
      <c r="BJ404" s="775" t="s">
        <v>278</v>
      </c>
      <c r="BK404" s="776">
        <v>55.4</v>
      </c>
      <c r="BL404" s="775">
        <v>2009</v>
      </c>
      <c r="CL404" s="773"/>
      <c r="CM404" s="773"/>
      <c r="CN404" s="773"/>
      <c r="CO404" s="773"/>
      <c r="CP404" s="773"/>
      <c r="CQ404" s="773"/>
      <c r="CR404" s="773"/>
    </row>
    <row r="405" spans="35:96" ht="15.75">
      <c r="AI405" s="55"/>
      <c r="AJ405" s="55"/>
      <c r="AK405" s="55"/>
      <c r="AL405" s="55"/>
      <c r="AM405" s="55"/>
      <c r="AN405" s="55"/>
      <c r="AO405" s="55"/>
      <c r="AP405" s="55"/>
      <c r="AQ405" s="55"/>
      <c r="AR405" s="55"/>
      <c r="AS405" s="55"/>
      <c r="AT405" s="55"/>
      <c r="AU405" s="55"/>
      <c r="AV405" s="55"/>
      <c r="BA405" s="775" t="s">
        <v>38</v>
      </c>
      <c r="BB405" s="839">
        <v>2010</v>
      </c>
      <c r="BC405" s="775" t="s">
        <v>44</v>
      </c>
      <c r="BD405" s="840">
        <v>0.5</v>
      </c>
      <c r="BH405" s="775" t="s">
        <v>38</v>
      </c>
      <c r="BI405" s="836" t="s">
        <v>133</v>
      </c>
      <c r="BJ405" s="775" t="s">
        <v>44</v>
      </c>
      <c r="BK405" s="776">
        <v>0.5</v>
      </c>
      <c r="BL405" s="775">
        <v>2009</v>
      </c>
      <c r="CL405" s="773"/>
      <c r="CM405" s="773"/>
      <c r="CN405" s="773"/>
      <c r="CO405" s="773"/>
      <c r="CP405" s="773"/>
      <c r="CQ405" s="773"/>
      <c r="CR405" s="773"/>
    </row>
    <row r="406" spans="35:96" ht="15.75">
      <c r="AI406" s="55"/>
      <c r="AJ406" s="55"/>
      <c r="AK406" s="55"/>
      <c r="AL406" s="55"/>
      <c r="AM406" s="55"/>
      <c r="AN406" s="55"/>
      <c r="AO406" s="55"/>
      <c r="AP406" s="55"/>
      <c r="AQ406" s="55"/>
      <c r="AR406" s="55"/>
      <c r="AS406" s="55"/>
      <c r="AT406" s="55"/>
      <c r="AU406" s="55"/>
      <c r="AV406" s="55"/>
      <c r="BA406" s="775" t="s">
        <v>38</v>
      </c>
      <c r="BB406" s="839">
        <v>2010</v>
      </c>
      <c r="BC406" s="775" t="s">
        <v>45</v>
      </c>
      <c r="BD406" s="841">
        <v>0</v>
      </c>
      <c r="BH406" s="775" t="s">
        <v>38</v>
      </c>
      <c r="BI406" s="836" t="s">
        <v>133</v>
      </c>
      <c r="BJ406" s="775" t="s">
        <v>45</v>
      </c>
      <c r="BK406" s="776">
        <v>0.1</v>
      </c>
      <c r="BL406" s="775">
        <v>2009</v>
      </c>
      <c r="CL406" s="773"/>
      <c r="CM406" s="773"/>
      <c r="CN406" s="773"/>
      <c r="CO406" s="773"/>
      <c r="CP406" s="773"/>
      <c r="CQ406" s="773"/>
      <c r="CR406" s="773"/>
    </row>
    <row r="407" spans="35:96" ht="15.75">
      <c r="AI407" s="55"/>
      <c r="AJ407" s="55"/>
      <c r="AK407" s="55"/>
      <c r="AL407" s="55"/>
      <c r="AM407" s="55"/>
      <c r="AN407" s="55"/>
      <c r="AO407" s="55"/>
      <c r="AP407" s="55"/>
      <c r="AQ407" s="55"/>
      <c r="AR407" s="55"/>
      <c r="AS407" s="55"/>
      <c r="AT407" s="55"/>
      <c r="AU407" s="55"/>
      <c r="AV407" s="55"/>
      <c r="BA407" s="775" t="s">
        <v>38</v>
      </c>
      <c r="BB407" s="839">
        <v>2010</v>
      </c>
      <c r="BC407" s="775" t="s">
        <v>48</v>
      </c>
      <c r="BD407" s="841">
        <v>65.400000000000006</v>
      </c>
      <c r="BH407" s="775" t="s">
        <v>38</v>
      </c>
      <c r="BI407" s="836" t="s">
        <v>133</v>
      </c>
      <c r="BJ407" s="775" t="s">
        <v>48</v>
      </c>
      <c r="BK407" s="776">
        <v>65.300000000000011</v>
      </c>
      <c r="BL407" s="775">
        <v>2009</v>
      </c>
      <c r="CL407" s="773"/>
      <c r="CM407" s="773"/>
      <c r="CN407" s="773"/>
      <c r="CO407" s="773"/>
      <c r="CP407" s="773"/>
      <c r="CQ407" s="773"/>
      <c r="CR407" s="773"/>
    </row>
    <row r="408" spans="35:96" ht="15.75">
      <c r="AI408" s="55"/>
      <c r="AJ408" s="55"/>
      <c r="AK408" s="55"/>
      <c r="AL408" s="55"/>
      <c r="AM408" s="55"/>
      <c r="AN408" s="55"/>
      <c r="AO408" s="55"/>
      <c r="AP408" s="55"/>
      <c r="AQ408" s="55"/>
      <c r="AR408" s="55"/>
      <c r="AS408" s="55"/>
      <c r="AT408" s="55"/>
      <c r="AU408" s="55"/>
      <c r="AV408" s="55"/>
      <c r="BA408" s="775" t="s">
        <v>38</v>
      </c>
      <c r="BB408" s="839">
        <v>2010</v>
      </c>
      <c r="BC408" s="775" t="s">
        <v>97</v>
      </c>
      <c r="BD408" s="841">
        <v>1401.7</v>
      </c>
      <c r="BH408" s="775" t="s">
        <v>38</v>
      </c>
      <c r="BI408" s="836" t="s">
        <v>133</v>
      </c>
      <c r="BJ408" s="775" t="s">
        <v>97</v>
      </c>
      <c r="BK408" s="776">
        <v>1244</v>
      </c>
      <c r="BL408" s="775">
        <v>2009</v>
      </c>
      <c r="CL408" s="773"/>
      <c r="CM408" s="773"/>
      <c r="CN408" s="773"/>
      <c r="CO408" s="773"/>
      <c r="CP408" s="773"/>
      <c r="CQ408" s="773"/>
      <c r="CR408" s="773"/>
    </row>
    <row r="409" spans="35:96" ht="15.75">
      <c r="AI409" s="55"/>
      <c r="AJ409" s="55"/>
      <c r="AK409" s="55"/>
      <c r="AL409" s="55"/>
      <c r="AM409" s="55"/>
      <c r="AN409" s="55"/>
      <c r="AO409" s="55"/>
      <c r="AP409" s="55"/>
      <c r="AQ409" s="55"/>
      <c r="AR409" s="55"/>
      <c r="AS409" s="55"/>
      <c r="AT409" s="55"/>
      <c r="AU409" s="55"/>
      <c r="AV409" s="55"/>
      <c r="BA409" s="775" t="s">
        <v>172</v>
      </c>
      <c r="BB409" s="839">
        <v>2010</v>
      </c>
      <c r="BC409" s="775" t="s">
        <v>15</v>
      </c>
      <c r="BD409" s="775">
        <f t="shared" ref="BD409:BD419" si="28">BD420-BD398</f>
        <v>195.60000000000002</v>
      </c>
      <c r="BH409" s="775" t="s">
        <v>172</v>
      </c>
      <c r="BI409" s="836" t="s">
        <v>133</v>
      </c>
      <c r="BJ409" s="775" t="s">
        <v>15</v>
      </c>
      <c r="BK409" s="775">
        <f t="shared" ref="BK409:BK419" si="29">BK420-BK398</f>
        <v>155.79999999999998</v>
      </c>
      <c r="BL409" s="775">
        <v>2009</v>
      </c>
      <c r="CL409" s="773"/>
      <c r="CM409" s="773"/>
      <c r="CN409" s="773"/>
      <c r="CO409" s="773"/>
      <c r="CP409" s="773"/>
      <c r="CQ409" s="773"/>
      <c r="CR409" s="773"/>
    </row>
    <row r="410" spans="35:96" ht="15.75">
      <c r="AI410" s="55"/>
      <c r="AJ410" s="55"/>
      <c r="AK410" s="55"/>
      <c r="AL410" s="55"/>
      <c r="AM410" s="55"/>
      <c r="AN410" s="55"/>
      <c r="AO410" s="55"/>
      <c r="AP410" s="55"/>
      <c r="AQ410" s="55"/>
      <c r="AR410" s="55"/>
      <c r="AS410" s="55"/>
      <c r="AT410" s="55"/>
      <c r="AU410" s="55"/>
      <c r="AV410" s="55"/>
      <c r="BA410" s="775" t="s">
        <v>172</v>
      </c>
      <c r="BB410" s="839">
        <v>2010</v>
      </c>
      <c r="BC410" s="775" t="s">
        <v>277</v>
      </c>
      <c r="BD410" s="775">
        <f t="shared" si="28"/>
        <v>38.299999999999997</v>
      </c>
      <c r="BH410" s="775" t="s">
        <v>172</v>
      </c>
      <c r="BI410" s="836" t="s">
        <v>133</v>
      </c>
      <c r="BJ410" s="775" t="s">
        <v>277</v>
      </c>
      <c r="BK410" s="775">
        <f t="shared" si="29"/>
        <v>30.1</v>
      </c>
      <c r="BL410" s="775">
        <v>2009</v>
      </c>
      <c r="CL410" s="773"/>
      <c r="CM410" s="773"/>
      <c r="CN410" s="773"/>
      <c r="CO410" s="773"/>
      <c r="CP410" s="773"/>
      <c r="CQ410" s="773"/>
      <c r="CR410" s="773"/>
    </row>
    <row r="411" spans="35:96" ht="15.75">
      <c r="AI411" s="55"/>
      <c r="AJ411" s="55"/>
      <c r="AK411" s="55"/>
      <c r="AL411" s="55"/>
      <c r="AM411" s="55"/>
      <c r="AN411" s="55"/>
      <c r="AO411" s="55"/>
      <c r="AP411" s="55"/>
      <c r="AQ411" s="55"/>
      <c r="AR411" s="55"/>
      <c r="AS411" s="55"/>
      <c r="AT411" s="55"/>
      <c r="AU411" s="55"/>
      <c r="AV411" s="55"/>
      <c r="BA411" s="775" t="s">
        <v>172</v>
      </c>
      <c r="BB411" s="839">
        <v>2010</v>
      </c>
      <c r="BC411" s="775" t="s">
        <v>1064</v>
      </c>
      <c r="BD411" s="775">
        <f t="shared" si="28"/>
        <v>7.9000000000000057</v>
      </c>
      <c r="BH411" s="775" t="s">
        <v>172</v>
      </c>
      <c r="BI411" s="836" t="s">
        <v>133</v>
      </c>
      <c r="BJ411" s="775" t="s">
        <v>1064</v>
      </c>
      <c r="BK411" s="775">
        <f t="shared" si="29"/>
        <v>9.2000000000000171</v>
      </c>
      <c r="BL411" s="775">
        <v>2009</v>
      </c>
      <c r="CL411" s="773"/>
      <c r="CM411" s="773"/>
      <c r="CN411" s="773"/>
      <c r="CO411" s="773"/>
      <c r="CP411" s="773"/>
      <c r="CQ411" s="773"/>
      <c r="CR411" s="773"/>
    </row>
    <row r="412" spans="35:96" ht="15.75">
      <c r="AI412" s="55"/>
      <c r="AJ412" s="55"/>
      <c r="AK412" s="55"/>
      <c r="AL412" s="55"/>
      <c r="AM412" s="55"/>
      <c r="AN412" s="55"/>
      <c r="AO412" s="55"/>
      <c r="AP412" s="55"/>
      <c r="AQ412" s="55"/>
      <c r="AR412" s="55"/>
      <c r="AS412" s="55"/>
      <c r="AT412" s="55"/>
      <c r="AU412" s="55"/>
      <c r="AV412" s="55"/>
      <c r="BA412" s="775" t="s">
        <v>172</v>
      </c>
      <c r="BB412" s="839">
        <v>2010</v>
      </c>
      <c r="BC412" s="775" t="s">
        <v>8</v>
      </c>
      <c r="BD412" s="775">
        <f t="shared" si="28"/>
        <v>212</v>
      </c>
      <c r="BH412" s="775" t="s">
        <v>172</v>
      </c>
      <c r="BI412" s="836" t="s">
        <v>133</v>
      </c>
      <c r="BJ412" s="775" t="s">
        <v>8</v>
      </c>
      <c r="BK412" s="775">
        <f t="shared" si="29"/>
        <v>226.89999999999998</v>
      </c>
      <c r="BL412" s="775">
        <v>2009</v>
      </c>
      <c r="CL412" s="773"/>
      <c r="CM412" s="773"/>
      <c r="CN412" s="773"/>
      <c r="CO412" s="773"/>
      <c r="CP412" s="773"/>
      <c r="CQ412" s="773"/>
      <c r="CR412" s="773"/>
    </row>
    <row r="413" spans="35:96" ht="15.75">
      <c r="AI413" s="55"/>
      <c r="AJ413" s="55"/>
      <c r="AK413" s="55"/>
      <c r="AL413" s="55"/>
      <c r="AM413" s="55"/>
      <c r="AN413" s="55"/>
      <c r="AO413" s="55"/>
      <c r="AP413" s="55"/>
      <c r="AQ413" s="55"/>
      <c r="AR413" s="55"/>
      <c r="AS413" s="55"/>
      <c r="AT413" s="55"/>
      <c r="AU413" s="55"/>
      <c r="AV413" s="55"/>
      <c r="BA413" s="775" t="s">
        <v>172</v>
      </c>
      <c r="BB413" s="839">
        <v>2010</v>
      </c>
      <c r="BC413" s="775" t="s">
        <v>96</v>
      </c>
      <c r="BD413" s="775">
        <f t="shared" si="28"/>
        <v>50.899999999999977</v>
      </c>
      <c r="BH413" s="775" t="s">
        <v>172</v>
      </c>
      <c r="BI413" s="836" t="s">
        <v>133</v>
      </c>
      <c r="BJ413" s="775" t="s">
        <v>96</v>
      </c>
      <c r="BK413" s="775">
        <f t="shared" si="29"/>
        <v>27.000000000000057</v>
      </c>
      <c r="BL413" s="775">
        <v>2009</v>
      </c>
      <c r="CL413" s="773"/>
      <c r="CM413" s="773"/>
      <c r="CN413" s="773"/>
      <c r="CO413" s="773"/>
      <c r="CP413" s="773"/>
      <c r="CQ413" s="773"/>
      <c r="CR413" s="773"/>
    </row>
    <row r="414" spans="35:96" ht="15.75">
      <c r="AI414" s="55"/>
      <c r="AJ414" s="55"/>
      <c r="AK414" s="55"/>
      <c r="AL414" s="55"/>
      <c r="AM414" s="55"/>
      <c r="AN414" s="55"/>
      <c r="AO414" s="55"/>
      <c r="AP414" s="55"/>
      <c r="AQ414" s="55"/>
      <c r="AR414" s="55"/>
      <c r="AS414" s="55"/>
      <c r="AT414" s="55"/>
      <c r="AU414" s="55"/>
      <c r="AV414" s="55"/>
      <c r="BA414" s="775" t="s">
        <v>172</v>
      </c>
      <c r="BB414" s="839">
        <v>2010</v>
      </c>
      <c r="BC414" s="775" t="s">
        <v>196</v>
      </c>
      <c r="BD414" s="775">
        <f t="shared" si="28"/>
        <v>-7.6</v>
      </c>
      <c r="BH414" s="775" t="s">
        <v>172</v>
      </c>
      <c r="BI414" s="836" t="s">
        <v>133</v>
      </c>
      <c r="BJ414" s="775" t="s">
        <v>196</v>
      </c>
      <c r="BK414" s="775">
        <f t="shared" si="29"/>
        <v>9.1</v>
      </c>
      <c r="BL414" s="775">
        <v>2009</v>
      </c>
      <c r="CL414" s="773"/>
      <c r="CM414" s="773"/>
      <c r="CN414" s="773"/>
      <c r="CO414" s="773"/>
      <c r="CP414" s="773"/>
      <c r="CQ414" s="773"/>
      <c r="CR414" s="773"/>
    </row>
    <row r="415" spans="35:96" ht="15.75">
      <c r="AI415" s="55"/>
      <c r="AJ415" s="55"/>
      <c r="AK415" s="55"/>
      <c r="AL415" s="55"/>
      <c r="AM415" s="55"/>
      <c r="AN415" s="55"/>
      <c r="AO415" s="55"/>
      <c r="AP415" s="55"/>
      <c r="AQ415" s="55"/>
      <c r="AR415" s="55"/>
      <c r="AS415" s="55"/>
      <c r="AT415" s="55"/>
      <c r="AU415" s="55"/>
      <c r="AV415" s="55"/>
      <c r="BA415" s="775" t="s">
        <v>172</v>
      </c>
      <c r="BB415" s="839">
        <v>2010</v>
      </c>
      <c r="BC415" s="775" t="s">
        <v>278</v>
      </c>
      <c r="BD415" s="775">
        <f t="shared" si="28"/>
        <v>106</v>
      </c>
      <c r="BH415" s="775" t="s">
        <v>172</v>
      </c>
      <c r="BI415" s="836" t="s">
        <v>133</v>
      </c>
      <c r="BJ415" s="775" t="s">
        <v>278</v>
      </c>
      <c r="BK415" s="775">
        <f t="shared" si="29"/>
        <v>113.69999999999999</v>
      </c>
      <c r="BL415" s="775">
        <v>2009</v>
      </c>
      <c r="CL415" s="773"/>
      <c r="CM415" s="773"/>
      <c r="CN415" s="773"/>
      <c r="CO415" s="773"/>
      <c r="CP415" s="773"/>
      <c r="CQ415" s="773"/>
      <c r="CR415" s="773"/>
    </row>
    <row r="416" spans="35:96" ht="15.75">
      <c r="AI416" s="55"/>
      <c r="AJ416" s="55"/>
      <c r="AK416" s="55"/>
      <c r="AL416" s="55"/>
      <c r="AM416" s="55"/>
      <c r="AN416" s="55"/>
      <c r="AO416" s="55"/>
      <c r="AP416" s="55"/>
      <c r="AQ416" s="55"/>
      <c r="AR416" s="55"/>
      <c r="AS416" s="55"/>
      <c r="AT416" s="55"/>
      <c r="AU416" s="55"/>
      <c r="AV416" s="55"/>
      <c r="BA416" s="775" t="s">
        <v>172</v>
      </c>
      <c r="BB416" s="839">
        <v>2010</v>
      </c>
      <c r="BC416" s="775" t="s">
        <v>44</v>
      </c>
      <c r="BD416" s="775">
        <f t="shared" si="28"/>
        <v>361.3</v>
      </c>
      <c r="BH416" s="775" t="s">
        <v>172</v>
      </c>
      <c r="BI416" s="836" t="s">
        <v>133</v>
      </c>
      <c r="BJ416" s="775" t="s">
        <v>44</v>
      </c>
      <c r="BK416" s="775">
        <f t="shared" si="29"/>
        <v>320.70000000000005</v>
      </c>
      <c r="BL416" s="775">
        <v>2009</v>
      </c>
      <c r="CL416" s="773"/>
      <c r="CM416" s="773"/>
      <c r="CN416" s="773"/>
      <c r="CO416" s="773"/>
      <c r="CP416" s="773"/>
      <c r="CQ416" s="773"/>
      <c r="CR416" s="773"/>
    </row>
    <row r="417" spans="35:96" ht="15.75">
      <c r="AI417" s="55"/>
      <c r="AJ417" s="55"/>
      <c r="AK417" s="55"/>
      <c r="AL417" s="55"/>
      <c r="AM417" s="55"/>
      <c r="AN417" s="55"/>
      <c r="AO417" s="55"/>
      <c r="AP417" s="55"/>
      <c r="AQ417" s="55"/>
      <c r="AR417" s="55"/>
      <c r="AS417" s="55"/>
      <c r="AT417" s="55"/>
      <c r="AU417" s="55"/>
      <c r="AV417" s="55"/>
      <c r="BA417" s="775" t="s">
        <v>172</v>
      </c>
      <c r="BB417" s="839">
        <v>2010</v>
      </c>
      <c r="BC417" s="775" t="s">
        <v>45</v>
      </c>
      <c r="BD417" s="775">
        <f t="shared" si="28"/>
        <v>0</v>
      </c>
      <c r="BH417" s="775" t="s">
        <v>172</v>
      </c>
      <c r="BI417" s="836" t="s">
        <v>133</v>
      </c>
      <c r="BJ417" s="775" t="s">
        <v>45</v>
      </c>
      <c r="BK417" s="775">
        <f t="shared" si="29"/>
        <v>3.6</v>
      </c>
      <c r="BL417" s="775">
        <v>2009</v>
      </c>
      <c r="CL417" s="773"/>
      <c r="CM417" s="773"/>
      <c r="CN417" s="773"/>
      <c r="CO417" s="773"/>
      <c r="CP417" s="773"/>
      <c r="CQ417" s="773"/>
      <c r="CR417" s="773"/>
    </row>
    <row r="418" spans="35:96" ht="15.75">
      <c r="AI418" s="55"/>
      <c r="AJ418" s="55"/>
      <c r="AK418" s="55"/>
      <c r="AL418" s="55"/>
      <c r="AM418" s="55"/>
      <c r="AN418" s="55"/>
      <c r="AO418" s="55"/>
      <c r="AP418" s="55"/>
      <c r="AQ418" s="55"/>
      <c r="AR418" s="55"/>
      <c r="AS418" s="55"/>
      <c r="AT418" s="55"/>
      <c r="AU418" s="55"/>
      <c r="AV418" s="55"/>
      <c r="BA418" s="775" t="s">
        <v>172</v>
      </c>
      <c r="BB418" s="839">
        <v>2010</v>
      </c>
      <c r="BC418" s="775" t="s">
        <v>48</v>
      </c>
      <c r="BD418" s="775">
        <f t="shared" si="28"/>
        <v>97.200000000000017</v>
      </c>
      <c r="BH418" s="775" t="s">
        <v>172</v>
      </c>
      <c r="BI418" s="836" t="s">
        <v>133</v>
      </c>
      <c r="BJ418" s="775" t="s">
        <v>48</v>
      </c>
      <c r="BK418" s="775">
        <f t="shared" si="29"/>
        <v>81.799999999999983</v>
      </c>
      <c r="BL418" s="775">
        <v>2009</v>
      </c>
      <c r="CL418" s="773"/>
      <c r="CM418" s="773"/>
      <c r="CN418" s="773"/>
      <c r="CO418" s="773"/>
      <c r="CP418" s="773"/>
      <c r="CQ418" s="773"/>
      <c r="CR418" s="773"/>
    </row>
    <row r="419" spans="35:96" ht="15.75">
      <c r="AI419" s="55"/>
      <c r="AJ419" s="55"/>
      <c r="AK419" s="55"/>
      <c r="AL419" s="55"/>
      <c r="AM419" s="55"/>
      <c r="AN419" s="55"/>
      <c r="AO419" s="55"/>
      <c r="AP419" s="55"/>
      <c r="AQ419" s="55"/>
      <c r="AR419" s="55"/>
      <c r="AS419" s="55"/>
      <c r="AT419" s="55"/>
      <c r="AU419" s="55"/>
      <c r="AV419" s="55"/>
      <c r="BA419" s="775" t="s">
        <v>172</v>
      </c>
      <c r="BB419" s="839">
        <v>2010</v>
      </c>
      <c r="BC419" s="775" t="s">
        <v>97</v>
      </c>
      <c r="BD419" s="775">
        <f t="shared" si="28"/>
        <v>1088.5000000000002</v>
      </c>
      <c r="BH419" s="775" t="s">
        <v>172</v>
      </c>
      <c r="BI419" s="836" t="s">
        <v>133</v>
      </c>
      <c r="BJ419" s="775" t="s">
        <v>97</v>
      </c>
      <c r="BK419" s="775">
        <f t="shared" si="29"/>
        <v>988.59999999999991</v>
      </c>
      <c r="BL419" s="775">
        <v>2009</v>
      </c>
      <c r="CL419" s="773"/>
      <c r="CM419" s="773"/>
      <c r="CN419" s="773"/>
      <c r="CO419" s="773"/>
      <c r="CP419" s="773"/>
      <c r="CQ419" s="773"/>
      <c r="CR419" s="773"/>
    </row>
    <row r="420" spans="35:96" ht="15.75">
      <c r="AI420" s="55"/>
      <c r="AJ420" s="55"/>
      <c r="AK420" s="55"/>
      <c r="AL420" s="55"/>
      <c r="AM420" s="55"/>
      <c r="AN420" s="55"/>
      <c r="AO420" s="55"/>
      <c r="AP420" s="55"/>
      <c r="AQ420" s="55"/>
      <c r="AR420" s="55"/>
      <c r="AS420" s="55"/>
      <c r="AT420" s="55"/>
      <c r="AU420" s="55"/>
      <c r="AV420" s="55"/>
      <c r="BA420" s="775" t="s">
        <v>170</v>
      </c>
      <c r="BB420" s="839">
        <v>2010</v>
      </c>
      <c r="BC420" s="775" t="s">
        <v>15</v>
      </c>
      <c r="BD420" s="775">
        <v>261.40000000000003</v>
      </c>
      <c r="BH420" s="775" t="s">
        <v>170</v>
      </c>
      <c r="BI420" s="836" t="s">
        <v>133</v>
      </c>
      <c r="BJ420" s="775" t="s">
        <v>15</v>
      </c>
      <c r="BK420" s="838">
        <v>201.7</v>
      </c>
      <c r="BL420" s="775">
        <v>2009</v>
      </c>
      <c r="CL420" s="773"/>
      <c r="CM420" s="773"/>
      <c r="CN420" s="773"/>
      <c r="CO420" s="773"/>
      <c r="CP420" s="773"/>
      <c r="CQ420" s="773"/>
      <c r="CR420" s="773"/>
    </row>
    <row r="421" spans="35:96" ht="15.75">
      <c r="AI421" s="55"/>
      <c r="AJ421" s="55"/>
      <c r="AK421" s="55"/>
      <c r="AL421" s="55"/>
      <c r="AM421" s="55"/>
      <c r="AN421" s="55"/>
      <c r="AO421" s="55"/>
      <c r="AP421" s="55"/>
      <c r="AQ421" s="55"/>
      <c r="AR421" s="55"/>
      <c r="AS421" s="55"/>
      <c r="AT421" s="55"/>
      <c r="AU421" s="55"/>
      <c r="AV421" s="55"/>
      <c r="BA421" s="775" t="s">
        <v>170</v>
      </c>
      <c r="BB421" s="839">
        <v>2010</v>
      </c>
      <c r="BC421" s="775" t="s">
        <v>277</v>
      </c>
      <c r="BD421" s="775">
        <v>66.599999999999994</v>
      </c>
      <c r="BH421" s="775" t="s">
        <v>170</v>
      </c>
      <c r="BI421" s="836" t="s">
        <v>133</v>
      </c>
      <c r="BJ421" s="775" t="s">
        <v>277</v>
      </c>
      <c r="BK421" s="838">
        <v>51.6</v>
      </c>
      <c r="BL421" s="775">
        <v>2009</v>
      </c>
      <c r="CL421" s="773"/>
      <c r="CM421" s="773"/>
      <c r="CN421" s="773"/>
      <c r="CO421" s="773"/>
      <c r="CP421" s="773"/>
      <c r="CQ421" s="773"/>
      <c r="CR421" s="773"/>
    </row>
    <row r="422" spans="35:96" ht="15.75">
      <c r="AI422" s="55"/>
      <c r="AJ422" s="55"/>
      <c r="AK422" s="55"/>
      <c r="AL422" s="55"/>
      <c r="AM422" s="55"/>
      <c r="AN422" s="55"/>
      <c r="AO422" s="55"/>
      <c r="AP422" s="55"/>
      <c r="AQ422" s="55"/>
      <c r="AR422" s="55"/>
      <c r="AS422" s="55"/>
      <c r="AT422" s="55"/>
      <c r="AU422" s="55"/>
      <c r="AV422" s="55"/>
      <c r="BA422" s="775" t="s">
        <v>170</v>
      </c>
      <c r="BB422" s="839">
        <v>2010</v>
      </c>
      <c r="BC422" s="775" t="s">
        <v>1064</v>
      </c>
      <c r="BD422" s="775">
        <v>235.70000000000002</v>
      </c>
      <c r="BH422" s="775" t="s">
        <v>170</v>
      </c>
      <c r="BI422" s="836" t="s">
        <v>133</v>
      </c>
      <c r="BJ422" s="775" t="s">
        <v>1064</v>
      </c>
      <c r="BK422" s="838">
        <v>203.9</v>
      </c>
      <c r="BL422" s="775">
        <v>2009</v>
      </c>
      <c r="CL422" s="773"/>
      <c r="CM422" s="773"/>
      <c r="CN422" s="773"/>
      <c r="CO422" s="773"/>
      <c r="CP422" s="773"/>
      <c r="CQ422" s="773"/>
      <c r="CR422" s="773"/>
    </row>
    <row r="423" spans="35:96" ht="15.75">
      <c r="AI423" s="55"/>
      <c r="AJ423" s="55"/>
      <c r="AK423" s="55"/>
      <c r="AL423" s="55"/>
      <c r="AM423" s="55"/>
      <c r="AN423" s="55"/>
      <c r="AO423" s="55"/>
      <c r="AP423" s="55"/>
      <c r="AQ423" s="55"/>
      <c r="AR423" s="55"/>
      <c r="AS423" s="55"/>
      <c r="AT423" s="55"/>
      <c r="AU423" s="55"/>
      <c r="AV423" s="55"/>
      <c r="BA423" s="775" t="s">
        <v>170</v>
      </c>
      <c r="BB423" s="839">
        <v>2010</v>
      </c>
      <c r="BC423" s="775" t="s">
        <v>8</v>
      </c>
      <c r="BD423" s="775">
        <v>624.1</v>
      </c>
      <c r="BH423" s="775" t="s">
        <v>170</v>
      </c>
      <c r="BI423" s="836" t="s">
        <v>133</v>
      </c>
      <c r="BJ423" s="775" t="s">
        <v>8</v>
      </c>
      <c r="BK423" s="838">
        <v>575.4</v>
      </c>
      <c r="BL423" s="775">
        <v>2009</v>
      </c>
      <c r="CL423" s="773"/>
      <c r="CM423" s="773"/>
      <c r="CN423" s="773"/>
      <c r="CO423" s="773"/>
      <c r="CP423" s="773"/>
      <c r="CQ423" s="773"/>
      <c r="CR423" s="773"/>
    </row>
    <row r="424" spans="35:96" ht="15.75">
      <c r="AI424" s="55"/>
      <c r="AJ424" s="55"/>
      <c r="AK424" s="55"/>
      <c r="AL424" s="55"/>
      <c r="AM424" s="55"/>
      <c r="AN424" s="55"/>
      <c r="AO424" s="55"/>
      <c r="AP424" s="55"/>
      <c r="AQ424" s="55"/>
      <c r="AR424" s="55"/>
      <c r="AS424" s="55"/>
      <c r="AT424" s="55"/>
      <c r="AU424" s="55"/>
      <c r="AV424" s="55"/>
      <c r="BA424" s="775" t="s">
        <v>170</v>
      </c>
      <c r="BB424" s="839">
        <v>2010</v>
      </c>
      <c r="BC424" s="775" t="s">
        <v>96</v>
      </c>
      <c r="BD424" s="775">
        <v>553.29999999999995</v>
      </c>
      <c r="BH424" s="775" t="s">
        <v>170</v>
      </c>
      <c r="BI424" s="836" t="s">
        <v>133</v>
      </c>
      <c r="BJ424" s="775" t="s">
        <v>96</v>
      </c>
      <c r="BK424" s="838">
        <v>524.1</v>
      </c>
      <c r="BL424" s="775">
        <v>2009</v>
      </c>
      <c r="CL424" s="773"/>
      <c r="CM424" s="773"/>
      <c r="CN424" s="773"/>
      <c r="CO424" s="773"/>
      <c r="CP424" s="773"/>
      <c r="CQ424" s="773"/>
      <c r="CR424" s="773"/>
    </row>
    <row r="425" spans="35:96" ht="15.75">
      <c r="AI425" s="55"/>
      <c r="AJ425" s="55"/>
      <c r="AK425" s="55"/>
      <c r="AL425" s="55"/>
      <c r="AM425" s="55"/>
      <c r="AN425" s="55"/>
      <c r="AO425" s="55"/>
      <c r="AP425" s="55"/>
      <c r="AQ425" s="55"/>
      <c r="AR425" s="55"/>
      <c r="AS425" s="55"/>
      <c r="AT425" s="55"/>
      <c r="AU425" s="55"/>
      <c r="AV425" s="55"/>
      <c r="BA425" s="775" t="s">
        <v>170</v>
      </c>
      <c r="BB425" s="839">
        <v>2010</v>
      </c>
      <c r="BC425" s="775" t="s">
        <v>196</v>
      </c>
      <c r="BD425" s="775">
        <v>0</v>
      </c>
      <c r="BH425" s="775" t="s">
        <v>170</v>
      </c>
      <c r="BI425" s="836" t="s">
        <v>133</v>
      </c>
      <c r="BJ425" s="775" t="s">
        <v>196</v>
      </c>
      <c r="BK425" s="838">
        <v>16</v>
      </c>
      <c r="BL425" s="775">
        <v>2009</v>
      </c>
      <c r="CL425" s="773"/>
      <c r="CM425" s="773"/>
      <c r="CN425" s="773"/>
      <c r="CO425" s="773"/>
      <c r="CP425" s="773"/>
      <c r="CQ425" s="773"/>
      <c r="CR425" s="773"/>
    </row>
    <row r="426" spans="35:96" ht="15.75">
      <c r="AI426" s="55"/>
      <c r="AJ426" s="55"/>
      <c r="AK426" s="55"/>
      <c r="AL426" s="55"/>
      <c r="AM426" s="55"/>
      <c r="AN426" s="55"/>
      <c r="AO426" s="55"/>
      <c r="AP426" s="55"/>
      <c r="AQ426" s="55"/>
      <c r="AR426" s="55"/>
      <c r="AS426" s="55"/>
      <c r="AT426" s="55"/>
      <c r="AU426" s="55"/>
      <c r="AV426" s="55"/>
      <c r="BA426" s="775" t="s">
        <v>170</v>
      </c>
      <c r="BB426" s="839">
        <v>2010</v>
      </c>
      <c r="BC426" s="775" t="s">
        <v>278</v>
      </c>
      <c r="BD426" s="775">
        <v>190</v>
      </c>
      <c r="BH426" s="775" t="s">
        <v>170</v>
      </c>
      <c r="BI426" s="836" t="s">
        <v>133</v>
      </c>
      <c r="BJ426" s="775" t="s">
        <v>278</v>
      </c>
      <c r="BK426" s="838">
        <v>169.1</v>
      </c>
      <c r="BL426" s="775">
        <v>2009</v>
      </c>
      <c r="CL426" s="773"/>
      <c r="CM426" s="773"/>
      <c r="CN426" s="773"/>
      <c r="CO426" s="773"/>
      <c r="CP426" s="773"/>
      <c r="CQ426" s="773"/>
      <c r="CR426" s="773"/>
    </row>
    <row r="427" spans="35:96" ht="15.75">
      <c r="AI427" s="55"/>
      <c r="AJ427" s="55"/>
      <c r="AK427" s="55"/>
      <c r="AL427" s="55"/>
      <c r="AM427" s="55"/>
      <c r="AN427" s="55"/>
      <c r="AO427" s="55"/>
      <c r="AP427" s="55"/>
      <c r="AQ427" s="55"/>
      <c r="AR427" s="55"/>
      <c r="AS427" s="55"/>
      <c r="AT427" s="55"/>
      <c r="AU427" s="55"/>
      <c r="AV427" s="55"/>
      <c r="BA427" s="775" t="s">
        <v>170</v>
      </c>
      <c r="BB427" s="839">
        <v>2010</v>
      </c>
      <c r="BC427" s="775" t="s">
        <v>44</v>
      </c>
      <c r="BD427" s="775">
        <v>361.8</v>
      </c>
      <c r="BH427" s="775" t="s">
        <v>170</v>
      </c>
      <c r="BI427" s="836" t="s">
        <v>133</v>
      </c>
      <c r="BJ427" s="775" t="s">
        <v>44</v>
      </c>
      <c r="BK427" s="838">
        <v>321.20000000000005</v>
      </c>
      <c r="BL427" s="775">
        <v>2009</v>
      </c>
      <c r="CL427" s="773"/>
      <c r="CM427" s="773"/>
      <c r="CN427" s="773"/>
      <c r="CO427" s="773"/>
      <c r="CP427" s="773"/>
      <c r="CQ427" s="773"/>
      <c r="CR427" s="773"/>
    </row>
    <row r="428" spans="35:96" ht="15.75">
      <c r="AI428" s="55"/>
      <c r="AJ428" s="55"/>
      <c r="AK428" s="55"/>
      <c r="AL428" s="55"/>
      <c r="AM428" s="55"/>
      <c r="AN428" s="55"/>
      <c r="AO428" s="55"/>
      <c r="AP428" s="55"/>
      <c r="AQ428" s="55"/>
      <c r="AR428" s="55"/>
      <c r="AS428" s="55"/>
      <c r="AT428" s="55"/>
      <c r="AU428" s="55"/>
      <c r="AV428" s="55"/>
      <c r="BA428" s="775" t="s">
        <v>170</v>
      </c>
      <c r="BB428" s="839">
        <v>2010</v>
      </c>
      <c r="BC428" s="775" t="s">
        <v>45</v>
      </c>
      <c r="BD428" s="775">
        <v>0</v>
      </c>
      <c r="BH428" s="775" t="s">
        <v>170</v>
      </c>
      <c r="BI428" s="836" t="s">
        <v>133</v>
      </c>
      <c r="BJ428" s="775" t="s">
        <v>45</v>
      </c>
      <c r="BK428" s="838">
        <v>3.7</v>
      </c>
      <c r="BL428" s="775">
        <v>2009</v>
      </c>
      <c r="CL428" s="773"/>
      <c r="CM428" s="773"/>
      <c r="CN428" s="773"/>
      <c r="CO428" s="773"/>
      <c r="CP428" s="773"/>
      <c r="CQ428" s="773"/>
      <c r="CR428" s="773"/>
    </row>
    <row r="429" spans="35:96" ht="15.75">
      <c r="AI429" s="55"/>
      <c r="AJ429" s="55"/>
      <c r="AK429" s="55"/>
      <c r="AL429" s="55"/>
      <c r="AM429" s="55"/>
      <c r="AN429" s="55"/>
      <c r="AO429" s="55"/>
      <c r="AP429" s="55"/>
      <c r="AQ429" s="55"/>
      <c r="AR429" s="55"/>
      <c r="AS429" s="55"/>
      <c r="AT429" s="55"/>
      <c r="AU429" s="55"/>
      <c r="AV429" s="55"/>
      <c r="BA429" s="775" t="s">
        <v>170</v>
      </c>
      <c r="BB429" s="839">
        <v>2010</v>
      </c>
      <c r="BC429" s="775" t="s">
        <v>48</v>
      </c>
      <c r="BD429" s="775">
        <v>162.60000000000002</v>
      </c>
      <c r="BH429" s="775" t="s">
        <v>170</v>
      </c>
      <c r="BI429" s="836" t="s">
        <v>133</v>
      </c>
      <c r="BJ429" s="775" t="s">
        <v>48</v>
      </c>
      <c r="BK429" s="838">
        <v>147.1</v>
      </c>
      <c r="BL429" s="775">
        <v>2009</v>
      </c>
      <c r="CL429" s="773"/>
      <c r="CM429" s="773"/>
      <c r="CN429" s="773"/>
      <c r="CO429" s="773"/>
      <c r="CP429" s="773"/>
      <c r="CQ429" s="773"/>
      <c r="CR429" s="773"/>
    </row>
    <row r="430" spans="35:96" ht="15.75">
      <c r="AI430" s="55"/>
      <c r="AJ430" s="55"/>
      <c r="AK430" s="55"/>
      <c r="AL430" s="55"/>
      <c r="AM430" s="55"/>
      <c r="AN430" s="55"/>
      <c r="AO430" s="55"/>
      <c r="AP430" s="55"/>
      <c r="AQ430" s="55"/>
      <c r="AR430" s="55"/>
      <c r="AS430" s="55"/>
      <c r="AT430" s="55"/>
      <c r="AU430" s="55"/>
      <c r="AV430" s="55"/>
      <c r="BA430" s="775" t="s">
        <v>170</v>
      </c>
      <c r="BB430" s="839">
        <v>2010</v>
      </c>
      <c r="BC430" s="775" t="s">
        <v>97</v>
      </c>
      <c r="BD430" s="775">
        <v>2490.2000000000003</v>
      </c>
      <c r="BH430" s="775" t="s">
        <v>170</v>
      </c>
      <c r="BI430" s="836" t="s">
        <v>133</v>
      </c>
      <c r="BJ430" s="775" t="s">
        <v>97</v>
      </c>
      <c r="BK430" s="838">
        <v>2232.6</v>
      </c>
      <c r="BL430" s="775">
        <v>2009</v>
      </c>
      <c r="CL430" s="773"/>
      <c r="CM430" s="773"/>
      <c r="CN430" s="773"/>
      <c r="CO430" s="773"/>
      <c r="CP430" s="773"/>
      <c r="CQ430" s="773"/>
      <c r="CR430" s="773"/>
    </row>
    <row r="431" spans="35:96" ht="15.75">
      <c r="AI431" s="55"/>
      <c r="AJ431" s="55"/>
      <c r="AK431" s="55"/>
      <c r="AL431" s="55"/>
      <c r="AM431" s="55"/>
      <c r="AN431" s="55"/>
      <c r="AO431" s="55"/>
      <c r="AP431" s="55"/>
      <c r="AQ431" s="55"/>
      <c r="AR431" s="55"/>
      <c r="AS431" s="55"/>
      <c r="AT431" s="55"/>
      <c r="AU431" s="55"/>
      <c r="AV431" s="55"/>
      <c r="BA431" s="775" t="s">
        <v>38</v>
      </c>
      <c r="BB431" s="839">
        <v>2011</v>
      </c>
      <c r="BC431" s="775" t="s">
        <v>15</v>
      </c>
      <c r="BD431" s="840">
        <v>77.800000000000011</v>
      </c>
      <c r="BH431" s="775" t="s">
        <v>38</v>
      </c>
      <c r="BI431" s="836" t="s">
        <v>134</v>
      </c>
      <c r="BJ431" s="775" t="s">
        <v>15</v>
      </c>
      <c r="BK431" s="776">
        <v>78.699999999999989</v>
      </c>
      <c r="BL431" s="775">
        <v>2010</v>
      </c>
      <c r="CL431" s="773"/>
      <c r="CM431" s="773"/>
      <c r="CN431" s="773"/>
      <c r="CO431" s="773"/>
      <c r="CP431" s="773"/>
      <c r="CQ431" s="773"/>
      <c r="CR431" s="773"/>
    </row>
    <row r="432" spans="35:96" ht="15.75">
      <c r="AI432" s="55"/>
      <c r="AJ432" s="55"/>
      <c r="AK432" s="55"/>
      <c r="AL432" s="55"/>
      <c r="AM432" s="55"/>
      <c r="AN432" s="55"/>
      <c r="AO432" s="55"/>
      <c r="AP432" s="55"/>
      <c r="AQ432" s="55"/>
      <c r="AR432" s="55"/>
      <c r="AS432" s="55"/>
      <c r="AT432" s="55"/>
      <c r="AU432" s="55"/>
      <c r="AV432" s="55"/>
      <c r="BA432" s="775" t="s">
        <v>38</v>
      </c>
      <c r="BB432" s="839">
        <v>2011</v>
      </c>
      <c r="BC432" s="775" t="s">
        <v>277</v>
      </c>
      <c r="BD432" s="840">
        <v>19.3</v>
      </c>
      <c r="BH432" s="775" t="s">
        <v>38</v>
      </c>
      <c r="BI432" s="836" t="s">
        <v>134</v>
      </c>
      <c r="BJ432" s="775" t="s">
        <v>277</v>
      </c>
      <c r="BK432" s="776">
        <v>25.4</v>
      </c>
      <c r="BL432" s="775">
        <v>2010</v>
      </c>
      <c r="CL432" s="773"/>
      <c r="CM432" s="773"/>
      <c r="CN432" s="773"/>
      <c r="CO432" s="773"/>
      <c r="CP432" s="773"/>
      <c r="CQ432" s="773"/>
      <c r="CR432" s="773"/>
    </row>
    <row r="433" spans="35:96" ht="15.75">
      <c r="AI433" s="55"/>
      <c r="AJ433" s="55"/>
      <c r="AK433" s="55"/>
      <c r="AL433" s="55"/>
      <c r="AM433" s="55"/>
      <c r="AN433" s="55"/>
      <c r="AO433" s="55"/>
      <c r="AP433" s="55"/>
      <c r="AQ433" s="55"/>
      <c r="AR433" s="55"/>
      <c r="AS433" s="55"/>
      <c r="AT433" s="55"/>
      <c r="AU433" s="55"/>
      <c r="AV433" s="55"/>
      <c r="BA433" s="775" t="s">
        <v>38</v>
      </c>
      <c r="BB433" s="839">
        <v>2011</v>
      </c>
      <c r="BC433" s="775" t="s">
        <v>1064</v>
      </c>
      <c r="BD433" s="840">
        <v>251.99999999999997</v>
      </c>
      <c r="BH433" s="775" t="s">
        <v>38</v>
      </c>
      <c r="BI433" s="836" t="s">
        <v>134</v>
      </c>
      <c r="BJ433" s="775" t="s">
        <v>1064</v>
      </c>
      <c r="BK433" s="776">
        <v>261.10000000000002</v>
      </c>
      <c r="BL433" s="775">
        <v>2010</v>
      </c>
      <c r="CL433" s="773"/>
      <c r="CM433" s="773"/>
      <c r="CN433" s="773"/>
      <c r="CO433" s="773"/>
      <c r="CP433" s="773"/>
      <c r="CQ433" s="773"/>
      <c r="CR433" s="773"/>
    </row>
    <row r="434" spans="35:96" ht="15.75">
      <c r="AI434" s="55"/>
      <c r="AJ434" s="55"/>
      <c r="AK434" s="55"/>
      <c r="AL434" s="55"/>
      <c r="AM434" s="55"/>
      <c r="AN434" s="55"/>
      <c r="AO434" s="55"/>
      <c r="AP434" s="55"/>
      <c r="AQ434" s="55"/>
      <c r="AR434" s="55"/>
      <c r="AS434" s="55"/>
      <c r="AT434" s="55"/>
      <c r="AU434" s="55"/>
      <c r="AV434" s="55"/>
      <c r="BA434" s="775" t="s">
        <v>38</v>
      </c>
      <c r="BB434" s="839">
        <v>2011</v>
      </c>
      <c r="BC434" s="775" t="s">
        <v>8</v>
      </c>
      <c r="BD434" s="840">
        <v>499</v>
      </c>
      <c r="BH434" s="775" t="s">
        <v>38</v>
      </c>
      <c r="BI434" s="836" t="s">
        <v>134</v>
      </c>
      <c r="BJ434" s="775" t="s">
        <v>8</v>
      </c>
      <c r="BK434" s="776">
        <v>452.50000000000006</v>
      </c>
      <c r="BL434" s="775">
        <v>2010</v>
      </c>
      <c r="CL434" s="773"/>
      <c r="CM434" s="773"/>
      <c r="CN434" s="773"/>
      <c r="CO434" s="773"/>
      <c r="CP434" s="773"/>
      <c r="CQ434" s="773"/>
      <c r="CR434" s="773"/>
    </row>
    <row r="435" spans="35:96" ht="15.75">
      <c r="AI435" s="55"/>
      <c r="AJ435" s="55"/>
      <c r="AK435" s="55"/>
      <c r="AL435" s="55"/>
      <c r="AM435" s="55"/>
      <c r="AN435" s="55"/>
      <c r="AO435" s="55"/>
      <c r="AP435" s="55"/>
      <c r="AQ435" s="55"/>
      <c r="AR435" s="55"/>
      <c r="AS435" s="55"/>
      <c r="AT435" s="55"/>
      <c r="AU435" s="55"/>
      <c r="AV435" s="55"/>
      <c r="BA435" s="775" t="s">
        <v>38</v>
      </c>
      <c r="BB435" s="839">
        <v>2011</v>
      </c>
      <c r="BC435" s="775" t="s">
        <v>96</v>
      </c>
      <c r="BD435" s="840">
        <v>802.40000000000009</v>
      </c>
      <c r="BH435" s="775" t="s">
        <v>38</v>
      </c>
      <c r="BI435" s="836" t="s">
        <v>134</v>
      </c>
      <c r="BJ435" s="775" t="s">
        <v>96</v>
      </c>
      <c r="BK435" s="776">
        <v>585</v>
      </c>
      <c r="BL435" s="775">
        <v>2010</v>
      </c>
      <c r="CL435" s="773"/>
      <c r="CM435" s="773"/>
      <c r="CN435" s="773"/>
      <c r="CO435" s="773"/>
      <c r="CP435" s="773"/>
      <c r="CQ435" s="773"/>
      <c r="CR435" s="773"/>
    </row>
    <row r="436" spans="35:96" ht="15.75">
      <c r="AI436" s="55"/>
      <c r="AJ436" s="55"/>
      <c r="AK436" s="55"/>
      <c r="AL436" s="55"/>
      <c r="AM436" s="55"/>
      <c r="AN436" s="55"/>
      <c r="AO436" s="55"/>
      <c r="AP436" s="55"/>
      <c r="AQ436" s="55"/>
      <c r="AR436" s="55"/>
      <c r="AS436" s="55"/>
      <c r="AT436" s="55"/>
      <c r="AU436" s="55"/>
      <c r="AV436" s="55"/>
      <c r="BA436" s="775" t="s">
        <v>38</v>
      </c>
      <c r="BB436" s="839">
        <v>2011</v>
      </c>
      <c r="BC436" s="775" t="s">
        <v>196</v>
      </c>
      <c r="BD436" s="840">
        <v>11.700000000000001</v>
      </c>
      <c r="BH436" s="775" t="s">
        <v>38</v>
      </c>
      <c r="BI436" s="836" t="s">
        <v>134</v>
      </c>
      <c r="BJ436" s="775" t="s">
        <v>196</v>
      </c>
      <c r="BK436" s="776">
        <v>10.8</v>
      </c>
      <c r="BL436" s="775">
        <v>2010</v>
      </c>
      <c r="CL436" s="773"/>
      <c r="CM436" s="773"/>
      <c r="CN436" s="773"/>
      <c r="CO436" s="773"/>
      <c r="CP436" s="773"/>
      <c r="CQ436" s="773"/>
      <c r="CR436" s="773"/>
    </row>
    <row r="437" spans="35:96" ht="15.75">
      <c r="AI437" s="55"/>
      <c r="AJ437" s="55"/>
      <c r="AK437" s="55"/>
      <c r="AL437" s="55"/>
      <c r="AM437" s="55"/>
      <c r="AN437" s="55"/>
      <c r="AO437" s="55"/>
      <c r="AP437" s="55"/>
      <c r="AQ437" s="55"/>
      <c r="AR437" s="55"/>
      <c r="AS437" s="55"/>
      <c r="AT437" s="55"/>
      <c r="AU437" s="55"/>
      <c r="AV437" s="55"/>
      <c r="BA437" s="775" t="s">
        <v>38</v>
      </c>
      <c r="BB437" s="839">
        <v>2011</v>
      </c>
      <c r="BC437" s="775" t="s">
        <v>278</v>
      </c>
      <c r="BD437" s="840">
        <v>89.999999999999986</v>
      </c>
      <c r="BH437" s="775" t="s">
        <v>38</v>
      </c>
      <c r="BI437" s="836" t="s">
        <v>134</v>
      </c>
      <c r="BJ437" s="775" t="s">
        <v>278</v>
      </c>
      <c r="BK437" s="776">
        <v>100.7</v>
      </c>
      <c r="BL437" s="775">
        <v>2010</v>
      </c>
      <c r="CL437" s="773"/>
      <c r="CM437" s="773"/>
      <c r="CN437" s="773"/>
      <c r="CO437" s="773"/>
      <c r="CP437" s="773"/>
      <c r="CQ437" s="773"/>
      <c r="CR437" s="773"/>
    </row>
    <row r="438" spans="35:96" ht="15.75">
      <c r="AI438" s="55"/>
      <c r="AJ438" s="55"/>
      <c r="AK438" s="55"/>
      <c r="AL438" s="55"/>
      <c r="AM438" s="55"/>
      <c r="AN438" s="55"/>
      <c r="AO438" s="55"/>
      <c r="AP438" s="55"/>
      <c r="AQ438" s="55"/>
      <c r="AR438" s="55"/>
      <c r="AS438" s="55"/>
      <c r="AT438" s="55"/>
      <c r="AU438" s="55"/>
      <c r="AV438" s="55"/>
      <c r="BA438" s="775" t="s">
        <v>38</v>
      </c>
      <c r="BB438" s="839">
        <v>2011</v>
      </c>
      <c r="BC438" s="775" t="s">
        <v>44</v>
      </c>
      <c r="BD438" s="840">
        <v>0</v>
      </c>
      <c r="BH438" s="775" t="s">
        <v>38</v>
      </c>
      <c r="BI438" s="836" t="s">
        <v>134</v>
      </c>
      <c r="BJ438" s="775" t="s">
        <v>44</v>
      </c>
      <c r="BK438" s="776">
        <v>0</v>
      </c>
      <c r="BL438" s="775">
        <v>2010</v>
      </c>
      <c r="CL438" s="773"/>
      <c r="CM438" s="773"/>
      <c r="CN438" s="773"/>
      <c r="CO438" s="773"/>
      <c r="CP438" s="773"/>
      <c r="CQ438" s="773"/>
      <c r="CR438" s="773"/>
    </row>
    <row r="439" spans="35:96" ht="15.75">
      <c r="AI439" s="55"/>
      <c r="AJ439" s="55"/>
      <c r="AK439" s="55"/>
      <c r="AL439" s="55"/>
      <c r="AM439" s="55"/>
      <c r="AN439" s="55"/>
      <c r="AO439" s="55"/>
      <c r="AP439" s="55"/>
      <c r="AQ439" s="55"/>
      <c r="AR439" s="55"/>
      <c r="AS439" s="55"/>
      <c r="AT439" s="55"/>
      <c r="AU439" s="55"/>
      <c r="AV439" s="55"/>
      <c r="BA439" s="775" t="s">
        <v>38</v>
      </c>
      <c r="BB439" s="839">
        <v>2011</v>
      </c>
      <c r="BC439" s="775" t="s">
        <v>45</v>
      </c>
      <c r="BD439" s="841">
        <v>0</v>
      </c>
      <c r="BH439" s="775" t="s">
        <v>38</v>
      </c>
      <c r="BI439" s="836" t="s">
        <v>134</v>
      </c>
      <c r="BJ439" s="775" t="s">
        <v>45</v>
      </c>
      <c r="BK439" s="776">
        <v>0</v>
      </c>
      <c r="BL439" s="775">
        <v>2010</v>
      </c>
      <c r="CL439" s="773"/>
      <c r="CM439" s="773"/>
      <c r="CN439" s="773"/>
      <c r="CO439" s="773"/>
      <c r="CP439" s="773"/>
      <c r="CQ439" s="773"/>
      <c r="CR439" s="773"/>
    </row>
    <row r="440" spans="35:96" ht="15.75">
      <c r="AI440" s="55"/>
      <c r="AJ440" s="55"/>
      <c r="AK440" s="55"/>
      <c r="AL440" s="55"/>
      <c r="AM440" s="55"/>
      <c r="AN440" s="55"/>
      <c r="AO440" s="55"/>
      <c r="AP440" s="55"/>
      <c r="AQ440" s="55"/>
      <c r="AR440" s="55"/>
      <c r="AS440" s="55"/>
      <c r="AT440" s="55"/>
      <c r="AU440" s="55"/>
      <c r="AV440" s="55"/>
      <c r="BA440" s="775" t="s">
        <v>38</v>
      </c>
      <c r="BB440" s="839">
        <v>2011</v>
      </c>
      <c r="BC440" s="775" t="s">
        <v>48</v>
      </c>
      <c r="BD440" s="841">
        <v>66.099999999999994</v>
      </c>
      <c r="BH440" s="775" t="s">
        <v>38</v>
      </c>
      <c r="BI440" s="836" t="s">
        <v>134</v>
      </c>
      <c r="BJ440" s="775" t="s">
        <v>48</v>
      </c>
      <c r="BK440" s="776">
        <v>68.800000000000011</v>
      </c>
      <c r="BL440" s="775">
        <v>2010</v>
      </c>
      <c r="CL440" s="773"/>
      <c r="CM440" s="773"/>
      <c r="CN440" s="773"/>
      <c r="CO440" s="773"/>
      <c r="CP440" s="773"/>
      <c r="CQ440" s="773"/>
      <c r="CR440" s="773"/>
    </row>
    <row r="441" spans="35:96" ht="15.75">
      <c r="AI441" s="55"/>
      <c r="AJ441" s="55"/>
      <c r="AK441" s="55"/>
      <c r="AL441" s="55"/>
      <c r="AM441" s="55"/>
      <c r="AN441" s="55"/>
      <c r="AO441" s="55"/>
      <c r="AP441" s="55"/>
      <c r="AQ441" s="55"/>
      <c r="AR441" s="55"/>
      <c r="AS441" s="55"/>
      <c r="AT441" s="55"/>
      <c r="AU441" s="55"/>
      <c r="AV441" s="55"/>
      <c r="BA441" s="775" t="s">
        <v>38</v>
      </c>
      <c r="BB441" s="839">
        <v>2011</v>
      </c>
      <c r="BC441" s="775" t="s">
        <v>97</v>
      </c>
      <c r="BD441" s="841">
        <v>1825.3000000000002</v>
      </c>
      <c r="BH441" s="775" t="s">
        <v>38</v>
      </c>
      <c r="BI441" s="836" t="s">
        <v>134</v>
      </c>
      <c r="BJ441" s="775" t="s">
        <v>97</v>
      </c>
      <c r="BK441" s="776">
        <v>1590.1</v>
      </c>
      <c r="BL441" s="775">
        <v>2010</v>
      </c>
      <c r="CL441" s="773"/>
      <c r="CM441" s="773"/>
      <c r="CN441" s="773"/>
      <c r="CO441" s="773"/>
      <c r="CP441" s="773"/>
      <c r="CQ441" s="773"/>
      <c r="CR441" s="773"/>
    </row>
    <row r="442" spans="35:96" ht="15.75">
      <c r="AI442" s="55"/>
      <c r="AJ442" s="55"/>
      <c r="AK442" s="55"/>
      <c r="AL442" s="55"/>
      <c r="AM442" s="55"/>
      <c r="AN442" s="55"/>
      <c r="AO442" s="55"/>
      <c r="AP442" s="55"/>
      <c r="AQ442" s="55"/>
      <c r="AR442" s="55"/>
      <c r="AS442" s="55"/>
      <c r="AT442" s="55"/>
      <c r="AU442" s="55"/>
      <c r="AV442" s="55"/>
      <c r="BA442" s="775" t="s">
        <v>172</v>
      </c>
      <c r="BB442" s="839">
        <v>2011</v>
      </c>
      <c r="BC442" s="775" t="s">
        <v>15</v>
      </c>
      <c r="BD442" s="775">
        <f t="shared" ref="BD442:BD452" si="30">BD453-BD431</f>
        <v>318.09999999999997</v>
      </c>
      <c r="BH442" s="775" t="s">
        <v>172</v>
      </c>
      <c r="BI442" s="836" t="s">
        <v>134</v>
      </c>
      <c r="BJ442" s="775" t="s">
        <v>15</v>
      </c>
      <c r="BK442" s="775">
        <f t="shared" ref="BK442:BK452" si="31">BK453-BK431</f>
        <v>244.40000000000003</v>
      </c>
      <c r="BL442" s="775">
        <v>2010</v>
      </c>
      <c r="CL442" s="773"/>
      <c r="CM442" s="773"/>
      <c r="CN442" s="773"/>
      <c r="CO442" s="773"/>
      <c r="CP442" s="773"/>
      <c r="CQ442" s="773"/>
      <c r="CR442" s="773"/>
    </row>
    <row r="443" spans="35:96" ht="15.75">
      <c r="AI443" s="55"/>
      <c r="AJ443" s="55"/>
      <c r="AK443" s="55"/>
      <c r="AL443" s="55"/>
      <c r="AM443" s="55"/>
      <c r="AN443" s="55"/>
      <c r="AO443" s="55"/>
      <c r="AP443" s="55"/>
      <c r="AQ443" s="55"/>
      <c r="AR443" s="55"/>
      <c r="AS443" s="55"/>
      <c r="AT443" s="55"/>
      <c r="AU443" s="55"/>
      <c r="AV443" s="55"/>
      <c r="BA443" s="775" t="s">
        <v>172</v>
      </c>
      <c r="BB443" s="839">
        <v>2011</v>
      </c>
      <c r="BC443" s="775" t="s">
        <v>277</v>
      </c>
      <c r="BD443" s="775">
        <f t="shared" si="30"/>
        <v>63.399999999999991</v>
      </c>
      <c r="BH443" s="775" t="s">
        <v>172</v>
      </c>
      <c r="BI443" s="836" t="s">
        <v>134</v>
      </c>
      <c r="BJ443" s="775" t="s">
        <v>277</v>
      </c>
      <c r="BK443" s="775">
        <f t="shared" si="31"/>
        <v>50.1</v>
      </c>
      <c r="BL443" s="775">
        <v>2010</v>
      </c>
      <c r="CL443" s="773"/>
      <c r="CM443" s="773"/>
      <c r="CN443" s="773"/>
      <c r="CO443" s="773"/>
      <c r="CP443" s="773"/>
      <c r="CQ443" s="773"/>
      <c r="CR443" s="773"/>
    </row>
    <row r="444" spans="35:96" ht="15.75">
      <c r="AI444" s="55"/>
      <c r="AJ444" s="55"/>
      <c r="AK444" s="55"/>
      <c r="AL444" s="55"/>
      <c r="AM444" s="55"/>
      <c r="AN444" s="55"/>
      <c r="AO444" s="55"/>
      <c r="AP444" s="55"/>
      <c r="AQ444" s="55"/>
      <c r="AR444" s="55"/>
      <c r="AS444" s="55"/>
      <c r="AT444" s="55"/>
      <c r="AU444" s="55"/>
      <c r="AV444" s="55"/>
      <c r="BA444" s="775" t="s">
        <v>172</v>
      </c>
      <c r="BB444" s="839">
        <v>2011</v>
      </c>
      <c r="BC444" s="775" t="s">
        <v>1064</v>
      </c>
      <c r="BD444" s="775">
        <f t="shared" si="30"/>
        <v>10.099999999999994</v>
      </c>
      <c r="BH444" s="775" t="s">
        <v>172</v>
      </c>
      <c r="BI444" s="836" t="s">
        <v>134</v>
      </c>
      <c r="BJ444" s="775" t="s">
        <v>1064</v>
      </c>
      <c r="BK444" s="775">
        <f t="shared" si="31"/>
        <v>9.7999999999999545</v>
      </c>
      <c r="BL444" s="775">
        <v>2010</v>
      </c>
      <c r="CL444" s="773"/>
      <c r="CM444" s="773"/>
      <c r="CN444" s="773"/>
      <c r="CO444" s="773"/>
      <c r="CP444" s="773"/>
      <c r="CQ444" s="773"/>
      <c r="CR444" s="773"/>
    </row>
    <row r="445" spans="35:96" ht="15.75">
      <c r="AI445" s="55"/>
      <c r="AJ445" s="55"/>
      <c r="AK445" s="55"/>
      <c r="AL445" s="55"/>
      <c r="AM445" s="55"/>
      <c r="AN445" s="55"/>
      <c r="AO445" s="55"/>
      <c r="AP445" s="55"/>
      <c r="AQ445" s="55"/>
      <c r="AR445" s="55"/>
      <c r="AS445" s="55"/>
      <c r="AT445" s="55"/>
      <c r="AU445" s="55"/>
      <c r="AV445" s="55"/>
      <c r="BA445" s="775" t="s">
        <v>172</v>
      </c>
      <c r="BB445" s="839">
        <v>2011</v>
      </c>
      <c r="BC445" s="775" t="s">
        <v>8</v>
      </c>
      <c r="BD445" s="775">
        <f t="shared" si="30"/>
        <v>209.79999999999995</v>
      </c>
      <c r="BH445" s="775" t="s">
        <v>172</v>
      </c>
      <c r="BI445" s="836" t="s">
        <v>134</v>
      </c>
      <c r="BJ445" s="775" t="s">
        <v>8</v>
      </c>
      <c r="BK445" s="775">
        <f t="shared" si="31"/>
        <v>199.7</v>
      </c>
      <c r="BL445" s="775">
        <v>2010</v>
      </c>
      <c r="CL445" s="773"/>
      <c r="CM445" s="773"/>
      <c r="CN445" s="773"/>
      <c r="CO445" s="773"/>
      <c r="CP445" s="773"/>
      <c r="CQ445" s="773"/>
      <c r="CR445" s="773"/>
    </row>
    <row r="446" spans="35:96" ht="15.75">
      <c r="AI446" s="55"/>
      <c r="AJ446" s="55"/>
      <c r="AK446" s="55"/>
      <c r="AL446" s="55"/>
      <c r="AM446" s="55"/>
      <c r="AN446" s="55"/>
      <c r="AO446" s="55"/>
      <c r="AP446" s="55"/>
      <c r="AQ446" s="55"/>
      <c r="AR446" s="55"/>
      <c r="AS446" s="55"/>
      <c r="AT446" s="55"/>
      <c r="AU446" s="55"/>
      <c r="AV446" s="55"/>
      <c r="BA446" s="775" t="s">
        <v>172</v>
      </c>
      <c r="BB446" s="839">
        <v>2011</v>
      </c>
      <c r="BC446" s="775" t="s">
        <v>96</v>
      </c>
      <c r="BD446" s="775">
        <f t="shared" si="30"/>
        <v>102.89999999999986</v>
      </c>
      <c r="BH446" s="775" t="s">
        <v>172</v>
      </c>
      <c r="BI446" s="836" t="s">
        <v>134</v>
      </c>
      <c r="BJ446" s="775" t="s">
        <v>96</v>
      </c>
      <c r="BK446" s="775">
        <f t="shared" si="31"/>
        <v>80</v>
      </c>
      <c r="BL446" s="775">
        <v>2010</v>
      </c>
      <c r="CL446" s="773"/>
      <c r="CM446" s="773"/>
      <c r="CN446" s="773"/>
      <c r="CO446" s="773"/>
      <c r="CP446" s="773"/>
      <c r="CQ446" s="773"/>
      <c r="CR446" s="773"/>
    </row>
    <row r="447" spans="35:96" ht="15.75">
      <c r="AI447" s="55"/>
      <c r="AJ447" s="55"/>
      <c r="AK447" s="55"/>
      <c r="AL447" s="55"/>
      <c r="AM447" s="55"/>
      <c r="AN447" s="55"/>
      <c r="AO447" s="55"/>
      <c r="AP447" s="55"/>
      <c r="AQ447" s="55"/>
      <c r="AR447" s="55"/>
      <c r="AS447" s="55"/>
      <c r="AT447" s="55"/>
      <c r="AU447" s="55"/>
      <c r="AV447" s="55"/>
      <c r="BA447" s="775" t="s">
        <v>172</v>
      </c>
      <c r="BB447" s="839">
        <v>2011</v>
      </c>
      <c r="BC447" s="775" t="s">
        <v>196</v>
      </c>
      <c r="BD447" s="775">
        <f t="shared" si="30"/>
        <v>5.4999999999999982</v>
      </c>
      <c r="BH447" s="775" t="s">
        <v>172</v>
      </c>
      <c r="BI447" s="836" t="s">
        <v>134</v>
      </c>
      <c r="BJ447" s="775" t="s">
        <v>196</v>
      </c>
      <c r="BK447" s="775">
        <f t="shared" si="31"/>
        <v>-4.6000000000000005</v>
      </c>
      <c r="BL447" s="775">
        <v>2010</v>
      </c>
      <c r="CL447" s="773"/>
      <c r="CM447" s="773"/>
      <c r="CN447" s="773"/>
      <c r="CO447" s="773"/>
      <c r="CP447" s="773"/>
      <c r="CQ447" s="773"/>
      <c r="CR447" s="773"/>
    </row>
    <row r="448" spans="35:96" ht="15.75">
      <c r="AI448" s="55"/>
      <c r="AJ448" s="55"/>
      <c r="AK448" s="55"/>
      <c r="AL448" s="55"/>
      <c r="AM448" s="55"/>
      <c r="AN448" s="55"/>
      <c r="AO448" s="55"/>
      <c r="AP448" s="55"/>
      <c r="AQ448" s="55"/>
      <c r="AR448" s="55"/>
      <c r="AS448" s="55"/>
      <c r="AT448" s="55"/>
      <c r="AU448" s="55"/>
      <c r="AV448" s="55"/>
      <c r="BA448" s="775" t="s">
        <v>172</v>
      </c>
      <c r="BB448" s="839">
        <v>2011</v>
      </c>
      <c r="BC448" s="775" t="s">
        <v>278</v>
      </c>
      <c r="BD448" s="775">
        <f t="shared" si="30"/>
        <v>99.600000000000009</v>
      </c>
      <c r="BH448" s="775" t="s">
        <v>172</v>
      </c>
      <c r="BI448" s="836" t="s">
        <v>134</v>
      </c>
      <c r="BJ448" s="775" t="s">
        <v>278</v>
      </c>
      <c r="BK448" s="775">
        <f t="shared" si="31"/>
        <v>113.2</v>
      </c>
      <c r="BL448" s="775">
        <v>2010</v>
      </c>
      <c r="CL448" s="773"/>
      <c r="CM448" s="773"/>
      <c r="CN448" s="773"/>
      <c r="CO448" s="773"/>
      <c r="CP448" s="773"/>
      <c r="CQ448" s="773"/>
      <c r="CR448" s="773"/>
    </row>
    <row r="449" spans="35:96" ht="15.75">
      <c r="AI449" s="55"/>
      <c r="AJ449" s="55"/>
      <c r="AK449" s="55"/>
      <c r="AL449" s="55"/>
      <c r="AM449" s="55"/>
      <c r="AN449" s="55"/>
      <c r="AO449" s="55"/>
      <c r="AP449" s="55"/>
      <c r="AQ449" s="55"/>
      <c r="AR449" s="55"/>
      <c r="AS449" s="55"/>
      <c r="AT449" s="55"/>
      <c r="AU449" s="55"/>
      <c r="AV449" s="55"/>
      <c r="BA449" s="775" t="s">
        <v>172</v>
      </c>
      <c r="BB449" s="839">
        <v>2011</v>
      </c>
      <c r="BC449" s="775" t="s">
        <v>44</v>
      </c>
      <c r="BD449" s="775">
        <f t="shared" si="30"/>
        <v>757.39999999999986</v>
      </c>
      <c r="BH449" s="775" t="s">
        <v>172</v>
      </c>
      <c r="BI449" s="836" t="s">
        <v>134</v>
      </c>
      <c r="BJ449" s="775" t="s">
        <v>44</v>
      </c>
      <c r="BK449" s="775">
        <f t="shared" si="31"/>
        <v>519.70000000000005</v>
      </c>
      <c r="BL449" s="775">
        <v>2010</v>
      </c>
      <c r="CL449" s="773"/>
      <c r="CM449" s="773"/>
      <c r="CN449" s="773"/>
      <c r="CO449" s="773"/>
      <c r="CP449" s="773"/>
      <c r="CQ449" s="773"/>
      <c r="CR449" s="773"/>
    </row>
    <row r="450" spans="35:96" ht="15.75">
      <c r="AI450" s="55"/>
      <c r="AJ450" s="55"/>
      <c r="AK450" s="55"/>
      <c r="AL450" s="55"/>
      <c r="AM450" s="55"/>
      <c r="AN450" s="55"/>
      <c r="AO450" s="55"/>
      <c r="AP450" s="55"/>
      <c r="AQ450" s="55"/>
      <c r="AR450" s="55"/>
      <c r="AS450" s="55"/>
      <c r="AT450" s="55"/>
      <c r="AU450" s="55"/>
      <c r="AV450" s="55"/>
      <c r="BA450" s="775" t="s">
        <v>172</v>
      </c>
      <c r="BB450" s="839">
        <v>2011</v>
      </c>
      <c r="BC450" s="775" t="s">
        <v>45</v>
      </c>
      <c r="BD450" s="775">
        <f t="shared" si="30"/>
        <v>2.8000000000000003</v>
      </c>
      <c r="BH450" s="775" t="s">
        <v>172</v>
      </c>
      <c r="BI450" s="836" t="s">
        <v>134</v>
      </c>
      <c r="BJ450" s="775" t="s">
        <v>45</v>
      </c>
      <c r="BK450" s="775">
        <f t="shared" si="31"/>
        <v>0.6</v>
      </c>
      <c r="BL450" s="775">
        <v>2010</v>
      </c>
      <c r="CL450" s="773"/>
      <c r="CM450" s="773"/>
      <c r="CN450" s="773"/>
      <c r="CO450" s="773"/>
      <c r="CP450" s="773"/>
      <c r="CQ450" s="773"/>
      <c r="CR450" s="773"/>
    </row>
    <row r="451" spans="35:96" ht="15.75">
      <c r="AI451" s="55"/>
      <c r="AJ451" s="55"/>
      <c r="AK451" s="55"/>
      <c r="AL451" s="55"/>
      <c r="AM451" s="55"/>
      <c r="AN451" s="55"/>
      <c r="AO451" s="55"/>
      <c r="AP451" s="55"/>
      <c r="AQ451" s="55"/>
      <c r="AR451" s="55"/>
      <c r="AS451" s="55"/>
      <c r="AT451" s="55"/>
      <c r="AU451" s="55"/>
      <c r="AV451" s="55"/>
      <c r="BA451" s="775" t="s">
        <v>172</v>
      </c>
      <c r="BB451" s="839">
        <v>2011</v>
      </c>
      <c r="BC451" s="775" t="s">
        <v>48</v>
      </c>
      <c r="BD451" s="775">
        <f t="shared" si="30"/>
        <v>157.49999999999997</v>
      </c>
      <c r="BH451" s="775" t="s">
        <v>172</v>
      </c>
      <c r="BI451" s="836" t="s">
        <v>134</v>
      </c>
      <c r="BJ451" s="775" t="s">
        <v>48</v>
      </c>
      <c r="BK451" s="775">
        <f t="shared" si="31"/>
        <v>127.5</v>
      </c>
      <c r="BL451" s="775">
        <v>2010</v>
      </c>
      <c r="CL451" s="773"/>
      <c r="CM451" s="773"/>
      <c r="CN451" s="773"/>
      <c r="CO451" s="773"/>
      <c r="CP451" s="773"/>
      <c r="CQ451" s="773"/>
      <c r="CR451" s="773"/>
    </row>
    <row r="452" spans="35:96" ht="15.75">
      <c r="AI452" s="55"/>
      <c r="AJ452" s="55"/>
      <c r="AK452" s="55"/>
      <c r="AL452" s="55"/>
      <c r="AM452" s="55"/>
      <c r="AN452" s="55"/>
      <c r="AO452" s="55"/>
      <c r="AP452" s="55"/>
      <c r="AQ452" s="55"/>
      <c r="AR452" s="55"/>
      <c r="AS452" s="55"/>
      <c r="AT452" s="55"/>
      <c r="AU452" s="55"/>
      <c r="AV452" s="55"/>
      <c r="BA452" s="775" t="s">
        <v>172</v>
      </c>
      <c r="BB452" s="839">
        <v>2011</v>
      </c>
      <c r="BC452" s="775" t="s">
        <v>97</v>
      </c>
      <c r="BD452" s="775">
        <f t="shared" si="30"/>
        <v>1748</v>
      </c>
      <c r="BH452" s="775" t="s">
        <v>172</v>
      </c>
      <c r="BI452" s="836" t="s">
        <v>134</v>
      </c>
      <c r="BJ452" s="775" t="s">
        <v>97</v>
      </c>
      <c r="BK452" s="775">
        <f t="shared" si="31"/>
        <v>1361.2000000000003</v>
      </c>
      <c r="BL452" s="775">
        <v>2010</v>
      </c>
      <c r="CL452" s="773"/>
      <c r="CM452" s="773"/>
      <c r="CN452" s="773"/>
      <c r="CO452" s="773"/>
      <c r="CP452" s="773"/>
      <c r="CQ452" s="773"/>
      <c r="CR452" s="773"/>
    </row>
    <row r="453" spans="35:96" ht="15.75">
      <c r="AI453" s="55"/>
      <c r="AJ453" s="55"/>
      <c r="AK453" s="55"/>
      <c r="AL453" s="55"/>
      <c r="AM453" s="55"/>
      <c r="AN453" s="55"/>
      <c r="AO453" s="55"/>
      <c r="AP453" s="55"/>
      <c r="AQ453" s="55"/>
      <c r="AR453" s="55"/>
      <c r="AS453" s="55"/>
      <c r="AT453" s="55"/>
      <c r="AU453" s="55"/>
      <c r="AV453" s="55"/>
      <c r="BA453" s="775" t="s">
        <v>170</v>
      </c>
      <c r="BB453" s="839">
        <v>2011</v>
      </c>
      <c r="BC453" s="775" t="s">
        <v>15</v>
      </c>
      <c r="BD453" s="775">
        <v>395.9</v>
      </c>
      <c r="BH453" s="775" t="s">
        <v>170</v>
      </c>
      <c r="BI453" s="836" t="s">
        <v>134</v>
      </c>
      <c r="BJ453" s="775" t="s">
        <v>15</v>
      </c>
      <c r="BK453" s="838">
        <v>323.10000000000002</v>
      </c>
      <c r="BL453" s="775">
        <v>2010</v>
      </c>
      <c r="CL453" s="773"/>
      <c r="CM453" s="773"/>
      <c r="CN453" s="773"/>
      <c r="CO453" s="773"/>
      <c r="CP453" s="773"/>
      <c r="CQ453" s="773"/>
      <c r="CR453" s="773"/>
    </row>
    <row r="454" spans="35:96" ht="15.75">
      <c r="AI454" s="55"/>
      <c r="AJ454" s="55"/>
      <c r="AK454" s="55"/>
      <c r="AL454" s="55"/>
      <c r="AM454" s="55"/>
      <c r="AN454" s="55"/>
      <c r="AO454" s="55"/>
      <c r="AP454" s="55"/>
      <c r="AQ454" s="55"/>
      <c r="AR454" s="55"/>
      <c r="AS454" s="55"/>
      <c r="AT454" s="55"/>
      <c r="AU454" s="55"/>
      <c r="AV454" s="55"/>
      <c r="BA454" s="775" t="s">
        <v>170</v>
      </c>
      <c r="BB454" s="839">
        <v>2011</v>
      </c>
      <c r="BC454" s="775" t="s">
        <v>277</v>
      </c>
      <c r="BD454" s="775">
        <v>82.699999999999989</v>
      </c>
      <c r="BH454" s="775" t="s">
        <v>170</v>
      </c>
      <c r="BI454" s="836" t="s">
        <v>134</v>
      </c>
      <c r="BJ454" s="775" t="s">
        <v>277</v>
      </c>
      <c r="BK454" s="838">
        <v>75.5</v>
      </c>
      <c r="BL454" s="775">
        <v>2010</v>
      </c>
      <c r="CL454" s="773"/>
      <c r="CM454" s="773"/>
      <c r="CN454" s="773"/>
      <c r="CO454" s="773"/>
      <c r="CP454" s="773"/>
      <c r="CQ454" s="773"/>
      <c r="CR454" s="773"/>
    </row>
    <row r="455" spans="35:96" ht="15.75">
      <c r="AI455" s="55"/>
      <c r="AJ455" s="55"/>
      <c r="AK455" s="55"/>
      <c r="AL455" s="55"/>
      <c r="AM455" s="55"/>
      <c r="AN455" s="55"/>
      <c r="AO455" s="55"/>
      <c r="AP455" s="55"/>
      <c r="AQ455" s="55"/>
      <c r="AR455" s="55"/>
      <c r="AS455" s="55"/>
      <c r="AT455" s="55"/>
      <c r="AU455" s="55"/>
      <c r="AV455" s="55"/>
      <c r="BA455" s="775" t="s">
        <v>170</v>
      </c>
      <c r="BB455" s="839">
        <v>2011</v>
      </c>
      <c r="BC455" s="775" t="s">
        <v>1064</v>
      </c>
      <c r="BD455" s="775">
        <v>262.09999999999997</v>
      </c>
      <c r="BH455" s="775" t="s">
        <v>170</v>
      </c>
      <c r="BI455" s="836" t="s">
        <v>134</v>
      </c>
      <c r="BJ455" s="775" t="s">
        <v>1064</v>
      </c>
      <c r="BK455" s="838">
        <v>270.89999999999998</v>
      </c>
      <c r="BL455" s="775">
        <v>2010</v>
      </c>
      <c r="CL455" s="773"/>
      <c r="CM455" s="773"/>
      <c r="CN455" s="773"/>
      <c r="CO455" s="773"/>
      <c r="CP455" s="773"/>
      <c r="CQ455" s="773"/>
      <c r="CR455" s="773"/>
    </row>
    <row r="456" spans="35:96" ht="15.75">
      <c r="AI456" s="55"/>
      <c r="AJ456" s="55"/>
      <c r="AK456" s="55"/>
      <c r="AL456" s="55"/>
      <c r="AM456" s="55"/>
      <c r="AN456" s="55"/>
      <c r="AO456" s="55"/>
      <c r="AP456" s="55"/>
      <c r="AQ456" s="55"/>
      <c r="AR456" s="55"/>
      <c r="AS456" s="55"/>
      <c r="AT456" s="55"/>
      <c r="AU456" s="55"/>
      <c r="AV456" s="55"/>
      <c r="BA456" s="775" t="s">
        <v>170</v>
      </c>
      <c r="BB456" s="839">
        <v>2011</v>
      </c>
      <c r="BC456" s="775" t="s">
        <v>8</v>
      </c>
      <c r="BD456" s="775">
        <v>708.8</v>
      </c>
      <c r="BH456" s="775" t="s">
        <v>170</v>
      </c>
      <c r="BI456" s="836" t="s">
        <v>134</v>
      </c>
      <c r="BJ456" s="775" t="s">
        <v>8</v>
      </c>
      <c r="BK456" s="838">
        <v>652.20000000000005</v>
      </c>
      <c r="BL456" s="775">
        <v>2010</v>
      </c>
      <c r="CL456" s="773"/>
      <c r="CM456" s="773"/>
      <c r="CN456" s="773"/>
      <c r="CO456" s="773"/>
      <c r="CP456" s="773"/>
      <c r="CQ456" s="773"/>
      <c r="CR456" s="773"/>
    </row>
    <row r="457" spans="35:96" ht="15.75">
      <c r="AI457" s="55"/>
      <c r="AJ457" s="55"/>
      <c r="AK457" s="55"/>
      <c r="AL457" s="55"/>
      <c r="AM457" s="55"/>
      <c r="AN457" s="55"/>
      <c r="AO457" s="55"/>
      <c r="AP457" s="55"/>
      <c r="AQ457" s="55"/>
      <c r="AR457" s="55"/>
      <c r="AS457" s="55"/>
      <c r="AT457" s="55"/>
      <c r="AU457" s="55"/>
      <c r="AV457" s="55"/>
      <c r="BA457" s="775" t="s">
        <v>170</v>
      </c>
      <c r="BB457" s="839">
        <v>2011</v>
      </c>
      <c r="BC457" s="775" t="s">
        <v>96</v>
      </c>
      <c r="BD457" s="775">
        <v>905.3</v>
      </c>
      <c r="BH457" s="775" t="s">
        <v>170</v>
      </c>
      <c r="BI457" s="836" t="s">
        <v>134</v>
      </c>
      <c r="BJ457" s="775" t="s">
        <v>96</v>
      </c>
      <c r="BK457" s="838">
        <v>665</v>
      </c>
      <c r="BL457" s="775">
        <v>2010</v>
      </c>
      <c r="CL457" s="773"/>
      <c r="CM457" s="773"/>
      <c r="CN457" s="773"/>
      <c r="CO457" s="773"/>
      <c r="CP457" s="773"/>
      <c r="CQ457" s="773"/>
      <c r="CR457" s="773"/>
    </row>
    <row r="458" spans="35:96" ht="15.75">
      <c r="AI458" s="55"/>
      <c r="AJ458" s="55"/>
      <c r="AK458" s="55"/>
      <c r="AL458" s="55"/>
      <c r="AM458" s="55"/>
      <c r="AN458" s="55"/>
      <c r="AO458" s="55"/>
      <c r="AP458" s="55"/>
      <c r="AQ458" s="55"/>
      <c r="AR458" s="55"/>
      <c r="AS458" s="55"/>
      <c r="AT458" s="55"/>
      <c r="AU458" s="55"/>
      <c r="AV458" s="55"/>
      <c r="BA458" s="775" t="s">
        <v>170</v>
      </c>
      <c r="BB458" s="839">
        <v>2011</v>
      </c>
      <c r="BC458" s="775" t="s">
        <v>196</v>
      </c>
      <c r="BD458" s="775">
        <v>17.2</v>
      </c>
      <c r="BH458" s="775" t="s">
        <v>170</v>
      </c>
      <c r="BI458" s="836" t="s">
        <v>134</v>
      </c>
      <c r="BJ458" s="775" t="s">
        <v>196</v>
      </c>
      <c r="BK458" s="838">
        <v>6.2</v>
      </c>
      <c r="BL458" s="775">
        <v>2010</v>
      </c>
      <c r="CL458" s="773"/>
      <c r="CM458" s="773"/>
      <c r="CN458" s="773"/>
      <c r="CO458" s="773"/>
      <c r="CP458" s="773"/>
      <c r="CQ458" s="773"/>
      <c r="CR458" s="773"/>
    </row>
    <row r="459" spans="35:96" ht="15.75">
      <c r="AI459" s="55"/>
      <c r="AJ459" s="55"/>
      <c r="AK459" s="55"/>
      <c r="AL459" s="55"/>
      <c r="AM459" s="55"/>
      <c r="AN459" s="55"/>
      <c r="AO459" s="55"/>
      <c r="AP459" s="55"/>
      <c r="AQ459" s="55"/>
      <c r="AR459" s="55"/>
      <c r="AS459" s="55"/>
      <c r="AT459" s="55"/>
      <c r="AU459" s="55"/>
      <c r="AV459" s="55"/>
      <c r="BA459" s="775" t="s">
        <v>170</v>
      </c>
      <c r="BB459" s="839">
        <v>2011</v>
      </c>
      <c r="BC459" s="775" t="s">
        <v>278</v>
      </c>
      <c r="BD459" s="775">
        <v>189.6</v>
      </c>
      <c r="BH459" s="775" t="s">
        <v>170</v>
      </c>
      <c r="BI459" s="836" t="s">
        <v>134</v>
      </c>
      <c r="BJ459" s="775" t="s">
        <v>278</v>
      </c>
      <c r="BK459" s="838">
        <v>213.9</v>
      </c>
      <c r="BL459" s="775">
        <v>2010</v>
      </c>
      <c r="CL459" s="773"/>
      <c r="CM459" s="773"/>
      <c r="CN459" s="773"/>
      <c r="CO459" s="773"/>
      <c r="CP459" s="773"/>
      <c r="CQ459" s="773"/>
      <c r="CR459" s="773"/>
    </row>
    <row r="460" spans="35:96" ht="15.75">
      <c r="AI460" s="55"/>
      <c r="AJ460" s="55"/>
      <c r="AK460" s="55"/>
      <c r="AL460" s="55"/>
      <c r="AM460" s="55"/>
      <c r="AN460" s="55"/>
      <c r="AO460" s="55"/>
      <c r="AP460" s="55"/>
      <c r="AQ460" s="55"/>
      <c r="AR460" s="55"/>
      <c r="AS460" s="55"/>
      <c r="AT460" s="55"/>
      <c r="AU460" s="55"/>
      <c r="AV460" s="55"/>
      <c r="BA460" s="775" t="s">
        <v>170</v>
      </c>
      <c r="BB460" s="839">
        <v>2011</v>
      </c>
      <c r="BC460" s="775" t="s">
        <v>44</v>
      </c>
      <c r="BD460" s="775">
        <v>757.39999999999986</v>
      </c>
      <c r="BH460" s="775" t="s">
        <v>170</v>
      </c>
      <c r="BI460" s="836" t="s">
        <v>134</v>
      </c>
      <c r="BJ460" s="775" t="s">
        <v>44</v>
      </c>
      <c r="BK460" s="838">
        <v>519.70000000000005</v>
      </c>
      <c r="BL460" s="775">
        <v>2010</v>
      </c>
      <c r="CL460" s="773"/>
      <c r="CM460" s="773"/>
      <c r="CN460" s="773"/>
      <c r="CO460" s="773"/>
      <c r="CP460" s="773"/>
      <c r="CQ460" s="773"/>
      <c r="CR460" s="773"/>
    </row>
    <row r="461" spans="35:96" ht="15.75">
      <c r="AI461" s="55"/>
      <c r="AJ461" s="55"/>
      <c r="AK461" s="55"/>
      <c r="AL461" s="55"/>
      <c r="AM461" s="55"/>
      <c r="AN461" s="55"/>
      <c r="AO461" s="55"/>
      <c r="AP461" s="55"/>
      <c r="AQ461" s="55"/>
      <c r="AR461" s="55"/>
      <c r="AS461" s="55"/>
      <c r="AT461" s="55"/>
      <c r="AU461" s="55"/>
      <c r="AV461" s="55"/>
      <c r="BA461" s="775" t="s">
        <v>170</v>
      </c>
      <c r="BB461" s="839">
        <v>2011</v>
      </c>
      <c r="BC461" s="775" t="s">
        <v>45</v>
      </c>
      <c r="BD461" s="775">
        <v>2.8000000000000003</v>
      </c>
      <c r="BH461" s="775" t="s">
        <v>170</v>
      </c>
      <c r="BI461" s="836" t="s">
        <v>134</v>
      </c>
      <c r="BJ461" s="775" t="s">
        <v>45</v>
      </c>
      <c r="BK461" s="838">
        <v>0.6</v>
      </c>
      <c r="BL461" s="775">
        <v>2010</v>
      </c>
      <c r="CL461" s="773"/>
      <c r="CM461" s="773"/>
      <c r="CN461" s="773"/>
      <c r="CO461" s="773"/>
      <c r="CP461" s="773"/>
      <c r="CQ461" s="773"/>
      <c r="CR461" s="773"/>
    </row>
    <row r="462" spans="35:96" ht="15.75">
      <c r="AI462" s="55"/>
      <c r="AJ462" s="55"/>
      <c r="AK462" s="55"/>
      <c r="AL462" s="55"/>
      <c r="AM462" s="55"/>
      <c r="AN462" s="55"/>
      <c r="AO462" s="55"/>
      <c r="AP462" s="55"/>
      <c r="AQ462" s="55"/>
      <c r="AR462" s="55"/>
      <c r="AS462" s="55"/>
      <c r="AT462" s="55"/>
      <c r="AU462" s="55"/>
      <c r="AV462" s="55"/>
      <c r="BA462" s="775" t="s">
        <v>170</v>
      </c>
      <c r="BB462" s="839">
        <v>2011</v>
      </c>
      <c r="BC462" s="775" t="s">
        <v>48</v>
      </c>
      <c r="BD462" s="775">
        <v>223.59999999999997</v>
      </c>
      <c r="BH462" s="775" t="s">
        <v>170</v>
      </c>
      <c r="BI462" s="836" t="s">
        <v>134</v>
      </c>
      <c r="BJ462" s="775" t="s">
        <v>48</v>
      </c>
      <c r="BK462" s="838">
        <v>196.3</v>
      </c>
      <c r="BL462" s="775">
        <v>2010</v>
      </c>
      <c r="CL462" s="773"/>
      <c r="CM462" s="773"/>
      <c r="CN462" s="773"/>
      <c r="CO462" s="773"/>
      <c r="CP462" s="773"/>
      <c r="CQ462" s="773"/>
      <c r="CR462" s="773"/>
    </row>
    <row r="463" spans="35:96" ht="15.75">
      <c r="AI463" s="55"/>
      <c r="AJ463" s="55"/>
      <c r="AK463" s="55"/>
      <c r="AL463" s="55"/>
      <c r="AM463" s="55"/>
      <c r="AN463" s="55"/>
      <c r="AO463" s="55"/>
      <c r="AP463" s="55"/>
      <c r="AQ463" s="55"/>
      <c r="AR463" s="55"/>
      <c r="AS463" s="55"/>
      <c r="AT463" s="55"/>
      <c r="AU463" s="55"/>
      <c r="AV463" s="55"/>
      <c r="BA463" s="775" t="s">
        <v>170</v>
      </c>
      <c r="BB463" s="839">
        <v>2011</v>
      </c>
      <c r="BC463" s="775" t="s">
        <v>97</v>
      </c>
      <c r="BD463" s="775">
        <v>3573.3</v>
      </c>
      <c r="BH463" s="775" t="s">
        <v>170</v>
      </c>
      <c r="BI463" s="836" t="s">
        <v>134</v>
      </c>
      <c r="BJ463" s="775" t="s">
        <v>97</v>
      </c>
      <c r="BK463" s="838">
        <v>2951.3</v>
      </c>
      <c r="BL463" s="775">
        <v>2010</v>
      </c>
      <c r="CL463" s="773"/>
      <c r="CM463" s="773"/>
      <c r="CN463" s="773"/>
      <c r="CO463" s="773"/>
      <c r="CP463" s="773"/>
      <c r="CQ463" s="773"/>
      <c r="CR463" s="773"/>
    </row>
    <row r="464" spans="35:96" ht="15.75">
      <c r="AI464" s="55"/>
      <c r="AJ464" s="55"/>
      <c r="AK464" s="55"/>
      <c r="AL464" s="55"/>
      <c r="AM464" s="55"/>
      <c r="AN464" s="55"/>
      <c r="AO464" s="55"/>
      <c r="AP464" s="55"/>
      <c r="AQ464" s="55"/>
      <c r="AR464" s="55"/>
      <c r="AS464" s="55"/>
      <c r="AT464" s="55"/>
      <c r="AU464" s="55"/>
      <c r="AV464" s="55"/>
      <c r="BA464" s="775" t="s">
        <v>38</v>
      </c>
      <c r="BB464" s="839">
        <v>2012</v>
      </c>
      <c r="BC464" s="775" t="s">
        <v>15</v>
      </c>
      <c r="BD464" s="840">
        <v>93.300000000000011</v>
      </c>
      <c r="BH464" s="775" t="s">
        <v>38</v>
      </c>
      <c r="BI464" s="836" t="s">
        <v>135</v>
      </c>
      <c r="BJ464" s="775" t="s">
        <v>15</v>
      </c>
      <c r="BK464" s="776">
        <v>92.100000000000009</v>
      </c>
      <c r="BL464" s="775">
        <v>2011</v>
      </c>
      <c r="CL464" s="773"/>
      <c r="CM464" s="773"/>
      <c r="CN464" s="773"/>
      <c r="CO464" s="773"/>
      <c r="CP464" s="773"/>
      <c r="CQ464" s="773"/>
      <c r="CR464" s="773"/>
    </row>
    <row r="465" spans="35:96" ht="15.75">
      <c r="AI465" s="55"/>
      <c r="AJ465" s="55"/>
      <c r="AK465" s="55"/>
      <c r="AL465" s="55"/>
      <c r="AM465" s="55"/>
      <c r="AN465" s="55"/>
      <c r="AO465" s="55"/>
      <c r="AP465" s="55"/>
      <c r="AQ465" s="55"/>
      <c r="AR465" s="55"/>
      <c r="AS465" s="55"/>
      <c r="AT465" s="55"/>
      <c r="AU465" s="55"/>
      <c r="AV465" s="55"/>
      <c r="BA465" s="775" t="s">
        <v>38</v>
      </c>
      <c r="BB465" s="839">
        <v>2012</v>
      </c>
      <c r="BC465" s="775" t="s">
        <v>277</v>
      </c>
      <c r="BD465" s="840">
        <v>19.400000000000002</v>
      </c>
      <c r="BH465" s="775" t="s">
        <v>38</v>
      </c>
      <c r="BI465" s="836" t="s">
        <v>135</v>
      </c>
      <c r="BJ465" s="775" t="s">
        <v>277</v>
      </c>
      <c r="BK465" s="776">
        <v>19.399999999999999</v>
      </c>
      <c r="BL465" s="775">
        <v>2011</v>
      </c>
      <c r="CL465" s="773"/>
      <c r="CM465" s="773"/>
      <c r="CN465" s="773"/>
      <c r="CO465" s="773"/>
      <c r="CP465" s="773"/>
      <c r="CQ465" s="773"/>
      <c r="CR465" s="773"/>
    </row>
    <row r="466" spans="35:96" ht="15.75">
      <c r="AI466" s="55"/>
      <c r="AJ466" s="55"/>
      <c r="AK466" s="55"/>
      <c r="AL466" s="55"/>
      <c r="AM466" s="55"/>
      <c r="AN466" s="55"/>
      <c r="AO466" s="55"/>
      <c r="AP466" s="55"/>
      <c r="AQ466" s="55"/>
      <c r="AR466" s="55"/>
      <c r="AS466" s="55"/>
      <c r="AT466" s="55"/>
      <c r="AU466" s="55"/>
      <c r="AV466" s="55"/>
      <c r="BA466" s="775" t="s">
        <v>38</v>
      </c>
      <c r="BB466" s="839">
        <v>2012</v>
      </c>
      <c r="BC466" s="775" t="s">
        <v>1064</v>
      </c>
      <c r="BD466" s="840">
        <v>228.40000000000003</v>
      </c>
      <c r="BH466" s="775" t="s">
        <v>38</v>
      </c>
      <c r="BI466" s="836" t="s">
        <v>135</v>
      </c>
      <c r="BJ466" s="775" t="s">
        <v>1064</v>
      </c>
      <c r="BK466" s="776">
        <v>256.89999999999998</v>
      </c>
      <c r="BL466" s="775">
        <v>2011</v>
      </c>
      <c r="CL466" s="773"/>
      <c r="CM466" s="773"/>
      <c r="CN466" s="773"/>
      <c r="CO466" s="773"/>
      <c r="CP466" s="773"/>
      <c r="CQ466" s="773"/>
      <c r="CR466" s="773"/>
    </row>
    <row r="467" spans="35:96" ht="15.75">
      <c r="AI467" s="55"/>
      <c r="AJ467" s="55"/>
      <c r="AK467" s="55"/>
      <c r="AL467" s="55"/>
      <c r="AM467" s="55"/>
      <c r="AN467" s="55"/>
      <c r="AO467" s="55"/>
      <c r="AP467" s="55"/>
      <c r="AQ467" s="55"/>
      <c r="AR467" s="55"/>
      <c r="AS467" s="55"/>
      <c r="AT467" s="55"/>
      <c r="AU467" s="55"/>
      <c r="AV467" s="55"/>
      <c r="BA467" s="775" t="s">
        <v>38</v>
      </c>
      <c r="BB467" s="839">
        <v>2012</v>
      </c>
      <c r="BC467" s="775" t="s">
        <v>8</v>
      </c>
      <c r="BD467" s="840">
        <v>540.90000000000009</v>
      </c>
      <c r="BH467" s="775" t="s">
        <v>38</v>
      </c>
      <c r="BI467" s="836" t="s">
        <v>135</v>
      </c>
      <c r="BJ467" s="775" t="s">
        <v>8</v>
      </c>
      <c r="BK467" s="776">
        <v>557.40000000000009</v>
      </c>
      <c r="BL467" s="775">
        <v>2011</v>
      </c>
      <c r="CL467" s="773"/>
      <c r="CM467" s="773"/>
      <c r="CN467" s="773"/>
      <c r="CO467" s="773"/>
      <c r="CP467" s="773"/>
      <c r="CQ467" s="773"/>
      <c r="CR467" s="773"/>
    </row>
    <row r="468" spans="35:96" ht="15.75">
      <c r="AI468" s="55"/>
      <c r="AJ468" s="55"/>
      <c r="AK468" s="55"/>
      <c r="AL468" s="55"/>
      <c r="AM468" s="55"/>
      <c r="AN468" s="55"/>
      <c r="AO468" s="55"/>
      <c r="AP468" s="55"/>
      <c r="AQ468" s="55"/>
      <c r="AR468" s="55"/>
      <c r="AS468" s="55"/>
      <c r="AT468" s="55"/>
      <c r="AU468" s="55"/>
      <c r="AV468" s="55"/>
      <c r="BA468" s="775" t="s">
        <v>38</v>
      </c>
      <c r="BB468" s="839">
        <v>2012</v>
      </c>
      <c r="BC468" s="775" t="s">
        <v>96</v>
      </c>
      <c r="BD468" s="840">
        <v>1040.8</v>
      </c>
      <c r="BH468" s="775" t="s">
        <v>38</v>
      </c>
      <c r="BI468" s="836" t="s">
        <v>135</v>
      </c>
      <c r="BJ468" s="775" t="s">
        <v>96</v>
      </c>
      <c r="BK468" s="776">
        <v>1025.9000000000001</v>
      </c>
      <c r="BL468" s="775">
        <v>2011</v>
      </c>
      <c r="CL468" s="773"/>
      <c r="CM468" s="773"/>
      <c r="CN468" s="773"/>
      <c r="CO468" s="773"/>
      <c r="CP468" s="773"/>
      <c r="CQ468" s="773"/>
      <c r="CR468" s="773"/>
    </row>
    <row r="469" spans="35:96" ht="15.75">
      <c r="AI469" s="55"/>
      <c r="AJ469" s="55"/>
      <c r="AK469" s="55"/>
      <c r="AL469" s="55"/>
      <c r="AM469" s="55"/>
      <c r="AN469" s="55"/>
      <c r="AO469" s="55"/>
      <c r="AP469" s="55"/>
      <c r="AQ469" s="55"/>
      <c r="AR469" s="55"/>
      <c r="AS469" s="55"/>
      <c r="AT469" s="55"/>
      <c r="AU469" s="55"/>
      <c r="AV469" s="55"/>
      <c r="BA469" s="775" t="s">
        <v>38</v>
      </c>
      <c r="BB469" s="839">
        <v>2012</v>
      </c>
      <c r="BC469" s="775" t="s">
        <v>196</v>
      </c>
      <c r="BD469" s="840">
        <v>7.3000000000000007</v>
      </c>
      <c r="BH469" s="775" t="s">
        <v>38</v>
      </c>
      <c r="BI469" s="836" t="s">
        <v>135</v>
      </c>
      <c r="BJ469" s="775" t="s">
        <v>196</v>
      </c>
      <c r="BK469" s="776">
        <v>12.7</v>
      </c>
      <c r="BL469" s="775">
        <v>2011</v>
      </c>
      <c r="CL469" s="773"/>
      <c r="CM469" s="773"/>
      <c r="CN469" s="773"/>
      <c r="CO469" s="773"/>
      <c r="CP469" s="773"/>
      <c r="CQ469" s="773"/>
      <c r="CR469" s="773"/>
    </row>
    <row r="470" spans="35:96" ht="15.75">
      <c r="AI470" s="55"/>
      <c r="AJ470" s="55"/>
      <c r="AK470" s="55"/>
      <c r="AL470" s="55"/>
      <c r="AM470" s="55"/>
      <c r="AN470" s="55"/>
      <c r="AO470" s="55"/>
      <c r="AP470" s="55"/>
      <c r="AQ470" s="55"/>
      <c r="AR470" s="55"/>
      <c r="AS470" s="55"/>
      <c r="AT470" s="55"/>
      <c r="AU470" s="55"/>
      <c r="AV470" s="55"/>
      <c r="BA470" s="775" t="s">
        <v>38</v>
      </c>
      <c r="BB470" s="839">
        <v>2012</v>
      </c>
      <c r="BC470" s="775" t="s">
        <v>278</v>
      </c>
      <c r="BD470" s="840">
        <v>54.3</v>
      </c>
      <c r="BH470" s="775" t="s">
        <v>38</v>
      </c>
      <c r="BI470" s="836" t="s">
        <v>135</v>
      </c>
      <c r="BJ470" s="775" t="s">
        <v>278</v>
      </c>
      <c r="BK470" s="776">
        <v>78.300000000000011</v>
      </c>
      <c r="BL470" s="775">
        <v>2011</v>
      </c>
      <c r="CL470" s="773"/>
      <c r="CM470" s="773"/>
      <c r="CN470" s="773"/>
      <c r="CO470" s="773"/>
      <c r="CP470" s="773"/>
      <c r="CQ470" s="773"/>
      <c r="CR470" s="773"/>
    </row>
    <row r="471" spans="35:96" ht="15.75">
      <c r="AI471" s="55"/>
      <c r="AJ471" s="55"/>
      <c r="AK471" s="55"/>
      <c r="AL471" s="55"/>
      <c r="AM471" s="55"/>
      <c r="AN471" s="55"/>
      <c r="AO471" s="55"/>
      <c r="AP471" s="55"/>
      <c r="AQ471" s="55"/>
      <c r="AR471" s="55"/>
      <c r="AS471" s="55"/>
      <c r="AT471" s="55"/>
      <c r="AU471" s="55"/>
      <c r="AV471" s="55"/>
      <c r="BA471" s="775" t="s">
        <v>38</v>
      </c>
      <c r="BB471" s="839">
        <v>2012</v>
      </c>
      <c r="BC471" s="775" t="s">
        <v>44</v>
      </c>
      <c r="BD471" s="840">
        <v>1.1000000000000001</v>
      </c>
      <c r="BH471" s="775" t="s">
        <v>38</v>
      </c>
      <c r="BI471" s="836" t="s">
        <v>135</v>
      </c>
      <c r="BJ471" s="775" t="s">
        <v>44</v>
      </c>
      <c r="BK471" s="776">
        <v>0</v>
      </c>
      <c r="BL471" s="775">
        <v>2011</v>
      </c>
      <c r="CL471" s="773"/>
      <c r="CM471" s="773"/>
      <c r="CN471" s="773"/>
      <c r="CO471" s="773"/>
      <c r="CP471" s="773"/>
      <c r="CQ471" s="773"/>
      <c r="CR471" s="773"/>
    </row>
    <row r="472" spans="35:96" ht="15.75">
      <c r="AI472" s="55"/>
      <c r="AJ472" s="55"/>
      <c r="AK472" s="55"/>
      <c r="AL472" s="55"/>
      <c r="AM472" s="55"/>
      <c r="AN472" s="55"/>
      <c r="AO472" s="55"/>
      <c r="AP472" s="55"/>
      <c r="AQ472" s="55"/>
      <c r="AR472" s="55"/>
      <c r="AS472" s="55"/>
      <c r="AT472" s="55"/>
      <c r="AU472" s="55"/>
      <c r="AV472" s="55"/>
      <c r="BA472" s="775" t="s">
        <v>38</v>
      </c>
      <c r="BB472" s="839">
        <v>2012</v>
      </c>
      <c r="BC472" s="775" t="s">
        <v>45</v>
      </c>
      <c r="BD472" s="841">
        <v>0</v>
      </c>
      <c r="BH472" s="775" t="s">
        <v>38</v>
      </c>
      <c r="BI472" s="836" t="s">
        <v>135</v>
      </c>
      <c r="BJ472" s="775" t="s">
        <v>45</v>
      </c>
      <c r="BK472" s="776">
        <v>0</v>
      </c>
      <c r="BL472" s="775">
        <v>2011</v>
      </c>
      <c r="CL472" s="773"/>
      <c r="CM472" s="773"/>
      <c r="CN472" s="773"/>
      <c r="CO472" s="773"/>
      <c r="CP472" s="773"/>
      <c r="CQ472" s="773"/>
      <c r="CR472" s="773"/>
    </row>
    <row r="473" spans="35:96" ht="15.75">
      <c r="AI473" s="55"/>
      <c r="AJ473" s="55"/>
      <c r="AK473" s="55"/>
      <c r="AL473" s="55"/>
      <c r="AM473" s="55"/>
      <c r="AN473" s="55"/>
      <c r="AO473" s="55"/>
      <c r="AP473" s="55"/>
      <c r="AQ473" s="55"/>
      <c r="AR473" s="55"/>
      <c r="AS473" s="55"/>
      <c r="AT473" s="55"/>
      <c r="AU473" s="55"/>
      <c r="AV473" s="55"/>
      <c r="BA473" s="775" t="s">
        <v>38</v>
      </c>
      <c r="BB473" s="839">
        <v>2012</v>
      </c>
      <c r="BC473" s="775" t="s">
        <v>48</v>
      </c>
      <c r="BD473" s="841">
        <v>51.800000000000004</v>
      </c>
      <c r="BH473" s="775" t="s">
        <v>38</v>
      </c>
      <c r="BI473" s="836" t="s">
        <v>135</v>
      </c>
      <c r="BJ473" s="775" t="s">
        <v>48</v>
      </c>
      <c r="BK473" s="776">
        <v>57.599999999999994</v>
      </c>
      <c r="BL473" s="775">
        <v>2011</v>
      </c>
      <c r="CL473" s="773"/>
      <c r="CM473" s="773"/>
      <c r="CN473" s="773"/>
      <c r="CO473" s="773"/>
      <c r="CP473" s="773"/>
      <c r="CQ473" s="773"/>
      <c r="CR473" s="773"/>
    </row>
    <row r="474" spans="35:96" ht="15.75">
      <c r="AI474" s="55"/>
      <c r="AJ474" s="55"/>
      <c r="AK474" s="55"/>
      <c r="AL474" s="55"/>
      <c r="AM474" s="55"/>
      <c r="AN474" s="55"/>
      <c r="AO474" s="55"/>
      <c r="AP474" s="55"/>
      <c r="AQ474" s="55"/>
      <c r="AR474" s="55"/>
      <c r="AS474" s="55"/>
      <c r="AT474" s="55"/>
      <c r="AU474" s="55"/>
      <c r="AV474" s="55"/>
      <c r="BA474" s="775" t="s">
        <v>38</v>
      </c>
      <c r="BB474" s="839">
        <v>2012</v>
      </c>
      <c r="BC474" s="775" t="s">
        <v>97</v>
      </c>
      <c r="BD474" s="841">
        <v>2052.6</v>
      </c>
      <c r="BH474" s="775" t="s">
        <v>38</v>
      </c>
      <c r="BI474" s="836" t="s">
        <v>135</v>
      </c>
      <c r="BJ474" s="775" t="s">
        <v>97</v>
      </c>
      <c r="BK474" s="776">
        <v>2106.8000000000002</v>
      </c>
      <c r="BL474" s="775">
        <v>2011</v>
      </c>
      <c r="CL474" s="773"/>
      <c r="CM474" s="773"/>
      <c r="CN474" s="773"/>
      <c r="CO474" s="773"/>
      <c r="CP474" s="773"/>
      <c r="CQ474" s="773"/>
      <c r="CR474" s="773"/>
    </row>
    <row r="475" spans="35:96" ht="15.75">
      <c r="AI475" s="55"/>
      <c r="AJ475" s="55"/>
      <c r="AK475" s="55"/>
      <c r="AL475" s="55"/>
      <c r="AM475" s="55"/>
      <c r="AN475" s="55"/>
      <c r="AO475" s="55"/>
      <c r="AP475" s="55"/>
      <c r="AQ475" s="55"/>
      <c r="AR475" s="55"/>
      <c r="AS475" s="55"/>
      <c r="AT475" s="55"/>
      <c r="AU475" s="55"/>
      <c r="AV475" s="55"/>
      <c r="BA475" s="775" t="s">
        <v>172</v>
      </c>
      <c r="BB475" s="839">
        <v>2012</v>
      </c>
      <c r="BC475" s="775" t="s">
        <v>15</v>
      </c>
      <c r="BD475" s="775">
        <f t="shared" ref="BD475:BD485" si="32">BD486-BD464</f>
        <v>320.40000000000003</v>
      </c>
      <c r="BH475" s="775" t="s">
        <v>172</v>
      </c>
      <c r="BI475" s="836" t="s">
        <v>135</v>
      </c>
      <c r="BJ475" s="775" t="s">
        <v>15</v>
      </c>
      <c r="BK475" s="775">
        <f t="shared" ref="BK475:BK485" si="33">BK486-BK464</f>
        <v>350.5</v>
      </c>
      <c r="BL475" s="775">
        <v>2011</v>
      </c>
      <c r="CL475" s="773"/>
      <c r="CM475" s="773"/>
      <c r="CN475" s="773"/>
      <c r="CO475" s="773"/>
      <c r="CP475" s="773"/>
      <c r="CQ475" s="773"/>
      <c r="CR475" s="773"/>
    </row>
    <row r="476" spans="35:96" ht="15.75">
      <c r="AI476" s="55"/>
      <c r="AJ476" s="55"/>
      <c r="AK476" s="55"/>
      <c r="AL476" s="55"/>
      <c r="AM476" s="55"/>
      <c r="AN476" s="55"/>
      <c r="AO476" s="55"/>
      <c r="AP476" s="55"/>
      <c r="AQ476" s="55"/>
      <c r="AR476" s="55"/>
      <c r="AS476" s="55"/>
      <c r="AT476" s="55"/>
      <c r="AU476" s="55"/>
      <c r="AV476" s="55"/>
      <c r="BA476" s="775" t="s">
        <v>172</v>
      </c>
      <c r="BB476" s="839">
        <v>2012</v>
      </c>
      <c r="BC476" s="775" t="s">
        <v>277</v>
      </c>
      <c r="BD476" s="775">
        <f t="shared" si="32"/>
        <v>63.899999999999991</v>
      </c>
      <c r="BH476" s="775" t="s">
        <v>172</v>
      </c>
      <c r="BI476" s="836" t="s">
        <v>135</v>
      </c>
      <c r="BJ476" s="775" t="s">
        <v>277</v>
      </c>
      <c r="BK476" s="775">
        <f t="shared" si="33"/>
        <v>68.099999999999994</v>
      </c>
      <c r="BL476" s="775">
        <v>2011</v>
      </c>
      <c r="CL476" s="773"/>
      <c r="CM476" s="773"/>
      <c r="CN476" s="773"/>
      <c r="CO476" s="773"/>
      <c r="CP476" s="773"/>
      <c r="CQ476" s="773"/>
      <c r="CR476" s="773"/>
    </row>
    <row r="477" spans="35:96" ht="15.75">
      <c r="AI477" s="55"/>
      <c r="AJ477" s="55"/>
      <c r="AK477" s="55"/>
      <c r="AL477" s="55"/>
      <c r="AM477" s="55"/>
      <c r="AN477" s="55"/>
      <c r="AO477" s="55"/>
      <c r="AP477" s="55"/>
      <c r="AQ477" s="55"/>
      <c r="AR477" s="55"/>
      <c r="AS477" s="55"/>
      <c r="AT477" s="55"/>
      <c r="AU477" s="55"/>
      <c r="AV477" s="55"/>
      <c r="BA477" s="775" t="s">
        <v>172</v>
      </c>
      <c r="BB477" s="839">
        <v>2012</v>
      </c>
      <c r="BC477" s="775" t="s">
        <v>1064</v>
      </c>
      <c r="BD477" s="775">
        <f t="shared" si="32"/>
        <v>7.2999999999999545</v>
      </c>
      <c r="BH477" s="775" t="s">
        <v>172</v>
      </c>
      <c r="BI477" s="836" t="s">
        <v>135</v>
      </c>
      <c r="BJ477" s="775" t="s">
        <v>1064</v>
      </c>
      <c r="BK477" s="775">
        <f t="shared" si="33"/>
        <v>8.5</v>
      </c>
      <c r="BL477" s="775">
        <v>2011</v>
      </c>
      <c r="CL477" s="773"/>
      <c r="CM477" s="773"/>
      <c r="CN477" s="773"/>
      <c r="CO477" s="773"/>
      <c r="CP477" s="773"/>
      <c r="CQ477" s="773"/>
      <c r="CR477" s="773"/>
    </row>
    <row r="478" spans="35:96" ht="15.75">
      <c r="AI478" s="55"/>
      <c r="AJ478" s="55"/>
      <c r="AK478" s="55"/>
      <c r="AL478" s="55"/>
      <c r="AM478" s="55"/>
      <c r="AN478" s="55"/>
      <c r="AO478" s="55"/>
      <c r="AP478" s="55"/>
      <c r="AQ478" s="55"/>
      <c r="AR478" s="55"/>
      <c r="AS478" s="55"/>
      <c r="AT478" s="55"/>
      <c r="AU478" s="55"/>
      <c r="AV478" s="55"/>
      <c r="BA478" s="775" t="s">
        <v>172</v>
      </c>
      <c r="BB478" s="839">
        <v>2012</v>
      </c>
      <c r="BC478" s="775" t="s">
        <v>8</v>
      </c>
      <c r="BD478" s="775">
        <f t="shared" si="32"/>
        <v>200</v>
      </c>
      <c r="BH478" s="775" t="s">
        <v>172</v>
      </c>
      <c r="BI478" s="836" t="s">
        <v>135</v>
      </c>
      <c r="BJ478" s="775" t="s">
        <v>8</v>
      </c>
      <c r="BK478" s="775">
        <f t="shared" si="33"/>
        <v>210.59999999999991</v>
      </c>
      <c r="BL478" s="775">
        <v>2011</v>
      </c>
      <c r="CL478" s="773"/>
      <c r="CM478" s="773"/>
      <c r="CN478" s="773"/>
      <c r="CO478" s="773"/>
      <c r="CP478" s="773"/>
      <c r="CQ478" s="773"/>
      <c r="CR478" s="773"/>
    </row>
    <row r="479" spans="35:96" ht="15.75">
      <c r="AI479" s="55"/>
      <c r="AJ479" s="55"/>
      <c r="AK479" s="55"/>
      <c r="AL479" s="55"/>
      <c r="AM479" s="55"/>
      <c r="AN479" s="55"/>
      <c r="AO479" s="55"/>
      <c r="AP479" s="55"/>
      <c r="AQ479" s="55"/>
      <c r="AR479" s="55"/>
      <c r="AS479" s="55"/>
      <c r="AT479" s="55"/>
      <c r="AU479" s="55"/>
      <c r="AV479" s="55"/>
      <c r="BA479" s="775" t="s">
        <v>172</v>
      </c>
      <c r="BB479" s="839">
        <v>2012</v>
      </c>
      <c r="BC479" s="775" t="s">
        <v>96</v>
      </c>
      <c r="BD479" s="775">
        <f t="shared" si="32"/>
        <v>122.20000000000005</v>
      </c>
      <c r="BH479" s="775" t="s">
        <v>172</v>
      </c>
      <c r="BI479" s="836" t="s">
        <v>135</v>
      </c>
      <c r="BJ479" s="775" t="s">
        <v>96</v>
      </c>
      <c r="BK479" s="775">
        <f t="shared" si="33"/>
        <v>124.69999999999982</v>
      </c>
      <c r="BL479" s="775">
        <v>2011</v>
      </c>
      <c r="CL479" s="773"/>
      <c r="CM479" s="773"/>
      <c r="CN479" s="773"/>
      <c r="CO479" s="773"/>
      <c r="CP479" s="773"/>
      <c r="CQ479" s="773"/>
      <c r="CR479" s="773"/>
    </row>
    <row r="480" spans="35:96" ht="15.75">
      <c r="AI480" s="55"/>
      <c r="AJ480" s="55"/>
      <c r="AK480" s="55"/>
      <c r="AL480" s="55"/>
      <c r="AM480" s="55"/>
      <c r="AN480" s="55"/>
      <c r="AO480" s="55"/>
      <c r="AP480" s="55"/>
      <c r="AQ480" s="55"/>
      <c r="AR480" s="55"/>
      <c r="AS480" s="55"/>
      <c r="AT480" s="55"/>
      <c r="AU480" s="55"/>
      <c r="AV480" s="55"/>
      <c r="BA480" s="775" t="s">
        <v>172</v>
      </c>
      <c r="BB480" s="839">
        <v>2012</v>
      </c>
      <c r="BC480" s="775" t="s">
        <v>196</v>
      </c>
      <c r="BD480" s="775">
        <f t="shared" si="32"/>
        <v>23.900000000000002</v>
      </c>
      <c r="BH480" s="775" t="s">
        <v>172</v>
      </c>
      <c r="BI480" s="836" t="s">
        <v>135</v>
      </c>
      <c r="BJ480" s="775" t="s">
        <v>196</v>
      </c>
      <c r="BK480" s="775">
        <f t="shared" si="33"/>
        <v>7.6000000000000014</v>
      </c>
      <c r="BL480" s="775">
        <v>2011</v>
      </c>
      <c r="CL480" s="773"/>
      <c r="CM480" s="773"/>
      <c r="CN480" s="773"/>
      <c r="CO480" s="773"/>
      <c r="CP480" s="773"/>
      <c r="CQ480" s="773"/>
      <c r="CR480" s="773"/>
    </row>
    <row r="481" spans="35:96" ht="15.75">
      <c r="AI481" s="55"/>
      <c r="AJ481" s="55"/>
      <c r="AK481" s="55"/>
      <c r="AL481" s="55"/>
      <c r="AM481" s="55"/>
      <c r="AN481" s="55"/>
      <c r="AO481" s="55"/>
      <c r="AP481" s="55"/>
      <c r="AQ481" s="55"/>
      <c r="AR481" s="55"/>
      <c r="AS481" s="55"/>
      <c r="AT481" s="55"/>
      <c r="AU481" s="55"/>
      <c r="AV481" s="55"/>
      <c r="BA481" s="775" t="s">
        <v>172</v>
      </c>
      <c r="BB481" s="839">
        <v>2012</v>
      </c>
      <c r="BC481" s="775" t="s">
        <v>278</v>
      </c>
      <c r="BD481" s="775">
        <f t="shared" si="32"/>
        <v>44</v>
      </c>
      <c r="BH481" s="775" t="s">
        <v>172</v>
      </c>
      <c r="BI481" s="836" t="s">
        <v>135</v>
      </c>
      <c r="BJ481" s="775" t="s">
        <v>278</v>
      </c>
      <c r="BK481" s="775">
        <f t="shared" si="33"/>
        <v>75.299999999999983</v>
      </c>
      <c r="BL481" s="775">
        <v>2011</v>
      </c>
      <c r="CL481" s="773"/>
      <c r="CM481" s="773"/>
      <c r="CN481" s="773"/>
      <c r="CO481" s="773"/>
      <c r="CP481" s="773"/>
      <c r="CQ481" s="773"/>
      <c r="CR481" s="773"/>
    </row>
    <row r="482" spans="35:96" ht="15.75">
      <c r="AI482" s="55"/>
      <c r="AJ482" s="55"/>
      <c r="AK482" s="55"/>
      <c r="AL482" s="55"/>
      <c r="AM482" s="55"/>
      <c r="AN482" s="55"/>
      <c r="AO482" s="55"/>
      <c r="AP482" s="55"/>
      <c r="AQ482" s="55"/>
      <c r="AR482" s="55"/>
      <c r="AS482" s="55"/>
      <c r="AT482" s="55"/>
      <c r="AU482" s="55"/>
      <c r="AV482" s="55"/>
      <c r="BA482" s="775" t="s">
        <v>172</v>
      </c>
      <c r="BB482" s="839">
        <v>2012</v>
      </c>
      <c r="BC482" s="775" t="s">
        <v>44</v>
      </c>
      <c r="BD482" s="775">
        <f t="shared" si="32"/>
        <v>707.9</v>
      </c>
      <c r="BH482" s="775" t="s">
        <v>172</v>
      </c>
      <c r="BI482" s="836" t="s">
        <v>135</v>
      </c>
      <c r="BJ482" s="775" t="s">
        <v>44</v>
      </c>
      <c r="BK482" s="775">
        <f t="shared" si="33"/>
        <v>834.3</v>
      </c>
      <c r="BL482" s="775">
        <v>2011</v>
      </c>
      <c r="CL482" s="773"/>
      <c r="CM482" s="773"/>
      <c r="CN482" s="773"/>
      <c r="CO482" s="773"/>
      <c r="CP482" s="773"/>
      <c r="CQ482" s="773"/>
      <c r="CR482" s="773"/>
    </row>
    <row r="483" spans="35:96" ht="15.75">
      <c r="AI483" s="55"/>
      <c r="AJ483" s="55"/>
      <c r="AK483" s="55"/>
      <c r="AL483" s="55"/>
      <c r="AM483" s="55"/>
      <c r="AN483" s="55"/>
      <c r="AO483" s="55"/>
      <c r="AP483" s="55"/>
      <c r="AQ483" s="55"/>
      <c r="AR483" s="55"/>
      <c r="AS483" s="55"/>
      <c r="AT483" s="55"/>
      <c r="AU483" s="55"/>
      <c r="AV483" s="55"/>
      <c r="BA483" s="775" t="s">
        <v>172</v>
      </c>
      <c r="BB483" s="839">
        <v>2012</v>
      </c>
      <c r="BC483" s="775" t="s">
        <v>45</v>
      </c>
      <c r="BD483" s="775">
        <f t="shared" si="32"/>
        <v>4.0999999999999996</v>
      </c>
      <c r="BH483" s="775" t="s">
        <v>172</v>
      </c>
      <c r="BI483" s="836" t="s">
        <v>135</v>
      </c>
      <c r="BJ483" s="775" t="s">
        <v>45</v>
      </c>
      <c r="BK483" s="775">
        <f t="shared" si="33"/>
        <v>3.3000000000000003</v>
      </c>
      <c r="BL483" s="775">
        <v>2011</v>
      </c>
      <c r="CL483" s="773"/>
      <c r="CM483" s="773"/>
      <c r="CN483" s="773"/>
      <c r="CO483" s="773"/>
      <c r="CP483" s="773"/>
      <c r="CQ483" s="773"/>
      <c r="CR483" s="773"/>
    </row>
    <row r="484" spans="35:96" ht="15.75">
      <c r="AI484" s="55"/>
      <c r="AJ484" s="55"/>
      <c r="AK484" s="55"/>
      <c r="AL484" s="55"/>
      <c r="AM484" s="55"/>
      <c r="AN484" s="55"/>
      <c r="AO484" s="55"/>
      <c r="AP484" s="55"/>
      <c r="AQ484" s="55"/>
      <c r="AR484" s="55"/>
      <c r="AS484" s="55"/>
      <c r="AT484" s="55"/>
      <c r="AU484" s="55"/>
      <c r="AV484" s="55"/>
      <c r="BA484" s="775" t="s">
        <v>172</v>
      </c>
      <c r="BB484" s="839">
        <v>2012</v>
      </c>
      <c r="BC484" s="775" t="s">
        <v>48</v>
      </c>
      <c r="BD484" s="775">
        <f t="shared" si="32"/>
        <v>112.60000000000002</v>
      </c>
      <c r="BH484" s="775" t="s">
        <v>172</v>
      </c>
      <c r="BI484" s="836" t="s">
        <v>135</v>
      </c>
      <c r="BJ484" s="775" t="s">
        <v>48</v>
      </c>
      <c r="BK484" s="775">
        <f t="shared" si="33"/>
        <v>141.60000000000002</v>
      </c>
      <c r="BL484" s="775">
        <v>2011</v>
      </c>
      <c r="CL484" s="773"/>
      <c r="CM484" s="773"/>
      <c r="CN484" s="773"/>
      <c r="CO484" s="773"/>
      <c r="CP484" s="773"/>
      <c r="CQ484" s="773"/>
      <c r="CR484" s="773"/>
    </row>
    <row r="485" spans="35:96" ht="15.75">
      <c r="AI485" s="55"/>
      <c r="AJ485" s="55"/>
      <c r="AK485" s="55"/>
      <c r="AL485" s="55"/>
      <c r="AM485" s="55"/>
      <c r="AN485" s="55"/>
      <c r="AO485" s="55"/>
      <c r="AP485" s="55"/>
      <c r="AQ485" s="55"/>
      <c r="AR485" s="55"/>
      <c r="AS485" s="55"/>
      <c r="AT485" s="55"/>
      <c r="AU485" s="55"/>
      <c r="AV485" s="55"/>
      <c r="BA485" s="775" t="s">
        <v>172</v>
      </c>
      <c r="BB485" s="839">
        <v>2012</v>
      </c>
      <c r="BC485" s="775" t="s">
        <v>97</v>
      </c>
      <c r="BD485" s="775">
        <f t="shared" si="32"/>
        <v>1603.1999999999998</v>
      </c>
      <c r="BH485" s="775" t="s">
        <v>172</v>
      </c>
      <c r="BI485" s="836" t="s">
        <v>135</v>
      </c>
      <c r="BJ485" s="775" t="s">
        <v>97</v>
      </c>
      <c r="BK485" s="775">
        <f t="shared" si="33"/>
        <v>1846.1999999999998</v>
      </c>
      <c r="BL485" s="775">
        <v>2011</v>
      </c>
      <c r="CL485" s="773"/>
      <c r="CM485" s="773"/>
      <c r="CN485" s="773"/>
      <c r="CO485" s="773"/>
      <c r="CP485" s="773"/>
      <c r="CQ485" s="773"/>
      <c r="CR485" s="773"/>
    </row>
    <row r="486" spans="35:96" ht="15.75">
      <c r="AI486" s="55"/>
      <c r="AJ486" s="55"/>
      <c r="AK486" s="55"/>
      <c r="AL486" s="55"/>
      <c r="AM486" s="55"/>
      <c r="AN486" s="55"/>
      <c r="AO486" s="55"/>
      <c r="AP486" s="55"/>
      <c r="AQ486" s="55"/>
      <c r="AR486" s="55"/>
      <c r="AS486" s="55"/>
      <c r="AT486" s="55"/>
      <c r="AU486" s="55"/>
      <c r="AV486" s="55"/>
      <c r="BA486" s="775" t="s">
        <v>170</v>
      </c>
      <c r="BB486" s="839">
        <v>2012</v>
      </c>
      <c r="BC486" s="775" t="s">
        <v>15</v>
      </c>
      <c r="BD486" s="775">
        <v>413.70000000000005</v>
      </c>
      <c r="BH486" s="775" t="s">
        <v>170</v>
      </c>
      <c r="BI486" s="836" t="s">
        <v>135</v>
      </c>
      <c r="BJ486" s="775" t="s">
        <v>15</v>
      </c>
      <c r="BK486" s="838">
        <v>442.6</v>
      </c>
      <c r="BL486" s="775">
        <v>2011</v>
      </c>
      <c r="CL486" s="773"/>
      <c r="CM486" s="773"/>
      <c r="CN486" s="773"/>
      <c r="CO486" s="773"/>
      <c r="CP486" s="773"/>
      <c r="CQ486" s="773"/>
      <c r="CR486" s="773"/>
    </row>
    <row r="487" spans="35:96" ht="15.75">
      <c r="AI487" s="55"/>
      <c r="AJ487" s="55"/>
      <c r="AK487" s="55"/>
      <c r="AL487" s="55"/>
      <c r="AM487" s="55"/>
      <c r="AN487" s="55"/>
      <c r="AO487" s="55"/>
      <c r="AP487" s="55"/>
      <c r="AQ487" s="55"/>
      <c r="AR487" s="55"/>
      <c r="AS487" s="55"/>
      <c r="AT487" s="55"/>
      <c r="AU487" s="55"/>
      <c r="AV487" s="55"/>
      <c r="BA487" s="775" t="s">
        <v>170</v>
      </c>
      <c r="BB487" s="839">
        <v>2012</v>
      </c>
      <c r="BC487" s="775" t="s">
        <v>277</v>
      </c>
      <c r="BD487" s="775">
        <v>83.3</v>
      </c>
      <c r="BH487" s="775" t="s">
        <v>170</v>
      </c>
      <c r="BI487" s="836" t="s">
        <v>135</v>
      </c>
      <c r="BJ487" s="775" t="s">
        <v>277</v>
      </c>
      <c r="BK487" s="838">
        <v>87.5</v>
      </c>
      <c r="BL487" s="775">
        <v>2011</v>
      </c>
      <c r="CL487" s="773"/>
      <c r="CM487" s="773"/>
      <c r="CN487" s="773"/>
      <c r="CO487" s="773"/>
      <c r="CP487" s="773"/>
      <c r="CQ487" s="773"/>
      <c r="CR487" s="773"/>
    </row>
    <row r="488" spans="35:96" ht="15.75">
      <c r="AI488" s="55"/>
      <c r="AJ488" s="55"/>
      <c r="AK488" s="55"/>
      <c r="AL488" s="55"/>
      <c r="AM488" s="55"/>
      <c r="AN488" s="55"/>
      <c r="AO488" s="55"/>
      <c r="AP488" s="55"/>
      <c r="AQ488" s="55"/>
      <c r="AR488" s="55"/>
      <c r="AS488" s="55"/>
      <c r="AT488" s="55"/>
      <c r="AU488" s="55"/>
      <c r="AV488" s="55"/>
      <c r="BA488" s="775" t="s">
        <v>170</v>
      </c>
      <c r="BB488" s="839">
        <v>2012</v>
      </c>
      <c r="BC488" s="775" t="s">
        <v>1064</v>
      </c>
      <c r="BD488" s="775">
        <v>235.7</v>
      </c>
      <c r="BH488" s="775" t="s">
        <v>170</v>
      </c>
      <c r="BI488" s="836" t="s">
        <v>135</v>
      </c>
      <c r="BJ488" s="775" t="s">
        <v>1064</v>
      </c>
      <c r="BK488" s="838">
        <v>265.39999999999998</v>
      </c>
      <c r="BL488" s="775">
        <v>2011</v>
      </c>
      <c r="CL488" s="773"/>
      <c r="CM488" s="773"/>
      <c r="CN488" s="773"/>
      <c r="CO488" s="773"/>
      <c r="CP488" s="773"/>
      <c r="CQ488" s="773"/>
      <c r="CR488" s="773"/>
    </row>
    <row r="489" spans="35:96" ht="15.75">
      <c r="AI489" s="55"/>
      <c r="AJ489" s="55"/>
      <c r="AK489" s="55"/>
      <c r="AL489" s="55"/>
      <c r="AM489" s="55"/>
      <c r="AN489" s="55"/>
      <c r="AO489" s="55"/>
      <c r="AP489" s="55"/>
      <c r="AQ489" s="55"/>
      <c r="AR489" s="55"/>
      <c r="AS489" s="55"/>
      <c r="AT489" s="55"/>
      <c r="AU489" s="55"/>
      <c r="AV489" s="55"/>
      <c r="BA489" s="775" t="s">
        <v>170</v>
      </c>
      <c r="BB489" s="839">
        <v>2012</v>
      </c>
      <c r="BC489" s="775" t="s">
        <v>8</v>
      </c>
      <c r="BD489" s="775">
        <v>740.90000000000009</v>
      </c>
      <c r="BH489" s="775" t="s">
        <v>170</v>
      </c>
      <c r="BI489" s="836" t="s">
        <v>135</v>
      </c>
      <c r="BJ489" s="775" t="s">
        <v>8</v>
      </c>
      <c r="BK489" s="838">
        <v>768</v>
      </c>
      <c r="BL489" s="775">
        <v>2011</v>
      </c>
      <c r="CL489" s="773"/>
      <c r="CM489" s="773"/>
      <c r="CN489" s="773"/>
      <c r="CO489" s="773"/>
      <c r="CP489" s="773"/>
      <c r="CQ489" s="773"/>
      <c r="CR489" s="773"/>
    </row>
    <row r="490" spans="35:96" ht="15.75">
      <c r="AI490" s="55"/>
      <c r="AJ490" s="55"/>
      <c r="AK490" s="55"/>
      <c r="AL490" s="55"/>
      <c r="AM490" s="55"/>
      <c r="AN490" s="55"/>
      <c r="AO490" s="55"/>
      <c r="AP490" s="55"/>
      <c r="AQ490" s="55"/>
      <c r="AR490" s="55"/>
      <c r="AS490" s="55"/>
      <c r="AT490" s="55"/>
      <c r="AU490" s="55"/>
      <c r="AV490" s="55"/>
      <c r="BA490" s="775" t="s">
        <v>170</v>
      </c>
      <c r="BB490" s="839">
        <v>2012</v>
      </c>
      <c r="BC490" s="775" t="s">
        <v>96</v>
      </c>
      <c r="BD490" s="775">
        <v>1163</v>
      </c>
      <c r="BH490" s="775" t="s">
        <v>170</v>
      </c>
      <c r="BI490" s="836" t="s">
        <v>135</v>
      </c>
      <c r="BJ490" s="775" t="s">
        <v>96</v>
      </c>
      <c r="BK490" s="838">
        <v>1150.5999999999999</v>
      </c>
      <c r="BL490" s="775">
        <v>2011</v>
      </c>
      <c r="CL490" s="773"/>
      <c r="CM490" s="773"/>
      <c r="CN490" s="773"/>
      <c r="CO490" s="773"/>
      <c r="CP490" s="773"/>
      <c r="CQ490" s="773"/>
      <c r="CR490" s="773"/>
    </row>
    <row r="491" spans="35:96" ht="15.75">
      <c r="AI491" s="55"/>
      <c r="AJ491" s="55"/>
      <c r="AK491" s="55"/>
      <c r="AL491" s="55"/>
      <c r="AM491" s="55"/>
      <c r="AN491" s="55"/>
      <c r="AO491" s="55"/>
      <c r="AP491" s="55"/>
      <c r="AQ491" s="55"/>
      <c r="AR491" s="55"/>
      <c r="AS491" s="55"/>
      <c r="AT491" s="55"/>
      <c r="AU491" s="55"/>
      <c r="AV491" s="55"/>
      <c r="BA491" s="775" t="s">
        <v>170</v>
      </c>
      <c r="BB491" s="839">
        <v>2012</v>
      </c>
      <c r="BC491" s="775" t="s">
        <v>196</v>
      </c>
      <c r="BD491" s="775">
        <v>31.200000000000003</v>
      </c>
      <c r="BH491" s="775" t="s">
        <v>170</v>
      </c>
      <c r="BI491" s="836" t="s">
        <v>135</v>
      </c>
      <c r="BJ491" s="775" t="s">
        <v>196</v>
      </c>
      <c r="BK491" s="838">
        <v>20.3</v>
      </c>
      <c r="BL491" s="775">
        <v>2011</v>
      </c>
      <c r="CL491" s="773"/>
      <c r="CM491" s="773"/>
      <c r="CN491" s="773"/>
      <c r="CO491" s="773"/>
      <c r="CP491" s="773"/>
      <c r="CQ491" s="773"/>
      <c r="CR491" s="773"/>
    </row>
    <row r="492" spans="35:96" ht="15.75">
      <c r="AI492" s="55"/>
      <c r="AJ492" s="55"/>
      <c r="AK492" s="55"/>
      <c r="AL492" s="55"/>
      <c r="AM492" s="55"/>
      <c r="AN492" s="55"/>
      <c r="AO492" s="55"/>
      <c r="AP492" s="55"/>
      <c r="AQ492" s="55"/>
      <c r="AR492" s="55"/>
      <c r="AS492" s="55"/>
      <c r="AT492" s="55"/>
      <c r="AU492" s="55"/>
      <c r="AV492" s="55"/>
      <c r="BA492" s="775" t="s">
        <v>170</v>
      </c>
      <c r="BB492" s="839">
        <v>2012</v>
      </c>
      <c r="BC492" s="775" t="s">
        <v>278</v>
      </c>
      <c r="BD492" s="775">
        <v>98.3</v>
      </c>
      <c r="BH492" s="775" t="s">
        <v>170</v>
      </c>
      <c r="BI492" s="836" t="s">
        <v>135</v>
      </c>
      <c r="BJ492" s="775" t="s">
        <v>278</v>
      </c>
      <c r="BK492" s="838">
        <v>153.6</v>
      </c>
      <c r="BL492" s="775">
        <v>2011</v>
      </c>
      <c r="CL492" s="773"/>
      <c r="CM492" s="773"/>
      <c r="CN492" s="773"/>
      <c r="CO492" s="773"/>
      <c r="CP492" s="773"/>
      <c r="CQ492" s="773"/>
      <c r="CR492" s="773"/>
    </row>
    <row r="493" spans="35:96" ht="15.75">
      <c r="AI493" s="55"/>
      <c r="AJ493" s="55"/>
      <c r="AK493" s="55"/>
      <c r="AL493" s="55"/>
      <c r="AM493" s="55"/>
      <c r="AN493" s="55"/>
      <c r="AO493" s="55"/>
      <c r="AP493" s="55"/>
      <c r="AQ493" s="55"/>
      <c r="AR493" s="55"/>
      <c r="AS493" s="55"/>
      <c r="AT493" s="55"/>
      <c r="AU493" s="55"/>
      <c r="AV493" s="55"/>
      <c r="BA493" s="775" t="s">
        <v>170</v>
      </c>
      <c r="BB493" s="839">
        <v>2012</v>
      </c>
      <c r="BC493" s="775" t="s">
        <v>44</v>
      </c>
      <c r="BD493" s="775">
        <v>709</v>
      </c>
      <c r="BH493" s="775" t="s">
        <v>170</v>
      </c>
      <c r="BI493" s="836" t="s">
        <v>135</v>
      </c>
      <c r="BJ493" s="775" t="s">
        <v>44</v>
      </c>
      <c r="BK493" s="838">
        <v>834.3</v>
      </c>
      <c r="BL493" s="775">
        <v>2011</v>
      </c>
      <c r="CL493" s="773"/>
      <c r="CM493" s="773"/>
      <c r="CN493" s="773"/>
      <c r="CO493" s="773"/>
      <c r="CP493" s="773"/>
      <c r="CQ493" s="773"/>
      <c r="CR493" s="773"/>
    </row>
    <row r="494" spans="35:96" ht="15.75">
      <c r="AI494" s="55"/>
      <c r="AJ494" s="55"/>
      <c r="AK494" s="55"/>
      <c r="AL494" s="55"/>
      <c r="AM494" s="55"/>
      <c r="AN494" s="55"/>
      <c r="AO494" s="55"/>
      <c r="AP494" s="55"/>
      <c r="AQ494" s="55"/>
      <c r="AR494" s="55"/>
      <c r="AS494" s="55"/>
      <c r="AT494" s="55"/>
      <c r="AU494" s="55"/>
      <c r="AV494" s="55"/>
      <c r="BA494" s="775" t="s">
        <v>170</v>
      </c>
      <c r="BB494" s="839">
        <v>2012</v>
      </c>
      <c r="BC494" s="775" t="s">
        <v>45</v>
      </c>
      <c r="BD494" s="775">
        <v>4.0999999999999996</v>
      </c>
      <c r="BH494" s="775" t="s">
        <v>170</v>
      </c>
      <c r="BI494" s="836" t="s">
        <v>135</v>
      </c>
      <c r="BJ494" s="775" t="s">
        <v>45</v>
      </c>
      <c r="BK494" s="838">
        <v>3.3000000000000003</v>
      </c>
      <c r="BL494" s="775">
        <v>2011</v>
      </c>
      <c r="CL494" s="773"/>
      <c r="CM494" s="773"/>
      <c r="CN494" s="773"/>
      <c r="CO494" s="773"/>
      <c r="CP494" s="773"/>
      <c r="CQ494" s="773"/>
      <c r="CR494" s="773"/>
    </row>
    <row r="495" spans="35:96" ht="15.75">
      <c r="AI495" s="55"/>
      <c r="AJ495" s="55"/>
      <c r="AK495" s="55"/>
      <c r="AL495" s="55"/>
      <c r="AM495" s="55"/>
      <c r="AN495" s="55"/>
      <c r="AO495" s="55"/>
      <c r="AP495" s="55"/>
      <c r="AQ495" s="55"/>
      <c r="AR495" s="55"/>
      <c r="AS495" s="55"/>
      <c r="AT495" s="55"/>
      <c r="AU495" s="55"/>
      <c r="AV495" s="55"/>
      <c r="BA495" s="775" t="s">
        <v>170</v>
      </c>
      <c r="BB495" s="839">
        <v>2012</v>
      </c>
      <c r="BC495" s="775" t="s">
        <v>48</v>
      </c>
      <c r="BD495" s="775">
        <v>164.40000000000003</v>
      </c>
      <c r="BH495" s="775" t="s">
        <v>170</v>
      </c>
      <c r="BI495" s="836" t="s">
        <v>135</v>
      </c>
      <c r="BJ495" s="775" t="s">
        <v>48</v>
      </c>
      <c r="BK495" s="838">
        <v>199.20000000000002</v>
      </c>
      <c r="BL495" s="775">
        <v>2011</v>
      </c>
      <c r="CL495" s="773"/>
      <c r="CM495" s="773"/>
      <c r="CN495" s="773"/>
      <c r="CO495" s="773"/>
      <c r="CP495" s="773"/>
      <c r="CQ495" s="773"/>
      <c r="CR495" s="773"/>
    </row>
    <row r="496" spans="35:96" ht="15.75">
      <c r="AI496" s="55"/>
      <c r="AJ496" s="55"/>
      <c r="AK496" s="55"/>
      <c r="AL496" s="55"/>
      <c r="AM496" s="55"/>
      <c r="AN496" s="55"/>
      <c r="AO496" s="55"/>
      <c r="AP496" s="55"/>
      <c r="AQ496" s="55"/>
      <c r="AR496" s="55"/>
      <c r="AS496" s="55"/>
      <c r="AT496" s="55"/>
      <c r="AU496" s="55"/>
      <c r="AV496" s="55"/>
      <c r="BA496" s="775" t="s">
        <v>170</v>
      </c>
      <c r="BB496" s="839">
        <v>2012</v>
      </c>
      <c r="BC496" s="775" t="s">
        <v>97</v>
      </c>
      <c r="BD496" s="775">
        <v>3655.7999999999997</v>
      </c>
      <c r="BH496" s="775" t="s">
        <v>170</v>
      </c>
      <c r="BI496" s="836" t="s">
        <v>135</v>
      </c>
      <c r="BJ496" s="775" t="s">
        <v>97</v>
      </c>
      <c r="BK496" s="838">
        <v>3953</v>
      </c>
      <c r="BL496" s="775">
        <v>2011</v>
      </c>
      <c r="CL496" s="773"/>
      <c r="CM496" s="773"/>
      <c r="CN496" s="773"/>
      <c r="CO496" s="773"/>
      <c r="CP496" s="773"/>
      <c r="CQ496" s="773"/>
      <c r="CR496" s="773"/>
    </row>
    <row r="497" spans="35:96" ht="15.75">
      <c r="AI497" s="55"/>
      <c r="AJ497" s="55"/>
      <c r="AK497" s="55"/>
      <c r="AL497" s="55"/>
      <c r="AM497" s="55"/>
      <c r="AN497" s="55"/>
      <c r="AO497" s="55"/>
      <c r="AP497" s="55"/>
      <c r="AQ497" s="55"/>
      <c r="AR497" s="55"/>
      <c r="AS497" s="55"/>
      <c r="AT497" s="55"/>
      <c r="AU497" s="55"/>
      <c r="AV497" s="55"/>
      <c r="AZ497" s="1004"/>
      <c r="BA497" s="775" t="s">
        <v>38</v>
      </c>
      <c r="BB497" s="839">
        <v>2013</v>
      </c>
      <c r="BC497" s="775" t="s">
        <v>15</v>
      </c>
      <c r="BD497" s="840">
        <v>72.599999999999994</v>
      </c>
      <c r="BH497" s="775" t="s">
        <v>38</v>
      </c>
      <c r="BI497" s="836" t="s">
        <v>136</v>
      </c>
      <c r="BJ497" s="775" t="s">
        <v>15</v>
      </c>
      <c r="BK497" s="776">
        <v>76.599999999999994</v>
      </c>
      <c r="BL497" s="775">
        <v>2012</v>
      </c>
      <c r="CL497" s="773"/>
      <c r="CM497" s="773"/>
      <c r="CN497" s="773"/>
      <c r="CO497" s="773"/>
      <c r="CP497" s="773"/>
      <c r="CQ497" s="773"/>
      <c r="CR497" s="773"/>
    </row>
    <row r="498" spans="35:96" ht="15.75">
      <c r="AI498" s="55"/>
      <c r="AJ498" s="55"/>
      <c r="AK498" s="55"/>
      <c r="AL498" s="55"/>
      <c r="AM498" s="55"/>
      <c r="AN498" s="55"/>
      <c r="AO498" s="55"/>
      <c r="AP498" s="55"/>
      <c r="AQ498" s="55"/>
      <c r="AR498" s="55"/>
      <c r="AS498" s="55"/>
      <c r="AT498" s="55"/>
      <c r="AU498" s="55"/>
      <c r="AV498" s="55"/>
      <c r="AZ498" s="1004"/>
      <c r="BA498" s="775" t="s">
        <v>38</v>
      </c>
      <c r="BB498" s="839">
        <v>2013</v>
      </c>
      <c r="BC498" s="775" t="s">
        <v>277</v>
      </c>
      <c r="BD498" s="840">
        <v>15.3</v>
      </c>
      <c r="BH498" s="775" t="s">
        <v>38</v>
      </c>
      <c r="BI498" s="836" t="s">
        <v>136</v>
      </c>
      <c r="BJ498" s="775" t="s">
        <v>277</v>
      </c>
      <c r="BK498" s="776">
        <v>16.600000000000001</v>
      </c>
      <c r="BL498" s="775">
        <v>2012</v>
      </c>
      <c r="CL498" s="773"/>
      <c r="CM498" s="773"/>
      <c r="CN498" s="773"/>
      <c r="CO498" s="773"/>
      <c r="CP498" s="773"/>
      <c r="CQ498" s="773"/>
      <c r="CR498" s="773"/>
    </row>
    <row r="499" spans="35:96" ht="15.75">
      <c r="AI499" s="55"/>
      <c r="AJ499" s="55"/>
      <c r="AK499" s="55"/>
      <c r="AL499" s="55"/>
      <c r="AM499" s="55"/>
      <c r="AN499" s="55"/>
      <c r="AO499" s="55"/>
      <c r="AP499" s="55"/>
      <c r="AQ499" s="55"/>
      <c r="AR499" s="55"/>
      <c r="AS499" s="55"/>
      <c r="AT499" s="55"/>
      <c r="AU499" s="55"/>
      <c r="AV499" s="55"/>
      <c r="AZ499" s="1004"/>
      <c r="BA499" s="775" t="s">
        <v>38</v>
      </c>
      <c r="BB499" s="839">
        <v>2013</v>
      </c>
      <c r="BC499" s="775" t="s">
        <v>1064</v>
      </c>
      <c r="BD499" s="840">
        <v>122.29999999999998</v>
      </c>
      <c r="BH499" s="775" t="s">
        <v>38</v>
      </c>
      <c r="BI499" s="836" t="s">
        <v>136</v>
      </c>
      <c r="BJ499" s="775" t="s">
        <v>1064</v>
      </c>
      <c r="BK499" s="776">
        <v>157.30000000000001</v>
      </c>
      <c r="BL499" s="775">
        <v>2012</v>
      </c>
      <c r="CL499" s="773"/>
      <c r="CM499" s="773"/>
      <c r="CN499" s="773"/>
      <c r="CO499" s="773"/>
      <c r="CP499" s="773"/>
      <c r="CQ499" s="773"/>
      <c r="CR499" s="773"/>
    </row>
    <row r="500" spans="35:96" ht="15.75">
      <c r="AI500" s="55"/>
      <c r="AJ500" s="55"/>
      <c r="AK500" s="55"/>
      <c r="AL500" s="55"/>
      <c r="AM500" s="55"/>
      <c r="AN500" s="55"/>
      <c r="AO500" s="55"/>
      <c r="AP500" s="55"/>
      <c r="AQ500" s="55"/>
      <c r="AR500" s="55"/>
      <c r="AS500" s="55"/>
      <c r="AT500" s="55"/>
      <c r="AU500" s="55"/>
      <c r="AV500" s="55"/>
      <c r="AZ500" s="1004"/>
      <c r="BA500" s="775" t="s">
        <v>38</v>
      </c>
      <c r="BB500" s="839">
        <v>2013</v>
      </c>
      <c r="BC500" s="775" t="s">
        <v>8</v>
      </c>
      <c r="BD500" s="840">
        <v>387.8</v>
      </c>
      <c r="BH500" s="775" t="s">
        <v>38</v>
      </c>
      <c r="BI500" s="836" t="s">
        <v>136</v>
      </c>
      <c r="BJ500" s="775" t="s">
        <v>8</v>
      </c>
      <c r="BK500" s="776">
        <v>466.6</v>
      </c>
      <c r="BL500" s="775">
        <v>2012</v>
      </c>
      <c r="CL500" s="773"/>
      <c r="CM500" s="773"/>
      <c r="CN500" s="773"/>
      <c r="CO500" s="773"/>
      <c r="CP500" s="773"/>
      <c r="CQ500" s="773"/>
      <c r="CR500" s="773"/>
    </row>
    <row r="501" spans="35:96" ht="15.75">
      <c r="AI501" s="55"/>
      <c r="AJ501" s="55"/>
      <c r="AK501" s="55"/>
      <c r="AL501" s="55"/>
      <c r="AM501" s="55"/>
      <c r="AN501" s="55"/>
      <c r="AO501" s="55"/>
      <c r="AP501" s="55"/>
      <c r="AQ501" s="55"/>
      <c r="AR501" s="55"/>
      <c r="AS501" s="55"/>
      <c r="AT501" s="55"/>
      <c r="AU501" s="55"/>
      <c r="AV501" s="55"/>
      <c r="AZ501" s="1004"/>
      <c r="BA501" s="775" t="s">
        <v>38</v>
      </c>
      <c r="BB501" s="839">
        <v>2013</v>
      </c>
      <c r="BC501" s="775" t="s">
        <v>96</v>
      </c>
      <c r="BD501" s="840">
        <v>783.8</v>
      </c>
      <c r="BH501" s="775" t="s">
        <v>38</v>
      </c>
      <c r="BI501" s="836" t="s">
        <v>136</v>
      </c>
      <c r="BJ501" s="775" t="s">
        <v>96</v>
      </c>
      <c r="BK501" s="776">
        <v>921.8</v>
      </c>
      <c r="BL501" s="775">
        <v>2012</v>
      </c>
      <c r="CL501" s="773"/>
      <c r="CM501" s="773"/>
      <c r="CN501" s="773"/>
      <c r="CO501" s="773"/>
      <c r="CP501" s="773"/>
      <c r="CQ501" s="773"/>
      <c r="CR501" s="773"/>
    </row>
    <row r="502" spans="35:96" ht="15.75">
      <c r="AI502" s="55"/>
      <c r="AJ502" s="55"/>
      <c r="AK502" s="55"/>
      <c r="AL502" s="55"/>
      <c r="AM502" s="55"/>
      <c r="AN502" s="55"/>
      <c r="AO502" s="55"/>
      <c r="AP502" s="55"/>
      <c r="AQ502" s="55"/>
      <c r="AR502" s="55"/>
      <c r="AS502" s="55"/>
      <c r="AT502" s="55"/>
      <c r="AU502" s="55"/>
      <c r="AV502" s="55"/>
      <c r="AZ502" s="1004"/>
      <c r="BA502" s="775" t="s">
        <v>38</v>
      </c>
      <c r="BB502" s="839">
        <v>2013</v>
      </c>
      <c r="BC502" s="775" t="s">
        <v>196</v>
      </c>
      <c r="BD502" s="840">
        <v>12.899999999999999</v>
      </c>
      <c r="BH502" s="775" t="s">
        <v>38</v>
      </c>
      <c r="BI502" s="836" t="s">
        <v>136</v>
      </c>
      <c r="BJ502" s="775" t="s">
        <v>196</v>
      </c>
      <c r="BK502" s="776">
        <v>3</v>
      </c>
      <c r="BL502" s="775">
        <v>2012</v>
      </c>
      <c r="CL502" s="773"/>
      <c r="CM502" s="773"/>
      <c r="CN502" s="773"/>
      <c r="CO502" s="773"/>
      <c r="CP502" s="773"/>
      <c r="CQ502" s="773"/>
      <c r="CR502" s="773"/>
    </row>
    <row r="503" spans="35:96" ht="15.75">
      <c r="AI503" s="55"/>
      <c r="AJ503" s="55"/>
      <c r="AK503" s="55"/>
      <c r="AL503" s="55"/>
      <c r="AM503" s="55"/>
      <c r="AN503" s="55"/>
      <c r="AO503" s="55"/>
      <c r="AP503" s="55"/>
      <c r="AQ503" s="55"/>
      <c r="AR503" s="55"/>
      <c r="AS503" s="55"/>
      <c r="AT503" s="55"/>
      <c r="AU503" s="55"/>
      <c r="AV503" s="55"/>
      <c r="AZ503" s="1004"/>
      <c r="BA503" s="775" t="s">
        <v>38</v>
      </c>
      <c r="BB503" s="839">
        <v>2013</v>
      </c>
      <c r="BC503" s="775" t="s">
        <v>278</v>
      </c>
      <c r="BD503" s="840">
        <v>24.1</v>
      </c>
      <c r="BH503" s="775" t="s">
        <v>38</v>
      </c>
      <c r="BI503" s="836" t="s">
        <v>136</v>
      </c>
      <c r="BJ503" s="775" t="s">
        <v>278</v>
      </c>
      <c r="BK503" s="776">
        <v>35.099999999999994</v>
      </c>
      <c r="BL503" s="775">
        <v>2012</v>
      </c>
      <c r="CL503" s="773"/>
      <c r="CM503" s="773"/>
      <c r="CN503" s="773"/>
      <c r="CO503" s="773"/>
      <c r="CP503" s="773"/>
      <c r="CQ503" s="773"/>
      <c r="CR503" s="773"/>
    </row>
    <row r="504" spans="35:96" ht="15.75">
      <c r="AI504" s="55"/>
      <c r="AJ504" s="55"/>
      <c r="AK504" s="55"/>
      <c r="AL504" s="55"/>
      <c r="AM504" s="55"/>
      <c r="AN504" s="55"/>
      <c r="AO504" s="55"/>
      <c r="AP504" s="55"/>
      <c r="AQ504" s="55"/>
      <c r="AR504" s="55"/>
      <c r="AS504" s="55"/>
      <c r="AT504" s="55"/>
      <c r="AU504" s="55"/>
      <c r="AV504" s="55"/>
      <c r="AZ504" s="1004"/>
      <c r="BA504" s="775" t="s">
        <v>38</v>
      </c>
      <c r="BB504" s="839">
        <v>2013</v>
      </c>
      <c r="BC504" s="775" t="s">
        <v>44</v>
      </c>
      <c r="BD504" s="840">
        <v>4.0999999999999996</v>
      </c>
      <c r="BH504" s="775" t="s">
        <v>38</v>
      </c>
      <c r="BI504" s="836" t="s">
        <v>136</v>
      </c>
      <c r="BJ504" s="775" t="s">
        <v>44</v>
      </c>
      <c r="BK504" s="776">
        <v>5.1999999999999993</v>
      </c>
      <c r="BL504" s="775">
        <v>2012</v>
      </c>
      <c r="CL504" s="773"/>
      <c r="CM504" s="773"/>
      <c r="CN504" s="773"/>
      <c r="CO504" s="773"/>
      <c r="CP504" s="773"/>
      <c r="CQ504" s="773"/>
      <c r="CR504" s="773"/>
    </row>
    <row r="505" spans="35:96" ht="15.75">
      <c r="AI505" s="55"/>
      <c r="AJ505" s="55"/>
      <c r="AK505" s="55"/>
      <c r="AL505" s="55"/>
      <c r="AM505" s="55"/>
      <c r="AN505" s="55"/>
      <c r="AO505" s="55"/>
      <c r="AP505" s="55"/>
      <c r="AQ505" s="55"/>
      <c r="AR505" s="55"/>
      <c r="AS505" s="55"/>
      <c r="AT505" s="55"/>
      <c r="AU505" s="55"/>
      <c r="AV505" s="55"/>
      <c r="AZ505" s="1004"/>
      <c r="BA505" s="775" t="s">
        <v>38</v>
      </c>
      <c r="BB505" s="839">
        <v>2013</v>
      </c>
      <c r="BC505" s="775" t="s">
        <v>45</v>
      </c>
      <c r="BD505" s="841">
        <v>0</v>
      </c>
      <c r="BH505" s="775" t="s">
        <v>38</v>
      </c>
      <c r="BI505" s="836" t="s">
        <v>136</v>
      </c>
      <c r="BJ505" s="775" t="s">
        <v>45</v>
      </c>
      <c r="BK505" s="776">
        <v>0</v>
      </c>
      <c r="BL505" s="775">
        <v>2012</v>
      </c>
      <c r="CL505" s="773"/>
      <c r="CM505" s="773"/>
      <c r="CN505" s="773"/>
      <c r="CO505" s="773"/>
      <c r="CP505" s="773"/>
      <c r="CQ505" s="773"/>
      <c r="CR505" s="773"/>
    </row>
    <row r="506" spans="35:96" ht="15.75">
      <c r="AI506" s="55"/>
      <c r="AJ506" s="55"/>
      <c r="AK506" s="55"/>
      <c r="AL506" s="55"/>
      <c r="AM506" s="55"/>
      <c r="AN506" s="55"/>
      <c r="AO506" s="55"/>
      <c r="AP506" s="55"/>
      <c r="AQ506" s="55"/>
      <c r="AR506" s="55"/>
      <c r="AS506" s="55"/>
      <c r="AT506" s="55"/>
      <c r="AU506" s="55"/>
      <c r="AV506" s="55"/>
      <c r="AZ506" s="1004"/>
      <c r="BA506" s="775" t="s">
        <v>38</v>
      </c>
      <c r="BB506" s="839">
        <v>2013</v>
      </c>
      <c r="BC506" s="775" t="s">
        <v>48</v>
      </c>
      <c r="BD506" s="841">
        <v>74.5</v>
      </c>
      <c r="BH506" s="775" t="s">
        <v>38</v>
      </c>
      <c r="BI506" s="836" t="s">
        <v>136</v>
      </c>
      <c r="BJ506" s="775" t="s">
        <v>48</v>
      </c>
      <c r="BK506" s="776">
        <v>64</v>
      </c>
      <c r="BL506" s="775">
        <v>2012</v>
      </c>
      <c r="CL506" s="773"/>
      <c r="CM506" s="773"/>
      <c r="CN506" s="773"/>
      <c r="CO506" s="773"/>
      <c r="CP506" s="773"/>
      <c r="CQ506" s="773"/>
      <c r="CR506" s="773"/>
    </row>
    <row r="507" spans="35:96" ht="15.75">
      <c r="AI507" s="55"/>
      <c r="AJ507" s="55"/>
      <c r="AK507" s="55"/>
      <c r="AL507" s="55"/>
      <c r="AM507" s="55"/>
      <c r="AN507" s="55"/>
      <c r="AO507" s="55"/>
      <c r="AP507" s="55"/>
      <c r="AQ507" s="55"/>
      <c r="AR507" s="55"/>
      <c r="AS507" s="55"/>
      <c r="AT507" s="55"/>
      <c r="AU507" s="55"/>
      <c r="AV507" s="55"/>
      <c r="AZ507" s="1004"/>
      <c r="BA507" s="775" t="s">
        <v>38</v>
      </c>
      <c r="BB507" s="839">
        <v>2013</v>
      </c>
      <c r="BC507" s="775" t="s">
        <v>97</v>
      </c>
      <c r="BD507" s="841">
        <v>1508.2</v>
      </c>
      <c r="BH507" s="775" t="s">
        <v>38</v>
      </c>
      <c r="BI507" s="836" t="s">
        <v>136</v>
      </c>
      <c r="BJ507" s="775" t="s">
        <v>97</v>
      </c>
      <c r="BK507" s="776">
        <v>1763.3999999999999</v>
      </c>
      <c r="BL507" s="775">
        <v>2012</v>
      </c>
      <c r="CL507" s="773"/>
      <c r="CM507" s="773"/>
      <c r="CN507" s="773"/>
      <c r="CO507" s="773"/>
      <c r="CP507" s="773"/>
      <c r="CQ507" s="773"/>
      <c r="CR507" s="773"/>
    </row>
    <row r="508" spans="35:96" ht="15.75">
      <c r="AI508" s="55"/>
      <c r="AJ508" s="55"/>
      <c r="AK508" s="55"/>
      <c r="AL508" s="55"/>
      <c r="AM508" s="55"/>
      <c r="AN508" s="55"/>
      <c r="AO508" s="55"/>
      <c r="AP508" s="55"/>
      <c r="AQ508" s="55"/>
      <c r="AR508" s="55"/>
      <c r="AS508" s="55"/>
      <c r="AT508" s="55"/>
      <c r="AU508" s="55"/>
      <c r="AV508" s="55"/>
      <c r="BA508" s="775" t="s">
        <v>172</v>
      </c>
      <c r="BB508" s="839">
        <v>2013</v>
      </c>
      <c r="BC508" s="775" t="s">
        <v>15</v>
      </c>
      <c r="BD508" s="775">
        <f t="shared" ref="BD508:BD518" si="34">BD519-BD497</f>
        <v>150.20000000000002</v>
      </c>
      <c r="BH508" s="775" t="s">
        <v>172</v>
      </c>
      <c r="BI508" s="836" t="s">
        <v>136</v>
      </c>
      <c r="BJ508" s="775" t="s">
        <v>15</v>
      </c>
      <c r="BK508" s="775">
        <f t="shared" ref="BK508:BK518" si="35">BK519-BK497</f>
        <v>242.70000000000002</v>
      </c>
      <c r="BL508" s="775">
        <v>2012</v>
      </c>
      <c r="CL508" s="773"/>
      <c r="CM508" s="773"/>
      <c r="CN508" s="773"/>
      <c r="CO508" s="773"/>
      <c r="CP508" s="773"/>
      <c r="CQ508" s="773"/>
      <c r="CR508" s="773"/>
    </row>
    <row r="509" spans="35:96" ht="15.75">
      <c r="AI509" s="55"/>
      <c r="AJ509" s="55"/>
      <c r="AK509" s="55"/>
      <c r="AL509" s="55"/>
      <c r="AM509" s="55"/>
      <c r="AN509" s="55"/>
      <c r="AO509" s="55"/>
      <c r="AP509" s="55"/>
      <c r="AQ509" s="55"/>
      <c r="AR509" s="55"/>
      <c r="AS509" s="55"/>
      <c r="AT509" s="55"/>
      <c r="AU509" s="55"/>
      <c r="AV509" s="55"/>
      <c r="BA509" s="775" t="s">
        <v>172</v>
      </c>
      <c r="BB509" s="839">
        <v>2013</v>
      </c>
      <c r="BC509" s="775" t="s">
        <v>277</v>
      </c>
      <c r="BD509" s="775">
        <f t="shared" si="34"/>
        <v>49.2</v>
      </c>
      <c r="BH509" s="775" t="s">
        <v>172</v>
      </c>
      <c r="BI509" s="836" t="s">
        <v>136</v>
      </c>
      <c r="BJ509" s="775" t="s">
        <v>277</v>
      </c>
      <c r="BK509" s="775">
        <f t="shared" si="35"/>
        <v>63.20000000000001</v>
      </c>
      <c r="BL509" s="775">
        <v>2012</v>
      </c>
      <c r="CL509" s="773"/>
      <c r="CM509" s="773"/>
      <c r="CN509" s="773"/>
      <c r="CO509" s="773"/>
      <c r="CP509" s="773"/>
      <c r="CQ509" s="773"/>
      <c r="CR509" s="773"/>
    </row>
    <row r="510" spans="35:96" ht="15.75">
      <c r="AI510" s="55"/>
      <c r="AJ510" s="55"/>
      <c r="AK510" s="55"/>
      <c r="AL510" s="55"/>
      <c r="AM510" s="55"/>
      <c r="AN510" s="55"/>
      <c r="AO510" s="55"/>
      <c r="AP510" s="55"/>
      <c r="AQ510" s="55"/>
      <c r="AR510" s="55"/>
      <c r="AS510" s="55"/>
      <c r="AT510" s="55"/>
      <c r="AU510" s="55"/>
      <c r="AV510" s="55"/>
      <c r="BA510" s="775" t="s">
        <v>172</v>
      </c>
      <c r="BB510" s="839">
        <v>2013</v>
      </c>
      <c r="BC510" s="775" t="s">
        <v>1064</v>
      </c>
      <c r="BD510" s="775">
        <f t="shared" si="34"/>
        <v>6</v>
      </c>
      <c r="BH510" s="775" t="s">
        <v>172</v>
      </c>
      <c r="BI510" s="836" t="s">
        <v>136</v>
      </c>
      <c r="BJ510" s="775" t="s">
        <v>1064</v>
      </c>
      <c r="BK510" s="775">
        <f t="shared" si="35"/>
        <v>7.1999999999999886</v>
      </c>
      <c r="BL510" s="775">
        <v>2012</v>
      </c>
      <c r="CL510" s="773"/>
      <c r="CM510" s="773"/>
      <c r="CN510" s="773"/>
      <c r="CO510" s="773"/>
      <c r="CP510" s="773"/>
      <c r="CQ510" s="773"/>
      <c r="CR510" s="773"/>
    </row>
    <row r="511" spans="35:96" ht="15.75">
      <c r="AI511" s="55"/>
      <c r="AJ511" s="55"/>
      <c r="AK511" s="55"/>
      <c r="AL511" s="55"/>
      <c r="AM511" s="55"/>
      <c r="AN511" s="55"/>
      <c r="AO511" s="55"/>
      <c r="AP511" s="55"/>
      <c r="AQ511" s="55"/>
      <c r="AR511" s="55"/>
      <c r="AS511" s="55"/>
      <c r="AT511" s="55"/>
      <c r="AU511" s="55"/>
      <c r="AV511" s="55"/>
      <c r="BA511" s="775" t="s">
        <v>172</v>
      </c>
      <c r="BB511" s="839">
        <v>2013</v>
      </c>
      <c r="BC511" s="775" t="s">
        <v>8</v>
      </c>
      <c r="BD511" s="775">
        <f t="shared" si="34"/>
        <v>165.59999999999997</v>
      </c>
      <c r="BH511" s="775" t="s">
        <v>172</v>
      </c>
      <c r="BI511" s="836" t="s">
        <v>136</v>
      </c>
      <c r="BJ511" s="775" t="s">
        <v>8</v>
      </c>
      <c r="BK511" s="775">
        <f t="shared" si="35"/>
        <v>195.19999999999993</v>
      </c>
      <c r="BL511" s="775">
        <v>2012</v>
      </c>
      <c r="CL511" s="773"/>
      <c r="CM511" s="773"/>
      <c r="CN511" s="773"/>
      <c r="CO511" s="773"/>
      <c r="CP511" s="773"/>
      <c r="CQ511" s="773"/>
      <c r="CR511" s="773"/>
    </row>
    <row r="512" spans="35:96" ht="15.75">
      <c r="AI512" s="55"/>
      <c r="AJ512" s="55"/>
      <c r="AK512" s="55"/>
      <c r="AL512" s="55"/>
      <c r="AM512" s="55"/>
      <c r="AN512" s="55"/>
      <c r="AO512" s="55"/>
      <c r="AP512" s="55"/>
      <c r="AQ512" s="55"/>
      <c r="AR512" s="55"/>
      <c r="AS512" s="55"/>
      <c r="AT512" s="55"/>
      <c r="AU512" s="55"/>
      <c r="AV512" s="55"/>
      <c r="BA512" s="775" t="s">
        <v>172</v>
      </c>
      <c r="BB512" s="839">
        <v>2013</v>
      </c>
      <c r="BC512" s="775" t="s">
        <v>96</v>
      </c>
      <c r="BD512" s="775">
        <f t="shared" si="34"/>
        <v>75</v>
      </c>
      <c r="BH512" s="775" t="s">
        <v>172</v>
      </c>
      <c r="BI512" s="836" t="s">
        <v>136</v>
      </c>
      <c r="BJ512" s="775" t="s">
        <v>96</v>
      </c>
      <c r="BK512" s="775">
        <f t="shared" si="35"/>
        <v>89.5</v>
      </c>
      <c r="BL512" s="775">
        <v>2012</v>
      </c>
      <c r="CL512" s="773"/>
      <c r="CM512" s="773"/>
      <c r="CN512" s="773"/>
      <c r="CO512" s="773"/>
      <c r="CP512" s="773"/>
      <c r="CQ512" s="773"/>
      <c r="CR512" s="773"/>
    </row>
    <row r="513" spans="35:96" ht="15.75">
      <c r="AI513" s="55"/>
      <c r="AJ513" s="55"/>
      <c r="AK513" s="55"/>
      <c r="AL513" s="55"/>
      <c r="AM513" s="55"/>
      <c r="AN513" s="55"/>
      <c r="AO513" s="55"/>
      <c r="AP513" s="55"/>
      <c r="AQ513" s="55"/>
      <c r="AR513" s="55"/>
      <c r="AS513" s="55"/>
      <c r="AT513" s="55"/>
      <c r="AU513" s="55"/>
      <c r="AV513" s="55"/>
      <c r="BA513" s="775" t="s">
        <v>172</v>
      </c>
      <c r="BB513" s="839">
        <v>2013</v>
      </c>
      <c r="BC513" s="775" t="s">
        <v>196</v>
      </c>
      <c r="BD513" s="775">
        <f t="shared" si="34"/>
        <v>11.100000000000001</v>
      </c>
      <c r="BH513" s="775" t="s">
        <v>172</v>
      </c>
      <c r="BI513" s="836" t="s">
        <v>136</v>
      </c>
      <c r="BJ513" s="775" t="s">
        <v>196</v>
      </c>
      <c r="BK513" s="775">
        <f t="shared" si="35"/>
        <v>34.799999999999997</v>
      </c>
      <c r="BL513" s="775">
        <v>2012</v>
      </c>
      <c r="CL513" s="773"/>
      <c r="CM513" s="773"/>
      <c r="CN513" s="773"/>
      <c r="CO513" s="773"/>
      <c r="CP513" s="773"/>
      <c r="CQ513" s="773"/>
      <c r="CR513" s="773"/>
    </row>
    <row r="514" spans="35:96" ht="15.75">
      <c r="AI514" s="55"/>
      <c r="AJ514" s="55"/>
      <c r="AK514" s="55"/>
      <c r="AL514" s="55"/>
      <c r="AM514" s="55"/>
      <c r="AN514" s="55"/>
      <c r="AO514" s="55"/>
      <c r="AP514" s="55"/>
      <c r="AQ514" s="55"/>
      <c r="AR514" s="55"/>
      <c r="AS514" s="55"/>
      <c r="AT514" s="55"/>
      <c r="AU514" s="55"/>
      <c r="AV514" s="55"/>
      <c r="BA514" s="775" t="s">
        <v>172</v>
      </c>
      <c r="BB514" s="839">
        <v>2013</v>
      </c>
      <c r="BC514" s="775" t="s">
        <v>278</v>
      </c>
      <c r="BD514" s="775">
        <f t="shared" si="34"/>
        <v>28.200000000000003</v>
      </c>
      <c r="BH514" s="775" t="s">
        <v>172</v>
      </c>
      <c r="BI514" s="836" t="s">
        <v>136</v>
      </c>
      <c r="BJ514" s="775" t="s">
        <v>278</v>
      </c>
      <c r="BK514" s="775">
        <f t="shared" si="35"/>
        <v>34.400000000000006</v>
      </c>
      <c r="BL514" s="775">
        <v>2012</v>
      </c>
      <c r="CL514" s="773"/>
      <c r="CM514" s="773"/>
      <c r="CN514" s="773"/>
      <c r="CO514" s="773"/>
      <c r="CP514" s="773"/>
      <c r="CQ514" s="773"/>
      <c r="CR514" s="773"/>
    </row>
    <row r="515" spans="35:96" ht="15.75">
      <c r="AI515" s="55"/>
      <c r="AJ515" s="55"/>
      <c r="AK515" s="55"/>
      <c r="AL515" s="55"/>
      <c r="AM515" s="55"/>
      <c r="AN515" s="55"/>
      <c r="AO515" s="55"/>
      <c r="AP515" s="55"/>
      <c r="AQ515" s="55"/>
      <c r="AR515" s="55"/>
      <c r="AS515" s="55"/>
      <c r="AT515" s="55"/>
      <c r="AU515" s="55"/>
      <c r="AV515" s="55"/>
      <c r="BA515" s="775" t="s">
        <v>172</v>
      </c>
      <c r="BB515" s="839">
        <v>2013</v>
      </c>
      <c r="BC515" s="775" t="s">
        <v>44</v>
      </c>
      <c r="BD515" s="775">
        <f t="shared" si="34"/>
        <v>436.09999999999991</v>
      </c>
      <c r="BH515" s="775" t="s">
        <v>172</v>
      </c>
      <c r="BI515" s="836" t="s">
        <v>136</v>
      </c>
      <c r="BJ515" s="775" t="s">
        <v>44</v>
      </c>
      <c r="BK515" s="775">
        <f t="shared" si="35"/>
        <v>538.79999999999995</v>
      </c>
      <c r="BL515" s="775">
        <v>2012</v>
      </c>
      <c r="CL515" s="773"/>
      <c r="CM515" s="773"/>
      <c r="CN515" s="773"/>
      <c r="CO515" s="773"/>
      <c r="CP515" s="773"/>
      <c r="CQ515" s="773"/>
      <c r="CR515" s="773"/>
    </row>
    <row r="516" spans="35:96" ht="15.75">
      <c r="AI516" s="55"/>
      <c r="AJ516" s="55"/>
      <c r="AK516" s="55"/>
      <c r="AL516" s="55"/>
      <c r="AM516" s="55"/>
      <c r="AN516" s="55"/>
      <c r="AO516" s="55"/>
      <c r="AP516" s="55"/>
      <c r="AQ516" s="55"/>
      <c r="AR516" s="55"/>
      <c r="AS516" s="55"/>
      <c r="AT516" s="55"/>
      <c r="AU516" s="55"/>
      <c r="AV516" s="55"/>
      <c r="BA516" s="775" t="s">
        <v>172</v>
      </c>
      <c r="BB516" s="839">
        <v>2013</v>
      </c>
      <c r="BC516" s="775" t="s">
        <v>45</v>
      </c>
      <c r="BD516" s="775">
        <f t="shared" si="34"/>
        <v>6.4</v>
      </c>
      <c r="BH516" s="775" t="s">
        <v>172</v>
      </c>
      <c r="BI516" s="836" t="s">
        <v>136</v>
      </c>
      <c r="BJ516" s="775" t="s">
        <v>45</v>
      </c>
      <c r="BK516" s="775">
        <f t="shared" si="35"/>
        <v>6.3</v>
      </c>
      <c r="BL516" s="775">
        <v>2012</v>
      </c>
      <c r="CL516" s="773"/>
      <c r="CM516" s="773"/>
      <c r="CN516" s="773"/>
      <c r="CO516" s="773"/>
      <c r="CP516" s="773"/>
      <c r="CQ516" s="773"/>
      <c r="CR516" s="773"/>
    </row>
    <row r="517" spans="35:96" ht="15.75">
      <c r="AI517" s="55"/>
      <c r="AJ517" s="55"/>
      <c r="AK517" s="55"/>
      <c r="AL517" s="55"/>
      <c r="AM517" s="55"/>
      <c r="AN517" s="55"/>
      <c r="AO517" s="55"/>
      <c r="AP517" s="55"/>
      <c r="AQ517" s="55"/>
      <c r="AR517" s="55"/>
      <c r="AS517" s="55"/>
      <c r="AT517" s="55"/>
      <c r="AU517" s="55"/>
      <c r="AV517" s="55"/>
      <c r="BA517" s="775" t="s">
        <v>172</v>
      </c>
      <c r="BB517" s="839">
        <v>2013</v>
      </c>
      <c r="BC517" s="775" t="s">
        <v>48</v>
      </c>
      <c r="BD517" s="775">
        <f t="shared" si="34"/>
        <v>84.699999999999989</v>
      </c>
      <c r="BH517" s="775" t="s">
        <v>172</v>
      </c>
      <c r="BI517" s="836" t="s">
        <v>136</v>
      </c>
      <c r="BJ517" s="775" t="s">
        <v>48</v>
      </c>
      <c r="BK517" s="775">
        <f t="shared" si="35"/>
        <v>97.199999999999989</v>
      </c>
      <c r="BL517" s="775">
        <v>2012</v>
      </c>
      <c r="CL517" s="773"/>
      <c r="CM517" s="773"/>
      <c r="CN517" s="773"/>
      <c r="CO517" s="773"/>
      <c r="CP517" s="773"/>
      <c r="CQ517" s="773"/>
      <c r="CR517" s="773"/>
    </row>
    <row r="518" spans="35:96" ht="15.75">
      <c r="AI518" s="55"/>
      <c r="AJ518" s="55"/>
      <c r="AK518" s="55"/>
      <c r="AL518" s="55"/>
      <c r="AM518" s="55"/>
      <c r="AN518" s="55"/>
      <c r="AO518" s="55"/>
      <c r="AP518" s="55"/>
      <c r="AQ518" s="55"/>
      <c r="AR518" s="55"/>
      <c r="AS518" s="55"/>
      <c r="AT518" s="55"/>
      <c r="AU518" s="55"/>
      <c r="AV518" s="55"/>
      <c r="BA518" s="775" t="s">
        <v>172</v>
      </c>
      <c r="BB518" s="839">
        <v>2013</v>
      </c>
      <c r="BC518" s="775" t="s">
        <v>97</v>
      </c>
      <c r="BD518" s="775">
        <f t="shared" si="34"/>
        <v>1014.4000000000003</v>
      </c>
      <c r="BH518" s="775" t="s">
        <v>172</v>
      </c>
      <c r="BI518" s="836" t="s">
        <v>136</v>
      </c>
      <c r="BJ518" s="775" t="s">
        <v>97</v>
      </c>
      <c r="BK518" s="775">
        <f t="shared" si="35"/>
        <v>1292.0000000000002</v>
      </c>
      <c r="BL518" s="775">
        <v>2012</v>
      </c>
      <c r="CL518" s="773"/>
      <c r="CM518" s="773"/>
      <c r="CN518" s="773"/>
      <c r="CO518" s="773"/>
      <c r="CP518" s="773"/>
      <c r="CQ518" s="773"/>
      <c r="CR518" s="773"/>
    </row>
    <row r="519" spans="35:96" ht="15.75">
      <c r="AI519" s="55"/>
      <c r="AJ519" s="55"/>
      <c r="AK519" s="55"/>
      <c r="AL519" s="55"/>
      <c r="AM519" s="55"/>
      <c r="AN519" s="55"/>
      <c r="AO519" s="55"/>
      <c r="AP519" s="55"/>
      <c r="AQ519" s="55"/>
      <c r="AR519" s="55"/>
      <c r="AS519" s="55"/>
      <c r="AT519" s="55"/>
      <c r="AU519" s="55"/>
      <c r="AV519" s="55"/>
      <c r="BA519" s="775" t="s">
        <v>170</v>
      </c>
      <c r="BB519" s="839">
        <v>2013</v>
      </c>
      <c r="BC519" s="775" t="s">
        <v>15</v>
      </c>
      <c r="BD519" s="775">
        <v>222.8</v>
      </c>
      <c r="BH519" s="775" t="s">
        <v>170</v>
      </c>
      <c r="BI519" s="836" t="s">
        <v>136</v>
      </c>
      <c r="BJ519" s="775" t="s">
        <v>15</v>
      </c>
      <c r="BK519" s="838">
        <v>319.3</v>
      </c>
      <c r="BL519" s="775">
        <v>2012</v>
      </c>
      <c r="CL519" s="773"/>
      <c r="CM519" s="773"/>
      <c r="CN519" s="773"/>
      <c r="CO519" s="773"/>
      <c r="CP519" s="773"/>
      <c r="CQ519" s="773"/>
      <c r="CR519" s="773"/>
    </row>
    <row r="520" spans="35:96" ht="15.75">
      <c r="AI520" s="55"/>
      <c r="AJ520" s="55"/>
      <c r="AK520" s="55"/>
      <c r="AL520" s="55"/>
      <c r="AM520" s="55"/>
      <c r="AN520" s="55"/>
      <c r="AO520" s="55"/>
      <c r="AP520" s="55"/>
      <c r="AQ520" s="55"/>
      <c r="AR520" s="55"/>
      <c r="AS520" s="55"/>
      <c r="AT520" s="55"/>
      <c r="AU520" s="55"/>
      <c r="AV520" s="55"/>
      <c r="BA520" s="775" t="s">
        <v>170</v>
      </c>
      <c r="BB520" s="839">
        <v>2013</v>
      </c>
      <c r="BC520" s="775" t="s">
        <v>277</v>
      </c>
      <c r="BD520" s="775">
        <v>64.5</v>
      </c>
      <c r="BH520" s="775" t="s">
        <v>170</v>
      </c>
      <c r="BI520" s="836" t="s">
        <v>136</v>
      </c>
      <c r="BJ520" s="775" t="s">
        <v>277</v>
      </c>
      <c r="BK520" s="838">
        <v>79.800000000000011</v>
      </c>
      <c r="BL520" s="775">
        <v>2012</v>
      </c>
      <c r="CL520" s="773"/>
      <c r="CM520" s="773"/>
      <c r="CN520" s="773"/>
      <c r="CO520" s="773"/>
      <c r="CP520" s="773"/>
      <c r="CQ520" s="773"/>
      <c r="CR520" s="773"/>
    </row>
    <row r="521" spans="35:96" ht="15.75">
      <c r="AI521" s="55"/>
      <c r="AJ521" s="55"/>
      <c r="AK521" s="55"/>
      <c r="AL521" s="55"/>
      <c r="AM521" s="55"/>
      <c r="AN521" s="55"/>
      <c r="AO521" s="55"/>
      <c r="AP521" s="55"/>
      <c r="AQ521" s="55"/>
      <c r="AR521" s="55"/>
      <c r="AS521" s="55"/>
      <c r="AT521" s="55"/>
      <c r="AU521" s="55"/>
      <c r="AV521" s="55"/>
      <c r="BA521" s="775" t="s">
        <v>170</v>
      </c>
      <c r="BB521" s="839">
        <v>2013</v>
      </c>
      <c r="BC521" s="775" t="s">
        <v>1064</v>
      </c>
      <c r="BD521" s="775">
        <v>128.29999999999998</v>
      </c>
      <c r="BH521" s="775" t="s">
        <v>170</v>
      </c>
      <c r="BI521" s="836" t="s">
        <v>136</v>
      </c>
      <c r="BJ521" s="775" t="s">
        <v>1064</v>
      </c>
      <c r="BK521" s="838">
        <v>164.5</v>
      </c>
      <c r="BL521" s="775">
        <v>2012</v>
      </c>
      <c r="CL521" s="773"/>
      <c r="CM521" s="773"/>
      <c r="CN521" s="773"/>
      <c r="CO521" s="773"/>
      <c r="CP521" s="773"/>
      <c r="CQ521" s="773"/>
      <c r="CR521" s="773"/>
    </row>
    <row r="522" spans="35:96" ht="15.75">
      <c r="AI522" s="55"/>
      <c r="AJ522" s="55"/>
      <c r="AK522" s="55"/>
      <c r="AL522" s="55"/>
      <c r="AM522" s="55"/>
      <c r="AN522" s="55"/>
      <c r="AO522" s="55"/>
      <c r="AP522" s="55"/>
      <c r="AQ522" s="55"/>
      <c r="AR522" s="55"/>
      <c r="AS522" s="55"/>
      <c r="AT522" s="55"/>
      <c r="AU522" s="55"/>
      <c r="AV522" s="55"/>
      <c r="BA522" s="775" t="s">
        <v>170</v>
      </c>
      <c r="BB522" s="839">
        <v>2013</v>
      </c>
      <c r="BC522" s="775" t="s">
        <v>8</v>
      </c>
      <c r="BD522" s="775">
        <v>553.4</v>
      </c>
      <c r="BH522" s="775" t="s">
        <v>170</v>
      </c>
      <c r="BI522" s="836" t="s">
        <v>136</v>
      </c>
      <c r="BJ522" s="775" t="s">
        <v>8</v>
      </c>
      <c r="BK522" s="838">
        <v>661.8</v>
      </c>
      <c r="BL522" s="775">
        <v>2012</v>
      </c>
      <c r="CL522" s="773"/>
      <c r="CM522" s="773"/>
      <c r="CN522" s="773"/>
      <c r="CO522" s="773"/>
      <c r="CP522" s="773"/>
      <c r="CQ522" s="773"/>
      <c r="CR522" s="773"/>
    </row>
    <row r="523" spans="35:96" ht="15.75">
      <c r="AI523" s="55"/>
      <c r="AJ523" s="55"/>
      <c r="AK523" s="55"/>
      <c r="AL523" s="55"/>
      <c r="AM523" s="55"/>
      <c r="AN523" s="55"/>
      <c r="AO523" s="55"/>
      <c r="AP523" s="55"/>
      <c r="AQ523" s="55"/>
      <c r="AR523" s="55"/>
      <c r="AS523" s="55"/>
      <c r="AT523" s="55"/>
      <c r="AU523" s="55"/>
      <c r="AV523" s="55"/>
      <c r="BA523" s="775" t="s">
        <v>170</v>
      </c>
      <c r="BB523" s="839">
        <v>2013</v>
      </c>
      <c r="BC523" s="775" t="s">
        <v>96</v>
      </c>
      <c r="BD523" s="775">
        <v>858.8</v>
      </c>
      <c r="BH523" s="775" t="s">
        <v>170</v>
      </c>
      <c r="BI523" s="836" t="s">
        <v>136</v>
      </c>
      <c r="BJ523" s="775" t="s">
        <v>96</v>
      </c>
      <c r="BK523" s="838">
        <v>1011.3</v>
      </c>
      <c r="BL523" s="775">
        <v>2012</v>
      </c>
      <c r="CL523" s="773"/>
      <c r="CM523" s="773"/>
      <c r="CN523" s="773"/>
      <c r="CO523" s="773"/>
      <c r="CP523" s="773"/>
      <c r="CQ523" s="773"/>
      <c r="CR523" s="773"/>
    </row>
    <row r="524" spans="35:96" ht="15.75">
      <c r="AI524" s="55"/>
      <c r="AJ524" s="55"/>
      <c r="AK524" s="55"/>
      <c r="AL524" s="55"/>
      <c r="AM524" s="55"/>
      <c r="AN524" s="55"/>
      <c r="AO524" s="55"/>
      <c r="AP524" s="55"/>
      <c r="AQ524" s="55"/>
      <c r="AR524" s="55"/>
      <c r="AS524" s="55"/>
      <c r="AT524" s="55"/>
      <c r="AU524" s="55"/>
      <c r="AV524" s="55"/>
      <c r="BA524" s="775" t="s">
        <v>170</v>
      </c>
      <c r="BB524" s="839">
        <v>2013</v>
      </c>
      <c r="BC524" s="775" t="s">
        <v>196</v>
      </c>
      <c r="BD524" s="775">
        <v>24</v>
      </c>
      <c r="BH524" s="775" t="s">
        <v>170</v>
      </c>
      <c r="BI524" s="836" t="s">
        <v>136</v>
      </c>
      <c r="BJ524" s="775" t="s">
        <v>196</v>
      </c>
      <c r="BK524" s="838">
        <v>37.799999999999997</v>
      </c>
      <c r="BL524" s="775">
        <v>2012</v>
      </c>
      <c r="CL524" s="773"/>
      <c r="CM524" s="773"/>
      <c r="CN524" s="773"/>
      <c r="CO524" s="773"/>
      <c r="CP524" s="773"/>
      <c r="CQ524" s="773"/>
      <c r="CR524" s="773"/>
    </row>
    <row r="525" spans="35:96" ht="15.75">
      <c r="AI525" s="55"/>
      <c r="AJ525" s="55"/>
      <c r="AK525" s="55"/>
      <c r="AL525" s="55"/>
      <c r="AM525" s="55"/>
      <c r="AN525" s="55"/>
      <c r="AO525" s="55"/>
      <c r="AP525" s="55"/>
      <c r="AQ525" s="55"/>
      <c r="AR525" s="55"/>
      <c r="AS525" s="55"/>
      <c r="AT525" s="55"/>
      <c r="AU525" s="55"/>
      <c r="AV525" s="55"/>
      <c r="BA525" s="775" t="s">
        <v>170</v>
      </c>
      <c r="BB525" s="839">
        <v>2013</v>
      </c>
      <c r="BC525" s="775" t="s">
        <v>278</v>
      </c>
      <c r="BD525" s="775">
        <v>52.300000000000004</v>
      </c>
      <c r="BH525" s="775" t="s">
        <v>170</v>
      </c>
      <c r="BI525" s="836" t="s">
        <v>136</v>
      </c>
      <c r="BJ525" s="775" t="s">
        <v>278</v>
      </c>
      <c r="BK525" s="838">
        <v>69.5</v>
      </c>
      <c r="BL525" s="775">
        <v>2012</v>
      </c>
      <c r="CL525" s="773"/>
      <c r="CM525" s="773"/>
      <c r="CN525" s="773"/>
      <c r="CO525" s="773"/>
      <c r="CP525" s="773"/>
      <c r="CQ525" s="773"/>
      <c r="CR525" s="773"/>
    </row>
    <row r="526" spans="35:96" ht="15.75">
      <c r="AI526" s="55"/>
      <c r="AJ526" s="55"/>
      <c r="AK526" s="55"/>
      <c r="AL526" s="55"/>
      <c r="AM526" s="55"/>
      <c r="AN526" s="55"/>
      <c r="AO526" s="55"/>
      <c r="AP526" s="55"/>
      <c r="AQ526" s="55"/>
      <c r="AR526" s="55"/>
      <c r="AS526" s="55"/>
      <c r="AT526" s="55"/>
      <c r="AU526" s="55"/>
      <c r="AV526" s="55"/>
      <c r="BA526" s="775" t="s">
        <v>170</v>
      </c>
      <c r="BB526" s="839">
        <v>2013</v>
      </c>
      <c r="BC526" s="775" t="s">
        <v>44</v>
      </c>
      <c r="BD526" s="775">
        <v>440.19999999999993</v>
      </c>
      <c r="BH526" s="775" t="s">
        <v>170</v>
      </c>
      <c r="BI526" s="836" t="s">
        <v>136</v>
      </c>
      <c r="BJ526" s="775" t="s">
        <v>44</v>
      </c>
      <c r="BK526" s="838">
        <v>544</v>
      </c>
      <c r="BL526" s="775">
        <v>2012</v>
      </c>
      <c r="CL526" s="773"/>
      <c r="CM526" s="773"/>
      <c r="CN526" s="773"/>
      <c r="CO526" s="773"/>
      <c r="CP526" s="773"/>
      <c r="CQ526" s="773"/>
      <c r="CR526" s="773"/>
    </row>
    <row r="527" spans="35:96" ht="15.75">
      <c r="AI527" s="55"/>
      <c r="AJ527" s="55"/>
      <c r="AK527" s="55"/>
      <c r="AL527" s="55"/>
      <c r="AM527" s="55"/>
      <c r="AN527" s="55"/>
      <c r="AO527" s="55"/>
      <c r="AP527" s="55"/>
      <c r="AQ527" s="55"/>
      <c r="AR527" s="55"/>
      <c r="AS527" s="55"/>
      <c r="AT527" s="55"/>
      <c r="AU527" s="55"/>
      <c r="AV527" s="55"/>
      <c r="BA527" s="775" t="s">
        <v>170</v>
      </c>
      <c r="BB527" s="839">
        <v>2013</v>
      </c>
      <c r="BC527" s="775" t="s">
        <v>45</v>
      </c>
      <c r="BD527" s="775">
        <v>6.4</v>
      </c>
      <c r="BH527" s="775" t="s">
        <v>170</v>
      </c>
      <c r="BI527" s="836" t="s">
        <v>136</v>
      </c>
      <c r="BJ527" s="775" t="s">
        <v>45</v>
      </c>
      <c r="BK527" s="838">
        <v>6.3</v>
      </c>
      <c r="BL527" s="775">
        <v>2012</v>
      </c>
      <c r="CL527" s="773"/>
      <c r="CM527" s="773"/>
      <c r="CN527" s="773"/>
      <c r="CO527" s="773"/>
      <c r="CP527" s="773"/>
      <c r="CQ527" s="773"/>
      <c r="CR527" s="773"/>
    </row>
    <row r="528" spans="35:96" ht="15.75">
      <c r="AI528" s="55"/>
      <c r="AJ528" s="55"/>
      <c r="AK528" s="55"/>
      <c r="AL528" s="55"/>
      <c r="AM528" s="55"/>
      <c r="AN528" s="55"/>
      <c r="AO528" s="55"/>
      <c r="AP528" s="55"/>
      <c r="AQ528" s="55"/>
      <c r="AR528" s="55"/>
      <c r="AS528" s="55"/>
      <c r="AT528" s="55"/>
      <c r="AU528" s="55"/>
      <c r="AV528" s="55"/>
      <c r="BA528" s="775" t="s">
        <v>170</v>
      </c>
      <c r="BB528" s="839">
        <v>2013</v>
      </c>
      <c r="BC528" s="775" t="s">
        <v>48</v>
      </c>
      <c r="BD528" s="775">
        <v>159.19999999999999</v>
      </c>
      <c r="BH528" s="775" t="s">
        <v>170</v>
      </c>
      <c r="BI528" s="836" t="s">
        <v>136</v>
      </c>
      <c r="BJ528" s="775" t="s">
        <v>48</v>
      </c>
      <c r="BK528" s="838">
        <v>161.19999999999999</v>
      </c>
      <c r="BL528" s="775">
        <v>2012</v>
      </c>
      <c r="CL528" s="773"/>
      <c r="CM528" s="773"/>
      <c r="CN528" s="773"/>
      <c r="CO528" s="773"/>
      <c r="CP528" s="773"/>
      <c r="CQ528" s="773"/>
      <c r="CR528" s="773"/>
    </row>
    <row r="529" spans="35:96" ht="15.75">
      <c r="AI529" s="55"/>
      <c r="AJ529" s="55"/>
      <c r="AK529" s="55"/>
      <c r="AL529" s="55"/>
      <c r="AM529" s="55"/>
      <c r="AN529" s="55"/>
      <c r="AO529" s="55"/>
      <c r="AP529" s="55"/>
      <c r="AQ529" s="55"/>
      <c r="AR529" s="55"/>
      <c r="AS529" s="55"/>
      <c r="AT529" s="55"/>
      <c r="AU529" s="55"/>
      <c r="AV529" s="55"/>
      <c r="BA529" s="775" t="s">
        <v>170</v>
      </c>
      <c r="BB529" s="839">
        <v>2013</v>
      </c>
      <c r="BC529" s="775" t="s">
        <v>97</v>
      </c>
      <c r="BD529" s="775">
        <v>2522.6000000000004</v>
      </c>
      <c r="BH529" s="775" t="s">
        <v>170</v>
      </c>
      <c r="BI529" s="836" t="s">
        <v>136</v>
      </c>
      <c r="BJ529" s="775" t="s">
        <v>97</v>
      </c>
      <c r="BK529" s="838">
        <v>3055.4</v>
      </c>
      <c r="BL529" s="775">
        <v>2012</v>
      </c>
      <c r="CL529" s="773"/>
      <c r="CM529" s="773"/>
      <c r="CN529" s="773"/>
      <c r="CO529" s="773"/>
      <c r="CP529" s="773"/>
      <c r="CQ529" s="773"/>
      <c r="CR529" s="773"/>
    </row>
    <row r="530" spans="35:96" ht="15.75">
      <c r="AI530" s="55"/>
      <c r="AJ530" s="55"/>
      <c r="AK530" s="55"/>
      <c r="AL530" s="55"/>
      <c r="AM530" s="55"/>
      <c r="AN530" s="55"/>
      <c r="AO530" s="55"/>
      <c r="AP530" s="55"/>
      <c r="AQ530" s="55"/>
      <c r="AR530" s="55"/>
      <c r="AS530" s="55"/>
      <c r="AT530" s="55"/>
      <c r="AU530" s="55"/>
      <c r="AV530" s="55"/>
      <c r="BA530" s="775" t="s">
        <v>38</v>
      </c>
      <c r="BB530" s="839">
        <v>2014</v>
      </c>
      <c r="BC530" s="775" t="s">
        <v>15</v>
      </c>
      <c r="BD530" s="840">
        <v>43.1</v>
      </c>
      <c r="BE530" s="775"/>
      <c r="BH530" s="775" t="s">
        <v>38</v>
      </c>
      <c r="BI530" s="836" t="s">
        <v>137</v>
      </c>
      <c r="BJ530" s="775" t="s">
        <v>15</v>
      </c>
      <c r="BK530" s="776">
        <v>58.3</v>
      </c>
      <c r="BL530" s="775">
        <v>2013</v>
      </c>
      <c r="CL530" s="773"/>
      <c r="CM530" s="773"/>
      <c r="CN530" s="773"/>
      <c r="CO530" s="773"/>
      <c r="CP530" s="773"/>
      <c r="CQ530" s="773"/>
      <c r="CR530" s="773"/>
    </row>
    <row r="531" spans="35:96" ht="15.75">
      <c r="AI531" s="55"/>
      <c r="AJ531" s="55"/>
      <c r="AK531" s="55"/>
      <c r="AL531" s="55"/>
      <c r="AM531" s="55"/>
      <c r="AN531" s="55"/>
      <c r="AO531" s="55"/>
      <c r="AP531" s="55"/>
      <c r="AQ531" s="55"/>
      <c r="AR531" s="55"/>
      <c r="AS531" s="55"/>
      <c r="AT531" s="55"/>
      <c r="AU531" s="55"/>
      <c r="AV531" s="55"/>
      <c r="BA531" s="775" t="s">
        <v>38</v>
      </c>
      <c r="BB531" s="839">
        <v>2014</v>
      </c>
      <c r="BC531" s="775" t="s">
        <v>277</v>
      </c>
      <c r="BD531" s="840">
        <v>15.200000000000001</v>
      </c>
      <c r="BE531" s="775"/>
      <c r="BH531" s="775" t="s">
        <v>38</v>
      </c>
      <c r="BI531" s="836" t="s">
        <v>137</v>
      </c>
      <c r="BJ531" s="775" t="s">
        <v>277</v>
      </c>
      <c r="BK531" s="776">
        <v>13.9</v>
      </c>
      <c r="BL531" s="775">
        <v>2013</v>
      </c>
      <c r="CL531" s="773"/>
      <c r="CM531" s="773"/>
      <c r="CN531" s="773"/>
      <c r="CO531" s="773"/>
      <c r="CP531" s="773"/>
      <c r="CQ531" s="773"/>
      <c r="CR531" s="773"/>
    </row>
    <row r="532" spans="35:96" ht="15.75">
      <c r="AI532" s="55"/>
      <c r="AJ532" s="55"/>
      <c r="AK532" s="55"/>
      <c r="AL532" s="55"/>
      <c r="AM532" s="55"/>
      <c r="AN532" s="55"/>
      <c r="AO532" s="55"/>
      <c r="AP532" s="55"/>
      <c r="AQ532" s="55"/>
      <c r="AR532" s="55"/>
      <c r="AS532" s="55"/>
      <c r="AT532" s="55"/>
      <c r="AU532" s="55"/>
      <c r="AV532" s="55"/>
      <c r="BA532" s="775" t="s">
        <v>38</v>
      </c>
      <c r="BB532" s="839">
        <v>2014</v>
      </c>
      <c r="BC532" s="775" t="s">
        <v>1064</v>
      </c>
      <c r="BD532" s="840">
        <v>85.1</v>
      </c>
      <c r="BE532" s="775"/>
      <c r="BH532" s="775" t="s">
        <v>38</v>
      </c>
      <c r="BI532" s="836" t="s">
        <v>137</v>
      </c>
      <c r="BJ532" s="775" t="s">
        <v>1064</v>
      </c>
      <c r="BK532" s="776">
        <v>94.899999999999991</v>
      </c>
      <c r="BL532" s="775">
        <v>2013</v>
      </c>
      <c r="CL532" s="773"/>
      <c r="CM532" s="773"/>
      <c r="CN532" s="773"/>
      <c r="CO532" s="773"/>
      <c r="CP532" s="773"/>
      <c r="CQ532" s="773"/>
      <c r="CR532" s="773"/>
    </row>
    <row r="533" spans="35:96" ht="15.75">
      <c r="AI533" s="55"/>
      <c r="AJ533" s="55"/>
      <c r="AK533" s="55"/>
      <c r="AL533" s="55"/>
      <c r="AM533" s="55"/>
      <c r="AN533" s="55"/>
      <c r="AO533" s="55"/>
      <c r="AP533" s="55"/>
      <c r="AQ533" s="55"/>
      <c r="AR533" s="55"/>
      <c r="AS533" s="55"/>
      <c r="AT533" s="55"/>
      <c r="AU533" s="55"/>
      <c r="AV533" s="55"/>
      <c r="BA533" s="775" t="s">
        <v>38</v>
      </c>
      <c r="BB533" s="839">
        <v>2014</v>
      </c>
      <c r="BC533" s="775" t="s">
        <v>8</v>
      </c>
      <c r="BD533" s="840">
        <v>248.7</v>
      </c>
      <c r="BE533" s="775"/>
      <c r="BH533" s="775" t="s">
        <v>38</v>
      </c>
      <c r="BI533" s="836" t="s">
        <v>137</v>
      </c>
      <c r="BJ533" s="775" t="s">
        <v>8</v>
      </c>
      <c r="BK533" s="776">
        <v>295.29999999999995</v>
      </c>
      <c r="BL533" s="775">
        <v>2013</v>
      </c>
      <c r="CL533" s="773"/>
      <c r="CM533" s="773"/>
      <c r="CN533" s="773"/>
      <c r="CO533" s="773"/>
      <c r="CP533" s="773"/>
      <c r="CQ533" s="773"/>
      <c r="CR533" s="773"/>
    </row>
    <row r="534" spans="35:96" ht="15.75">
      <c r="AI534" s="55"/>
      <c r="AJ534" s="55"/>
      <c r="AK534" s="55"/>
      <c r="AL534" s="55"/>
      <c r="AM534" s="55"/>
      <c r="AN534" s="55"/>
      <c r="AO534" s="55"/>
      <c r="AP534" s="55"/>
      <c r="AQ534" s="55"/>
      <c r="AR534" s="55"/>
      <c r="AS534" s="55"/>
      <c r="AT534" s="55"/>
      <c r="AU534" s="55"/>
      <c r="AV534" s="55"/>
      <c r="BA534" s="775" t="s">
        <v>38</v>
      </c>
      <c r="BB534" s="839">
        <v>2014</v>
      </c>
      <c r="BC534" s="775" t="s">
        <v>96</v>
      </c>
      <c r="BD534" s="840">
        <v>531.20000000000005</v>
      </c>
      <c r="BE534" s="775"/>
      <c r="BH534" s="775" t="s">
        <v>38</v>
      </c>
      <c r="BI534" s="836" t="s">
        <v>137</v>
      </c>
      <c r="BJ534" s="775" t="s">
        <v>96</v>
      </c>
      <c r="BK534" s="776">
        <v>634.40000000000009</v>
      </c>
      <c r="BL534" s="775">
        <v>2013</v>
      </c>
      <c r="CL534" s="773"/>
      <c r="CM534" s="773"/>
      <c r="CN534" s="773"/>
      <c r="CO534" s="773"/>
      <c r="CP534" s="773"/>
      <c r="CQ534" s="773"/>
      <c r="CR534" s="773"/>
    </row>
    <row r="535" spans="35:96" ht="15.75">
      <c r="AI535" s="55"/>
      <c r="AJ535" s="55"/>
      <c r="AK535" s="55"/>
      <c r="AL535" s="55"/>
      <c r="AM535" s="55"/>
      <c r="AN535" s="55"/>
      <c r="AO535" s="55"/>
      <c r="AP535" s="55"/>
      <c r="AQ535" s="55"/>
      <c r="AR535" s="55"/>
      <c r="AS535" s="55"/>
      <c r="AT535" s="55"/>
      <c r="AU535" s="55"/>
      <c r="AV535" s="55"/>
      <c r="BA535" s="775" t="s">
        <v>38</v>
      </c>
      <c r="BB535" s="839">
        <v>2014</v>
      </c>
      <c r="BC535" s="775" t="s">
        <v>196</v>
      </c>
      <c r="BD535" s="840">
        <v>14.8</v>
      </c>
      <c r="BE535" s="775"/>
      <c r="BH535" s="775" t="s">
        <v>38</v>
      </c>
      <c r="BI535" s="836" t="s">
        <v>137</v>
      </c>
      <c r="BJ535" s="775" t="s">
        <v>196</v>
      </c>
      <c r="BK535" s="776">
        <v>16.399999999999999</v>
      </c>
      <c r="BL535" s="775">
        <v>2013</v>
      </c>
      <c r="CL535" s="773"/>
      <c r="CM535" s="773"/>
      <c r="CN535" s="773"/>
      <c r="CO535" s="773"/>
      <c r="CP535" s="773"/>
      <c r="CQ535" s="773"/>
      <c r="CR535" s="773"/>
    </row>
    <row r="536" spans="35:96" ht="15.75">
      <c r="AI536" s="55"/>
      <c r="AJ536" s="55"/>
      <c r="AK536" s="55"/>
      <c r="AL536" s="55"/>
      <c r="AM536" s="55"/>
      <c r="AN536" s="55"/>
      <c r="AO536" s="55"/>
      <c r="AP536" s="55"/>
      <c r="AQ536" s="55"/>
      <c r="AR536" s="55"/>
      <c r="AS536" s="55"/>
      <c r="AT536" s="55"/>
      <c r="AU536" s="55"/>
      <c r="AV536" s="55"/>
      <c r="BA536" s="775" t="s">
        <v>38</v>
      </c>
      <c r="BB536" s="839">
        <v>2014</v>
      </c>
      <c r="BC536" s="775" t="s">
        <v>278</v>
      </c>
      <c r="BD536" s="840">
        <v>24.1</v>
      </c>
      <c r="BE536" s="775"/>
      <c r="BH536" s="775" t="s">
        <v>38</v>
      </c>
      <c r="BI536" s="836" t="s">
        <v>137</v>
      </c>
      <c r="BJ536" s="775" t="s">
        <v>278</v>
      </c>
      <c r="BK536" s="776">
        <v>22.599999999999998</v>
      </c>
      <c r="BL536" s="775">
        <v>2013</v>
      </c>
      <c r="CL536" s="773"/>
      <c r="CM536" s="773"/>
      <c r="CN536" s="773"/>
      <c r="CO536" s="773"/>
      <c r="CP536" s="773"/>
      <c r="CQ536" s="773"/>
      <c r="CR536" s="773"/>
    </row>
    <row r="537" spans="35:96" ht="15.75">
      <c r="AI537" s="55"/>
      <c r="AJ537" s="55"/>
      <c r="AK537" s="55"/>
      <c r="AL537" s="55"/>
      <c r="AM537" s="55"/>
      <c r="AN537" s="55"/>
      <c r="AO537" s="55"/>
      <c r="AP537" s="55"/>
      <c r="AQ537" s="55"/>
      <c r="AR537" s="55"/>
      <c r="AS537" s="55"/>
      <c r="AT537" s="55"/>
      <c r="AU537" s="55"/>
      <c r="AV537" s="55"/>
      <c r="BA537" s="775" t="s">
        <v>38</v>
      </c>
      <c r="BB537" s="839">
        <v>2014</v>
      </c>
      <c r="BC537" s="775" t="s">
        <v>44</v>
      </c>
      <c r="BD537" s="840">
        <v>0.6</v>
      </c>
      <c r="BE537" s="775"/>
      <c r="BH537" s="775" t="s">
        <v>38</v>
      </c>
      <c r="BI537" s="836" t="s">
        <v>137</v>
      </c>
      <c r="BJ537" s="775" t="s">
        <v>44</v>
      </c>
      <c r="BK537" s="776">
        <v>0</v>
      </c>
      <c r="BL537" s="775">
        <v>2013</v>
      </c>
      <c r="CL537" s="773"/>
      <c r="CM537" s="773"/>
      <c r="CN537" s="773"/>
      <c r="CO537" s="773"/>
      <c r="CP537" s="773"/>
      <c r="CQ537" s="773"/>
      <c r="CR537" s="773"/>
    </row>
    <row r="538" spans="35:96" ht="15.75">
      <c r="AI538" s="55"/>
      <c r="AJ538" s="55"/>
      <c r="AK538" s="55"/>
      <c r="AL538" s="55"/>
      <c r="AM538" s="55"/>
      <c r="AN538" s="55"/>
      <c r="AO538" s="55"/>
      <c r="AP538" s="55"/>
      <c r="AQ538" s="55"/>
      <c r="AR538" s="55"/>
      <c r="AS538" s="55"/>
      <c r="AT538" s="55"/>
      <c r="AU538" s="55"/>
      <c r="AV538" s="55"/>
      <c r="BA538" s="775" t="s">
        <v>38</v>
      </c>
      <c r="BB538" s="839">
        <v>2014</v>
      </c>
      <c r="BC538" s="775" t="s">
        <v>45</v>
      </c>
      <c r="BD538" s="841">
        <v>1</v>
      </c>
      <c r="BE538" s="775"/>
      <c r="BH538" s="775" t="s">
        <v>38</v>
      </c>
      <c r="BI538" s="836" t="s">
        <v>137</v>
      </c>
      <c r="BJ538" s="775" t="s">
        <v>45</v>
      </c>
      <c r="BK538" s="776">
        <v>0</v>
      </c>
      <c r="BL538" s="775">
        <v>2013</v>
      </c>
      <c r="CL538" s="773"/>
      <c r="CM538" s="773"/>
      <c r="CN538" s="773"/>
      <c r="CO538" s="773"/>
      <c r="CP538" s="773"/>
      <c r="CQ538" s="773"/>
      <c r="CR538" s="773"/>
    </row>
    <row r="539" spans="35:96" ht="15.75">
      <c r="AI539" s="55"/>
      <c r="AJ539" s="55"/>
      <c r="AK539" s="55"/>
      <c r="AL539" s="55"/>
      <c r="AM539" s="55"/>
      <c r="AN539" s="55"/>
      <c r="AO539" s="55"/>
      <c r="AP539" s="55"/>
      <c r="AQ539" s="55"/>
      <c r="AR539" s="55"/>
      <c r="AS539" s="55"/>
      <c r="AT539" s="55"/>
      <c r="AU539" s="55"/>
      <c r="AV539" s="55"/>
      <c r="BA539" s="775" t="s">
        <v>38</v>
      </c>
      <c r="BB539" s="839">
        <v>2014</v>
      </c>
      <c r="BC539" s="775" t="s">
        <v>48</v>
      </c>
      <c r="BD539" s="841">
        <v>74.8</v>
      </c>
      <c r="BE539" s="775"/>
      <c r="BH539" s="775" t="s">
        <v>38</v>
      </c>
      <c r="BI539" s="836" t="s">
        <v>137</v>
      </c>
      <c r="BJ539" s="775" t="s">
        <v>48</v>
      </c>
      <c r="BK539" s="776">
        <v>73.3</v>
      </c>
      <c r="BL539" s="775">
        <v>2013</v>
      </c>
      <c r="CL539" s="773"/>
      <c r="CM539" s="773"/>
      <c r="CN539" s="773"/>
      <c r="CO539" s="773"/>
      <c r="CP539" s="773"/>
      <c r="CQ539" s="773"/>
      <c r="CR539" s="773"/>
    </row>
    <row r="540" spans="35:96" ht="15.75">
      <c r="AI540" s="55"/>
      <c r="AJ540" s="55"/>
      <c r="AK540" s="55"/>
      <c r="AL540" s="55"/>
      <c r="AM540" s="55"/>
      <c r="AN540" s="55"/>
      <c r="AO540" s="55"/>
      <c r="AP540" s="55"/>
      <c r="AQ540" s="55"/>
      <c r="AR540" s="55"/>
      <c r="AS540" s="55"/>
      <c r="AT540" s="55"/>
      <c r="AU540" s="55"/>
      <c r="AV540" s="55"/>
      <c r="BA540" s="775" t="s">
        <v>38</v>
      </c>
      <c r="BB540" s="839">
        <v>2014</v>
      </c>
      <c r="BC540" s="775" t="s">
        <v>97</v>
      </c>
      <c r="BD540" s="841">
        <v>1045.3</v>
      </c>
      <c r="BE540" s="775"/>
      <c r="BH540" s="775" t="s">
        <v>38</v>
      </c>
      <c r="BI540" s="836" t="s">
        <v>137</v>
      </c>
      <c r="BJ540" s="775" t="s">
        <v>97</v>
      </c>
      <c r="BK540" s="776">
        <v>1220</v>
      </c>
      <c r="BL540" s="775">
        <v>2013</v>
      </c>
      <c r="CL540" s="773"/>
      <c r="CM540" s="773"/>
      <c r="CN540" s="773"/>
      <c r="CO540" s="773"/>
      <c r="CP540" s="773"/>
      <c r="CQ540" s="773"/>
      <c r="CR540" s="773"/>
    </row>
    <row r="541" spans="35:96" ht="15.75">
      <c r="AI541" s="55"/>
      <c r="AJ541" s="55"/>
      <c r="AK541" s="55"/>
      <c r="AL541" s="55"/>
      <c r="AM541" s="55"/>
      <c r="AN541" s="55"/>
      <c r="AO541" s="55"/>
      <c r="AP541" s="55"/>
      <c r="AQ541" s="55"/>
      <c r="AR541" s="55"/>
      <c r="AS541" s="55"/>
      <c r="AT541" s="55"/>
      <c r="AU541" s="55"/>
      <c r="AV541" s="55"/>
      <c r="BA541" s="775" t="s">
        <v>172</v>
      </c>
      <c r="BB541" s="839">
        <v>2014</v>
      </c>
      <c r="BC541" s="775" t="s">
        <v>15</v>
      </c>
      <c r="BD541" s="775">
        <f t="shared" ref="BD541:BD551" si="36">BD552-BD530</f>
        <v>120.6</v>
      </c>
      <c r="BE541" s="775"/>
      <c r="BH541" s="775" t="s">
        <v>172</v>
      </c>
      <c r="BI541" s="836" t="s">
        <v>137</v>
      </c>
      <c r="BJ541" s="775" t="s">
        <v>15</v>
      </c>
      <c r="BK541" s="775">
        <f t="shared" ref="BK541:BK551" si="37">BK552-BK530</f>
        <v>118.50000000000001</v>
      </c>
      <c r="BL541" s="775">
        <v>2013</v>
      </c>
      <c r="CL541" s="773"/>
      <c r="CM541" s="773"/>
      <c r="CN541" s="773"/>
      <c r="CO541" s="773"/>
      <c r="CP541" s="773"/>
      <c r="CQ541" s="773"/>
      <c r="CR541" s="773"/>
    </row>
    <row r="542" spans="35:96" ht="15.75">
      <c r="AI542" s="55"/>
      <c r="AJ542" s="55"/>
      <c r="AK542" s="55"/>
      <c r="AL542" s="55"/>
      <c r="AM542" s="55"/>
      <c r="AN542" s="55"/>
      <c r="AO542" s="55"/>
      <c r="AP542" s="55"/>
      <c r="AQ542" s="55"/>
      <c r="AR542" s="55"/>
      <c r="AS542" s="55"/>
      <c r="AT542" s="55"/>
      <c r="AU542" s="55"/>
      <c r="AV542" s="55"/>
      <c r="BA542" s="775" t="s">
        <v>172</v>
      </c>
      <c r="BB542" s="839">
        <v>2014</v>
      </c>
      <c r="BC542" s="775" t="s">
        <v>277</v>
      </c>
      <c r="BD542" s="775">
        <f t="shared" si="36"/>
        <v>35.199999999999996</v>
      </c>
      <c r="BE542" s="775"/>
      <c r="BH542" s="775" t="s">
        <v>172</v>
      </c>
      <c r="BI542" s="836" t="s">
        <v>137</v>
      </c>
      <c r="BJ542" s="775" t="s">
        <v>277</v>
      </c>
      <c r="BK542" s="775">
        <f t="shared" si="37"/>
        <v>31.9</v>
      </c>
      <c r="BL542" s="775">
        <v>2013</v>
      </c>
      <c r="CL542" s="773"/>
      <c r="CM542" s="773"/>
      <c r="CN542" s="773"/>
      <c r="CO542" s="773"/>
      <c r="CP542" s="773"/>
      <c r="CQ542" s="773"/>
      <c r="CR542" s="773"/>
    </row>
    <row r="543" spans="35:96" ht="15.75">
      <c r="AI543" s="55"/>
      <c r="AJ543" s="55"/>
      <c r="AK543" s="55"/>
      <c r="AL543" s="55"/>
      <c r="AM543" s="55"/>
      <c r="AN543" s="55"/>
      <c r="AO543" s="55"/>
      <c r="AP543" s="55"/>
      <c r="AQ543" s="55"/>
      <c r="AR543" s="55"/>
      <c r="AS543" s="55"/>
      <c r="AT543" s="55"/>
      <c r="AU543" s="55"/>
      <c r="AV543" s="55"/>
      <c r="BA543" s="775" t="s">
        <v>172</v>
      </c>
      <c r="BB543" s="839">
        <v>2014</v>
      </c>
      <c r="BC543" s="775" t="s">
        <v>1064</v>
      </c>
      <c r="BD543" s="775">
        <f t="shared" si="36"/>
        <v>4.1000000000000085</v>
      </c>
      <c r="BE543" s="775"/>
      <c r="BH543" s="775" t="s">
        <v>172</v>
      </c>
      <c r="BI543" s="836" t="s">
        <v>137</v>
      </c>
      <c r="BJ543" s="775" t="s">
        <v>1064</v>
      </c>
      <c r="BK543" s="775">
        <f t="shared" si="37"/>
        <v>4.5000000000000142</v>
      </c>
      <c r="BL543" s="775">
        <v>2013</v>
      </c>
      <c r="CL543" s="773"/>
      <c r="CM543" s="773"/>
      <c r="CN543" s="773"/>
      <c r="CO543" s="773"/>
      <c r="CP543" s="773"/>
      <c r="CQ543" s="773"/>
      <c r="CR543" s="773"/>
    </row>
    <row r="544" spans="35:96" ht="15.75">
      <c r="AI544" s="55"/>
      <c r="AJ544" s="55"/>
      <c r="AK544" s="55"/>
      <c r="AL544" s="55"/>
      <c r="AM544" s="55"/>
      <c r="AN544" s="55"/>
      <c r="AO544" s="55"/>
      <c r="AP544" s="55"/>
      <c r="AQ544" s="55"/>
      <c r="AR544" s="55"/>
      <c r="AS544" s="55"/>
      <c r="AT544" s="55"/>
      <c r="AU544" s="55"/>
      <c r="AV544" s="55"/>
      <c r="BA544" s="775" t="s">
        <v>172</v>
      </c>
      <c r="BB544" s="839">
        <v>2014</v>
      </c>
      <c r="BC544" s="775" t="s">
        <v>8</v>
      </c>
      <c r="BD544" s="775">
        <f t="shared" si="36"/>
        <v>128.60000000000002</v>
      </c>
      <c r="BE544" s="775"/>
      <c r="BH544" s="775" t="s">
        <v>172</v>
      </c>
      <c r="BI544" s="836" t="s">
        <v>137</v>
      </c>
      <c r="BJ544" s="775" t="s">
        <v>8</v>
      </c>
      <c r="BK544" s="775">
        <f t="shared" si="37"/>
        <v>139</v>
      </c>
      <c r="BL544" s="775">
        <v>2013</v>
      </c>
      <c r="CL544" s="773"/>
      <c r="CM544" s="773"/>
      <c r="CN544" s="773"/>
      <c r="CO544" s="773"/>
      <c r="CP544" s="773"/>
      <c r="CQ544" s="773"/>
      <c r="CR544" s="773"/>
    </row>
    <row r="545" spans="35:96" ht="15.75">
      <c r="AI545" s="55"/>
      <c r="AJ545" s="55"/>
      <c r="AK545" s="55"/>
      <c r="AL545" s="55"/>
      <c r="AM545" s="55"/>
      <c r="AN545" s="55"/>
      <c r="AO545" s="55"/>
      <c r="AP545" s="55"/>
      <c r="AQ545" s="55"/>
      <c r="AR545" s="55"/>
      <c r="AS545" s="55"/>
      <c r="AT545" s="55"/>
      <c r="AU545" s="55"/>
      <c r="AV545" s="55"/>
      <c r="BA545" s="775" t="s">
        <v>172</v>
      </c>
      <c r="BB545" s="839">
        <v>2014</v>
      </c>
      <c r="BC545" s="775" t="s">
        <v>96</v>
      </c>
      <c r="BD545" s="775">
        <f t="shared" si="36"/>
        <v>61</v>
      </c>
      <c r="BE545" s="775"/>
      <c r="BH545" s="775" t="s">
        <v>172</v>
      </c>
      <c r="BI545" s="836" t="s">
        <v>137</v>
      </c>
      <c r="BJ545" s="775" t="s">
        <v>96</v>
      </c>
      <c r="BK545" s="775">
        <f t="shared" si="37"/>
        <v>76.199999999999932</v>
      </c>
      <c r="BL545" s="775">
        <v>2013</v>
      </c>
      <c r="CL545" s="773"/>
      <c r="CM545" s="773"/>
      <c r="CN545" s="773"/>
      <c r="CO545" s="773"/>
      <c r="CP545" s="773"/>
      <c r="CQ545" s="773"/>
      <c r="CR545" s="773"/>
    </row>
    <row r="546" spans="35:96" ht="15.75">
      <c r="AI546" s="55"/>
      <c r="AJ546" s="55"/>
      <c r="AK546" s="55"/>
      <c r="AL546" s="55"/>
      <c r="AM546" s="55"/>
      <c r="AN546" s="55"/>
      <c r="AO546" s="55"/>
      <c r="AP546" s="55"/>
      <c r="AQ546" s="55"/>
      <c r="AR546" s="55"/>
      <c r="AS546" s="55"/>
      <c r="AT546" s="55"/>
      <c r="AU546" s="55"/>
      <c r="AV546" s="55"/>
      <c r="BA546" s="775" t="s">
        <v>172</v>
      </c>
      <c r="BB546" s="839">
        <v>2014</v>
      </c>
      <c r="BC546" s="775" t="s">
        <v>196</v>
      </c>
      <c r="BD546" s="775">
        <f t="shared" si="36"/>
        <v>13.3</v>
      </c>
      <c r="BE546" s="775"/>
      <c r="BH546" s="775" t="s">
        <v>172</v>
      </c>
      <c r="BI546" s="836" t="s">
        <v>137</v>
      </c>
      <c r="BJ546" s="775" t="s">
        <v>196</v>
      </c>
      <c r="BK546" s="775">
        <f t="shared" si="37"/>
        <v>4.7000000000000028</v>
      </c>
      <c r="BL546" s="775">
        <v>2013</v>
      </c>
      <c r="CL546" s="773"/>
      <c r="CM546" s="773"/>
      <c r="CN546" s="773"/>
      <c r="CO546" s="773"/>
      <c r="CP546" s="773"/>
      <c r="CQ546" s="773"/>
      <c r="CR546" s="773"/>
    </row>
    <row r="547" spans="35:96" ht="15.75">
      <c r="AI547" s="55"/>
      <c r="AJ547" s="55"/>
      <c r="AK547" s="55"/>
      <c r="AL547" s="55"/>
      <c r="AM547" s="55"/>
      <c r="AN547" s="55"/>
      <c r="AO547" s="55"/>
      <c r="AP547" s="55"/>
      <c r="AQ547" s="55"/>
      <c r="AR547" s="55"/>
      <c r="AS547" s="55"/>
      <c r="AT547" s="55"/>
      <c r="AU547" s="55"/>
      <c r="AV547" s="55"/>
      <c r="BA547" s="775" t="s">
        <v>172</v>
      </c>
      <c r="BB547" s="839">
        <v>2014</v>
      </c>
      <c r="BC547" s="775" t="s">
        <v>278</v>
      </c>
      <c r="BD547" s="775">
        <f t="shared" si="36"/>
        <v>15.399999999999999</v>
      </c>
      <c r="BE547" s="775"/>
      <c r="BH547" s="775" t="s">
        <v>172</v>
      </c>
      <c r="BI547" s="836" t="s">
        <v>137</v>
      </c>
      <c r="BJ547" s="775" t="s">
        <v>278</v>
      </c>
      <c r="BK547" s="775">
        <f t="shared" si="37"/>
        <v>21.3</v>
      </c>
      <c r="BL547" s="775">
        <v>2013</v>
      </c>
      <c r="CL547" s="773"/>
      <c r="CM547" s="773"/>
      <c r="CN547" s="773"/>
      <c r="CO547" s="773"/>
      <c r="CP547" s="773"/>
      <c r="CQ547" s="773"/>
      <c r="CR547" s="773"/>
    </row>
    <row r="548" spans="35:96" ht="15.75">
      <c r="AI548" s="55"/>
      <c r="AJ548" s="55"/>
      <c r="AK548" s="55"/>
      <c r="AL548" s="55"/>
      <c r="AM548" s="55"/>
      <c r="AN548" s="55"/>
      <c r="AO548" s="55"/>
      <c r="AP548" s="55"/>
      <c r="AQ548" s="55"/>
      <c r="AR548" s="55"/>
      <c r="AS548" s="55"/>
      <c r="AT548" s="55"/>
      <c r="AU548" s="55"/>
      <c r="AV548" s="55"/>
      <c r="BA548" s="775" t="s">
        <v>172</v>
      </c>
      <c r="BB548" s="839">
        <v>2014</v>
      </c>
      <c r="BC548" s="775" t="s">
        <v>44</v>
      </c>
      <c r="BD548" s="775">
        <f t="shared" si="36"/>
        <v>340.4</v>
      </c>
      <c r="BE548" s="775"/>
      <c r="BH548" s="775" t="s">
        <v>172</v>
      </c>
      <c r="BI548" s="836" t="s">
        <v>137</v>
      </c>
      <c r="BJ548" s="775" t="s">
        <v>44</v>
      </c>
      <c r="BK548" s="775">
        <f t="shared" si="37"/>
        <v>398.70000000000005</v>
      </c>
      <c r="BL548" s="775">
        <v>2013</v>
      </c>
      <c r="CL548" s="773"/>
      <c r="CM548" s="773"/>
      <c r="CN548" s="773"/>
      <c r="CO548" s="773"/>
      <c r="CP548" s="773"/>
      <c r="CQ548" s="773"/>
      <c r="CR548" s="773"/>
    </row>
    <row r="549" spans="35:96" ht="15.75">
      <c r="AI549" s="55"/>
      <c r="AJ549" s="55"/>
      <c r="AK549" s="55"/>
      <c r="AL549" s="55"/>
      <c r="AM549" s="55"/>
      <c r="AN549" s="55"/>
      <c r="AO549" s="55"/>
      <c r="AP549" s="55"/>
      <c r="AQ549" s="55"/>
      <c r="AR549" s="55"/>
      <c r="AS549" s="55"/>
      <c r="AT549" s="55"/>
      <c r="AU549" s="55"/>
      <c r="AV549" s="55"/>
      <c r="BA549" s="775" t="s">
        <v>172</v>
      </c>
      <c r="BB549" s="839">
        <v>2014</v>
      </c>
      <c r="BC549" s="775" t="s">
        <v>45</v>
      </c>
      <c r="BD549" s="775">
        <f t="shared" si="36"/>
        <v>7.5</v>
      </c>
      <c r="BE549" s="775"/>
      <c r="BH549" s="775" t="s">
        <v>172</v>
      </c>
      <c r="BI549" s="836" t="s">
        <v>137</v>
      </c>
      <c r="BJ549" s="775" t="s">
        <v>45</v>
      </c>
      <c r="BK549" s="775">
        <f t="shared" si="37"/>
        <v>8.3000000000000007</v>
      </c>
      <c r="BL549" s="775">
        <v>2013</v>
      </c>
      <c r="CL549" s="773"/>
      <c r="CM549" s="773"/>
      <c r="CN549" s="773"/>
      <c r="CO549" s="773"/>
      <c r="CP549" s="773"/>
      <c r="CQ549" s="773"/>
      <c r="CR549" s="773"/>
    </row>
    <row r="550" spans="35:96" ht="15.75">
      <c r="AI550" s="55"/>
      <c r="AJ550" s="55"/>
      <c r="AK550" s="55"/>
      <c r="AL550" s="55"/>
      <c r="AM550" s="55"/>
      <c r="AN550" s="55"/>
      <c r="AO550" s="55"/>
      <c r="AP550" s="55"/>
      <c r="AQ550" s="55"/>
      <c r="AR550" s="55"/>
      <c r="AS550" s="55"/>
      <c r="AT550" s="55"/>
      <c r="AU550" s="55"/>
      <c r="AV550" s="55"/>
      <c r="BA550" s="775" t="s">
        <v>172</v>
      </c>
      <c r="BB550" s="839">
        <v>2014</v>
      </c>
      <c r="BC550" s="775" t="s">
        <v>48</v>
      </c>
      <c r="BD550" s="775">
        <f t="shared" si="36"/>
        <v>72.100000000000009</v>
      </c>
      <c r="BE550" s="775"/>
      <c r="BH550" s="775" t="s">
        <v>172</v>
      </c>
      <c r="BI550" s="836" t="s">
        <v>137</v>
      </c>
      <c r="BJ550" s="775" t="s">
        <v>48</v>
      </c>
      <c r="BK550" s="775">
        <f t="shared" si="37"/>
        <v>83.09999999999998</v>
      </c>
      <c r="BL550" s="775">
        <v>2013</v>
      </c>
      <c r="CL550" s="773"/>
      <c r="CM550" s="773"/>
      <c r="CN550" s="773"/>
      <c r="CO550" s="773"/>
      <c r="CP550" s="773"/>
      <c r="CQ550" s="773"/>
      <c r="CR550" s="773"/>
    </row>
    <row r="551" spans="35:96" ht="15.75">
      <c r="AI551" s="55"/>
      <c r="AJ551" s="55"/>
      <c r="AK551" s="55"/>
      <c r="AL551" s="55"/>
      <c r="AM551" s="55"/>
      <c r="AN551" s="55"/>
      <c r="AO551" s="55"/>
      <c r="AP551" s="55"/>
      <c r="AQ551" s="55"/>
      <c r="AR551" s="55"/>
      <c r="AS551" s="55"/>
      <c r="AT551" s="55"/>
      <c r="AU551" s="55"/>
      <c r="AV551" s="55"/>
      <c r="BA551" s="775" t="s">
        <v>172</v>
      </c>
      <c r="BB551" s="839">
        <v>2014</v>
      </c>
      <c r="BC551" s="775" t="s">
        <v>97</v>
      </c>
      <c r="BD551" s="775">
        <f t="shared" si="36"/>
        <v>794.60000000000014</v>
      </c>
      <c r="BE551" s="775"/>
      <c r="BH551" s="775" t="s">
        <v>172</v>
      </c>
      <c r="BI551" s="836" t="s">
        <v>137</v>
      </c>
      <c r="BJ551" s="775" t="s">
        <v>97</v>
      </c>
      <c r="BK551" s="775">
        <f t="shared" si="37"/>
        <v>888.80000000000018</v>
      </c>
      <c r="BL551" s="775">
        <v>2013</v>
      </c>
      <c r="CL551" s="773"/>
      <c r="CM551" s="773"/>
      <c r="CN551" s="773"/>
      <c r="CO551" s="773"/>
      <c r="CP551" s="773"/>
      <c r="CQ551" s="773"/>
      <c r="CR551" s="773"/>
    </row>
    <row r="552" spans="35:96" ht="15.75">
      <c r="AI552" s="55"/>
      <c r="AJ552" s="55"/>
      <c r="AK552" s="55"/>
      <c r="AL552" s="55"/>
      <c r="AM552" s="55"/>
      <c r="AN552" s="55"/>
      <c r="AO552" s="55"/>
      <c r="AP552" s="55"/>
      <c r="AQ552" s="55"/>
      <c r="AR552" s="55"/>
      <c r="AS552" s="55"/>
      <c r="AT552" s="55"/>
      <c r="AU552" s="55"/>
      <c r="AV552" s="55"/>
      <c r="BA552" s="775" t="s">
        <v>170</v>
      </c>
      <c r="BB552" s="839">
        <v>2014</v>
      </c>
      <c r="BC552" s="775" t="s">
        <v>15</v>
      </c>
      <c r="BD552" s="775">
        <v>163.69999999999999</v>
      </c>
      <c r="BE552" s="775"/>
      <c r="BH552" s="775" t="s">
        <v>170</v>
      </c>
      <c r="BI552" s="836" t="s">
        <v>137</v>
      </c>
      <c r="BJ552" s="775" t="s">
        <v>15</v>
      </c>
      <c r="BK552" s="838">
        <v>176.8</v>
      </c>
      <c r="BL552" s="775">
        <v>2013</v>
      </c>
      <c r="CL552" s="773"/>
      <c r="CM552" s="773"/>
      <c r="CN552" s="773"/>
      <c r="CO552" s="773"/>
      <c r="CP552" s="773"/>
      <c r="CQ552" s="773"/>
      <c r="CR552" s="773"/>
    </row>
    <row r="553" spans="35:96" ht="15.75">
      <c r="AI553" s="55"/>
      <c r="AJ553" s="55"/>
      <c r="AK553" s="55"/>
      <c r="AL553" s="55"/>
      <c r="AM553" s="55"/>
      <c r="AN553" s="55"/>
      <c r="AO553" s="55"/>
      <c r="AP553" s="55"/>
      <c r="AQ553" s="55"/>
      <c r="AR553" s="55"/>
      <c r="AS553" s="55"/>
      <c r="AT553" s="55"/>
      <c r="AU553" s="55"/>
      <c r="AV553" s="55"/>
      <c r="BA553" s="775" t="s">
        <v>170</v>
      </c>
      <c r="BB553" s="839">
        <v>2014</v>
      </c>
      <c r="BC553" s="775" t="s">
        <v>277</v>
      </c>
      <c r="BD553" s="775">
        <v>50.4</v>
      </c>
      <c r="BE553" s="775"/>
      <c r="BH553" s="775" t="s">
        <v>170</v>
      </c>
      <c r="BI553" s="836" t="s">
        <v>137</v>
      </c>
      <c r="BJ553" s="775" t="s">
        <v>277</v>
      </c>
      <c r="BK553" s="838">
        <v>45.8</v>
      </c>
      <c r="BL553" s="775">
        <v>2013</v>
      </c>
      <c r="CL553" s="773"/>
      <c r="CM553" s="773"/>
      <c r="CN553" s="773"/>
      <c r="CO553" s="773"/>
      <c r="CP553" s="773"/>
      <c r="CQ553" s="773"/>
      <c r="CR553" s="773"/>
    </row>
    <row r="554" spans="35:96" ht="15.75">
      <c r="AI554" s="55"/>
      <c r="AJ554" s="55"/>
      <c r="AK554" s="55"/>
      <c r="AL554" s="55"/>
      <c r="AM554" s="55"/>
      <c r="AN554" s="55"/>
      <c r="AO554" s="55"/>
      <c r="AP554" s="55"/>
      <c r="AQ554" s="55"/>
      <c r="AR554" s="55"/>
      <c r="AS554" s="55"/>
      <c r="AT554" s="55"/>
      <c r="AU554" s="55"/>
      <c r="AV554" s="55"/>
      <c r="BA554" s="775" t="s">
        <v>170</v>
      </c>
      <c r="BB554" s="839">
        <v>2014</v>
      </c>
      <c r="BC554" s="775" t="s">
        <v>1064</v>
      </c>
      <c r="BD554" s="775">
        <v>89.2</v>
      </c>
      <c r="BE554" s="775"/>
      <c r="BH554" s="775" t="s">
        <v>170</v>
      </c>
      <c r="BI554" s="836" t="s">
        <v>137</v>
      </c>
      <c r="BJ554" s="775" t="s">
        <v>1064</v>
      </c>
      <c r="BK554" s="838">
        <v>99.4</v>
      </c>
      <c r="BL554" s="775">
        <v>2013</v>
      </c>
      <c r="CL554" s="773"/>
      <c r="CM554" s="773"/>
      <c r="CN554" s="773"/>
      <c r="CO554" s="773"/>
      <c r="CP554" s="773"/>
      <c r="CQ554" s="773"/>
      <c r="CR554" s="773"/>
    </row>
    <row r="555" spans="35:96" ht="15.75">
      <c r="AI555" s="55"/>
      <c r="AJ555" s="55"/>
      <c r="AK555" s="55"/>
      <c r="AL555" s="55"/>
      <c r="AM555" s="55"/>
      <c r="AN555" s="55"/>
      <c r="AO555" s="55"/>
      <c r="AP555" s="55"/>
      <c r="AQ555" s="55"/>
      <c r="AR555" s="55"/>
      <c r="AS555" s="55"/>
      <c r="AT555" s="55"/>
      <c r="AU555" s="55"/>
      <c r="AV555" s="55"/>
      <c r="BA555" s="775" t="s">
        <v>170</v>
      </c>
      <c r="BB555" s="839">
        <v>2014</v>
      </c>
      <c r="BC555" s="775" t="s">
        <v>8</v>
      </c>
      <c r="BD555" s="775">
        <v>377.3</v>
      </c>
      <c r="BE555" s="775"/>
      <c r="BH555" s="775" t="s">
        <v>170</v>
      </c>
      <c r="BI555" s="836" t="s">
        <v>137</v>
      </c>
      <c r="BJ555" s="775" t="s">
        <v>8</v>
      </c>
      <c r="BK555" s="838">
        <v>434.29999999999995</v>
      </c>
      <c r="BL555" s="775">
        <v>2013</v>
      </c>
      <c r="CL555" s="773"/>
      <c r="CM555" s="773"/>
      <c r="CN555" s="773"/>
      <c r="CO555" s="773"/>
      <c r="CP555" s="773"/>
      <c r="CQ555" s="773"/>
      <c r="CR555" s="773"/>
    </row>
    <row r="556" spans="35:96" ht="15.75">
      <c r="AI556" s="55"/>
      <c r="AJ556" s="55"/>
      <c r="AK556" s="55"/>
      <c r="AL556" s="55"/>
      <c r="AM556" s="55"/>
      <c r="AN556" s="55"/>
      <c r="AO556" s="55"/>
      <c r="AP556" s="55"/>
      <c r="AQ556" s="55"/>
      <c r="AR556" s="55"/>
      <c r="AS556" s="55"/>
      <c r="AT556" s="55"/>
      <c r="AU556" s="55"/>
      <c r="AV556" s="55"/>
      <c r="BA556" s="775" t="s">
        <v>170</v>
      </c>
      <c r="BB556" s="839">
        <v>2014</v>
      </c>
      <c r="BC556" s="775" t="s">
        <v>96</v>
      </c>
      <c r="BD556" s="775">
        <v>592.20000000000005</v>
      </c>
      <c r="BE556" s="775"/>
      <c r="BH556" s="775" t="s">
        <v>170</v>
      </c>
      <c r="BI556" s="836" t="s">
        <v>137</v>
      </c>
      <c r="BJ556" s="775" t="s">
        <v>96</v>
      </c>
      <c r="BK556" s="838">
        <v>710.6</v>
      </c>
      <c r="BL556" s="775">
        <v>2013</v>
      </c>
      <c r="CL556" s="773"/>
      <c r="CM556" s="773"/>
      <c r="CN556" s="773"/>
      <c r="CO556" s="773"/>
      <c r="CP556" s="773"/>
      <c r="CQ556" s="773"/>
      <c r="CR556" s="773"/>
    </row>
    <row r="557" spans="35:96" ht="15.75">
      <c r="AI557" s="55"/>
      <c r="AJ557" s="55"/>
      <c r="AK557" s="55"/>
      <c r="AL557" s="55"/>
      <c r="AM557" s="55"/>
      <c r="AN557" s="55"/>
      <c r="AO557" s="55"/>
      <c r="AP557" s="55"/>
      <c r="AQ557" s="55"/>
      <c r="AR557" s="55"/>
      <c r="AS557" s="55"/>
      <c r="AT557" s="55"/>
      <c r="AU557" s="55"/>
      <c r="AV557" s="55"/>
      <c r="BA557" s="775" t="s">
        <v>170</v>
      </c>
      <c r="BB557" s="839">
        <v>2014</v>
      </c>
      <c r="BC557" s="775" t="s">
        <v>196</v>
      </c>
      <c r="BD557" s="775">
        <v>28.1</v>
      </c>
      <c r="BE557" s="775"/>
      <c r="BH557" s="775" t="s">
        <v>170</v>
      </c>
      <c r="BI557" s="836" t="s">
        <v>137</v>
      </c>
      <c r="BJ557" s="775" t="s">
        <v>196</v>
      </c>
      <c r="BK557" s="838">
        <v>21.1</v>
      </c>
      <c r="BL557" s="775">
        <v>2013</v>
      </c>
      <c r="CL557" s="773"/>
      <c r="CM557" s="773"/>
      <c r="CN557" s="773"/>
      <c r="CO557" s="773"/>
      <c r="CP557" s="773"/>
      <c r="CQ557" s="773"/>
      <c r="CR557" s="773"/>
    </row>
    <row r="558" spans="35:96" ht="15.75">
      <c r="AI558" s="55"/>
      <c r="AJ558" s="55"/>
      <c r="AK558" s="55"/>
      <c r="AL558" s="55"/>
      <c r="AM558" s="55"/>
      <c r="AN558" s="55"/>
      <c r="AO558" s="55"/>
      <c r="AP558" s="55"/>
      <c r="AQ558" s="55"/>
      <c r="AR558" s="55"/>
      <c r="AS558" s="55"/>
      <c r="AT558" s="55"/>
      <c r="AU558" s="55"/>
      <c r="AV558" s="55"/>
      <c r="BA558" s="775" t="s">
        <v>170</v>
      </c>
      <c r="BB558" s="839">
        <v>2014</v>
      </c>
      <c r="BC558" s="775" t="s">
        <v>278</v>
      </c>
      <c r="BD558" s="775">
        <v>39.5</v>
      </c>
      <c r="BE558" s="775"/>
      <c r="BH558" s="775" t="s">
        <v>170</v>
      </c>
      <c r="BI558" s="836" t="s">
        <v>137</v>
      </c>
      <c r="BJ558" s="775" t="s">
        <v>278</v>
      </c>
      <c r="BK558" s="838">
        <v>43.9</v>
      </c>
      <c r="BL558" s="775">
        <v>2013</v>
      </c>
      <c r="CL558" s="773"/>
      <c r="CM558" s="773"/>
      <c r="CN558" s="773"/>
      <c r="CO558" s="773"/>
      <c r="CP558" s="773"/>
      <c r="CQ558" s="773"/>
      <c r="CR558" s="773"/>
    </row>
    <row r="559" spans="35:96" ht="15.75">
      <c r="AI559" s="55"/>
      <c r="AJ559" s="55"/>
      <c r="AK559" s="55"/>
      <c r="AL559" s="55"/>
      <c r="AM559" s="55"/>
      <c r="AN559" s="55"/>
      <c r="AO559" s="55"/>
      <c r="AP559" s="55"/>
      <c r="AQ559" s="55"/>
      <c r="AR559" s="55"/>
      <c r="AS559" s="55"/>
      <c r="AT559" s="55"/>
      <c r="AU559" s="55"/>
      <c r="AV559" s="55"/>
      <c r="BA559" s="775" t="s">
        <v>170</v>
      </c>
      <c r="BB559" s="839">
        <v>2014</v>
      </c>
      <c r="BC559" s="775" t="s">
        <v>44</v>
      </c>
      <c r="BD559" s="775">
        <v>341</v>
      </c>
      <c r="BE559" s="775"/>
      <c r="BH559" s="775" t="s">
        <v>170</v>
      </c>
      <c r="BI559" s="836" t="s">
        <v>137</v>
      </c>
      <c r="BJ559" s="775" t="s">
        <v>44</v>
      </c>
      <c r="BK559" s="838">
        <v>398.70000000000005</v>
      </c>
      <c r="BL559" s="775">
        <v>2013</v>
      </c>
      <c r="CL559" s="773"/>
      <c r="CM559" s="773"/>
      <c r="CN559" s="773"/>
      <c r="CO559" s="773"/>
      <c r="CP559" s="773"/>
      <c r="CQ559" s="773"/>
      <c r="CR559" s="773"/>
    </row>
    <row r="560" spans="35:96" ht="15.75">
      <c r="AI560" s="55"/>
      <c r="AJ560" s="55"/>
      <c r="AK560" s="55"/>
      <c r="AL560" s="55"/>
      <c r="AM560" s="55"/>
      <c r="AN560" s="55"/>
      <c r="AO560" s="55"/>
      <c r="AP560" s="55"/>
      <c r="AQ560" s="55"/>
      <c r="AR560" s="55"/>
      <c r="AS560" s="55"/>
      <c r="AT560" s="55"/>
      <c r="AU560" s="55"/>
      <c r="AV560" s="55"/>
      <c r="BA560" s="775" t="s">
        <v>170</v>
      </c>
      <c r="BB560" s="839">
        <v>2014</v>
      </c>
      <c r="BC560" s="775" t="s">
        <v>45</v>
      </c>
      <c r="BD560" s="775">
        <v>8.5</v>
      </c>
      <c r="BE560" s="775"/>
      <c r="BH560" s="775" t="s">
        <v>170</v>
      </c>
      <c r="BI560" s="836" t="s">
        <v>137</v>
      </c>
      <c r="BJ560" s="775" t="s">
        <v>45</v>
      </c>
      <c r="BK560" s="838">
        <v>8.3000000000000007</v>
      </c>
      <c r="BL560" s="775">
        <v>2013</v>
      </c>
      <c r="CL560" s="773"/>
      <c r="CM560" s="773"/>
      <c r="CN560" s="773"/>
      <c r="CO560" s="773"/>
      <c r="CP560" s="773"/>
      <c r="CQ560" s="773"/>
      <c r="CR560" s="773"/>
    </row>
    <row r="561" spans="35:96" ht="15.75">
      <c r="AI561" s="55"/>
      <c r="AJ561" s="55"/>
      <c r="AK561" s="55"/>
      <c r="AL561" s="55"/>
      <c r="AM561" s="55"/>
      <c r="AN561" s="55"/>
      <c r="AO561" s="55"/>
      <c r="AP561" s="55"/>
      <c r="AQ561" s="55"/>
      <c r="AR561" s="55"/>
      <c r="AS561" s="55"/>
      <c r="AT561" s="55"/>
      <c r="AU561" s="55"/>
      <c r="AV561" s="55"/>
      <c r="BA561" s="775" t="s">
        <v>170</v>
      </c>
      <c r="BB561" s="839">
        <v>2014</v>
      </c>
      <c r="BC561" s="775" t="s">
        <v>48</v>
      </c>
      <c r="BD561" s="775">
        <v>146.9</v>
      </c>
      <c r="BE561" s="775"/>
      <c r="BH561" s="775" t="s">
        <v>170</v>
      </c>
      <c r="BI561" s="836" t="s">
        <v>137</v>
      </c>
      <c r="BJ561" s="775" t="s">
        <v>48</v>
      </c>
      <c r="BK561" s="838">
        <v>156.39999999999998</v>
      </c>
      <c r="BL561" s="775">
        <v>2013</v>
      </c>
      <c r="CL561" s="773"/>
      <c r="CM561" s="773"/>
      <c r="CN561" s="773"/>
      <c r="CO561" s="773"/>
      <c r="CP561" s="773"/>
      <c r="CQ561" s="773"/>
      <c r="CR561" s="773"/>
    </row>
    <row r="562" spans="35:96" ht="15.75">
      <c r="AI562" s="55"/>
      <c r="AJ562" s="55"/>
      <c r="AK562" s="55"/>
      <c r="AL562" s="55"/>
      <c r="AM562" s="55"/>
      <c r="AN562" s="55"/>
      <c r="AO562" s="55"/>
      <c r="AP562" s="55"/>
      <c r="AQ562" s="55"/>
      <c r="AR562" s="55"/>
      <c r="AS562" s="55"/>
      <c r="AT562" s="55"/>
      <c r="AU562" s="55"/>
      <c r="AV562" s="55"/>
      <c r="BA562" s="775" t="s">
        <v>170</v>
      </c>
      <c r="BB562" s="839">
        <v>2014</v>
      </c>
      <c r="BC562" s="775" t="s">
        <v>97</v>
      </c>
      <c r="BD562" s="775">
        <v>1839.9</v>
      </c>
      <c r="BE562" s="775"/>
      <c r="BH562" s="775" t="s">
        <v>170</v>
      </c>
      <c r="BI562" s="836" t="s">
        <v>137</v>
      </c>
      <c r="BJ562" s="775" t="s">
        <v>97</v>
      </c>
      <c r="BK562" s="838">
        <v>2108.8000000000002</v>
      </c>
      <c r="BL562" s="775">
        <v>2013</v>
      </c>
      <c r="CL562" s="773"/>
      <c r="CM562" s="773"/>
      <c r="CN562" s="773"/>
      <c r="CO562" s="773"/>
      <c r="CP562" s="773"/>
      <c r="CQ562" s="773"/>
      <c r="CR562" s="773"/>
    </row>
    <row r="563" spans="35:96" ht="15.75">
      <c r="AI563" s="55"/>
      <c r="AJ563" s="55"/>
      <c r="AK563" s="55"/>
      <c r="AL563" s="55"/>
      <c r="AM563" s="55"/>
      <c r="AN563" s="55"/>
      <c r="AO563" s="55"/>
      <c r="AP563" s="55"/>
      <c r="AQ563" s="55"/>
      <c r="AR563" s="55"/>
      <c r="AS563" s="55"/>
      <c r="AT563" s="55"/>
      <c r="AU563" s="55"/>
      <c r="AV563" s="55"/>
      <c r="BA563" s="775" t="s">
        <v>38</v>
      </c>
      <c r="BB563" s="839">
        <v>2015</v>
      </c>
      <c r="BC563" s="775" t="s">
        <v>15</v>
      </c>
      <c r="BD563" s="840">
        <v>27.700000000000003</v>
      </c>
      <c r="BH563" s="775" t="s">
        <v>38</v>
      </c>
      <c r="BI563" s="836" t="s">
        <v>138</v>
      </c>
      <c r="BJ563" s="775" t="s">
        <v>15</v>
      </c>
      <c r="BK563" s="776">
        <v>33.5</v>
      </c>
      <c r="BL563" s="775">
        <v>2014</v>
      </c>
      <c r="CL563" s="773"/>
      <c r="CM563" s="773"/>
      <c r="CN563" s="773"/>
      <c r="CO563" s="773"/>
      <c r="CP563" s="773"/>
      <c r="CQ563" s="773"/>
      <c r="CR563" s="773"/>
    </row>
    <row r="564" spans="35:96" ht="15.75">
      <c r="AI564" s="55"/>
      <c r="AJ564" s="55"/>
      <c r="AK564" s="55"/>
      <c r="AL564" s="55"/>
      <c r="AM564" s="55"/>
      <c r="AN564" s="55"/>
      <c r="AO564" s="55"/>
      <c r="AP564" s="55"/>
      <c r="AQ564" s="55"/>
      <c r="AR564" s="55"/>
      <c r="AS564" s="55"/>
      <c r="AT564" s="55"/>
      <c r="AU564" s="55"/>
      <c r="AV564" s="55"/>
      <c r="BA564" s="775" t="s">
        <v>38</v>
      </c>
      <c r="BB564" s="839">
        <v>2015</v>
      </c>
      <c r="BC564" s="775" t="s">
        <v>277</v>
      </c>
      <c r="BD564" s="840">
        <v>13</v>
      </c>
      <c r="BH564" s="775" t="s">
        <v>38</v>
      </c>
      <c r="BI564" s="836" t="s">
        <v>138</v>
      </c>
      <c r="BJ564" s="775" t="s">
        <v>277</v>
      </c>
      <c r="BK564" s="776">
        <v>15.3</v>
      </c>
      <c r="BL564" s="775">
        <v>2014</v>
      </c>
      <c r="CL564" s="773"/>
      <c r="CM564" s="773"/>
      <c r="CN564" s="773"/>
      <c r="CO564" s="773"/>
      <c r="CP564" s="773"/>
      <c r="CQ564" s="773"/>
      <c r="CR564" s="773"/>
    </row>
    <row r="565" spans="35:96" ht="15.75">
      <c r="AI565" s="55"/>
      <c r="AJ565" s="55"/>
      <c r="AK565" s="55"/>
      <c r="AL565" s="55"/>
      <c r="AM565" s="55"/>
      <c r="AN565" s="55"/>
      <c r="AO565" s="55"/>
      <c r="AP565" s="55"/>
      <c r="AQ565" s="55"/>
      <c r="AR565" s="55"/>
      <c r="AS565" s="55"/>
      <c r="AT565" s="55"/>
      <c r="AU565" s="55"/>
      <c r="AV565" s="55"/>
      <c r="BA565" s="775" t="s">
        <v>38</v>
      </c>
      <c r="BB565" s="839">
        <v>2015</v>
      </c>
      <c r="BC565" s="775" t="s">
        <v>1064</v>
      </c>
      <c r="BD565" s="840">
        <v>61.1</v>
      </c>
      <c r="BH565" s="775" t="s">
        <v>38</v>
      </c>
      <c r="BI565" s="836" t="s">
        <v>138</v>
      </c>
      <c r="BJ565" s="775" t="s">
        <v>1064</v>
      </c>
      <c r="BK565" s="776">
        <v>78.5</v>
      </c>
      <c r="BL565" s="775">
        <v>2014</v>
      </c>
      <c r="CL565" s="773"/>
      <c r="CM565" s="773"/>
      <c r="CN565" s="773"/>
      <c r="CO565" s="773"/>
      <c r="CP565" s="773"/>
      <c r="CQ565" s="773"/>
      <c r="CR565" s="773"/>
    </row>
    <row r="566" spans="35:96" ht="15.75">
      <c r="AI566" s="55"/>
      <c r="AJ566" s="55"/>
      <c r="AK566" s="55"/>
      <c r="AL566" s="55"/>
      <c r="AM566" s="55"/>
      <c r="AN566" s="55"/>
      <c r="AO566" s="55"/>
      <c r="AP566" s="55"/>
      <c r="AQ566" s="55"/>
      <c r="AR566" s="55"/>
      <c r="AS566" s="55"/>
      <c r="AT566" s="55"/>
      <c r="AU566" s="55"/>
      <c r="AV566" s="55"/>
      <c r="BA566" s="775" t="s">
        <v>38</v>
      </c>
      <c r="BB566" s="839">
        <v>2015</v>
      </c>
      <c r="BC566" s="775" t="s">
        <v>8</v>
      </c>
      <c r="BD566" s="840">
        <v>338.79999999999995</v>
      </c>
      <c r="BH566" s="775" t="s">
        <v>38</v>
      </c>
      <c r="BI566" s="836" t="s">
        <v>138</v>
      </c>
      <c r="BJ566" s="775" t="s">
        <v>8</v>
      </c>
      <c r="BK566" s="776">
        <v>274.3</v>
      </c>
      <c r="BL566" s="775">
        <v>2014</v>
      </c>
      <c r="CL566" s="773"/>
      <c r="CM566" s="773"/>
      <c r="CN566" s="773"/>
      <c r="CO566" s="773"/>
      <c r="CP566" s="773"/>
      <c r="CQ566" s="773"/>
      <c r="CR566" s="773"/>
    </row>
    <row r="567" spans="35:96" ht="15.75">
      <c r="AI567" s="55"/>
      <c r="AJ567" s="55"/>
      <c r="AK567" s="55"/>
      <c r="AL567" s="55"/>
      <c r="AM567" s="55"/>
      <c r="AN567" s="55"/>
      <c r="AO567" s="55"/>
      <c r="AP567" s="55"/>
      <c r="AQ567" s="55"/>
      <c r="AR567" s="55"/>
      <c r="AS567" s="55"/>
      <c r="AT567" s="55"/>
      <c r="AU567" s="55"/>
      <c r="AV567" s="55"/>
      <c r="BA567" s="775" t="s">
        <v>38</v>
      </c>
      <c r="BB567" s="839">
        <v>2015</v>
      </c>
      <c r="BC567" s="775" t="s">
        <v>96</v>
      </c>
      <c r="BD567" s="840">
        <v>295.3</v>
      </c>
      <c r="BH567" s="775" t="s">
        <v>38</v>
      </c>
      <c r="BI567" s="836" t="s">
        <v>138</v>
      </c>
      <c r="BJ567" s="775" t="s">
        <v>96</v>
      </c>
      <c r="BK567" s="776">
        <v>406.20000000000005</v>
      </c>
      <c r="BL567" s="775">
        <v>2014</v>
      </c>
      <c r="CL567" s="773"/>
      <c r="CM567" s="773"/>
      <c r="CN567" s="773"/>
      <c r="CO567" s="773"/>
      <c r="CP567" s="773"/>
      <c r="CQ567" s="773"/>
      <c r="CR567" s="773"/>
    </row>
    <row r="568" spans="35:96" ht="15.75">
      <c r="AI568" s="55"/>
      <c r="AJ568" s="55"/>
      <c r="AK568" s="55"/>
      <c r="AL568" s="55"/>
      <c r="AM568" s="55"/>
      <c r="AN568" s="55"/>
      <c r="AO568" s="55"/>
      <c r="AP568" s="55"/>
      <c r="AQ568" s="55"/>
      <c r="AR568" s="55"/>
      <c r="AS568" s="55"/>
      <c r="AT568" s="55"/>
      <c r="AU568" s="55"/>
      <c r="AV568" s="55"/>
      <c r="BA568" s="775" t="s">
        <v>38</v>
      </c>
      <c r="BB568" s="839">
        <v>2015</v>
      </c>
      <c r="BC568" s="775" t="s">
        <v>196</v>
      </c>
      <c r="BD568" s="840">
        <v>12.200000000000001</v>
      </c>
      <c r="BH568" s="775" t="s">
        <v>38</v>
      </c>
      <c r="BI568" s="836" t="s">
        <v>138</v>
      </c>
      <c r="BJ568" s="775" t="s">
        <v>196</v>
      </c>
      <c r="BK568" s="776">
        <v>14.100000000000001</v>
      </c>
      <c r="BL568" s="775">
        <v>2014</v>
      </c>
      <c r="CL568" s="773"/>
      <c r="CM568" s="773"/>
      <c r="CN568" s="773"/>
      <c r="CO568" s="773"/>
      <c r="CP568" s="773"/>
      <c r="CQ568" s="773"/>
      <c r="CR568" s="773"/>
    </row>
    <row r="569" spans="35:96" ht="15.75">
      <c r="AI569" s="55"/>
      <c r="AJ569" s="55"/>
      <c r="AK569" s="55"/>
      <c r="AL569" s="55"/>
      <c r="AM569" s="55"/>
      <c r="AN569" s="55"/>
      <c r="AO569" s="55"/>
      <c r="AP569" s="55"/>
      <c r="AQ569" s="55"/>
      <c r="AR569" s="55"/>
      <c r="AS569" s="55"/>
      <c r="AT569" s="55"/>
      <c r="AU569" s="55"/>
      <c r="AV569" s="55"/>
      <c r="BA569" s="775" t="s">
        <v>38</v>
      </c>
      <c r="BB569" s="839">
        <v>2015</v>
      </c>
      <c r="BC569" s="775" t="s">
        <v>278</v>
      </c>
      <c r="BD569" s="840">
        <v>29.6</v>
      </c>
      <c r="BH569" s="775" t="s">
        <v>38</v>
      </c>
      <c r="BI569" s="836" t="s">
        <v>138</v>
      </c>
      <c r="BJ569" s="775" t="s">
        <v>278</v>
      </c>
      <c r="BK569" s="776">
        <v>26.400000000000002</v>
      </c>
      <c r="BL569" s="775">
        <v>2014</v>
      </c>
      <c r="CL569" s="773"/>
      <c r="CM569" s="773"/>
      <c r="CN569" s="773"/>
      <c r="CO569" s="773"/>
      <c r="CP569" s="773"/>
      <c r="CQ569" s="773"/>
      <c r="CR569" s="773"/>
    </row>
    <row r="570" spans="35:96" ht="15.75">
      <c r="AI570" s="55"/>
      <c r="AJ570" s="55"/>
      <c r="AK570" s="55"/>
      <c r="AL570" s="55"/>
      <c r="AM570" s="55"/>
      <c r="AN570" s="55"/>
      <c r="AO570" s="55"/>
      <c r="AP570" s="55"/>
      <c r="AQ570" s="55"/>
      <c r="AR570" s="55"/>
      <c r="AS570" s="55"/>
      <c r="AT570" s="55"/>
      <c r="AU570" s="55"/>
      <c r="AV570" s="55"/>
      <c r="BA570" s="775" t="s">
        <v>38</v>
      </c>
      <c r="BB570" s="839">
        <v>2015</v>
      </c>
      <c r="BC570" s="775" t="s">
        <v>44</v>
      </c>
      <c r="BD570" s="840">
        <v>0</v>
      </c>
      <c r="BH570" s="775" t="s">
        <v>38</v>
      </c>
      <c r="BI570" s="836" t="s">
        <v>138</v>
      </c>
      <c r="BJ570" s="775" t="s">
        <v>44</v>
      </c>
      <c r="BK570" s="776">
        <v>0.6</v>
      </c>
      <c r="BL570" s="775">
        <v>2014</v>
      </c>
      <c r="CL570" s="773"/>
      <c r="CM570" s="773"/>
      <c r="CN570" s="773"/>
      <c r="CO570" s="773"/>
      <c r="CP570" s="773"/>
      <c r="CQ570" s="773"/>
      <c r="CR570" s="773"/>
    </row>
    <row r="571" spans="35:96" ht="15.75">
      <c r="AI571" s="55"/>
      <c r="AJ571" s="55"/>
      <c r="AK571" s="55"/>
      <c r="AL571" s="55"/>
      <c r="AM571" s="55"/>
      <c r="AN571" s="55"/>
      <c r="AO571" s="55"/>
      <c r="AP571" s="55"/>
      <c r="AQ571" s="55"/>
      <c r="AR571" s="55"/>
      <c r="AS571" s="55"/>
      <c r="AT571" s="55"/>
      <c r="AU571" s="55"/>
      <c r="AV571" s="55"/>
      <c r="BA571" s="775" t="s">
        <v>38</v>
      </c>
      <c r="BB571" s="839">
        <v>2015</v>
      </c>
      <c r="BC571" s="775" t="s">
        <v>45</v>
      </c>
      <c r="BD571" s="841">
        <v>0</v>
      </c>
      <c r="BH571" s="775" t="s">
        <v>38</v>
      </c>
      <c r="BI571" s="836" t="s">
        <v>138</v>
      </c>
      <c r="BJ571" s="775" t="s">
        <v>45</v>
      </c>
      <c r="BK571" s="776">
        <v>1</v>
      </c>
      <c r="BL571" s="775">
        <v>2014</v>
      </c>
      <c r="CL571" s="773"/>
      <c r="CM571" s="773"/>
      <c r="CN571" s="773"/>
      <c r="CO571" s="773"/>
      <c r="CP571" s="773"/>
      <c r="CQ571" s="773"/>
      <c r="CR571" s="773"/>
    </row>
    <row r="572" spans="35:96" ht="15.75">
      <c r="AI572" s="55"/>
      <c r="AJ572" s="55"/>
      <c r="AK572" s="55"/>
      <c r="AL572" s="55"/>
      <c r="AM572" s="55"/>
      <c r="AN572" s="55"/>
      <c r="AO572" s="55"/>
      <c r="AP572" s="55"/>
      <c r="AQ572" s="55"/>
      <c r="AR572" s="55"/>
      <c r="AS572" s="55"/>
      <c r="AT572" s="55"/>
      <c r="AU572" s="55"/>
      <c r="AV572" s="55"/>
      <c r="BA572" s="775" t="s">
        <v>38</v>
      </c>
      <c r="BB572" s="839">
        <v>2015</v>
      </c>
      <c r="BC572" s="775" t="s">
        <v>48</v>
      </c>
      <c r="BD572" s="841">
        <v>60.3</v>
      </c>
      <c r="BH572" s="775" t="s">
        <v>38</v>
      </c>
      <c r="BI572" s="836" t="s">
        <v>138</v>
      </c>
      <c r="BJ572" s="775" t="s">
        <v>48</v>
      </c>
      <c r="BK572" s="776">
        <v>63.800000000000004</v>
      </c>
      <c r="BL572" s="775">
        <v>2014</v>
      </c>
      <c r="BP572" s="774" t="s">
        <v>1173</v>
      </c>
      <c r="CL572" s="773"/>
      <c r="CM572" s="773"/>
      <c r="CN572" s="773"/>
      <c r="CO572" s="773"/>
      <c r="CP572" s="773"/>
      <c r="CQ572" s="773"/>
      <c r="CR572" s="773"/>
    </row>
    <row r="573" spans="35:96" ht="15.75">
      <c r="AI573" s="55"/>
      <c r="AJ573" s="55"/>
      <c r="AK573" s="55"/>
      <c r="AL573" s="55"/>
      <c r="AM573" s="55"/>
      <c r="AN573" s="55"/>
      <c r="AO573" s="55"/>
      <c r="AP573" s="55"/>
      <c r="AQ573" s="55"/>
      <c r="AR573" s="55"/>
      <c r="AS573" s="55"/>
      <c r="AT573" s="55"/>
      <c r="AU573" s="55"/>
      <c r="AV573" s="55"/>
      <c r="BA573" s="775" t="s">
        <v>38</v>
      </c>
      <c r="BB573" s="839">
        <v>2015</v>
      </c>
      <c r="BC573" s="775" t="s">
        <v>97</v>
      </c>
      <c r="BD573" s="841">
        <v>843.7</v>
      </c>
      <c r="BH573" s="775" t="s">
        <v>38</v>
      </c>
      <c r="BI573" s="836" t="s">
        <v>138</v>
      </c>
      <c r="BJ573" s="775" t="s">
        <v>97</v>
      </c>
      <c r="BK573" s="776">
        <v>917.40000000000009</v>
      </c>
      <c r="BL573" s="775">
        <v>2014</v>
      </c>
      <c r="CL573" s="773"/>
      <c r="CM573" s="773"/>
      <c r="CN573" s="773"/>
      <c r="CO573" s="773"/>
      <c r="CP573" s="773"/>
      <c r="CQ573" s="773"/>
      <c r="CR573" s="773"/>
    </row>
    <row r="574" spans="35:96" ht="15.75">
      <c r="AI574" s="55"/>
      <c r="AJ574" s="55"/>
      <c r="AK574" s="55"/>
      <c r="AL574" s="55"/>
      <c r="AM574" s="55"/>
      <c r="AN574" s="55"/>
      <c r="AO574" s="55"/>
      <c r="AP574" s="55"/>
      <c r="AQ574" s="55"/>
      <c r="AR574" s="55"/>
      <c r="AS574" s="55"/>
      <c r="AT574" s="55"/>
      <c r="AU574" s="55"/>
      <c r="AV574" s="55"/>
      <c r="BA574" s="775" t="s">
        <v>172</v>
      </c>
      <c r="BB574" s="839">
        <v>2015</v>
      </c>
      <c r="BC574" s="775" t="s">
        <v>15</v>
      </c>
      <c r="BD574" s="775">
        <f t="shared" ref="BD574:BD584" si="38">BD585-BD563</f>
        <v>93.3</v>
      </c>
      <c r="BH574" s="775" t="s">
        <v>172</v>
      </c>
      <c r="BI574" s="836" t="s">
        <v>138</v>
      </c>
      <c r="BJ574" s="775" t="s">
        <v>15</v>
      </c>
      <c r="BK574" s="775">
        <f t="shared" ref="BK574:BK584" si="39">BK585-BK563</f>
        <v>110.9</v>
      </c>
      <c r="BL574" s="775">
        <v>2014</v>
      </c>
      <c r="CL574" s="773"/>
      <c r="CM574" s="773"/>
      <c r="CN574" s="773"/>
      <c r="CO574" s="773"/>
      <c r="CP574" s="773"/>
      <c r="CQ574" s="773"/>
      <c r="CR574" s="773"/>
    </row>
    <row r="575" spans="35:96" ht="15.75">
      <c r="AI575" s="55"/>
      <c r="AJ575" s="55"/>
      <c r="AK575" s="55"/>
      <c r="AL575" s="55"/>
      <c r="AM575" s="55"/>
      <c r="AN575" s="55"/>
      <c r="AO575" s="55"/>
      <c r="AP575" s="55"/>
      <c r="AQ575" s="55"/>
      <c r="AR575" s="55"/>
      <c r="AS575" s="55"/>
      <c r="AT575" s="55"/>
      <c r="AU575" s="55"/>
      <c r="AV575" s="55"/>
      <c r="BA575" s="775" t="s">
        <v>172</v>
      </c>
      <c r="BB575" s="839">
        <v>2015</v>
      </c>
      <c r="BC575" s="775" t="s">
        <v>277</v>
      </c>
      <c r="BD575" s="775">
        <f t="shared" si="38"/>
        <v>37.599999999999994</v>
      </c>
      <c r="BH575" s="775" t="s">
        <v>172</v>
      </c>
      <c r="BI575" s="836" t="s">
        <v>138</v>
      </c>
      <c r="BJ575" s="775" t="s">
        <v>277</v>
      </c>
      <c r="BK575" s="775">
        <f t="shared" si="39"/>
        <v>36.600000000000009</v>
      </c>
      <c r="BL575" s="775">
        <v>2014</v>
      </c>
      <c r="CL575" s="773"/>
      <c r="CM575" s="773"/>
      <c r="CN575" s="773"/>
      <c r="CO575" s="773"/>
      <c r="CP575" s="773"/>
      <c r="CQ575" s="773"/>
      <c r="CR575" s="773"/>
    </row>
    <row r="576" spans="35:96" ht="15.75">
      <c r="AI576" s="55"/>
      <c r="AJ576" s="55"/>
      <c r="AK576" s="55"/>
      <c r="AL576" s="55"/>
      <c r="AM576" s="55"/>
      <c r="AN576" s="55"/>
      <c r="AO576" s="55"/>
      <c r="AP576" s="55"/>
      <c r="AQ576" s="55"/>
      <c r="AR576" s="55"/>
      <c r="AS576" s="55"/>
      <c r="AT576" s="55"/>
      <c r="AU576" s="55"/>
      <c r="AV576" s="55"/>
      <c r="BA576" s="775" t="s">
        <v>172</v>
      </c>
      <c r="BB576" s="839">
        <v>2015</v>
      </c>
      <c r="BC576" s="775" t="s">
        <v>1064</v>
      </c>
      <c r="BD576" s="775">
        <f t="shared" si="38"/>
        <v>4.0999999999999872</v>
      </c>
      <c r="BH576" s="775" t="s">
        <v>172</v>
      </c>
      <c r="BI576" s="836" t="s">
        <v>138</v>
      </c>
      <c r="BJ576" s="775" t="s">
        <v>1064</v>
      </c>
      <c r="BK576" s="775">
        <f t="shared" si="39"/>
        <v>4.2000000000000028</v>
      </c>
      <c r="BL576" s="775">
        <v>2014</v>
      </c>
      <c r="CL576" s="773"/>
      <c r="CM576" s="773"/>
      <c r="CN576" s="773"/>
      <c r="CO576" s="773"/>
      <c r="CP576" s="773"/>
      <c r="CQ576" s="773"/>
      <c r="CR576" s="773"/>
    </row>
    <row r="577" spans="35:96" ht="15.75">
      <c r="AI577" s="55"/>
      <c r="AJ577" s="55"/>
      <c r="AK577" s="55"/>
      <c r="AL577" s="55"/>
      <c r="AM577" s="55"/>
      <c r="AN577" s="55"/>
      <c r="AO577" s="55"/>
      <c r="AP577" s="55"/>
      <c r="AQ577" s="55"/>
      <c r="AR577" s="55"/>
      <c r="AS577" s="55"/>
      <c r="AT577" s="55"/>
      <c r="AU577" s="55"/>
      <c r="AV577" s="55"/>
      <c r="BA577" s="775" t="s">
        <v>172</v>
      </c>
      <c r="BB577" s="839">
        <v>2015</v>
      </c>
      <c r="BC577" s="775" t="s">
        <v>8</v>
      </c>
      <c r="BD577" s="775">
        <f t="shared" si="38"/>
        <v>137.10000000000002</v>
      </c>
      <c r="BH577" s="775" t="s">
        <v>172</v>
      </c>
      <c r="BI577" s="836" t="s">
        <v>138</v>
      </c>
      <c r="BJ577" s="775" t="s">
        <v>8</v>
      </c>
      <c r="BK577" s="775">
        <f t="shared" si="39"/>
        <v>121.39999999999992</v>
      </c>
      <c r="BL577" s="775">
        <v>2014</v>
      </c>
      <c r="CL577" s="773"/>
      <c r="CM577" s="773"/>
      <c r="CN577" s="773"/>
      <c r="CO577" s="773"/>
      <c r="CP577" s="773"/>
      <c r="CQ577" s="773"/>
      <c r="CR577" s="773"/>
    </row>
    <row r="578" spans="35:96" ht="15.75">
      <c r="AI578" s="55"/>
      <c r="AJ578" s="55"/>
      <c r="AK578" s="55"/>
      <c r="AL578" s="55"/>
      <c r="AM578" s="55"/>
      <c r="AN578" s="55"/>
      <c r="AO578" s="55"/>
      <c r="AP578" s="55"/>
      <c r="AQ578" s="55"/>
      <c r="AR578" s="55"/>
      <c r="AS578" s="55"/>
      <c r="AT578" s="55"/>
      <c r="AU578" s="55"/>
      <c r="AV578" s="55"/>
      <c r="BA578" s="775" t="s">
        <v>172</v>
      </c>
      <c r="BB578" s="839">
        <v>2015</v>
      </c>
      <c r="BC578" s="775" t="s">
        <v>96</v>
      </c>
      <c r="BD578" s="775">
        <f t="shared" si="38"/>
        <v>21.099999999999966</v>
      </c>
      <c r="BH578" s="775" t="s">
        <v>172</v>
      </c>
      <c r="BI578" s="836" t="s">
        <v>138</v>
      </c>
      <c r="BJ578" s="775" t="s">
        <v>96</v>
      </c>
      <c r="BK578" s="775">
        <f t="shared" si="39"/>
        <v>41.499999999999943</v>
      </c>
      <c r="BL578" s="775">
        <v>2014</v>
      </c>
      <c r="CL578" s="773"/>
      <c r="CM578" s="773"/>
      <c r="CN578" s="773"/>
      <c r="CO578" s="773"/>
      <c r="CP578" s="773"/>
      <c r="CQ578" s="773"/>
      <c r="CR578" s="773"/>
    </row>
    <row r="579" spans="35:96" ht="15.75">
      <c r="AI579" s="55"/>
      <c r="AJ579" s="55"/>
      <c r="AK579" s="55"/>
      <c r="AL579" s="55"/>
      <c r="AM579" s="55"/>
      <c r="AN579" s="55"/>
      <c r="AO579" s="55"/>
      <c r="AP579" s="55"/>
      <c r="AQ579" s="55"/>
      <c r="AR579" s="55"/>
      <c r="AS579" s="55"/>
      <c r="AT579" s="55"/>
      <c r="AU579" s="55"/>
      <c r="AV579" s="55"/>
      <c r="BA579" s="775" t="s">
        <v>172</v>
      </c>
      <c r="BB579" s="839">
        <v>2015</v>
      </c>
      <c r="BC579" s="775" t="s">
        <v>196</v>
      </c>
      <c r="BD579" s="775">
        <f t="shared" si="38"/>
        <v>11.700000000000001</v>
      </c>
      <c r="BH579" s="775" t="s">
        <v>172</v>
      </c>
      <c r="BI579" s="836" t="s">
        <v>138</v>
      </c>
      <c r="BJ579" s="775" t="s">
        <v>196</v>
      </c>
      <c r="BK579" s="775">
        <f t="shared" si="39"/>
        <v>13</v>
      </c>
      <c r="BL579" s="775">
        <v>2014</v>
      </c>
      <c r="CL579" s="773"/>
      <c r="CM579" s="773"/>
      <c r="CN579" s="773"/>
      <c r="CO579" s="773"/>
      <c r="CP579" s="773"/>
      <c r="CQ579" s="773"/>
      <c r="CR579" s="773"/>
    </row>
    <row r="580" spans="35:96" ht="15.75">
      <c r="AI580" s="55"/>
      <c r="AJ580" s="55"/>
      <c r="AK580" s="55"/>
      <c r="AL580" s="55"/>
      <c r="AM580" s="55"/>
      <c r="AN580" s="55"/>
      <c r="AO580" s="55"/>
      <c r="AP580" s="55"/>
      <c r="AQ580" s="55"/>
      <c r="AR580" s="55"/>
      <c r="AS580" s="55"/>
      <c r="AT580" s="55"/>
      <c r="AU580" s="55"/>
      <c r="AV580" s="55"/>
      <c r="BA580" s="775" t="s">
        <v>172</v>
      </c>
      <c r="BB580" s="839">
        <v>2015</v>
      </c>
      <c r="BC580" s="775" t="s">
        <v>278</v>
      </c>
      <c r="BD580" s="775">
        <f t="shared" si="38"/>
        <v>14.399999999999999</v>
      </c>
      <c r="BH580" s="775" t="s">
        <v>172</v>
      </c>
      <c r="BI580" s="836" t="s">
        <v>138</v>
      </c>
      <c r="BJ580" s="775" t="s">
        <v>278</v>
      </c>
      <c r="BK580" s="775">
        <f t="shared" si="39"/>
        <v>14.2</v>
      </c>
      <c r="BL580" s="775">
        <v>2014</v>
      </c>
      <c r="CL580" s="773"/>
      <c r="CM580" s="773"/>
      <c r="CN580" s="773"/>
      <c r="CO580" s="773"/>
      <c r="CP580" s="773"/>
      <c r="CQ580" s="773"/>
      <c r="CR580" s="773"/>
    </row>
    <row r="581" spans="35:96" ht="15.75">
      <c r="AI581" s="55"/>
      <c r="AJ581" s="55"/>
      <c r="AK581" s="55"/>
      <c r="AL581" s="55"/>
      <c r="AM581" s="55"/>
      <c r="AN581" s="55"/>
      <c r="AO581" s="55"/>
      <c r="AP581" s="55"/>
      <c r="AQ581" s="55"/>
      <c r="AR581" s="55"/>
      <c r="AS581" s="55"/>
      <c r="AT581" s="55"/>
      <c r="AU581" s="55"/>
      <c r="AV581" s="55"/>
      <c r="BA581" s="775" t="s">
        <v>172</v>
      </c>
      <c r="BB581" s="839">
        <v>2015</v>
      </c>
      <c r="BC581" s="775" t="s">
        <v>44</v>
      </c>
      <c r="BD581" s="775">
        <f t="shared" si="38"/>
        <v>213.20000000000002</v>
      </c>
      <c r="BH581" s="775" t="s">
        <v>172</v>
      </c>
      <c r="BI581" s="836" t="s">
        <v>138</v>
      </c>
      <c r="BJ581" s="775" t="s">
        <v>44</v>
      </c>
      <c r="BK581" s="775">
        <f t="shared" si="39"/>
        <v>251.20000000000002</v>
      </c>
      <c r="BL581" s="775">
        <v>2014</v>
      </c>
      <c r="CL581" s="773"/>
      <c r="CM581" s="773"/>
      <c r="CN581" s="773"/>
      <c r="CO581" s="773"/>
      <c r="CP581" s="773"/>
      <c r="CQ581" s="773"/>
      <c r="CR581" s="773"/>
    </row>
    <row r="582" spans="35:96" ht="15.75">
      <c r="AI582" s="55"/>
      <c r="AJ582" s="55"/>
      <c r="AK582" s="55"/>
      <c r="AL582" s="55"/>
      <c r="AM582" s="55"/>
      <c r="AN582" s="55"/>
      <c r="AO582" s="55"/>
      <c r="AP582" s="55"/>
      <c r="AQ582" s="55"/>
      <c r="AR582" s="55"/>
      <c r="AS582" s="55"/>
      <c r="AT582" s="55"/>
      <c r="AU582" s="55"/>
      <c r="AV582" s="55"/>
      <c r="BA582" s="775" t="s">
        <v>172</v>
      </c>
      <c r="BB582" s="839">
        <v>2015</v>
      </c>
      <c r="BC582" s="775" t="s">
        <v>45</v>
      </c>
      <c r="BD582" s="775">
        <f t="shared" si="38"/>
        <v>5.2</v>
      </c>
      <c r="BH582" s="775" t="s">
        <v>172</v>
      </c>
      <c r="BI582" s="836" t="s">
        <v>138</v>
      </c>
      <c r="BJ582" s="775" t="s">
        <v>45</v>
      </c>
      <c r="BK582" s="775">
        <f t="shared" si="39"/>
        <v>4.4000000000000004</v>
      </c>
      <c r="BL582" s="775">
        <v>2014</v>
      </c>
      <c r="CL582" s="773"/>
      <c r="CM582" s="773"/>
      <c r="CN582" s="773"/>
      <c r="CO582" s="773"/>
      <c r="CP582" s="773"/>
      <c r="CQ582" s="773"/>
      <c r="CR582" s="773"/>
    </row>
    <row r="583" spans="35:96" ht="15.75">
      <c r="AI583" s="55"/>
      <c r="AJ583" s="55"/>
      <c r="AK583" s="55"/>
      <c r="AL583" s="55"/>
      <c r="AM583" s="55"/>
      <c r="AN583" s="55"/>
      <c r="AO583" s="55"/>
      <c r="AP583" s="55"/>
      <c r="AQ583" s="55"/>
      <c r="AR583" s="55"/>
      <c r="AS583" s="55"/>
      <c r="AT583" s="55"/>
      <c r="AU583" s="55"/>
      <c r="AV583" s="55"/>
      <c r="BA583" s="775" t="s">
        <v>172</v>
      </c>
      <c r="BB583" s="839">
        <v>2015</v>
      </c>
      <c r="BC583" s="775" t="s">
        <v>48</v>
      </c>
      <c r="BD583" s="775">
        <f t="shared" si="38"/>
        <v>61.3</v>
      </c>
      <c r="BH583" s="775" t="s">
        <v>172</v>
      </c>
      <c r="BI583" s="836" t="s">
        <v>138</v>
      </c>
      <c r="BJ583" s="775" t="s">
        <v>48</v>
      </c>
      <c r="BK583" s="775">
        <f t="shared" si="39"/>
        <v>65.299999999999983</v>
      </c>
      <c r="BL583" s="775">
        <v>2014</v>
      </c>
      <c r="CL583" s="773"/>
      <c r="CM583" s="773"/>
      <c r="CN583" s="773"/>
      <c r="CO583" s="773"/>
      <c r="CP583" s="773"/>
      <c r="CQ583" s="773"/>
      <c r="CR583" s="773"/>
    </row>
    <row r="584" spans="35:96" ht="15.75">
      <c r="AI584" s="55"/>
      <c r="AJ584" s="55"/>
      <c r="AK584" s="55"/>
      <c r="AL584" s="55"/>
      <c r="AM584" s="55"/>
      <c r="AN584" s="55"/>
      <c r="AO584" s="55"/>
      <c r="AP584" s="55"/>
      <c r="AQ584" s="55"/>
      <c r="AR584" s="55"/>
      <c r="AS584" s="55"/>
      <c r="AT584" s="55"/>
      <c r="AU584" s="55"/>
      <c r="AV584" s="55"/>
      <c r="BA584" s="775" t="s">
        <v>172</v>
      </c>
      <c r="BB584" s="839">
        <v>2015</v>
      </c>
      <c r="BC584" s="775" t="s">
        <v>97</v>
      </c>
      <c r="BD584" s="775">
        <f t="shared" si="38"/>
        <v>594.89999999999986</v>
      </c>
      <c r="BH584" s="775" t="s">
        <v>172</v>
      </c>
      <c r="BI584" s="836" t="s">
        <v>138</v>
      </c>
      <c r="BJ584" s="775" t="s">
        <v>97</v>
      </c>
      <c r="BK584" s="775">
        <f t="shared" si="39"/>
        <v>661.29999999999973</v>
      </c>
      <c r="BL584" s="775">
        <v>2014</v>
      </c>
      <c r="CL584" s="773"/>
      <c r="CM584" s="773"/>
      <c r="CN584" s="773"/>
      <c r="CO584" s="773"/>
      <c r="CP584" s="773"/>
      <c r="CQ584" s="773"/>
      <c r="CR584" s="773"/>
    </row>
    <row r="585" spans="35:96" ht="15.75">
      <c r="AI585" s="55"/>
      <c r="AJ585" s="55"/>
      <c r="AK585" s="55"/>
      <c r="AL585" s="55"/>
      <c r="AM585" s="55"/>
      <c r="AN585" s="55"/>
      <c r="AO585" s="55"/>
      <c r="AP585" s="55"/>
      <c r="AQ585" s="55"/>
      <c r="AR585" s="55"/>
      <c r="AS585" s="55"/>
      <c r="AT585" s="55"/>
      <c r="AU585" s="55"/>
      <c r="AV585" s="55"/>
      <c r="BA585" s="775" t="s">
        <v>170</v>
      </c>
      <c r="BB585" s="839">
        <v>2015</v>
      </c>
      <c r="BC585" s="775" t="s">
        <v>15</v>
      </c>
      <c r="BD585" s="775">
        <v>121</v>
      </c>
      <c r="BH585" s="775" t="s">
        <v>170</v>
      </c>
      <c r="BI585" s="836" t="s">
        <v>138</v>
      </c>
      <c r="BJ585" s="775" t="s">
        <v>15</v>
      </c>
      <c r="BK585" s="838">
        <v>144.4</v>
      </c>
      <c r="BL585" s="775">
        <v>2014</v>
      </c>
      <c r="CL585" s="773"/>
      <c r="CM585" s="773"/>
      <c r="CN585" s="773"/>
      <c r="CO585" s="773"/>
      <c r="CP585" s="773"/>
      <c r="CQ585" s="773"/>
      <c r="CR585" s="773"/>
    </row>
    <row r="586" spans="35:96" ht="15.75">
      <c r="AI586" s="55"/>
      <c r="AJ586" s="55"/>
      <c r="AK586" s="55"/>
      <c r="AL586" s="55"/>
      <c r="AM586" s="55"/>
      <c r="AN586" s="55"/>
      <c r="AO586" s="55"/>
      <c r="AP586" s="55"/>
      <c r="AQ586" s="55"/>
      <c r="AR586" s="55"/>
      <c r="AS586" s="55"/>
      <c r="AT586" s="55"/>
      <c r="AU586" s="55"/>
      <c r="AV586" s="55"/>
      <c r="BA586" s="775" t="s">
        <v>170</v>
      </c>
      <c r="BB586" s="839">
        <v>2015</v>
      </c>
      <c r="BC586" s="775" t="s">
        <v>277</v>
      </c>
      <c r="BD586" s="775">
        <v>50.599999999999994</v>
      </c>
      <c r="BH586" s="775" t="s">
        <v>170</v>
      </c>
      <c r="BI586" s="836" t="s">
        <v>138</v>
      </c>
      <c r="BJ586" s="775" t="s">
        <v>277</v>
      </c>
      <c r="BK586" s="838">
        <v>51.900000000000006</v>
      </c>
      <c r="BL586" s="775">
        <v>2014</v>
      </c>
      <c r="CL586" s="773"/>
      <c r="CM586" s="773"/>
      <c r="CN586" s="773"/>
      <c r="CO586" s="773"/>
      <c r="CP586" s="773"/>
      <c r="CQ586" s="773"/>
      <c r="CR586" s="773"/>
    </row>
    <row r="587" spans="35:96" ht="15.75">
      <c r="AI587" s="55"/>
      <c r="AJ587" s="55"/>
      <c r="AK587" s="55"/>
      <c r="AL587" s="55"/>
      <c r="AM587" s="55"/>
      <c r="AN587" s="55"/>
      <c r="AO587" s="55"/>
      <c r="AP587" s="55"/>
      <c r="AQ587" s="55"/>
      <c r="AR587" s="55"/>
      <c r="AS587" s="55"/>
      <c r="AT587" s="55"/>
      <c r="AU587" s="55"/>
      <c r="AV587" s="55"/>
      <c r="BA587" s="775" t="s">
        <v>170</v>
      </c>
      <c r="BB587" s="839">
        <v>2015</v>
      </c>
      <c r="BC587" s="775" t="s">
        <v>1064</v>
      </c>
      <c r="BD587" s="775">
        <v>65.199999999999989</v>
      </c>
      <c r="BH587" s="775" t="s">
        <v>170</v>
      </c>
      <c r="BI587" s="836" t="s">
        <v>138</v>
      </c>
      <c r="BJ587" s="775" t="s">
        <v>1064</v>
      </c>
      <c r="BK587" s="838">
        <v>82.7</v>
      </c>
      <c r="BL587" s="775">
        <v>2014</v>
      </c>
      <c r="CL587" s="773"/>
      <c r="CM587" s="773"/>
      <c r="CN587" s="773"/>
      <c r="CO587" s="773"/>
      <c r="CP587" s="773"/>
      <c r="CQ587" s="773"/>
      <c r="CR587" s="773"/>
    </row>
    <row r="588" spans="35:96" ht="15.75">
      <c r="AI588" s="55"/>
      <c r="AJ588" s="55"/>
      <c r="AK588" s="55"/>
      <c r="AL588" s="55"/>
      <c r="AM588" s="55"/>
      <c r="AN588" s="55"/>
      <c r="AO588" s="55"/>
      <c r="AP588" s="55"/>
      <c r="AQ588" s="55"/>
      <c r="AR588" s="55"/>
      <c r="AS588" s="55"/>
      <c r="AT588" s="55"/>
      <c r="AU588" s="55"/>
      <c r="AV588" s="55"/>
      <c r="BA588" s="775" t="s">
        <v>170</v>
      </c>
      <c r="BB588" s="839">
        <v>2015</v>
      </c>
      <c r="BC588" s="775" t="s">
        <v>8</v>
      </c>
      <c r="BD588" s="775">
        <v>475.9</v>
      </c>
      <c r="BH588" s="775" t="s">
        <v>170</v>
      </c>
      <c r="BI588" s="836" t="s">
        <v>138</v>
      </c>
      <c r="BJ588" s="775" t="s">
        <v>8</v>
      </c>
      <c r="BK588" s="838">
        <v>395.69999999999993</v>
      </c>
      <c r="BL588" s="775">
        <v>2014</v>
      </c>
      <c r="CL588" s="773"/>
      <c r="CM588" s="773"/>
      <c r="CN588" s="773"/>
      <c r="CO588" s="773"/>
      <c r="CP588" s="773"/>
      <c r="CQ588" s="773"/>
      <c r="CR588" s="773"/>
    </row>
    <row r="589" spans="35:96" ht="15.75">
      <c r="AI589" s="55"/>
      <c r="AJ589" s="55"/>
      <c r="AK589" s="55"/>
      <c r="AL589" s="55"/>
      <c r="AM589" s="55"/>
      <c r="AN589" s="55"/>
      <c r="AO589" s="55"/>
      <c r="AP589" s="55"/>
      <c r="AQ589" s="55"/>
      <c r="AR589" s="55"/>
      <c r="AS589" s="55"/>
      <c r="AT589" s="55"/>
      <c r="AU589" s="55"/>
      <c r="AV589" s="55"/>
      <c r="BA589" s="775" t="s">
        <v>170</v>
      </c>
      <c r="BB589" s="839">
        <v>2015</v>
      </c>
      <c r="BC589" s="775" t="s">
        <v>96</v>
      </c>
      <c r="BD589" s="775">
        <v>316.39999999999998</v>
      </c>
      <c r="BH589" s="775" t="s">
        <v>170</v>
      </c>
      <c r="BI589" s="836" t="s">
        <v>138</v>
      </c>
      <c r="BJ589" s="775" t="s">
        <v>96</v>
      </c>
      <c r="BK589" s="838">
        <v>447.7</v>
      </c>
      <c r="BL589" s="775">
        <v>2014</v>
      </c>
      <c r="CL589" s="773"/>
      <c r="CM589" s="773"/>
      <c r="CN589" s="773"/>
      <c r="CO589" s="773"/>
      <c r="CP589" s="773"/>
      <c r="CQ589" s="773"/>
      <c r="CR589" s="773"/>
    </row>
    <row r="590" spans="35:96" ht="15.75">
      <c r="AI590" s="55"/>
      <c r="AJ590" s="55"/>
      <c r="AK590" s="55"/>
      <c r="AL590" s="55"/>
      <c r="AM590" s="55"/>
      <c r="AN590" s="55"/>
      <c r="AO590" s="55"/>
      <c r="AP590" s="55"/>
      <c r="AQ590" s="55"/>
      <c r="AR590" s="55"/>
      <c r="AS590" s="55"/>
      <c r="AT590" s="55"/>
      <c r="AU590" s="55"/>
      <c r="AV590" s="55"/>
      <c r="BA590" s="775" t="s">
        <v>170</v>
      </c>
      <c r="BB590" s="839">
        <v>2015</v>
      </c>
      <c r="BC590" s="775" t="s">
        <v>196</v>
      </c>
      <c r="BD590" s="775">
        <v>23.900000000000002</v>
      </c>
      <c r="BH590" s="775" t="s">
        <v>170</v>
      </c>
      <c r="BI590" s="836" t="s">
        <v>138</v>
      </c>
      <c r="BJ590" s="775" t="s">
        <v>196</v>
      </c>
      <c r="BK590" s="838">
        <v>27.1</v>
      </c>
      <c r="BL590" s="775">
        <v>2014</v>
      </c>
      <c r="CL590" s="773"/>
      <c r="CM590" s="773"/>
      <c r="CN590" s="773"/>
      <c r="CO590" s="773"/>
      <c r="CP590" s="773"/>
      <c r="CQ590" s="773"/>
      <c r="CR590" s="773"/>
    </row>
    <row r="591" spans="35:96" ht="15.75">
      <c r="AI591" s="55"/>
      <c r="AJ591" s="55"/>
      <c r="AK591" s="55"/>
      <c r="AL591" s="55"/>
      <c r="AM591" s="55"/>
      <c r="AN591" s="55"/>
      <c r="AO591" s="55"/>
      <c r="AP591" s="55"/>
      <c r="AQ591" s="55"/>
      <c r="AR591" s="55"/>
      <c r="AS591" s="55"/>
      <c r="AT591" s="55"/>
      <c r="AU591" s="55"/>
      <c r="AV591" s="55"/>
      <c r="BA591" s="775" t="s">
        <v>170</v>
      </c>
      <c r="BB591" s="839">
        <v>2015</v>
      </c>
      <c r="BC591" s="775" t="s">
        <v>278</v>
      </c>
      <c r="BD591" s="775">
        <v>44</v>
      </c>
      <c r="BH591" s="775" t="s">
        <v>170</v>
      </c>
      <c r="BI591" s="836" t="s">
        <v>138</v>
      </c>
      <c r="BJ591" s="775" t="s">
        <v>278</v>
      </c>
      <c r="BK591" s="838">
        <v>40.6</v>
      </c>
      <c r="BL591" s="775">
        <v>2014</v>
      </c>
      <c r="CL591" s="773"/>
      <c r="CM591" s="773"/>
      <c r="CN591" s="773"/>
      <c r="CO591" s="773"/>
      <c r="CP591" s="773"/>
      <c r="CQ591" s="773"/>
      <c r="CR591" s="773"/>
    </row>
    <row r="592" spans="35:96" ht="15.75">
      <c r="AI592" s="55"/>
      <c r="AJ592" s="55"/>
      <c r="AK592" s="55"/>
      <c r="AL592" s="55"/>
      <c r="AM592" s="55"/>
      <c r="AN592" s="55"/>
      <c r="AO592" s="55"/>
      <c r="AP592" s="55"/>
      <c r="AQ592" s="55"/>
      <c r="AR592" s="55"/>
      <c r="AS592" s="55"/>
      <c r="AT592" s="55"/>
      <c r="AU592" s="55"/>
      <c r="AV592" s="55"/>
      <c r="BA592" s="775" t="s">
        <v>170</v>
      </c>
      <c r="BB592" s="839">
        <v>2015</v>
      </c>
      <c r="BC592" s="775" t="s">
        <v>44</v>
      </c>
      <c r="BD592" s="775">
        <v>213.20000000000002</v>
      </c>
      <c r="BH592" s="775" t="s">
        <v>170</v>
      </c>
      <c r="BI592" s="836" t="s">
        <v>138</v>
      </c>
      <c r="BJ592" s="775" t="s">
        <v>44</v>
      </c>
      <c r="BK592" s="838">
        <v>251.8</v>
      </c>
      <c r="BL592" s="775">
        <v>2014</v>
      </c>
      <c r="CL592" s="773"/>
      <c r="CM592" s="773"/>
      <c r="CN592" s="773"/>
      <c r="CO592" s="773"/>
      <c r="CP592" s="773"/>
      <c r="CQ592" s="773"/>
      <c r="CR592" s="773"/>
    </row>
    <row r="593" spans="35:96" ht="15.75">
      <c r="AI593" s="55"/>
      <c r="AJ593" s="55"/>
      <c r="AK593" s="55"/>
      <c r="AL593" s="55"/>
      <c r="AM593" s="55"/>
      <c r="AN593" s="55"/>
      <c r="AO593" s="55"/>
      <c r="AP593" s="55"/>
      <c r="AQ593" s="55"/>
      <c r="AR593" s="55"/>
      <c r="AS593" s="55"/>
      <c r="AT593" s="55"/>
      <c r="AU593" s="55"/>
      <c r="AV593" s="55"/>
      <c r="BA593" s="775" t="s">
        <v>170</v>
      </c>
      <c r="BB593" s="839">
        <v>2015</v>
      </c>
      <c r="BC593" s="775" t="s">
        <v>45</v>
      </c>
      <c r="BD593" s="775">
        <v>5.2</v>
      </c>
      <c r="BH593" s="775" t="s">
        <v>170</v>
      </c>
      <c r="BI593" s="836" t="s">
        <v>138</v>
      </c>
      <c r="BJ593" s="775" t="s">
        <v>45</v>
      </c>
      <c r="BK593" s="838">
        <v>5.4</v>
      </c>
      <c r="BL593" s="775">
        <v>2014</v>
      </c>
      <c r="CL593" s="773"/>
      <c r="CM593" s="773"/>
      <c r="CN593" s="773"/>
      <c r="CO593" s="773"/>
      <c r="CP593" s="773"/>
      <c r="CQ593" s="773"/>
      <c r="CR593" s="773"/>
    </row>
    <row r="594" spans="35:96" ht="15.75">
      <c r="AI594" s="55"/>
      <c r="AJ594" s="55"/>
      <c r="AK594" s="55"/>
      <c r="AL594" s="55"/>
      <c r="AM594" s="55"/>
      <c r="AN594" s="55"/>
      <c r="AO594" s="55"/>
      <c r="AP594" s="55"/>
      <c r="AQ594" s="55"/>
      <c r="AR594" s="55"/>
      <c r="AS594" s="55"/>
      <c r="AT594" s="55"/>
      <c r="AU594" s="55"/>
      <c r="AV594" s="55"/>
      <c r="BA594" s="775" t="s">
        <v>170</v>
      </c>
      <c r="BB594" s="839">
        <v>2015</v>
      </c>
      <c r="BC594" s="775" t="s">
        <v>48</v>
      </c>
      <c r="BD594" s="775">
        <v>121.6</v>
      </c>
      <c r="BH594" s="775" t="s">
        <v>170</v>
      </c>
      <c r="BI594" s="836" t="s">
        <v>138</v>
      </c>
      <c r="BJ594" s="775" t="s">
        <v>48</v>
      </c>
      <c r="BK594" s="838">
        <v>129.1</v>
      </c>
      <c r="BL594" s="775">
        <v>2014</v>
      </c>
      <c r="CL594" s="773"/>
      <c r="CM594" s="773"/>
      <c r="CN594" s="773"/>
      <c r="CO594" s="773"/>
      <c r="CP594" s="773"/>
      <c r="CQ594" s="773"/>
      <c r="CR594" s="773"/>
    </row>
    <row r="595" spans="35:96" ht="15.75">
      <c r="AI595" s="55"/>
      <c r="AJ595" s="55"/>
      <c r="AK595" s="55"/>
      <c r="AL595" s="55"/>
      <c r="AM595" s="55"/>
      <c r="AN595" s="55"/>
      <c r="AO595" s="55"/>
      <c r="AP595" s="55"/>
      <c r="AQ595" s="55"/>
      <c r="AR595" s="55"/>
      <c r="AS595" s="55"/>
      <c r="AT595" s="55"/>
      <c r="AU595" s="55"/>
      <c r="AV595" s="55"/>
      <c r="BA595" s="775" t="s">
        <v>170</v>
      </c>
      <c r="BB595" s="839">
        <v>2015</v>
      </c>
      <c r="BC595" s="775" t="s">
        <v>97</v>
      </c>
      <c r="BD595" s="775">
        <v>1438.6</v>
      </c>
      <c r="BH595" s="775" t="s">
        <v>170</v>
      </c>
      <c r="BI595" s="836" t="s">
        <v>138</v>
      </c>
      <c r="BJ595" s="775" t="s">
        <v>97</v>
      </c>
      <c r="BK595" s="838">
        <v>1578.6999999999998</v>
      </c>
      <c r="BL595" s="775">
        <v>2014</v>
      </c>
      <c r="CL595" s="773"/>
      <c r="CM595" s="773"/>
      <c r="CN595" s="773"/>
      <c r="CO595" s="773"/>
      <c r="CP595" s="773"/>
      <c r="CQ595" s="773"/>
      <c r="CR595" s="773"/>
    </row>
    <row r="596" spans="35:96" ht="15.75">
      <c r="AI596" s="55"/>
      <c r="AJ596" s="55"/>
      <c r="AK596" s="55"/>
      <c r="AL596" s="55"/>
      <c r="AM596" s="55"/>
      <c r="AN596" s="55"/>
      <c r="AO596" s="55"/>
      <c r="AP596" s="55"/>
      <c r="AQ596" s="55"/>
      <c r="AR596" s="55"/>
      <c r="AS596" s="55"/>
      <c r="AT596" s="55"/>
      <c r="AU596" s="55"/>
      <c r="AV596" s="55"/>
      <c r="BA596" s="775" t="s">
        <v>38</v>
      </c>
      <c r="BB596" s="839">
        <v>2016</v>
      </c>
      <c r="BC596" s="775" t="s">
        <v>15</v>
      </c>
      <c r="BD596" s="840">
        <v>47.4</v>
      </c>
      <c r="BH596" s="775" t="s">
        <v>38</v>
      </c>
      <c r="BI596" s="836" t="s">
        <v>199</v>
      </c>
      <c r="BJ596" s="775" t="s">
        <v>15</v>
      </c>
      <c r="BK596" s="776">
        <v>41.4</v>
      </c>
      <c r="BL596" s="775">
        <v>2015</v>
      </c>
      <c r="CL596" s="773"/>
      <c r="CM596" s="773"/>
      <c r="CN596" s="773"/>
      <c r="CO596" s="773"/>
      <c r="CP596" s="773"/>
      <c r="CQ596" s="773"/>
      <c r="CR596" s="773"/>
    </row>
    <row r="597" spans="35:96" ht="15.75">
      <c r="AI597" s="55"/>
      <c r="AJ597" s="55"/>
      <c r="AK597" s="55"/>
      <c r="AL597" s="55"/>
      <c r="AM597" s="55"/>
      <c r="AN597" s="55"/>
      <c r="AO597" s="55"/>
      <c r="AP597" s="55"/>
      <c r="AQ597" s="55"/>
      <c r="AR597" s="55"/>
      <c r="AS597" s="55"/>
      <c r="AT597" s="55"/>
      <c r="AU597" s="55"/>
      <c r="AV597" s="55"/>
      <c r="BA597" s="775" t="s">
        <v>38</v>
      </c>
      <c r="BB597" s="839">
        <v>2016</v>
      </c>
      <c r="BC597" s="775" t="s">
        <v>277</v>
      </c>
      <c r="BD597" s="840">
        <v>10.4</v>
      </c>
      <c r="BH597" s="775" t="s">
        <v>38</v>
      </c>
      <c r="BI597" s="836" t="s">
        <v>199</v>
      </c>
      <c r="BJ597" s="775" t="s">
        <v>277</v>
      </c>
      <c r="BK597" s="776">
        <v>11.1</v>
      </c>
      <c r="BL597" s="775">
        <v>2015</v>
      </c>
      <c r="CL597" s="773"/>
      <c r="CM597" s="773"/>
      <c r="CN597" s="773"/>
      <c r="CO597" s="773"/>
      <c r="CP597" s="773"/>
      <c r="CQ597" s="773"/>
      <c r="CR597" s="773"/>
    </row>
    <row r="598" spans="35:96" ht="15.75">
      <c r="AI598" s="55"/>
      <c r="AJ598" s="55"/>
      <c r="AK598" s="55"/>
      <c r="AL598" s="55"/>
      <c r="AM598" s="55"/>
      <c r="AN598" s="55"/>
      <c r="AO598" s="55"/>
      <c r="AP598" s="55"/>
      <c r="AQ598" s="55"/>
      <c r="AR598" s="55"/>
      <c r="AS598" s="55"/>
      <c r="AT598" s="55"/>
      <c r="AU598" s="55"/>
      <c r="AV598" s="55"/>
      <c r="BA598" s="775" t="s">
        <v>38</v>
      </c>
      <c r="BB598" s="839">
        <v>2016</v>
      </c>
      <c r="BC598" s="775" t="s">
        <v>1064</v>
      </c>
      <c r="BD598" s="840">
        <v>46.9</v>
      </c>
      <c r="BH598" s="775" t="s">
        <v>38</v>
      </c>
      <c r="BI598" s="836" t="s">
        <v>199</v>
      </c>
      <c r="BJ598" s="775" t="s">
        <v>1064</v>
      </c>
      <c r="BK598" s="776">
        <v>46.8</v>
      </c>
      <c r="BL598" s="775">
        <v>2015</v>
      </c>
      <c r="CL598" s="773"/>
      <c r="CM598" s="773"/>
      <c r="CN598" s="773"/>
      <c r="CO598" s="773"/>
      <c r="CP598" s="773"/>
      <c r="CQ598" s="773"/>
      <c r="CR598" s="773"/>
    </row>
    <row r="599" spans="35:96" ht="15.75">
      <c r="AI599" s="55"/>
      <c r="AJ599" s="55"/>
      <c r="AK599" s="55"/>
      <c r="AL599" s="55"/>
      <c r="AM599" s="55"/>
      <c r="AN599" s="55"/>
      <c r="AO599" s="55"/>
      <c r="AP599" s="55"/>
      <c r="AQ599" s="55"/>
      <c r="AR599" s="55"/>
      <c r="AS599" s="55"/>
      <c r="AT599" s="55"/>
      <c r="AU599" s="55"/>
      <c r="AV599" s="55"/>
      <c r="BA599" s="775" t="s">
        <v>38</v>
      </c>
      <c r="BB599" s="839">
        <v>2016</v>
      </c>
      <c r="BC599" s="775" t="s">
        <v>8</v>
      </c>
      <c r="BD599" s="840">
        <v>445.9</v>
      </c>
      <c r="BH599" s="775" t="s">
        <v>38</v>
      </c>
      <c r="BI599" s="836" t="s">
        <v>199</v>
      </c>
      <c r="BJ599" s="775" t="s">
        <v>8</v>
      </c>
      <c r="BK599" s="776">
        <v>385.9</v>
      </c>
      <c r="BL599" s="775">
        <v>2015</v>
      </c>
      <c r="CL599" s="773"/>
      <c r="CM599" s="773"/>
      <c r="CN599" s="773"/>
      <c r="CO599" s="773"/>
      <c r="CP599" s="773"/>
      <c r="CQ599" s="773"/>
      <c r="CR599" s="773"/>
    </row>
    <row r="600" spans="35:96" ht="15.75">
      <c r="AI600" s="55"/>
      <c r="AJ600" s="55"/>
      <c r="AK600" s="55"/>
      <c r="AL600" s="55"/>
      <c r="AM600" s="55"/>
      <c r="AN600" s="55"/>
      <c r="AO600" s="55"/>
      <c r="AP600" s="55"/>
      <c r="AQ600" s="55"/>
      <c r="AR600" s="55"/>
      <c r="AS600" s="55"/>
      <c r="AT600" s="55"/>
      <c r="AU600" s="55"/>
      <c r="AV600" s="55"/>
      <c r="BA600" s="775" t="s">
        <v>38</v>
      </c>
      <c r="BB600" s="839">
        <v>2016</v>
      </c>
      <c r="BC600" s="775" t="s">
        <v>96</v>
      </c>
      <c r="BD600" s="840">
        <v>278.60000000000002</v>
      </c>
      <c r="BH600" s="775" t="s">
        <v>38</v>
      </c>
      <c r="BI600" s="836" t="s">
        <v>199</v>
      </c>
      <c r="BJ600" s="775" t="s">
        <v>96</v>
      </c>
      <c r="BK600" s="776">
        <v>280.29999999999995</v>
      </c>
      <c r="BL600" s="775">
        <v>2015</v>
      </c>
      <c r="CL600" s="773"/>
      <c r="CM600" s="773"/>
      <c r="CN600" s="773"/>
      <c r="CO600" s="773"/>
      <c r="CP600" s="773"/>
      <c r="CQ600" s="773"/>
      <c r="CR600" s="773"/>
    </row>
    <row r="601" spans="35:96" ht="15.75">
      <c r="AI601" s="55"/>
      <c r="AJ601" s="55"/>
      <c r="AK601" s="55"/>
      <c r="AL601" s="55"/>
      <c r="AM601" s="55"/>
      <c r="AN601" s="55"/>
      <c r="AO601" s="55"/>
      <c r="AP601" s="55"/>
      <c r="AQ601" s="55"/>
      <c r="AR601" s="55"/>
      <c r="AS601" s="55"/>
      <c r="AT601" s="55"/>
      <c r="AU601" s="55"/>
      <c r="AV601" s="55"/>
      <c r="BA601" s="775" t="s">
        <v>38</v>
      </c>
      <c r="BB601" s="839">
        <v>2016</v>
      </c>
      <c r="BC601" s="775" t="s">
        <v>196</v>
      </c>
      <c r="BD601" s="840">
        <v>9.5</v>
      </c>
      <c r="BH601" s="775" t="s">
        <v>38</v>
      </c>
      <c r="BI601" s="836" t="s">
        <v>199</v>
      </c>
      <c r="BJ601" s="775" t="s">
        <v>196</v>
      </c>
      <c r="BK601" s="776">
        <v>10</v>
      </c>
      <c r="BL601" s="775">
        <v>2015</v>
      </c>
      <c r="CL601" s="773"/>
      <c r="CM601" s="773"/>
      <c r="CN601" s="773"/>
      <c r="CO601" s="773"/>
      <c r="CP601" s="773"/>
      <c r="CQ601" s="773"/>
      <c r="CR601" s="773"/>
    </row>
    <row r="602" spans="35:96" ht="15.75">
      <c r="AI602" s="55"/>
      <c r="AJ602" s="55"/>
      <c r="AK602" s="55"/>
      <c r="AL602" s="55"/>
      <c r="AM602" s="55"/>
      <c r="AN602" s="55"/>
      <c r="AO602" s="55"/>
      <c r="AP602" s="55"/>
      <c r="AQ602" s="55"/>
      <c r="AR602" s="55"/>
      <c r="AS602" s="55"/>
      <c r="AT602" s="55"/>
      <c r="AU602" s="55"/>
      <c r="AV602" s="55"/>
      <c r="BA602" s="775" t="s">
        <v>38</v>
      </c>
      <c r="BB602" s="839">
        <v>2016</v>
      </c>
      <c r="BC602" s="775" t="s">
        <v>278</v>
      </c>
      <c r="BD602" s="840">
        <v>15.5</v>
      </c>
      <c r="BH602" s="775" t="s">
        <v>38</v>
      </c>
      <c r="BI602" s="836" t="s">
        <v>199</v>
      </c>
      <c r="BJ602" s="775" t="s">
        <v>278</v>
      </c>
      <c r="BK602" s="776">
        <v>26</v>
      </c>
      <c r="BL602" s="775">
        <v>2015</v>
      </c>
      <c r="CL602" s="773"/>
      <c r="CM602" s="773"/>
      <c r="CN602" s="773"/>
      <c r="CO602" s="773"/>
      <c r="CP602" s="773"/>
      <c r="CQ602" s="773"/>
      <c r="CR602" s="773"/>
    </row>
    <row r="603" spans="35:96" ht="15.75">
      <c r="AI603" s="55"/>
      <c r="AJ603" s="55"/>
      <c r="AK603" s="55"/>
      <c r="AL603" s="55"/>
      <c r="AM603" s="55"/>
      <c r="AN603" s="55"/>
      <c r="AO603" s="55"/>
      <c r="AP603" s="55"/>
      <c r="AQ603" s="55"/>
      <c r="AR603" s="55"/>
      <c r="AS603" s="55"/>
      <c r="AT603" s="55"/>
      <c r="AU603" s="55"/>
      <c r="AV603" s="55"/>
      <c r="BA603" s="775" t="s">
        <v>38</v>
      </c>
      <c r="BB603" s="839">
        <v>2016</v>
      </c>
      <c r="BC603" s="775" t="s">
        <v>44</v>
      </c>
      <c r="BD603" s="840">
        <v>0</v>
      </c>
      <c r="BH603" s="775" t="s">
        <v>38</v>
      </c>
      <c r="BI603" s="836" t="s">
        <v>199</v>
      </c>
      <c r="BJ603" s="775" t="s">
        <v>44</v>
      </c>
      <c r="BK603" s="776">
        <v>0</v>
      </c>
      <c r="BL603" s="775">
        <v>2015</v>
      </c>
      <c r="CL603" s="773"/>
      <c r="CM603" s="773"/>
      <c r="CN603" s="773"/>
      <c r="CO603" s="773"/>
      <c r="CP603" s="773"/>
      <c r="CQ603" s="773"/>
      <c r="CR603" s="773"/>
    </row>
    <row r="604" spans="35:96" ht="15.75">
      <c r="AI604" s="55"/>
      <c r="AJ604" s="55"/>
      <c r="AK604" s="55"/>
      <c r="AL604" s="55"/>
      <c r="AM604" s="55"/>
      <c r="AN604" s="55"/>
      <c r="AO604" s="55"/>
      <c r="AP604" s="55"/>
      <c r="AQ604" s="55"/>
      <c r="AR604" s="55"/>
      <c r="AS604" s="55"/>
      <c r="AT604" s="55"/>
      <c r="AU604" s="55"/>
      <c r="AV604" s="55"/>
      <c r="BA604" s="775" t="s">
        <v>38</v>
      </c>
      <c r="BB604" s="839">
        <v>2016</v>
      </c>
      <c r="BC604" s="775" t="s">
        <v>45</v>
      </c>
      <c r="BD604" s="841">
        <v>0</v>
      </c>
      <c r="BH604" s="775" t="s">
        <v>38</v>
      </c>
      <c r="BI604" s="836" t="s">
        <v>199</v>
      </c>
      <c r="BJ604" s="775" t="s">
        <v>45</v>
      </c>
      <c r="BK604" s="776">
        <v>0</v>
      </c>
      <c r="BL604" s="775">
        <v>2015</v>
      </c>
      <c r="CL604" s="773"/>
      <c r="CM604" s="773"/>
      <c r="CN604" s="773"/>
      <c r="CO604" s="773"/>
      <c r="CP604" s="773"/>
      <c r="CQ604" s="773"/>
      <c r="CR604" s="773"/>
    </row>
    <row r="605" spans="35:96" ht="15.75">
      <c r="AI605" s="55"/>
      <c r="AJ605" s="55"/>
      <c r="AK605" s="55"/>
      <c r="AL605" s="55"/>
      <c r="AM605" s="55"/>
      <c r="AN605" s="55"/>
      <c r="AO605" s="55"/>
      <c r="AP605" s="55"/>
      <c r="AQ605" s="55"/>
      <c r="AR605" s="55"/>
      <c r="AS605" s="55"/>
      <c r="AT605" s="55"/>
      <c r="AU605" s="55"/>
      <c r="AV605" s="55"/>
      <c r="BA605" s="775" t="s">
        <v>38</v>
      </c>
      <c r="BB605" s="839">
        <v>2016</v>
      </c>
      <c r="BC605" s="775" t="s">
        <v>48</v>
      </c>
      <c r="BD605" s="841">
        <v>68.900000000000006</v>
      </c>
      <c r="BH605" s="775" t="s">
        <v>38</v>
      </c>
      <c r="BI605" s="836" t="s">
        <v>199</v>
      </c>
      <c r="BJ605" s="775" t="s">
        <v>48</v>
      </c>
      <c r="BK605" s="776">
        <v>62</v>
      </c>
      <c r="BL605" s="775">
        <v>2015</v>
      </c>
      <c r="CL605" s="773"/>
      <c r="CM605" s="773"/>
      <c r="CN605" s="773"/>
      <c r="CO605" s="773"/>
      <c r="CP605" s="773"/>
      <c r="CQ605" s="773"/>
      <c r="CR605" s="773"/>
    </row>
    <row r="606" spans="35:96" ht="15.75">
      <c r="AI606" s="55"/>
      <c r="AJ606" s="55"/>
      <c r="AK606" s="55"/>
      <c r="AL606" s="55"/>
      <c r="AM606" s="55"/>
      <c r="AN606" s="55"/>
      <c r="AO606" s="55"/>
      <c r="AP606" s="55"/>
      <c r="AQ606" s="55"/>
      <c r="AR606" s="55"/>
      <c r="AS606" s="55"/>
      <c r="AT606" s="55"/>
      <c r="AU606" s="55"/>
      <c r="AV606" s="55"/>
      <c r="BA606" s="775" t="s">
        <v>38</v>
      </c>
      <c r="BB606" s="839">
        <v>2016</v>
      </c>
      <c r="BC606" s="775" t="s">
        <v>97</v>
      </c>
      <c r="BD606" s="841">
        <v>927.59999999999991</v>
      </c>
      <c r="BH606" s="775" t="s">
        <v>38</v>
      </c>
      <c r="BI606" s="836" t="s">
        <v>199</v>
      </c>
      <c r="BJ606" s="775" t="s">
        <v>97</v>
      </c>
      <c r="BK606" s="776">
        <v>871</v>
      </c>
      <c r="BL606" s="775">
        <v>2015</v>
      </c>
      <c r="CL606" s="773"/>
      <c r="CM606" s="773"/>
      <c r="CN606" s="773"/>
      <c r="CO606" s="773"/>
      <c r="CP606" s="773"/>
      <c r="CQ606" s="773"/>
      <c r="CR606" s="773"/>
    </row>
    <row r="607" spans="35:96" ht="15.75">
      <c r="AI607" s="55"/>
      <c r="AJ607" s="55"/>
      <c r="AK607" s="55"/>
      <c r="AL607" s="55"/>
      <c r="AM607" s="55"/>
      <c r="AN607" s="55"/>
      <c r="AO607" s="55"/>
      <c r="AP607" s="55"/>
      <c r="AQ607" s="55"/>
      <c r="AR607" s="55"/>
      <c r="AS607" s="55"/>
      <c r="AT607" s="55"/>
      <c r="AU607" s="55"/>
      <c r="AV607" s="55"/>
      <c r="BA607" s="775" t="s">
        <v>172</v>
      </c>
      <c r="BB607" s="839">
        <v>2016</v>
      </c>
      <c r="BC607" s="775" t="s">
        <v>15</v>
      </c>
      <c r="BD607" s="775">
        <f t="shared" ref="BD607:BD617" si="40">BD618-BD596</f>
        <v>88.300000000000011</v>
      </c>
      <c r="BH607" s="775" t="s">
        <v>172</v>
      </c>
      <c r="BI607" s="836" t="s">
        <v>199</v>
      </c>
      <c r="BJ607" s="775" t="s">
        <v>15</v>
      </c>
      <c r="BK607" s="775">
        <f t="shared" ref="BK607:BK617" si="41">BK618-BK596</f>
        <v>88.999999999999972</v>
      </c>
      <c r="BL607" s="775">
        <v>2015</v>
      </c>
      <c r="CL607" s="773"/>
      <c r="CM607" s="773"/>
      <c r="CN607" s="773"/>
      <c r="CO607" s="773"/>
      <c r="CP607" s="773"/>
      <c r="CQ607" s="773"/>
      <c r="CR607" s="773"/>
    </row>
    <row r="608" spans="35:96" ht="15.75">
      <c r="AI608" s="55"/>
      <c r="AJ608" s="55"/>
      <c r="AK608" s="55"/>
      <c r="AL608" s="55"/>
      <c r="AM608" s="55"/>
      <c r="AN608" s="55"/>
      <c r="AO608" s="55"/>
      <c r="AP608" s="55"/>
      <c r="AQ608" s="55"/>
      <c r="AR608" s="55"/>
      <c r="AS608" s="55"/>
      <c r="AT608" s="55"/>
      <c r="AU608" s="55"/>
      <c r="AV608" s="55"/>
      <c r="BA608" s="775" t="s">
        <v>172</v>
      </c>
      <c r="BB608" s="839">
        <v>2016</v>
      </c>
      <c r="BC608" s="775" t="s">
        <v>277</v>
      </c>
      <c r="BD608" s="775">
        <f t="shared" si="40"/>
        <v>36.1</v>
      </c>
      <c r="BH608" s="775" t="s">
        <v>172</v>
      </c>
      <c r="BI608" s="836" t="s">
        <v>199</v>
      </c>
      <c r="BJ608" s="775" t="s">
        <v>277</v>
      </c>
      <c r="BK608" s="775">
        <f t="shared" si="41"/>
        <v>38.799999999999997</v>
      </c>
      <c r="BL608" s="775">
        <v>2015</v>
      </c>
      <c r="CL608" s="773"/>
      <c r="CM608" s="773"/>
      <c r="CN608" s="773"/>
      <c r="CO608" s="773"/>
      <c r="CP608" s="773"/>
      <c r="CQ608" s="773"/>
      <c r="CR608" s="773"/>
    </row>
    <row r="609" spans="35:96" ht="15.75">
      <c r="AI609" s="55"/>
      <c r="AJ609" s="55"/>
      <c r="AK609" s="55"/>
      <c r="AL609" s="55"/>
      <c r="AM609" s="55"/>
      <c r="AN609" s="55"/>
      <c r="AO609" s="55"/>
      <c r="AP609" s="55"/>
      <c r="AQ609" s="55"/>
      <c r="AR609" s="55"/>
      <c r="AS609" s="55"/>
      <c r="AT609" s="55"/>
      <c r="AU609" s="55"/>
      <c r="AV609" s="55"/>
      <c r="BA609" s="775" t="s">
        <v>172</v>
      </c>
      <c r="BB609" s="839">
        <v>2016</v>
      </c>
      <c r="BC609" s="775" t="s">
        <v>1064</v>
      </c>
      <c r="BD609" s="775">
        <f t="shared" si="40"/>
        <v>4.5999999999999943</v>
      </c>
      <c r="BH609" s="775" t="s">
        <v>172</v>
      </c>
      <c r="BI609" s="836" t="s">
        <v>199</v>
      </c>
      <c r="BJ609" s="775" t="s">
        <v>1064</v>
      </c>
      <c r="BK609" s="775">
        <f t="shared" si="41"/>
        <v>3.8000000000000043</v>
      </c>
      <c r="BL609" s="775">
        <v>2015</v>
      </c>
      <c r="CL609" s="773"/>
      <c r="CM609" s="773"/>
      <c r="CN609" s="773"/>
      <c r="CO609" s="773"/>
      <c r="CP609" s="773"/>
      <c r="CQ609" s="773"/>
      <c r="CR609" s="773"/>
    </row>
    <row r="610" spans="35:96" ht="15.75">
      <c r="AI610" s="55"/>
      <c r="AJ610" s="55"/>
      <c r="AK610" s="55"/>
      <c r="AL610" s="55"/>
      <c r="AM610" s="55"/>
      <c r="AN610" s="55"/>
      <c r="AO610" s="55"/>
      <c r="AP610" s="55"/>
      <c r="AQ610" s="55"/>
      <c r="AR610" s="55"/>
      <c r="AS610" s="55"/>
      <c r="AT610" s="55"/>
      <c r="AU610" s="55"/>
      <c r="AV610" s="55"/>
      <c r="BA610" s="775" t="s">
        <v>172</v>
      </c>
      <c r="BB610" s="839">
        <v>2016</v>
      </c>
      <c r="BC610" s="775" t="s">
        <v>8</v>
      </c>
      <c r="BD610" s="775">
        <f t="shared" si="40"/>
        <v>171.69999999999993</v>
      </c>
      <c r="BH610" s="775" t="s">
        <v>172</v>
      </c>
      <c r="BI610" s="836" t="s">
        <v>199</v>
      </c>
      <c r="BJ610" s="775" t="s">
        <v>8</v>
      </c>
      <c r="BK610" s="775">
        <f t="shared" si="41"/>
        <v>162.20000000000005</v>
      </c>
      <c r="BL610" s="775">
        <v>2015</v>
      </c>
      <c r="CL610" s="773"/>
      <c r="CM610" s="773"/>
      <c r="CN610" s="773"/>
      <c r="CO610" s="773"/>
      <c r="CP610" s="773"/>
      <c r="CQ610" s="773"/>
      <c r="CR610" s="773"/>
    </row>
    <row r="611" spans="35:96" ht="15.75">
      <c r="AI611" s="55"/>
      <c r="AJ611" s="55"/>
      <c r="AK611" s="55"/>
      <c r="AL611" s="55"/>
      <c r="AM611" s="55"/>
      <c r="AN611" s="55"/>
      <c r="AO611" s="55"/>
      <c r="AP611" s="55"/>
      <c r="AQ611" s="55"/>
      <c r="AR611" s="55"/>
      <c r="AS611" s="55"/>
      <c r="AT611" s="55"/>
      <c r="AU611" s="55"/>
      <c r="AV611" s="55"/>
      <c r="BA611" s="775" t="s">
        <v>172</v>
      </c>
      <c r="BB611" s="839">
        <v>2016</v>
      </c>
      <c r="BC611" s="775" t="s">
        <v>96</v>
      </c>
      <c r="BD611" s="775">
        <f t="shared" si="40"/>
        <v>9.3999999999999773</v>
      </c>
      <c r="BH611" s="775" t="s">
        <v>172</v>
      </c>
      <c r="BI611" s="836" t="s">
        <v>199</v>
      </c>
      <c r="BJ611" s="775" t="s">
        <v>96</v>
      </c>
      <c r="BK611" s="775">
        <f t="shared" si="41"/>
        <v>10.900000000000034</v>
      </c>
      <c r="BL611" s="775">
        <v>2015</v>
      </c>
      <c r="CL611" s="773"/>
      <c r="CM611" s="773"/>
      <c r="CN611" s="773"/>
      <c r="CO611" s="773"/>
      <c r="CP611" s="773"/>
      <c r="CQ611" s="773"/>
      <c r="CR611" s="773"/>
    </row>
    <row r="612" spans="35:96" ht="15.75">
      <c r="AI612" s="55"/>
      <c r="AJ612" s="55"/>
      <c r="AK612" s="55"/>
      <c r="AL612" s="55"/>
      <c r="AM612" s="55"/>
      <c r="AN612" s="55"/>
      <c r="AO612" s="55"/>
      <c r="AP612" s="55"/>
      <c r="AQ612" s="55"/>
      <c r="AR612" s="55"/>
      <c r="AS612" s="55"/>
      <c r="AT612" s="55"/>
      <c r="AU612" s="55"/>
      <c r="AV612" s="55"/>
      <c r="BA612" s="775" t="s">
        <v>172</v>
      </c>
      <c r="BB612" s="839">
        <v>2016</v>
      </c>
      <c r="BC612" s="775" t="s">
        <v>196</v>
      </c>
      <c r="BD612" s="775">
        <f t="shared" si="40"/>
        <v>9.8999999999999986</v>
      </c>
      <c r="BH612" s="775" t="s">
        <v>172</v>
      </c>
      <c r="BI612" s="836" t="s">
        <v>199</v>
      </c>
      <c r="BJ612" s="775" t="s">
        <v>196</v>
      </c>
      <c r="BK612" s="775">
        <f t="shared" si="41"/>
        <v>10</v>
      </c>
      <c r="BL612" s="775">
        <v>2015</v>
      </c>
      <c r="CL612" s="773"/>
      <c r="CM612" s="773"/>
      <c r="CN612" s="773"/>
      <c r="CO612" s="773"/>
      <c r="CP612" s="773"/>
      <c r="CQ612" s="773"/>
      <c r="CR612" s="773"/>
    </row>
    <row r="613" spans="35:96" ht="15.75">
      <c r="AI613" s="55"/>
      <c r="AJ613" s="55"/>
      <c r="AK613" s="55"/>
      <c r="AL613" s="55"/>
      <c r="AM613" s="55"/>
      <c r="AN613" s="55"/>
      <c r="AO613" s="55"/>
      <c r="AP613" s="55"/>
      <c r="AQ613" s="55"/>
      <c r="AR613" s="55"/>
      <c r="AS613" s="55"/>
      <c r="AT613" s="55"/>
      <c r="AU613" s="55"/>
      <c r="AV613" s="55"/>
      <c r="BA613" s="775" t="s">
        <v>172</v>
      </c>
      <c r="BB613" s="839">
        <v>2016</v>
      </c>
      <c r="BC613" s="775" t="s">
        <v>278</v>
      </c>
      <c r="BD613" s="775">
        <f t="shared" si="40"/>
        <v>7.9000000000000021</v>
      </c>
      <c r="BH613" s="775" t="s">
        <v>172</v>
      </c>
      <c r="BI613" s="836" t="s">
        <v>199</v>
      </c>
      <c r="BJ613" s="775" t="s">
        <v>278</v>
      </c>
      <c r="BK613" s="775">
        <f t="shared" si="41"/>
        <v>12.299999999999997</v>
      </c>
      <c r="BL613" s="775">
        <v>2015</v>
      </c>
      <c r="CL613" s="773"/>
      <c r="CM613" s="773"/>
      <c r="CN613" s="773"/>
      <c r="CO613" s="773"/>
      <c r="CP613" s="773"/>
      <c r="CQ613" s="773"/>
      <c r="CR613" s="773"/>
    </row>
    <row r="614" spans="35:96" ht="15.75">
      <c r="AI614" s="55"/>
      <c r="AJ614" s="55"/>
      <c r="AK614" s="55"/>
      <c r="AL614" s="55"/>
      <c r="AM614" s="55"/>
      <c r="AN614" s="55"/>
      <c r="AO614" s="55"/>
      <c r="AP614" s="55"/>
      <c r="AQ614" s="55"/>
      <c r="AR614" s="55"/>
      <c r="AS614" s="55"/>
      <c r="AT614" s="55"/>
      <c r="AU614" s="55"/>
      <c r="AV614" s="55"/>
      <c r="BA614" s="775" t="s">
        <v>172</v>
      </c>
      <c r="BB614" s="839">
        <v>2016</v>
      </c>
      <c r="BC614" s="775" t="s">
        <v>44</v>
      </c>
      <c r="BD614" s="775">
        <f t="shared" si="40"/>
        <v>124.2</v>
      </c>
      <c r="BH614" s="775" t="s">
        <v>172</v>
      </c>
      <c r="BI614" s="836" t="s">
        <v>199</v>
      </c>
      <c r="BJ614" s="775" t="s">
        <v>44</v>
      </c>
      <c r="BK614" s="775">
        <f t="shared" si="41"/>
        <v>173.4</v>
      </c>
      <c r="BL614" s="775">
        <v>2015</v>
      </c>
      <c r="CL614" s="773"/>
      <c r="CM614" s="773"/>
      <c r="CN614" s="773"/>
      <c r="CO614" s="773"/>
      <c r="CP614" s="773"/>
      <c r="CQ614" s="773"/>
      <c r="CR614" s="773"/>
    </row>
    <row r="615" spans="35:96" ht="15.75">
      <c r="AI615" s="55"/>
      <c r="AJ615" s="55"/>
      <c r="AK615" s="55"/>
      <c r="AL615" s="55"/>
      <c r="AM615" s="55"/>
      <c r="AN615" s="55"/>
      <c r="AO615" s="55"/>
      <c r="AP615" s="55"/>
      <c r="AQ615" s="55"/>
      <c r="AR615" s="55"/>
      <c r="AS615" s="55"/>
      <c r="AT615" s="55"/>
      <c r="AU615" s="55"/>
      <c r="AV615" s="55"/>
      <c r="BA615" s="775" t="s">
        <v>172</v>
      </c>
      <c r="BB615" s="839">
        <v>2016</v>
      </c>
      <c r="BC615" s="775" t="s">
        <v>45</v>
      </c>
      <c r="BD615" s="775">
        <f t="shared" si="40"/>
        <v>1.9</v>
      </c>
      <c r="BH615" s="775" t="s">
        <v>172</v>
      </c>
      <c r="BI615" s="836" t="s">
        <v>199</v>
      </c>
      <c r="BJ615" s="775" t="s">
        <v>45</v>
      </c>
      <c r="BK615" s="775">
        <f t="shared" si="41"/>
        <v>4.3</v>
      </c>
      <c r="BL615" s="775">
        <v>2015</v>
      </c>
      <c r="CL615" s="773"/>
      <c r="CM615" s="773"/>
      <c r="CN615" s="773"/>
      <c r="CO615" s="773"/>
      <c r="CP615" s="773"/>
      <c r="CQ615" s="773"/>
      <c r="CR615" s="773"/>
    </row>
    <row r="616" spans="35:96" ht="15.75">
      <c r="AI616" s="55"/>
      <c r="AJ616" s="55"/>
      <c r="AK616" s="55"/>
      <c r="AL616" s="55"/>
      <c r="AM616" s="55"/>
      <c r="AN616" s="55"/>
      <c r="AO616" s="55"/>
      <c r="AP616" s="55"/>
      <c r="AQ616" s="55"/>
      <c r="AR616" s="55"/>
      <c r="AS616" s="55"/>
      <c r="AT616" s="55"/>
      <c r="AU616" s="55"/>
      <c r="AV616" s="55"/>
      <c r="BA616" s="775" t="s">
        <v>172</v>
      </c>
      <c r="BB616" s="839">
        <v>2016</v>
      </c>
      <c r="BC616" s="775" t="s">
        <v>48</v>
      </c>
      <c r="BD616" s="775">
        <f t="shared" si="40"/>
        <v>47.399999999999991</v>
      </c>
      <c r="BH616" s="775" t="s">
        <v>172</v>
      </c>
      <c r="BI616" s="836" t="s">
        <v>199</v>
      </c>
      <c r="BJ616" s="775" t="s">
        <v>48</v>
      </c>
      <c r="BK616" s="775">
        <f t="shared" si="41"/>
        <v>50.599999999999994</v>
      </c>
      <c r="BL616" s="775">
        <v>2015</v>
      </c>
      <c r="CL616" s="773"/>
      <c r="CM616" s="773"/>
      <c r="CN616" s="773"/>
      <c r="CO616" s="773"/>
      <c r="CP616" s="773"/>
      <c r="CQ616" s="773"/>
      <c r="CR616" s="773"/>
    </row>
    <row r="617" spans="35:96" ht="15.75">
      <c r="AI617" s="55"/>
      <c r="AJ617" s="55"/>
      <c r="AK617" s="55"/>
      <c r="AL617" s="55"/>
      <c r="AM617" s="55"/>
      <c r="AN617" s="55"/>
      <c r="AO617" s="55"/>
      <c r="AP617" s="55"/>
      <c r="AQ617" s="55"/>
      <c r="AR617" s="55"/>
      <c r="AS617" s="55"/>
      <c r="AT617" s="55"/>
      <c r="AU617" s="55"/>
      <c r="AV617" s="55"/>
      <c r="BA617" s="775" t="s">
        <v>172</v>
      </c>
      <c r="BB617" s="839">
        <v>2016</v>
      </c>
      <c r="BC617" s="775" t="s">
        <v>97</v>
      </c>
      <c r="BD617" s="775">
        <f t="shared" si="40"/>
        <v>499.30000000000018</v>
      </c>
      <c r="BH617" s="775" t="s">
        <v>172</v>
      </c>
      <c r="BI617" s="836" t="s">
        <v>199</v>
      </c>
      <c r="BJ617" s="775" t="s">
        <v>97</v>
      </c>
      <c r="BK617" s="775">
        <f t="shared" si="41"/>
        <v>550.09999999999991</v>
      </c>
      <c r="BL617" s="775">
        <v>2015</v>
      </c>
      <c r="CL617" s="773"/>
      <c r="CM617" s="773"/>
      <c r="CN617" s="773"/>
      <c r="CO617" s="773"/>
      <c r="CP617" s="773"/>
      <c r="CQ617" s="773"/>
      <c r="CR617" s="773"/>
    </row>
    <row r="618" spans="35:96" ht="15.75">
      <c r="AI618" s="55"/>
      <c r="AJ618" s="55"/>
      <c r="AK618" s="55"/>
      <c r="AL618" s="55"/>
      <c r="AM618" s="55"/>
      <c r="AN618" s="55"/>
      <c r="AO618" s="55"/>
      <c r="AP618" s="55"/>
      <c r="AQ618" s="55"/>
      <c r="AR618" s="55"/>
      <c r="AS618" s="55"/>
      <c r="AT618" s="55"/>
      <c r="AU618" s="55"/>
      <c r="AV618" s="55"/>
      <c r="BA618" s="775" t="s">
        <v>170</v>
      </c>
      <c r="BB618" s="839">
        <v>2016</v>
      </c>
      <c r="BC618" s="775" t="s">
        <v>15</v>
      </c>
      <c r="BD618" s="775">
        <v>135.70000000000002</v>
      </c>
      <c r="BH618" s="775" t="s">
        <v>170</v>
      </c>
      <c r="BI618" s="836" t="s">
        <v>199</v>
      </c>
      <c r="BJ618" s="775" t="s">
        <v>15</v>
      </c>
      <c r="BK618" s="838">
        <v>130.39999999999998</v>
      </c>
      <c r="BL618" s="775">
        <v>2015</v>
      </c>
      <c r="CL618" s="773"/>
      <c r="CM618" s="773"/>
      <c r="CN618" s="773"/>
      <c r="CO618" s="773"/>
      <c r="CP618" s="773"/>
      <c r="CQ618" s="773"/>
      <c r="CR618" s="773"/>
    </row>
    <row r="619" spans="35:96" ht="15.75">
      <c r="AI619" s="55"/>
      <c r="AJ619" s="55"/>
      <c r="AK619" s="55"/>
      <c r="AL619" s="55"/>
      <c r="AM619" s="55"/>
      <c r="AN619" s="55"/>
      <c r="AO619" s="55"/>
      <c r="AP619" s="55"/>
      <c r="AQ619" s="55"/>
      <c r="AR619" s="55"/>
      <c r="AS619" s="55"/>
      <c r="AT619" s="55"/>
      <c r="AU619" s="55"/>
      <c r="AV619" s="55"/>
      <c r="BA619" s="775" t="s">
        <v>170</v>
      </c>
      <c r="BB619" s="839">
        <v>2016</v>
      </c>
      <c r="BC619" s="775" t="s">
        <v>277</v>
      </c>
      <c r="BD619" s="775">
        <v>46.5</v>
      </c>
      <c r="BH619" s="775" t="s">
        <v>170</v>
      </c>
      <c r="BI619" s="836" t="s">
        <v>199</v>
      </c>
      <c r="BJ619" s="775" t="s">
        <v>277</v>
      </c>
      <c r="BK619" s="838">
        <v>49.9</v>
      </c>
      <c r="BL619" s="775">
        <v>2015</v>
      </c>
      <c r="CL619" s="773"/>
      <c r="CM619" s="773"/>
      <c r="CN619" s="773"/>
      <c r="CO619" s="773"/>
      <c r="CP619" s="773"/>
      <c r="CQ619" s="773"/>
      <c r="CR619" s="773"/>
    </row>
    <row r="620" spans="35:96" ht="15.75">
      <c r="AI620" s="55"/>
      <c r="AJ620" s="55"/>
      <c r="AK620" s="55"/>
      <c r="AL620" s="55"/>
      <c r="AM620" s="55"/>
      <c r="AN620" s="55"/>
      <c r="AO620" s="55"/>
      <c r="AP620" s="55"/>
      <c r="AQ620" s="55"/>
      <c r="AR620" s="55"/>
      <c r="AS620" s="55"/>
      <c r="AT620" s="55"/>
      <c r="AU620" s="55"/>
      <c r="AV620" s="55"/>
      <c r="BA620" s="775" t="s">
        <v>170</v>
      </c>
      <c r="BB620" s="839">
        <v>2016</v>
      </c>
      <c r="BC620" s="775" t="s">
        <v>1064</v>
      </c>
      <c r="BD620" s="775">
        <v>51.499999999999993</v>
      </c>
      <c r="BH620" s="775" t="s">
        <v>170</v>
      </c>
      <c r="BI620" s="836" t="s">
        <v>199</v>
      </c>
      <c r="BJ620" s="775" t="s">
        <v>1064</v>
      </c>
      <c r="BK620" s="838">
        <v>50.6</v>
      </c>
      <c r="BL620" s="775">
        <v>2015</v>
      </c>
      <c r="CL620" s="773"/>
      <c r="CM620" s="773"/>
      <c r="CN620" s="773"/>
      <c r="CO620" s="773"/>
      <c r="CP620" s="773"/>
      <c r="CQ620" s="773"/>
      <c r="CR620" s="773"/>
    </row>
    <row r="621" spans="35:96" ht="15.75">
      <c r="AI621" s="55"/>
      <c r="AJ621" s="55"/>
      <c r="AK621" s="55"/>
      <c r="AL621" s="55"/>
      <c r="AM621" s="55"/>
      <c r="AN621" s="55"/>
      <c r="AO621" s="55"/>
      <c r="AP621" s="55"/>
      <c r="AQ621" s="55"/>
      <c r="AR621" s="55"/>
      <c r="AS621" s="55"/>
      <c r="AT621" s="55"/>
      <c r="AU621" s="55"/>
      <c r="AV621" s="55"/>
      <c r="BA621" s="775" t="s">
        <v>170</v>
      </c>
      <c r="BB621" s="839">
        <v>2016</v>
      </c>
      <c r="BC621" s="775" t="s">
        <v>8</v>
      </c>
      <c r="BD621" s="775">
        <v>617.59999999999991</v>
      </c>
      <c r="BH621" s="775" t="s">
        <v>170</v>
      </c>
      <c r="BI621" s="836" t="s">
        <v>199</v>
      </c>
      <c r="BJ621" s="775" t="s">
        <v>8</v>
      </c>
      <c r="BK621" s="838">
        <v>548.1</v>
      </c>
      <c r="BL621" s="775">
        <v>2015</v>
      </c>
      <c r="CL621" s="773"/>
      <c r="CM621" s="773"/>
      <c r="CN621" s="773"/>
      <c r="CO621" s="773"/>
      <c r="CP621" s="773"/>
      <c r="CQ621" s="773"/>
      <c r="CR621" s="773"/>
    </row>
    <row r="622" spans="35:96" ht="15.75">
      <c r="AI622" s="55"/>
      <c r="AJ622" s="55"/>
      <c r="AK622" s="55"/>
      <c r="AL622" s="55"/>
      <c r="AM622" s="55"/>
      <c r="AN622" s="55"/>
      <c r="AO622" s="55"/>
      <c r="AP622" s="55"/>
      <c r="AQ622" s="55"/>
      <c r="AR622" s="55"/>
      <c r="AS622" s="55"/>
      <c r="AT622" s="55"/>
      <c r="AU622" s="55"/>
      <c r="AV622" s="55"/>
      <c r="BA622" s="775" t="s">
        <v>170</v>
      </c>
      <c r="BB622" s="839">
        <v>2016</v>
      </c>
      <c r="BC622" s="775" t="s">
        <v>96</v>
      </c>
      <c r="BD622" s="775">
        <v>288</v>
      </c>
      <c r="BH622" s="775" t="s">
        <v>170</v>
      </c>
      <c r="BI622" s="836" t="s">
        <v>199</v>
      </c>
      <c r="BJ622" s="775" t="s">
        <v>96</v>
      </c>
      <c r="BK622" s="838">
        <v>291.2</v>
      </c>
      <c r="BL622" s="775">
        <v>2015</v>
      </c>
      <c r="CL622" s="773"/>
      <c r="CM622" s="773"/>
      <c r="CN622" s="773"/>
      <c r="CO622" s="773"/>
      <c r="CP622" s="773"/>
      <c r="CQ622" s="773"/>
      <c r="CR622" s="773"/>
    </row>
    <row r="623" spans="35:96" ht="15.75">
      <c r="AI623" s="55"/>
      <c r="AJ623" s="55"/>
      <c r="AK623" s="55"/>
      <c r="AL623" s="55"/>
      <c r="AM623" s="55"/>
      <c r="AN623" s="55"/>
      <c r="AO623" s="55"/>
      <c r="AP623" s="55"/>
      <c r="AQ623" s="55"/>
      <c r="AR623" s="55"/>
      <c r="AS623" s="55"/>
      <c r="AT623" s="55"/>
      <c r="AU623" s="55"/>
      <c r="AV623" s="55"/>
      <c r="BA623" s="775" t="s">
        <v>170</v>
      </c>
      <c r="BB623" s="839">
        <v>2016</v>
      </c>
      <c r="BC623" s="775" t="s">
        <v>196</v>
      </c>
      <c r="BD623" s="775">
        <v>19.399999999999999</v>
      </c>
      <c r="BH623" s="775" t="s">
        <v>170</v>
      </c>
      <c r="BI623" s="836" t="s">
        <v>199</v>
      </c>
      <c r="BJ623" s="775" t="s">
        <v>196</v>
      </c>
      <c r="BK623" s="838">
        <v>20</v>
      </c>
      <c r="BL623" s="775">
        <v>2015</v>
      </c>
      <c r="CL623" s="773"/>
      <c r="CM623" s="773"/>
      <c r="CN623" s="773"/>
      <c r="CO623" s="773"/>
      <c r="CP623" s="773"/>
      <c r="CQ623" s="773"/>
      <c r="CR623" s="773"/>
    </row>
    <row r="624" spans="35:96" ht="15.75">
      <c r="AI624" s="55"/>
      <c r="AJ624" s="55"/>
      <c r="AK624" s="55"/>
      <c r="AL624" s="55"/>
      <c r="AM624" s="55"/>
      <c r="AN624" s="55"/>
      <c r="AO624" s="55"/>
      <c r="AP624" s="55"/>
      <c r="AQ624" s="55"/>
      <c r="AR624" s="55"/>
      <c r="AS624" s="55"/>
      <c r="AT624" s="55"/>
      <c r="AU624" s="55"/>
      <c r="AV624" s="55"/>
      <c r="BA624" s="775" t="s">
        <v>170</v>
      </c>
      <c r="BB624" s="839">
        <v>2016</v>
      </c>
      <c r="BC624" s="775" t="s">
        <v>278</v>
      </c>
      <c r="BD624" s="775">
        <v>23.400000000000002</v>
      </c>
      <c r="BH624" s="775" t="s">
        <v>170</v>
      </c>
      <c r="BI624" s="836" t="s">
        <v>199</v>
      </c>
      <c r="BJ624" s="775" t="s">
        <v>278</v>
      </c>
      <c r="BK624" s="838">
        <v>38.299999999999997</v>
      </c>
      <c r="BL624" s="775">
        <v>2015</v>
      </c>
      <c r="CL624" s="773"/>
      <c r="CM624" s="773"/>
      <c r="CN624" s="773"/>
      <c r="CO624" s="773"/>
      <c r="CP624" s="773"/>
      <c r="CQ624" s="773"/>
      <c r="CR624" s="773"/>
    </row>
    <row r="625" spans="34:96" ht="15.75">
      <c r="AI625" s="55"/>
      <c r="AJ625" s="55"/>
      <c r="AK625" s="55"/>
      <c r="AL625" s="55"/>
      <c r="AM625" s="55"/>
      <c r="AN625" s="55"/>
      <c r="AO625" s="55"/>
      <c r="AP625" s="55"/>
      <c r="AQ625" s="55"/>
      <c r="AR625" s="55"/>
      <c r="AS625" s="55"/>
      <c r="AT625" s="55"/>
      <c r="AU625" s="55"/>
      <c r="AV625" s="55"/>
      <c r="BA625" s="775" t="s">
        <v>170</v>
      </c>
      <c r="BB625" s="839">
        <v>2016</v>
      </c>
      <c r="BC625" s="775" t="s">
        <v>44</v>
      </c>
      <c r="BD625" s="775">
        <v>124.2</v>
      </c>
      <c r="BH625" s="775" t="s">
        <v>170</v>
      </c>
      <c r="BI625" s="836" t="s">
        <v>199</v>
      </c>
      <c r="BJ625" s="775" t="s">
        <v>44</v>
      </c>
      <c r="BK625" s="838">
        <v>173.4</v>
      </c>
      <c r="BL625" s="775">
        <v>2015</v>
      </c>
      <c r="CL625" s="773"/>
      <c r="CM625" s="773"/>
      <c r="CN625" s="773"/>
      <c r="CO625" s="773"/>
      <c r="CP625" s="773"/>
      <c r="CQ625" s="773"/>
      <c r="CR625" s="773"/>
    </row>
    <row r="626" spans="34:96" ht="15.75">
      <c r="AI626" s="55"/>
      <c r="AJ626" s="55"/>
      <c r="AK626" s="55"/>
      <c r="AL626" s="55"/>
      <c r="AM626" s="55"/>
      <c r="AN626" s="55"/>
      <c r="AO626" s="55"/>
      <c r="AP626" s="55"/>
      <c r="AQ626" s="55"/>
      <c r="AR626" s="55"/>
      <c r="AS626" s="55"/>
      <c r="AT626" s="55"/>
      <c r="AU626" s="55"/>
      <c r="AV626" s="55"/>
      <c r="BA626" s="775" t="s">
        <v>170</v>
      </c>
      <c r="BB626" s="839">
        <v>2016</v>
      </c>
      <c r="BC626" s="775" t="s">
        <v>45</v>
      </c>
      <c r="BD626" s="775">
        <v>1.9</v>
      </c>
      <c r="BH626" s="775" t="s">
        <v>170</v>
      </c>
      <c r="BI626" s="836" t="s">
        <v>199</v>
      </c>
      <c r="BJ626" s="775" t="s">
        <v>45</v>
      </c>
      <c r="BK626" s="838">
        <v>4.3</v>
      </c>
      <c r="BL626" s="775">
        <v>2015</v>
      </c>
      <c r="CL626" s="773"/>
      <c r="CM626" s="773"/>
      <c r="CN626" s="773"/>
      <c r="CO626" s="773"/>
      <c r="CP626" s="773"/>
      <c r="CQ626" s="773"/>
      <c r="CR626" s="773"/>
    </row>
    <row r="627" spans="34:96" ht="15.75">
      <c r="BA627" s="775" t="s">
        <v>170</v>
      </c>
      <c r="BB627" s="839">
        <v>2016</v>
      </c>
      <c r="BC627" s="775" t="s">
        <v>48</v>
      </c>
      <c r="BD627" s="775">
        <v>116.3</v>
      </c>
      <c r="BH627" s="775" t="s">
        <v>170</v>
      </c>
      <c r="BI627" s="836" t="s">
        <v>199</v>
      </c>
      <c r="BJ627" s="775" t="s">
        <v>48</v>
      </c>
      <c r="BK627" s="838">
        <v>112.6</v>
      </c>
      <c r="BL627" s="775">
        <v>2015</v>
      </c>
      <c r="CL627" s="773"/>
      <c r="CM627" s="773"/>
      <c r="CN627" s="773"/>
      <c r="CO627" s="773"/>
      <c r="CP627" s="773"/>
      <c r="CQ627" s="773"/>
      <c r="CR627" s="773"/>
    </row>
    <row r="628" spans="34:96" ht="15.75">
      <c r="BA628" s="775" t="s">
        <v>170</v>
      </c>
      <c r="BB628" s="839">
        <v>2016</v>
      </c>
      <c r="BC628" s="775" t="s">
        <v>97</v>
      </c>
      <c r="BD628" s="775">
        <v>1426.9</v>
      </c>
      <c r="BH628" s="775" t="s">
        <v>170</v>
      </c>
      <c r="BI628" s="836" t="s">
        <v>199</v>
      </c>
      <c r="BJ628" s="775" t="s">
        <v>97</v>
      </c>
      <c r="BK628" s="838">
        <v>1421.1</v>
      </c>
      <c r="BL628" s="775">
        <v>2015</v>
      </c>
      <c r="CL628" s="773"/>
      <c r="CM628" s="773"/>
      <c r="CN628" s="773"/>
      <c r="CO628" s="773"/>
      <c r="CP628" s="773"/>
      <c r="CQ628" s="773"/>
      <c r="CR628" s="773"/>
    </row>
    <row r="629" spans="34:96" ht="15.75">
      <c r="BA629" s="775" t="s">
        <v>38</v>
      </c>
      <c r="BB629" s="839">
        <v>2017</v>
      </c>
      <c r="BC629" s="775" t="s">
        <v>15</v>
      </c>
      <c r="BD629" s="840">
        <v>46.4</v>
      </c>
      <c r="BH629" s="775" t="s">
        <v>38</v>
      </c>
      <c r="BI629" s="836" t="s">
        <v>457</v>
      </c>
      <c r="BJ629" s="775" t="s">
        <v>15</v>
      </c>
      <c r="BK629" s="776">
        <v>41.699999999999996</v>
      </c>
      <c r="BL629" s="775">
        <v>2016</v>
      </c>
      <c r="CL629" s="773"/>
      <c r="CM629" s="773"/>
      <c r="CN629" s="773"/>
      <c r="CO629" s="773"/>
      <c r="CP629" s="773"/>
      <c r="CQ629" s="773"/>
      <c r="CR629" s="773"/>
    </row>
    <row r="630" spans="34:96" ht="15.75">
      <c r="AH630" s="206"/>
      <c r="AI630" s="206"/>
      <c r="AJ630" s="206"/>
      <c r="AK630" s="206"/>
      <c r="AL630" s="206"/>
      <c r="AM630" s="206"/>
      <c r="AN630" s="206"/>
      <c r="AO630" s="206"/>
      <c r="AP630" s="206"/>
      <c r="AQ630" s="206"/>
      <c r="AR630" s="206"/>
      <c r="AS630" s="206"/>
      <c r="AT630" s="206"/>
      <c r="BA630" s="775" t="s">
        <v>38</v>
      </c>
      <c r="BB630" s="839">
        <v>2017</v>
      </c>
      <c r="BC630" s="775" t="s">
        <v>277</v>
      </c>
      <c r="BD630" s="840">
        <v>14</v>
      </c>
      <c r="BH630" s="775" t="s">
        <v>38</v>
      </c>
      <c r="BI630" s="836" t="s">
        <v>457</v>
      </c>
      <c r="BJ630" s="775" t="s">
        <v>277</v>
      </c>
      <c r="BK630" s="776">
        <v>10.4</v>
      </c>
      <c r="BL630" s="775">
        <v>2016</v>
      </c>
      <c r="CL630" s="773"/>
      <c r="CM630" s="773"/>
      <c r="CN630" s="773"/>
      <c r="CO630" s="773"/>
      <c r="CP630" s="773"/>
      <c r="CQ630" s="773"/>
      <c r="CR630" s="773"/>
    </row>
    <row r="631" spans="34:96" ht="15.75">
      <c r="AH631" s="206"/>
      <c r="AI631" s="206"/>
      <c r="AJ631" s="206"/>
      <c r="AK631" s="206"/>
      <c r="AL631" s="206"/>
      <c r="AM631" s="206"/>
      <c r="AN631" s="206"/>
      <c r="AO631" s="206"/>
      <c r="AP631" s="206"/>
      <c r="AQ631" s="206"/>
      <c r="AR631" s="206"/>
      <c r="AS631" s="206"/>
      <c r="AT631" s="206"/>
      <c r="BA631" s="775" t="s">
        <v>38</v>
      </c>
      <c r="BB631" s="839">
        <v>2017</v>
      </c>
      <c r="BC631" s="775" t="s">
        <v>1064</v>
      </c>
      <c r="BD631" s="840">
        <v>94.3</v>
      </c>
      <c r="BH631" s="775" t="s">
        <v>38</v>
      </c>
      <c r="BI631" s="836" t="s">
        <v>457</v>
      </c>
      <c r="BJ631" s="775" t="s">
        <v>1064</v>
      </c>
      <c r="BK631" s="776">
        <v>67.400000000000006</v>
      </c>
      <c r="BL631" s="775">
        <v>2016</v>
      </c>
      <c r="CL631" s="773"/>
      <c r="CM631" s="773"/>
      <c r="CN631" s="773"/>
      <c r="CO631" s="773"/>
      <c r="CP631" s="773"/>
      <c r="CQ631" s="773"/>
      <c r="CR631" s="773"/>
    </row>
    <row r="632" spans="34:96" ht="15.75">
      <c r="AH632" s="629"/>
      <c r="AI632" s="626"/>
      <c r="AJ632" s="626"/>
      <c r="AK632" s="626"/>
      <c r="AL632" s="626"/>
      <c r="AM632" s="626"/>
      <c r="AN632" s="626"/>
      <c r="AO632" s="626"/>
      <c r="AP632" s="626"/>
      <c r="AQ632" s="627"/>
      <c r="AR632" s="627"/>
      <c r="AS632" s="627"/>
      <c r="AT632" s="206"/>
      <c r="BA632" s="775" t="s">
        <v>38</v>
      </c>
      <c r="BB632" s="839">
        <v>2017</v>
      </c>
      <c r="BC632" s="775" t="s">
        <v>8</v>
      </c>
      <c r="BD632" s="840">
        <v>550.40000000000009</v>
      </c>
      <c r="BH632" s="775" t="s">
        <v>38</v>
      </c>
      <c r="BI632" s="836" t="s">
        <v>457</v>
      </c>
      <c r="BJ632" s="775" t="s">
        <v>8</v>
      </c>
      <c r="BK632" s="776">
        <v>509.5</v>
      </c>
      <c r="BL632" s="775">
        <v>2016</v>
      </c>
      <c r="CL632" s="773"/>
      <c r="CM632" s="773"/>
      <c r="CN632" s="773"/>
      <c r="CO632" s="773"/>
      <c r="CP632" s="773"/>
      <c r="CQ632" s="773"/>
      <c r="CR632" s="773"/>
    </row>
    <row r="633" spans="34:96" ht="15.75">
      <c r="AH633" s="629"/>
      <c r="AI633" s="626"/>
      <c r="AJ633" s="626"/>
      <c r="AK633" s="626"/>
      <c r="AL633" s="626"/>
      <c r="AM633" s="626"/>
      <c r="AN633" s="626"/>
      <c r="AO633" s="626"/>
      <c r="AP633" s="626"/>
      <c r="AQ633" s="627"/>
      <c r="AR633" s="627"/>
      <c r="AS633" s="627"/>
      <c r="AT633" s="206"/>
      <c r="BA633" s="775" t="s">
        <v>38</v>
      </c>
      <c r="BB633" s="839">
        <v>2017</v>
      </c>
      <c r="BC633" s="775" t="s">
        <v>96</v>
      </c>
      <c r="BD633" s="840">
        <v>280.2</v>
      </c>
      <c r="BH633" s="775" t="s">
        <v>38</v>
      </c>
      <c r="BI633" s="836" t="s">
        <v>457</v>
      </c>
      <c r="BJ633" s="775" t="s">
        <v>96</v>
      </c>
      <c r="BK633" s="776">
        <v>281.59999999999997</v>
      </c>
      <c r="BL633" s="775">
        <v>2016</v>
      </c>
      <c r="CL633" s="773"/>
      <c r="CM633" s="773"/>
      <c r="CN633" s="773"/>
      <c r="CO633" s="773"/>
      <c r="CP633" s="773"/>
      <c r="CQ633" s="773"/>
      <c r="CR633" s="773"/>
    </row>
    <row r="634" spans="34:96" ht="15.75">
      <c r="AH634" s="629"/>
      <c r="AI634" s="626"/>
      <c r="AJ634" s="626"/>
      <c r="AK634" s="626"/>
      <c r="AL634" s="626"/>
      <c r="AM634" s="626"/>
      <c r="AN634" s="626"/>
      <c r="AO634" s="626"/>
      <c r="AP634" s="626"/>
      <c r="AQ634" s="627"/>
      <c r="AR634" s="627"/>
      <c r="AS634" s="627"/>
      <c r="AT634" s="206"/>
      <c r="BA634" s="775" t="s">
        <v>38</v>
      </c>
      <c r="BB634" s="839">
        <v>2017</v>
      </c>
      <c r="BC634" s="775" t="s">
        <v>196</v>
      </c>
      <c r="BD634" s="840">
        <v>10.199999999999999</v>
      </c>
      <c r="BH634" s="775" t="s">
        <v>38</v>
      </c>
      <c r="BI634" s="836" t="s">
        <v>457</v>
      </c>
      <c r="BJ634" s="775" t="s">
        <v>196</v>
      </c>
      <c r="BK634" s="776">
        <v>11.200000000000001</v>
      </c>
      <c r="BL634" s="775">
        <v>2016</v>
      </c>
      <c r="CL634" s="773"/>
      <c r="CM634" s="773"/>
      <c r="CN634" s="773"/>
      <c r="CO634" s="773"/>
      <c r="CP634" s="773"/>
      <c r="CQ634" s="773"/>
      <c r="CR634" s="773"/>
    </row>
    <row r="635" spans="34:96" ht="15.75">
      <c r="AH635" s="629"/>
      <c r="AI635" s="626"/>
      <c r="AJ635" s="626"/>
      <c r="AK635" s="626"/>
      <c r="AL635" s="626"/>
      <c r="AM635" s="626"/>
      <c r="AN635" s="626"/>
      <c r="AO635" s="626"/>
      <c r="AP635" s="626"/>
      <c r="AQ635" s="627"/>
      <c r="AR635" s="627"/>
      <c r="AS635" s="627"/>
      <c r="AT635" s="206"/>
      <c r="BA635" s="775" t="s">
        <v>38</v>
      </c>
      <c r="BB635" s="839">
        <v>2017</v>
      </c>
      <c r="BC635" s="775" t="s">
        <v>278</v>
      </c>
      <c r="BD635" s="840">
        <v>11.4</v>
      </c>
      <c r="BH635" s="775" t="s">
        <v>38</v>
      </c>
      <c r="BI635" s="836" t="s">
        <v>457</v>
      </c>
      <c r="BJ635" s="775" t="s">
        <v>278</v>
      </c>
      <c r="BK635" s="776">
        <v>12.3</v>
      </c>
      <c r="BL635" s="775">
        <v>2016</v>
      </c>
      <c r="CL635" s="773"/>
      <c r="CM635" s="773"/>
      <c r="CN635" s="773"/>
      <c r="CO635" s="773"/>
      <c r="CP635" s="773"/>
      <c r="CQ635" s="773"/>
      <c r="CR635" s="773"/>
    </row>
    <row r="636" spans="34:96" ht="15.75">
      <c r="AH636" s="629"/>
      <c r="AI636" s="626"/>
      <c r="AJ636" s="626"/>
      <c r="AK636" s="626"/>
      <c r="AL636" s="626"/>
      <c r="AM636" s="626"/>
      <c r="AN636" s="626"/>
      <c r="AO636" s="626"/>
      <c r="AP636" s="626"/>
      <c r="AQ636" s="627"/>
      <c r="AR636" s="627"/>
      <c r="AS636" s="627"/>
      <c r="AT636" s="206"/>
      <c r="BA636" s="775" t="s">
        <v>38</v>
      </c>
      <c r="BB636" s="839">
        <v>2017</v>
      </c>
      <c r="BC636" s="775" t="s">
        <v>44</v>
      </c>
      <c r="BD636" s="840">
        <v>1</v>
      </c>
      <c r="BH636" s="775" t="s">
        <v>38</v>
      </c>
      <c r="BI636" s="836" t="s">
        <v>457</v>
      </c>
      <c r="BJ636" s="775" t="s">
        <v>44</v>
      </c>
      <c r="BK636" s="776">
        <v>0</v>
      </c>
      <c r="BL636" s="775">
        <v>2016</v>
      </c>
      <c r="CL636" s="773"/>
      <c r="CM636" s="773"/>
      <c r="CN636" s="773"/>
      <c r="CO636" s="773"/>
      <c r="CP636" s="773"/>
      <c r="CQ636" s="773"/>
      <c r="CR636" s="773"/>
    </row>
    <row r="637" spans="34:96" ht="15.75">
      <c r="AH637" s="629"/>
      <c r="AI637" s="626"/>
      <c r="AJ637" s="626"/>
      <c r="AK637" s="626"/>
      <c r="AL637" s="626"/>
      <c r="AM637" s="626"/>
      <c r="AN637" s="626"/>
      <c r="AO637" s="626"/>
      <c r="AP637" s="626"/>
      <c r="AQ637" s="627"/>
      <c r="AR637" s="627"/>
      <c r="AS637" s="627"/>
      <c r="AT637" s="206"/>
      <c r="BA637" s="775" t="s">
        <v>38</v>
      </c>
      <c r="BB637" s="839">
        <v>2017</v>
      </c>
      <c r="BC637" s="775" t="s">
        <v>45</v>
      </c>
      <c r="BD637" s="841">
        <v>3.2</v>
      </c>
      <c r="BH637" s="775" t="s">
        <v>38</v>
      </c>
      <c r="BI637" s="836" t="s">
        <v>457</v>
      </c>
      <c r="BJ637" s="775" t="s">
        <v>45</v>
      </c>
      <c r="BK637" s="776">
        <v>0</v>
      </c>
      <c r="BL637" s="775">
        <v>2016</v>
      </c>
      <c r="CL637" s="773"/>
      <c r="CM637" s="773"/>
      <c r="CN637" s="773"/>
      <c r="CO637" s="773"/>
      <c r="CP637" s="773"/>
      <c r="CQ637" s="773"/>
      <c r="CR637" s="773"/>
    </row>
    <row r="638" spans="34:96" ht="15.75">
      <c r="AH638" s="629"/>
      <c r="AI638" s="626"/>
      <c r="AJ638" s="626"/>
      <c r="AK638" s="626"/>
      <c r="AL638" s="626"/>
      <c r="AM638" s="626"/>
      <c r="AN638" s="626"/>
      <c r="AO638" s="626"/>
      <c r="AP638" s="626"/>
      <c r="AQ638" s="627"/>
      <c r="AR638" s="627"/>
      <c r="AS638" s="627"/>
      <c r="AT638" s="206"/>
      <c r="BA638" s="775" t="s">
        <v>38</v>
      </c>
      <c r="BB638" s="839">
        <v>2017</v>
      </c>
      <c r="BC638" s="775" t="s">
        <v>48</v>
      </c>
      <c r="BD638" s="841">
        <v>97.300000000000011</v>
      </c>
      <c r="BH638" s="775" t="s">
        <v>38</v>
      </c>
      <c r="BI638" s="836" t="s">
        <v>457</v>
      </c>
      <c r="BJ638" s="775" t="s">
        <v>48</v>
      </c>
      <c r="BK638" s="776">
        <v>92.1</v>
      </c>
      <c r="BL638" s="775">
        <v>2016</v>
      </c>
      <c r="CL638" s="773"/>
      <c r="CM638" s="773"/>
      <c r="CN638" s="773"/>
      <c r="CO638" s="773"/>
      <c r="CP638" s="773"/>
      <c r="CQ638" s="773"/>
      <c r="CR638" s="773"/>
    </row>
    <row r="639" spans="34:96" ht="15.75">
      <c r="AH639" s="629"/>
      <c r="AI639" s="626"/>
      <c r="AJ639" s="626"/>
      <c r="AK639" s="626"/>
      <c r="AL639" s="626"/>
      <c r="AM639" s="626"/>
      <c r="AN639" s="626"/>
      <c r="AO639" s="626"/>
      <c r="AP639" s="626"/>
      <c r="AQ639" s="627"/>
      <c r="AR639" s="627"/>
      <c r="AS639" s="627"/>
      <c r="AT639" s="206"/>
      <c r="BA639" s="775" t="s">
        <v>38</v>
      </c>
      <c r="BB639" s="839">
        <v>2017</v>
      </c>
      <c r="BC639" s="775" t="s">
        <v>97</v>
      </c>
      <c r="BD639" s="841">
        <v>1108.7</v>
      </c>
      <c r="BH639" s="775" t="s">
        <v>38</v>
      </c>
      <c r="BI639" s="836" t="s">
        <v>457</v>
      </c>
      <c r="BJ639" s="775" t="s">
        <v>97</v>
      </c>
      <c r="BK639" s="776">
        <v>1028.3</v>
      </c>
      <c r="BL639" s="775">
        <v>2016</v>
      </c>
      <c r="CL639" s="773"/>
      <c r="CM639" s="773"/>
      <c r="CN639" s="773"/>
      <c r="CO639" s="773"/>
      <c r="CP639" s="773"/>
      <c r="CQ639" s="773"/>
      <c r="CR639" s="773"/>
    </row>
    <row r="640" spans="34:96" ht="15.75">
      <c r="AH640" s="629"/>
      <c r="AI640" s="626"/>
      <c r="AJ640" s="626"/>
      <c r="AK640" s="626"/>
      <c r="AL640" s="626"/>
      <c r="AM640" s="626"/>
      <c r="AN640" s="626"/>
      <c r="AO640" s="626"/>
      <c r="AP640" s="626"/>
      <c r="AQ640" s="627"/>
      <c r="AR640" s="627"/>
      <c r="AS640" s="627"/>
      <c r="AT640" s="206"/>
      <c r="BA640" s="775" t="s">
        <v>172</v>
      </c>
      <c r="BB640" s="839">
        <v>2017</v>
      </c>
      <c r="BC640" s="775" t="s">
        <v>15</v>
      </c>
      <c r="BD640" s="837">
        <f t="shared" ref="BD640:BD650" si="42">BD651-BD629</f>
        <v>109.4</v>
      </c>
      <c r="BH640" s="775" t="s">
        <v>172</v>
      </c>
      <c r="BI640" s="836" t="s">
        <v>457</v>
      </c>
      <c r="BJ640" s="775" t="s">
        <v>15</v>
      </c>
      <c r="BK640" s="775">
        <f t="shared" ref="BK640:BK650" si="43">BK651-BK629</f>
        <v>94.100000000000023</v>
      </c>
      <c r="BL640" s="775">
        <v>2016</v>
      </c>
      <c r="CL640" s="773"/>
      <c r="CM640" s="773"/>
      <c r="CN640" s="773"/>
      <c r="CO640" s="773"/>
      <c r="CP640" s="773"/>
      <c r="CQ640" s="773"/>
      <c r="CR640" s="773"/>
    </row>
    <row r="641" spans="34:96" ht="15.75">
      <c r="AH641" s="629"/>
      <c r="AI641" s="626"/>
      <c r="AJ641" s="626"/>
      <c r="AK641" s="626"/>
      <c r="AL641" s="626"/>
      <c r="AM641" s="626"/>
      <c r="AN641" s="626"/>
      <c r="AO641" s="626"/>
      <c r="AP641" s="626"/>
      <c r="AQ641" s="627"/>
      <c r="AR641" s="627"/>
      <c r="AS641" s="627"/>
      <c r="AT641" s="206"/>
      <c r="BA641" s="775" t="s">
        <v>172</v>
      </c>
      <c r="BB641" s="839">
        <v>2017</v>
      </c>
      <c r="BC641" s="775" t="s">
        <v>277</v>
      </c>
      <c r="BD641" s="837">
        <f t="shared" si="42"/>
        <v>72.2</v>
      </c>
      <c r="BH641" s="775" t="s">
        <v>172</v>
      </c>
      <c r="BI641" s="836" t="s">
        <v>457</v>
      </c>
      <c r="BJ641" s="775" t="s">
        <v>277</v>
      </c>
      <c r="BK641" s="775">
        <f t="shared" si="43"/>
        <v>44.2</v>
      </c>
      <c r="BL641" s="775">
        <v>2016</v>
      </c>
      <c r="CL641" s="773"/>
      <c r="CM641" s="773"/>
      <c r="CN641" s="773"/>
      <c r="CO641" s="773"/>
      <c r="CP641" s="773"/>
      <c r="CQ641" s="773"/>
      <c r="CR641" s="773"/>
    </row>
    <row r="642" spans="34:96" ht="15.75">
      <c r="AH642" s="629"/>
      <c r="AI642" s="626"/>
      <c r="AJ642" s="626"/>
      <c r="AK642" s="626"/>
      <c r="AL642" s="626"/>
      <c r="AM642" s="626"/>
      <c r="AN642" s="626"/>
      <c r="AO642" s="626"/>
      <c r="AP642" s="626"/>
      <c r="AQ642" s="627"/>
      <c r="AR642" s="627"/>
      <c r="AS642" s="627"/>
      <c r="AT642" s="206"/>
      <c r="BA642" s="775" t="s">
        <v>172</v>
      </c>
      <c r="BB642" s="839">
        <v>2017</v>
      </c>
      <c r="BC642" s="775" t="s">
        <v>1064</v>
      </c>
      <c r="BD642" s="837">
        <f t="shared" si="42"/>
        <v>44.7</v>
      </c>
      <c r="BH642" s="775" t="s">
        <v>172</v>
      </c>
      <c r="BI642" s="836" t="s">
        <v>457</v>
      </c>
      <c r="BJ642" s="775" t="s">
        <v>1064</v>
      </c>
      <c r="BK642" s="775">
        <f t="shared" si="43"/>
        <v>13.199999999999989</v>
      </c>
      <c r="BL642" s="775">
        <v>2016</v>
      </c>
      <c r="CL642" s="773"/>
      <c r="CM642" s="773"/>
      <c r="CN642" s="773"/>
      <c r="CO642" s="773"/>
      <c r="CP642" s="773"/>
      <c r="CQ642" s="773"/>
      <c r="CR642" s="773"/>
    </row>
    <row r="643" spans="34:96" ht="15.75">
      <c r="AH643" s="629"/>
      <c r="AI643" s="626"/>
      <c r="AJ643" s="626"/>
      <c r="AK643" s="626"/>
      <c r="AL643" s="626"/>
      <c r="AM643" s="626"/>
      <c r="AN643" s="626"/>
      <c r="AO643" s="626"/>
      <c r="AP643" s="626"/>
      <c r="AQ643" s="627"/>
      <c r="AR643" s="627"/>
      <c r="AS643" s="627"/>
      <c r="AT643" s="206"/>
      <c r="BA643" s="775" t="s">
        <v>172</v>
      </c>
      <c r="BB643" s="839">
        <v>2017</v>
      </c>
      <c r="BC643" s="775" t="s">
        <v>8</v>
      </c>
      <c r="BD643" s="837">
        <f t="shared" si="42"/>
        <v>199.19999999999982</v>
      </c>
      <c r="BH643" s="775" t="s">
        <v>172</v>
      </c>
      <c r="BI643" s="836" t="s">
        <v>457</v>
      </c>
      <c r="BJ643" s="775" t="s">
        <v>8</v>
      </c>
      <c r="BK643" s="775">
        <f t="shared" si="43"/>
        <v>179.69999999999993</v>
      </c>
      <c r="BL643" s="775">
        <v>2016</v>
      </c>
      <c r="CL643" s="773"/>
      <c r="CM643" s="773"/>
      <c r="CN643" s="773"/>
      <c r="CO643" s="773"/>
      <c r="CP643" s="773"/>
      <c r="CQ643" s="773"/>
      <c r="CR643" s="773"/>
    </row>
    <row r="644" spans="34:96" ht="15.75">
      <c r="AH644" s="629"/>
      <c r="AI644" s="626"/>
      <c r="AJ644" s="626"/>
      <c r="AK644" s="626"/>
      <c r="AL644" s="626"/>
      <c r="AM644" s="626"/>
      <c r="AN644" s="626"/>
      <c r="AO644" s="626"/>
      <c r="AP644" s="626"/>
      <c r="AQ644" s="627"/>
      <c r="AR644" s="627"/>
      <c r="AS644" s="627"/>
      <c r="AT644" s="206"/>
      <c r="BA644" s="775" t="s">
        <v>172</v>
      </c>
      <c r="BB644" s="839">
        <v>2017</v>
      </c>
      <c r="BC644" s="775" t="s">
        <v>96</v>
      </c>
      <c r="BD644" s="837">
        <f t="shared" si="42"/>
        <v>10.300000000000011</v>
      </c>
      <c r="BH644" s="775" t="s">
        <v>172</v>
      </c>
      <c r="BI644" s="836" t="s">
        <v>457</v>
      </c>
      <c r="BJ644" s="775" t="s">
        <v>96</v>
      </c>
      <c r="BK644" s="775">
        <f t="shared" si="43"/>
        <v>9.7000000000000455</v>
      </c>
      <c r="BL644" s="775">
        <v>2016</v>
      </c>
      <c r="CL644" s="773"/>
      <c r="CM644" s="773"/>
      <c r="CN644" s="773"/>
      <c r="CO644" s="773"/>
      <c r="CP644" s="773"/>
      <c r="CQ644" s="773"/>
      <c r="CR644" s="773"/>
    </row>
    <row r="645" spans="34:96" ht="15.75">
      <c r="AH645" s="629"/>
      <c r="AI645" s="626"/>
      <c r="AJ645" s="626"/>
      <c r="AK645" s="626"/>
      <c r="AL645" s="626"/>
      <c r="AM645" s="626"/>
      <c r="AN645" s="626"/>
      <c r="AO645" s="626"/>
      <c r="AP645" s="626"/>
      <c r="AQ645" s="627"/>
      <c r="AR645" s="627"/>
      <c r="AS645" s="627"/>
      <c r="AT645" s="206"/>
      <c r="BA645" s="775" t="s">
        <v>172</v>
      </c>
      <c r="BB645" s="839">
        <v>2017</v>
      </c>
      <c r="BC645" s="775" t="s">
        <v>196</v>
      </c>
      <c r="BD645" s="837">
        <f t="shared" si="42"/>
        <v>10.600000000000001</v>
      </c>
      <c r="BH645" s="775" t="s">
        <v>172</v>
      </c>
      <c r="BI645" s="836" t="s">
        <v>457</v>
      </c>
      <c r="BJ645" s="775" t="s">
        <v>196</v>
      </c>
      <c r="BK645" s="775">
        <f t="shared" si="43"/>
        <v>8.9</v>
      </c>
      <c r="BL645" s="775">
        <v>2016</v>
      </c>
      <c r="CL645" s="773"/>
      <c r="CM645" s="773"/>
      <c r="CN645" s="773"/>
      <c r="CO645" s="773"/>
      <c r="CP645" s="773"/>
      <c r="CQ645" s="773"/>
      <c r="CR645" s="773"/>
    </row>
    <row r="646" spans="34:96" ht="15.75">
      <c r="AH646" s="629"/>
      <c r="AI646" s="626"/>
      <c r="AJ646" s="626"/>
      <c r="AK646" s="626"/>
      <c r="AL646" s="626"/>
      <c r="AM646" s="626"/>
      <c r="AN646" s="626"/>
      <c r="AO646" s="626"/>
      <c r="AP646" s="626"/>
      <c r="AQ646" s="627"/>
      <c r="AR646" s="627"/>
      <c r="AS646" s="627"/>
      <c r="AT646" s="206"/>
      <c r="BA646" s="775" t="s">
        <v>172</v>
      </c>
      <c r="BB646" s="839">
        <v>2017</v>
      </c>
      <c r="BC646" s="775" t="s">
        <v>278</v>
      </c>
      <c r="BD646" s="837">
        <f t="shared" si="42"/>
        <v>8.3999999999999968</v>
      </c>
      <c r="BH646" s="775" t="s">
        <v>172</v>
      </c>
      <c r="BI646" s="836" t="s">
        <v>457</v>
      </c>
      <c r="BJ646" s="775" t="s">
        <v>278</v>
      </c>
      <c r="BK646" s="775">
        <f t="shared" si="43"/>
        <v>9.1999999999999957</v>
      </c>
      <c r="BL646" s="775">
        <v>2016</v>
      </c>
      <c r="CL646" s="773"/>
      <c r="CM646" s="773"/>
      <c r="CN646" s="773"/>
      <c r="CO646" s="773"/>
      <c r="CP646" s="773"/>
      <c r="CQ646" s="773"/>
      <c r="CR646" s="773"/>
    </row>
    <row r="647" spans="34:96" ht="15.75">
      <c r="AH647" s="629"/>
      <c r="AI647" s="626"/>
      <c r="AJ647" s="626"/>
      <c r="AK647" s="626"/>
      <c r="AL647" s="626"/>
      <c r="AM647" s="626"/>
      <c r="AN647" s="626"/>
      <c r="AO647" s="626"/>
      <c r="AP647" s="626"/>
      <c r="AQ647" s="627"/>
      <c r="AR647" s="627"/>
      <c r="AS647" s="627"/>
      <c r="AT647" s="206"/>
      <c r="BA647" s="775" t="s">
        <v>172</v>
      </c>
      <c r="BB647" s="839">
        <v>2017</v>
      </c>
      <c r="BC647" s="775" t="s">
        <v>44</v>
      </c>
      <c r="BD647" s="837">
        <f t="shared" si="42"/>
        <v>123</v>
      </c>
      <c r="BH647" s="775" t="s">
        <v>172</v>
      </c>
      <c r="BI647" s="836" t="s">
        <v>457</v>
      </c>
      <c r="BJ647" s="775" t="s">
        <v>44</v>
      </c>
      <c r="BK647" s="775">
        <f t="shared" si="43"/>
        <v>120.4</v>
      </c>
      <c r="BL647" s="775">
        <v>2016</v>
      </c>
      <c r="CL647" s="773"/>
      <c r="CM647" s="773"/>
      <c r="CN647" s="773"/>
      <c r="CO647" s="773"/>
      <c r="CP647" s="773"/>
      <c r="CQ647" s="773"/>
      <c r="CR647" s="773"/>
    </row>
    <row r="648" spans="34:96" ht="15.75">
      <c r="AH648" s="629"/>
      <c r="AI648" s="626"/>
      <c r="AJ648" s="626"/>
      <c r="AK648" s="626"/>
      <c r="AL648" s="626"/>
      <c r="AM648" s="626"/>
      <c r="AN648" s="626"/>
      <c r="AO648" s="626"/>
      <c r="AP648" s="626"/>
      <c r="AQ648" s="627"/>
      <c r="AR648" s="627"/>
      <c r="AS648" s="627"/>
      <c r="AT648" s="206"/>
      <c r="BA648" s="775" t="s">
        <v>172</v>
      </c>
      <c r="BB648" s="839">
        <v>2017</v>
      </c>
      <c r="BC648" s="775" t="s">
        <v>45</v>
      </c>
      <c r="BD648" s="775">
        <f t="shared" si="42"/>
        <v>2.2999999999999998</v>
      </c>
      <c r="BH648" s="775" t="s">
        <v>172</v>
      </c>
      <c r="BI648" s="836" t="s">
        <v>457</v>
      </c>
      <c r="BJ648" s="775" t="s">
        <v>45</v>
      </c>
      <c r="BK648" s="775">
        <f t="shared" si="43"/>
        <v>1.7000000000000002</v>
      </c>
      <c r="BL648" s="775">
        <v>2016</v>
      </c>
      <c r="CL648" s="773"/>
      <c r="CM648" s="773"/>
      <c r="CN648" s="773"/>
      <c r="CO648" s="773"/>
      <c r="CP648" s="773"/>
      <c r="CQ648" s="773"/>
      <c r="CR648" s="773"/>
    </row>
    <row r="649" spans="34:96" ht="15.75">
      <c r="AH649" s="629"/>
      <c r="AI649" s="626"/>
      <c r="AJ649" s="626"/>
      <c r="AK649" s="626"/>
      <c r="AL649" s="626"/>
      <c r="AM649" s="626"/>
      <c r="AN649" s="626"/>
      <c r="AO649" s="626"/>
      <c r="AP649" s="626"/>
      <c r="AQ649" s="627"/>
      <c r="AR649" s="627"/>
      <c r="AS649" s="627"/>
      <c r="AT649" s="206"/>
      <c r="BA649" s="775" t="s">
        <v>172</v>
      </c>
      <c r="BB649" s="839">
        <v>2017</v>
      </c>
      <c r="BC649" s="775" t="s">
        <v>48</v>
      </c>
      <c r="BD649" s="775">
        <f t="shared" si="42"/>
        <v>61.599999999999994</v>
      </c>
      <c r="BH649" s="775" t="s">
        <v>172</v>
      </c>
      <c r="BI649" s="836" t="s">
        <v>457</v>
      </c>
      <c r="BJ649" s="775" t="s">
        <v>48</v>
      </c>
      <c r="BK649" s="775">
        <f t="shared" si="43"/>
        <v>53.099999999999994</v>
      </c>
      <c r="BL649" s="775">
        <v>2016</v>
      </c>
      <c r="CL649" s="773"/>
      <c r="CM649" s="773"/>
      <c r="CN649" s="773"/>
      <c r="CO649" s="773"/>
      <c r="CP649" s="773"/>
      <c r="CQ649" s="773"/>
      <c r="CR649" s="773"/>
    </row>
    <row r="650" spans="34:96" ht="15.75">
      <c r="AH650" s="629"/>
      <c r="AI650" s="626"/>
      <c r="AJ650" s="626"/>
      <c r="AK650" s="626"/>
      <c r="AL650" s="626"/>
      <c r="AM650" s="626"/>
      <c r="AN650" s="626"/>
      <c r="AO650" s="626"/>
      <c r="AP650" s="626"/>
      <c r="AQ650" s="627"/>
      <c r="AR650" s="627"/>
      <c r="AS650" s="627"/>
      <c r="AT650" s="206"/>
      <c r="BA650" s="775" t="s">
        <v>172</v>
      </c>
      <c r="BB650" s="839">
        <v>2017</v>
      </c>
      <c r="BC650" s="775" t="s">
        <v>97</v>
      </c>
      <c r="BD650" s="775">
        <f t="shared" si="42"/>
        <v>645.10000000000014</v>
      </c>
      <c r="BH650" s="775" t="s">
        <v>172</v>
      </c>
      <c r="BI650" s="836" t="s">
        <v>457</v>
      </c>
      <c r="BJ650" s="775" t="s">
        <v>97</v>
      </c>
      <c r="BK650" s="775">
        <f t="shared" si="43"/>
        <v>536.79999999999995</v>
      </c>
      <c r="BL650" s="775">
        <v>2016</v>
      </c>
      <c r="CL650" s="773"/>
      <c r="CM650" s="773"/>
      <c r="CN650" s="773"/>
      <c r="CO650" s="773"/>
      <c r="CP650" s="773"/>
      <c r="CQ650" s="773"/>
      <c r="CR650" s="773"/>
    </row>
    <row r="651" spans="34:96" ht="15.75">
      <c r="AH651" s="629"/>
      <c r="AI651" s="626"/>
      <c r="AJ651" s="626"/>
      <c r="AK651" s="626"/>
      <c r="AL651" s="626"/>
      <c r="AM651" s="626"/>
      <c r="AN651" s="626"/>
      <c r="AO651" s="626"/>
      <c r="AP651" s="626"/>
      <c r="AQ651" s="627"/>
      <c r="AR651" s="627"/>
      <c r="AS651" s="627"/>
      <c r="AT651" s="206"/>
      <c r="BA651" s="775" t="s">
        <v>170</v>
      </c>
      <c r="BB651" s="839">
        <v>2017</v>
      </c>
      <c r="BC651" s="775" t="s">
        <v>15</v>
      </c>
      <c r="BD651" s="775">
        <v>155.80000000000001</v>
      </c>
      <c r="BH651" s="775" t="s">
        <v>170</v>
      </c>
      <c r="BI651" s="836" t="s">
        <v>457</v>
      </c>
      <c r="BJ651" s="775" t="s">
        <v>15</v>
      </c>
      <c r="BK651" s="838">
        <v>135.80000000000001</v>
      </c>
      <c r="BL651" s="775">
        <v>2016</v>
      </c>
      <c r="CL651" s="773"/>
      <c r="CM651" s="773"/>
      <c r="CN651" s="773"/>
      <c r="CO651" s="773"/>
      <c r="CP651" s="773"/>
      <c r="CQ651" s="773"/>
      <c r="CR651" s="773"/>
    </row>
    <row r="652" spans="34:96" ht="15.75">
      <c r="AH652" s="629"/>
      <c r="AI652" s="626"/>
      <c r="AJ652" s="626"/>
      <c r="AK652" s="626"/>
      <c r="AL652" s="626"/>
      <c r="AM652" s="626"/>
      <c r="AN652" s="626"/>
      <c r="AO652" s="626"/>
      <c r="AP652" s="626"/>
      <c r="AQ652" s="627"/>
      <c r="AR652" s="627"/>
      <c r="AS652" s="627"/>
      <c r="AT652" s="206"/>
      <c r="BA652" s="775" t="s">
        <v>170</v>
      </c>
      <c r="BB652" s="839">
        <v>2017</v>
      </c>
      <c r="BC652" s="775" t="s">
        <v>277</v>
      </c>
      <c r="BD652" s="775">
        <v>86.2</v>
      </c>
      <c r="BH652" s="775" t="s">
        <v>170</v>
      </c>
      <c r="BI652" s="836" t="s">
        <v>457</v>
      </c>
      <c r="BJ652" s="775" t="s">
        <v>277</v>
      </c>
      <c r="BK652" s="838">
        <v>54.6</v>
      </c>
      <c r="BL652" s="775">
        <v>2016</v>
      </c>
      <c r="CL652" s="773"/>
      <c r="CM652" s="773"/>
      <c r="CN652" s="773"/>
      <c r="CO652" s="773"/>
      <c r="CP652" s="773"/>
      <c r="CQ652" s="773"/>
      <c r="CR652" s="773"/>
    </row>
    <row r="653" spans="34:96" ht="15.75">
      <c r="AH653" s="629"/>
      <c r="AI653" s="626"/>
      <c r="AJ653" s="626"/>
      <c r="AK653" s="626"/>
      <c r="AL653" s="626"/>
      <c r="AM653" s="626"/>
      <c r="AN653" s="626"/>
      <c r="AO653" s="626"/>
      <c r="AP653" s="626"/>
      <c r="AQ653" s="627"/>
      <c r="AR653" s="627"/>
      <c r="AS653" s="627"/>
      <c r="AT653" s="206"/>
      <c r="BA653" s="775" t="s">
        <v>170</v>
      </c>
      <c r="BB653" s="839">
        <v>2017</v>
      </c>
      <c r="BC653" s="775" t="s">
        <v>1064</v>
      </c>
      <c r="BD653" s="775">
        <v>139</v>
      </c>
      <c r="BH653" s="775" t="s">
        <v>170</v>
      </c>
      <c r="BI653" s="836" t="s">
        <v>457</v>
      </c>
      <c r="BJ653" s="775" t="s">
        <v>1064</v>
      </c>
      <c r="BK653" s="838">
        <v>80.599999999999994</v>
      </c>
      <c r="BL653" s="775">
        <v>2016</v>
      </c>
      <c r="CL653" s="773"/>
      <c r="CM653" s="773"/>
      <c r="CN653" s="773"/>
      <c r="CO653" s="773"/>
      <c r="CP653" s="773"/>
      <c r="CQ653" s="773"/>
      <c r="CR653" s="773"/>
    </row>
    <row r="654" spans="34:96" ht="15.75">
      <c r="AH654" s="629"/>
      <c r="AI654" s="626"/>
      <c r="AJ654" s="626"/>
      <c r="AK654" s="626"/>
      <c r="AL654" s="626"/>
      <c r="AM654" s="626"/>
      <c r="AN654" s="626"/>
      <c r="AO654" s="626"/>
      <c r="AP654" s="626"/>
      <c r="AQ654" s="627"/>
      <c r="AR654" s="627"/>
      <c r="AS654" s="627"/>
      <c r="AT654" s="206"/>
      <c r="BA654" s="775" t="s">
        <v>170</v>
      </c>
      <c r="BB654" s="839">
        <v>2017</v>
      </c>
      <c r="BC654" s="775" t="s">
        <v>8</v>
      </c>
      <c r="BD654" s="775">
        <v>749.59999999999991</v>
      </c>
      <c r="BH654" s="775" t="s">
        <v>170</v>
      </c>
      <c r="BI654" s="836" t="s">
        <v>457</v>
      </c>
      <c r="BJ654" s="775" t="s">
        <v>8</v>
      </c>
      <c r="BK654" s="838">
        <v>689.19999999999993</v>
      </c>
      <c r="BL654" s="775">
        <v>2016</v>
      </c>
      <c r="CL654" s="773"/>
      <c r="CM654" s="773"/>
      <c r="CN654" s="773"/>
      <c r="CO654" s="773"/>
      <c r="CP654" s="773"/>
      <c r="CQ654" s="773"/>
      <c r="CR654" s="773"/>
    </row>
    <row r="655" spans="34:96" ht="15.75">
      <c r="AH655" s="629"/>
      <c r="AI655" s="626"/>
      <c r="AJ655" s="626"/>
      <c r="AK655" s="626"/>
      <c r="AL655" s="626"/>
      <c r="AM655" s="626"/>
      <c r="AN655" s="626"/>
      <c r="AO655" s="626"/>
      <c r="AP655" s="626"/>
      <c r="AQ655" s="627"/>
      <c r="AR655" s="627"/>
      <c r="AS655" s="627"/>
      <c r="AT655" s="206"/>
      <c r="BA655" s="775" t="s">
        <v>170</v>
      </c>
      <c r="BB655" s="839">
        <v>2017</v>
      </c>
      <c r="BC655" s="775" t="s">
        <v>96</v>
      </c>
      <c r="BD655" s="775">
        <v>290.5</v>
      </c>
      <c r="BH655" s="775" t="s">
        <v>170</v>
      </c>
      <c r="BI655" s="836" t="s">
        <v>457</v>
      </c>
      <c r="BJ655" s="775" t="s">
        <v>96</v>
      </c>
      <c r="BK655" s="838">
        <v>291.3</v>
      </c>
      <c r="BL655" s="775">
        <v>2016</v>
      </c>
      <c r="CL655" s="773"/>
      <c r="CM655" s="773"/>
      <c r="CN655" s="773"/>
      <c r="CO655" s="773"/>
      <c r="CP655" s="773"/>
      <c r="CQ655" s="773"/>
      <c r="CR655" s="773"/>
    </row>
    <row r="656" spans="34:96" ht="15.75">
      <c r="AH656" s="629"/>
      <c r="AI656" s="626"/>
      <c r="AJ656" s="626"/>
      <c r="AK656" s="626"/>
      <c r="AL656" s="626"/>
      <c r="AM656" s="626"/>
      <c r="AN656" s="626"/>
      <c r="AO656" s="626"/>
      <c r="AP656" s="626"/>
      <c r="AQ656" s="627"/>
      <c r="AR656" s="627"/>
      <c r="AS656" s="627"/>
      <c r="AT656" s="206"/>
      <c r="BA656" s="775" t="s">
        <v>170</v>
      </c>
      <c r="BB656" s="839">
        <v>2017</v>
      </c>
      <c r="BC656" s="775" t="s">
        <v>196</v>
      </c>
      <c r="BD656" s="775">
        <v>20.8</v>
      </c>
      <c r="BH656" s="775" t="s">
        <v>170</v>
      </c>
      <c r="BI656" s="836" t="s">
        <v>457</v>
      </c>
      <c r="BJ656" s="775" t="s">
        <v>196</v>
      </c>
      <c r="BK656" s="838">
        <v>20.100000000000001</v>
      </c>
      <c r="BL656" s="775">
        <v>2016</v>
      </c>
      <c r="CL656" s="773"/>
      <c r="CM656" s="773"/>
      <c r="CN656" s="773"/>
      <c r="CO656" s="773"/>
      <c r="CP656" s="773"/>
      <c r="CQ656" s="773"/>
      <c r="CR656" s="773"/>
    </row>
    <row r="657" spans="34:96" ht="15.75">
      <c r="AH657" s="206"/>
      <c r="AI657" s="206"/>
      <c r="AJ657" s="206"/>
      <c r="AK657" s="206"/>
      <c r="AL657" s="206"/>
      <c r="AM657" s="206"/>
      <c r="AN657" s="206"/>
      <c r="AO657" s="206"/>
      <c r="AP657" s="206"/>
      <c r="AQ657" s="206"/>
      <c r="AR657" s="206"/>
      <c r="AS657" s="206"/>
      <c r="AT657" s="206"/>
      <c r="BA657" s="775" t="s">
        <v>170</v>
      </c>
      <c r="BB657" s="839">
        <v>2017</v>
      </c>
      <c r="BC657" s="775" t="s">
        <v>278</v>
      </c>
      <c r="BD657" s="775">
        <v>19.799999999999997</v>
      </c>
      <c r="BH657" s="775" t="s">
        <v>170</v>
      </c>
      <c r="BI657" s="836" t="s">
        <v>457</v>
      </c>
      <c r="BJ657" s="775" t="s">
        <v>278</v>
      </c>
      <c r="BK657" s="838">
        <v>21.499999999999996</v>
      </c>
      <c r="BL657" s="775">
        <v>2016</v>
      </c>
      <c r="CL657" s="773"/>
      <c r="CM657" s="773"/>
      <c r="CN657" s="773"/>
      <c r="CO657" s="773"/>
      <c r="CP657" s="773"/>
      <c r="CQ657" s="773"/>
      <c r="CR657" s="773"/>
    </row>
    <row r="658" spans="34:96" ht="15.75">
      <c r="AH658" s="206"/>
      <c r="AI658" s="206"/>
      <c r="AJ658" s="206"/>
      <c r="AK658" s="206"/>
      <c r="AL658" s="206"/>
      <c r="AM658" s="206"/>
      <c r="AN658" s="206"/>
      <c r="AO658" s="206"/>
      <c r="AP658" s="206"/>
      <c r="AQ658" s="206"/>
      <c r="AR658" s="206"/>
      <c r="AS658" s="206"/>
      <c r="AT658" s="206"/>
      <c r="BA658" s="775" t="s">
        <v>170</v>
      </c>
      <c r="BB658" s="839">
        <v>2017</v>
      </c>
      <c r="BC658" s="775" t="s">
        <v>44</v>
      </c>
      <c r="BD658" s="775">
        <v>124</v>
      </c>
      <c r="BH658" s="775" t="s">
        <v>170</v>
      </c>
      <c r="BI658" s="836" t="s">
        <v>457</v>
      </c>
      <c r="BJ658" s="775" t="s">
        <v>44</v>
      </c>
      <c r="BK658" s="838">
        <v>120.4</v>
      </c>
      <c r="BL658" s="775">
        <v>2016</v>
      </c>
      <c r="CL658" s="773"/>
      <c r="CM658" s="773"/>
      <c r="CN658" s="773"/>
      <c r="CO658" s="773"/>
      <c r="CP658" s="773"/>
      <c r="CQ658" s="773"/>
      <c r="CR658" s="773"/>
    </row>
    <row r="659" spans="34:96" ht="15.75">
      <c r="AH659" s="206"/>
      <c r="AI659" s="206"/>
      <c r="AJ659" s="206"/>
      <c r="AK659" s="206"/>
      <c r="AL659" s="206"/>
      <c r="AM659" s="206"/>
      <c r="AN659" s="206"/>
      <c r="AO659" s="206"/>
      <c r="AP659" s="206"/>
      <c r="AQ659" s="206"/>
      <c r="AR659" s="206"/>
      <c r="AS659" s="206"/>
      <c r="AT659" s="206"/>
      <c r="BA659" s="775" t="s">
        <v>170</v>
      </c>
      <c r="BB659" s="839">
        <v>2017</v>
      </c>
      <c r="BC659" s="775" t="s">
        <v>45</v>
      </c>
      <c r="BD659" s="775">
        <v>5.5</v>
      </c>
      <c r="BH659" s="775" t="s">
        <v>170</v>
      </c>
      <c r="BI659" s="836" t="s">
        <v>457</v>
      </c>
      <c r="BJ659" s="775" t="s">
        <v>45</v>
      </c>
      <c r="BK659" s="838">
        <v>1.7000000000000002</v>
      </c>
      <c r="BL659" s="775">
        <v>2016</v>
      </c>
      <c r="CL659" s="773"/>
      <c r="CM659" s="773"/>
      <c r="CN659" s="773"/>
      <c r="CO659" s="773"/>
      <c r="CP659" s="773"/>
      <c r="CQ659" s="773"/>
      <c r="CR659" s="773"/>
    </row>
    <row r="660" spans="34:96" ht="15.75">
      <c r="AH660" s="206"/>
      <c r="AI660" s="206"/>
      <c r="AJ660" s="206"/>
      <c r="AK660" s="206"/>
      <c r="AL660" s="206"/>
      <c r="AM660" s="206"/>
      <c r="AN660" s="206"/>
      <c r="AO660" s="206"/>
      <c r="AP660" s="206"/>
      <c r="AQ660" s="206"/>
      <c r="AR660" s="206"/>
      <c r="AS660" s="206"/>
      <c r="AT660" s="206"/>
      <c r="BA660" s="775" t="s">
        <v>170</v>
      </c>
      <c r="BB660" s="839">
        <v>2017</v>
      </c>
      <c r="BC660" s="775" t="s">
        <v>48</v>
      </c>
      <c r="BD660" s="775">
        <v>158.9</v>
      </c>
      <c r="BH660" s="775" t="s">
        <v>170</v>
      </c>
      <c r="BI660" s="836" t="s">
        <v>457</v>
      </c>
      <c r="BJ660" s="775" t="s">
        <v>48</v>
      </c>
      <c r="BK660" s="838">
        <v>145.19999999999999</v>
      </c>
      <c r="BL660" s="775">
        <v>2016</v>
      </c>
      <c r="CL660" s="773"/>
      <c r="CM660" s="773"/>
      <c r="CN660" s="773"/>
      <c r="CO660" s="773"/>
      <c r="CP660" s="773"/>
      <c r="CQ660" s="773"/>
      <c r="CR660" s="773"/>
    </row>
    <row r="661" spans="34:96" ht="15.75">
      <c r="AH661" s="629"/>
      <c r="AI661" s="628"/>
      <c r="AJ661" s="628"/>
      <c r="AK661" s="628"/>
      <c r="AL661" s="628"/>
      <c r="AM661" s="628"/>
      <c r="AN661" s="628"/>
      <c r="AO661" s="628"/>
      <c r="AP661" s="628"/>
      <c r="AQ661" s="628"/>
      <c r="AR661" s="628"/>
      <c r="AS661" s="628"/>
      <c r="AT661" s="206"/>
      <c r="BA661" s="775" t="s">
        <v>170</v>
      </c>
      <c r="BB661" s="839">
        <v>2017</v>
      </c>
      <c r="BC661" s="775" t="s">
        <v>97</v>
      </c>
      <c r="BD661" s="775">
        <v>1753.8000000000002</v>
      </c>
      <c r="BH661" s="775" t="s">
        <v>170</v>
      </c>
      <c r="BI661" s="836" t="s">
        <v>457</v>
      </c>
      <c r="BJ661" s="775" t="s">
        <v>97</v>
      </c>
      <c r="BK661" s="838">
        <v>1565.1</v>
      </c>
      <c r="BL661" s="775">
        <v>2016</v>
      </c>
      <c r="CL661" s="773"/>
      <c r="CM661" s="773"/>
      <c r="CN661" s="773"/>
      <c r="CO661" s="773"/>
      <c r="CP661" s="773"/>
      <c r="CQ661" s="773"/>
      <c r="CR661" s="773"/>
    </row>
    <row r="662" spans="34:96" ht="15.75">
      <c r="AH662" s="629"/>
      <c r="AI662" s="628"/>
      <c r="AJ662" s="628"/>
      <c r="AK662" s="628"/>
      <c r="AL662" s="628"/>
      <c r="AM662" s="628"/>
      <c r="AN662" s="628"/>
      <c r="AO662" s="628"/>
      <c r="AP662" s="628"/>
      <c r="AQ662" s="628"/>
      <c r="AR662" s="628"/>
      <c r="AS662" s="628"/>
      <c r="AT662" s="206"/>
      <c r="BA662" s="775" t="s">
        <v>38</v>
      </c>
      <c r="BB662" s="839">
        <v>2018</v>
      </c>
      <c r="BC662" s="775" t="s">
        <v>15</v>
      </c>
      <c r="BD662" s="840">
        <v>89.9</v>
      </c>
      <c r="BH662" s="775" t="s">
        <v>38</v>
      </c>
      <c r="BI662" s="836" t="s">
        <v>821</v>
      </c>
      <c r="BJ662" s="775" t="s">
        <v>15</v>
      </c>
      <c r="BK662" s="776">
        <v>55.800000000000004</v>
      </c>
      <c r="BL662" s="775">
        <v>2017</v>
      </c>
      <c r="CL662" s="773"/>
      <c r="CM662" s="773"/>
      <c r="CN662" s="773"/>
      <c r="CO662" s="773"/>
      <c r="CP662" s="773"/>
      <c r="CQ662" s="773"/>
      <c r="CR662" s="773"/>
    </row>
    <row r="663" spans="34:96" ht="15.75">
      <c r="AH663" s="629"/>
      <c r="AI663" s="628"/>
      <c r="AJ663" s="628"/>
      <c r="AK663" s="628"/>
      <c r="AL663" s="628"/>
      <c r="AM663" s="628"/>
      <c r="AN663" s="628"/>
      <c r="AO663" s="628"/>
      <c r="AP663" s="628"/>
      <c r="AQ663" s="628"/>
      <c r="AR663" s="628"/>
      <c r="AS663" s="628"/>
      <c r="AT663" s="206"/>
      <c r="BA663" s="775" t="s">
        <v>38</v>
      </c>
      <c r="BB663" s="839">
        <v>2018</v>
      </c>
      <c r="BC663" s="775" t="s">
        <v>277</v>
      </c>
      <c r="BD663" s="840">
        <v>22.1</v>
      </c>
      <c r="BH663" s="775" t="s">
        <v>38</v>
      </c>
      <c r="BI663" s="836" t="s">
        <v>821</v>
      </c>
      <c r="BJ663" s="775" t="s">
        <v>277</v>
      </c>
      <c r="BK663" s="776">
        <v>19.400000000000002</v>
      </c>
      <c r="BL663" s="775">
        <v>2017</v>
      </c>
      <c r="CL663" s="773"/>
      <c r="CM663" s="773"/>
      <c r="CN663" s="773"/>
      <c r="CO663" s="773"/>
      <c r="CP663" s="773"/>
      <c r="CQ663" s="773"/>
      <c r="CR663" s="773"/>
    </row>
    <row r="664" spans="34:96" ht="15.75">
      <c r="AH664" s="629"/>
      <c r="AI664" s="628"/>
      <c r="AJ664" s="628"/>
      <c r="AK664" s="628"/>
      <c r="AL664" s="628"/>
      <c r="AM664" s="628"/>
      <c r="AN664" s="628"/>
      <c r="AO664" s="628"/>
      <c r="AP664" s="628"/>
      <c r="AQ664" s="628"/>
      <c r="AR664" s="628"/>
      <c r="AS664" s="628"/>
      <c r="AT664" s="206"/>
      <c r="BA664" s="775" t="s">
        <v>38</v>
      </c>
      <c r="BB664" s="839">
        <v>2018</v>
      </c>
      <c r="BC664" s="775" t="s">
        <v>1064</v>
      </c>
      <c r="BD664" s="840">
        <v>123.80000000000001</v>
      </c>
      <c r="BH664" s="775" t="s">
        <v>38</v>
      </c>
      <c r="BI664" s="836" t="s">
        <v>821</v>
      </c>
      <c r="BJ664" s="775" t="s">
        <v>1064</v>
      </c>
      <c r="BK664" s="776">
        <v>121.3</v>
      </c>
      <c r="BL664" s="775">
        <v>2017</v>
      </c>
      <c r="CL664" s="773"/>
      <c r="CM664" s="773"/>
      <c r="CN664" s="773"/>
      <c r="CO664" s="773"/>
      <c r="CP664" s="773"/>
      <c r="CQ664" s="773"/>
      <c r="CR664" s="773"/>
    </row>
    <row r="665" spans="34:96" ht="15.75">
      <c r="AH665" s="629"/>
      <c r="AI665" s="628"/>
      <c r="AJ665" s="628"/>
      <c r="AK665" s="628"/>
      <c r="AL665" s="628"/>
      <c r="AM665" s="628"/>
      <c r="AN665" s="628"/>
      <c r="AO665" s="628"/>
      <c r="AP665" s="628"/>
      <c r="AQ665" s="628"/>
      <c r="AR665" s="628"/>
      <c r="AS665" s="628"/>
      <c r="AT665" s="206"/>
      <c r="BA665" s="775" t="s">
        <v>38</v>
      </c>
      <c r="BB665" s="839">
        <v>2018</v>
      </c>
      <c r="BC665" s="775" t="s">
        <v>8</v>
      </c>
      <c r="BD665" s="840">
        <v>641.5</v>
      </c>
      <c r="BH665" s="775" t="s">
        <v>38</v>
      </c>
      <c r="BI665" s="836" t="s">
        <v>821</v>
      </c>
      <c r="BJ665" s="775" t="s">
        <v>8</v>
      </c>
      <c r="BK665" s="776">
        <v>591.5</v>
      </c>
      <c r="BL665" s="775">
        <v>2017</v>
      </c>
      <c r="CL665" s="773"/>
      <c r="CM665" s="773"/>
      <c r="CN665" s="773"/>
      <c r="CO665" s="773"/>
      <c r="CP665" s="773"/>
      <c r="CQ665" s="773"/>
      <c r="CR665" s="773"/>
    </row>
    <row r="666" spans="34:96" ht="15.75">
      <c r="AH666" s="629"/>
      <c r="AI666" s="628"/>
      <c r="AJ666" s="628"/>
      <c r="AK666" s="628"/>
      <c r="AL666" s="628"/>
      <c r="AM666" s="628"/>
      <c r="AN666" s="628"/>
      <c r="AO666" s="628"/>
      <c r="AP666" s="628"/>
      <c r="AQ666" s="628"/>
      <c r="AR666" s="628"/>
      <c r="AS666" s="628"/>
      <c r="AT666" s="206"/>
      <c r="BA666" s="775" t="s">
        <v>38</v>
      </c>
      <c r="BB666" s="839">
        <v>2018</v>
      </c>
      <c r="BC666" s="775" t="s">
        <v>96</v>
      </c>
      <c r="BD666" s="840">
        <v>289.5</v>
      </c>
      <c r="BH666" s="775" t="s">
        <v>38</v>
      </c>
      <c r="BI666" s="836" t="s">
        <v>821</v>
      </c>
      <c r="BJ666" s="775" t="s">
        <v>96</v>
      </c>
      <c r="BK666" s="776">
        <v>281.39999999999998</v>
      </c>
      <c r="BL666" s="775">
        <v>2017</v>
      </c>
      <c r="CL666" s="773"/>
      <c r="CM666" s="773"/>
      <c r="CN666" s="773"/>
      <c r="CO666" s="773"/>
      <c r="CP666" s="773"/>
      <c r="CQ666" s="773"/>
      <c r="CR666" s="773"/>
    </row>
    <row r="667" spans="34:96" ht="15.75">
      <c r="AH667" s="629"/>
      <c r="AI667" s="628"/>
      <c r="AJ667" s="628"/>
      <c r="AK667" s="628"/>
      <c r="AL667" s="628"/>
      <c r="AM667" s="628"/>
      <c r="AN667" s="628"/>
      <c r="AO667" s="628"/>
      <c r="AP667" s="628"/>
      <c r="AQ667" s="628"/>
      <c r="AR667" s="628"/>
      <c r="AS667" s="628"/>
      <c r="AT667" s="206"/>
      <c r="BA667" s="775" t="s">
        <v>38</v>
      </c>
      <c r="BB667" s="839">
        <v>2018</v>
      </c>
      <c r="BC667" s="775" t="s">
        <v>196</v>
      </c>
      <c r="BD667" s="840">
        <v>4.7</v>
      </c>
      <c r="BH667" s="775" t="s">
        <v>38</v>
      </c>
      <c r="BI667" s="836" t="s">
        <v>821</v>
      </c>
      <c r="BJ667" s="775" t="s">
        <v>196</v>
      </c>
      <c r="BK667" s="776">
        <v>7.4</v>
      </c>
      <c r="BL667" s="775">
        <v>2017</v>
      </c>
      <c r="CL667" s="773"/>
      <c r="CM667" s="773"/>
      <c r="CN667" s="773"/>
      <c r="CO667" s="773"/>
      <c r="CP667" s="773"/>
      <c r="CQ667" s="773"/>
      <c r="CR667" s="773"/>
    </row>
    <row r="668" spans="34:96" ht="15.75">
      <c r="AH668" s="629"/>
      <c r="AI668" s="628"/>
      <c r="AJ668" s="628"/>
      <c r="AK668" s="628"/>
      <c r="AL668" s="628"/>
      <c r="AM668" s="628"/>
      <c r="AN668" s="628"/>
      <c r="AO668" s="628"/>
      <c r="AP668" s="628"/>
      <c r="AQ668" s="628"/>
      <c r="AR668" s="628"/>
      <c r="AS668" s="628"/>
      <c r="AT668" s="206"/>
      <c r="BA668" s="775" t="s">
        <v>38</v>
      </c>
      <c r="BB668" s="839">
        <v>2018</v>
      </c>
      <c r="BC668" s="775" t="s">
        <v>278</v>
      </c>
      <c r="BD668" s="840">
        <v>0.60000000000000009</v>
      </c>
      <c r="BH668" s="775" t="s">
        <v>38</v>
      </c>
      <c r="BI668" s="836" t="s">
        <v>821</v>
      </c>
      <c r="BJ668" s="775" t="s">
        <v>278</v>
      </c>
      <c r="BK668" s="776">
        <v>5.7</v>
      </c>
      <c r="BL668" s="775">
        <v>2017</v>
      </c>
      <c r="CL668" s="773"/>
      <c r="CM668" s="773"/>
      <c r="CN668" s="773"/>
      <c r="CO668" s="773"/>
      <c r="CP668" s="773"/>
      <c r="CQ668" s="773"/>
      <c r="CR668" s="773"/>
    </row>
    <row r="669" spans="34:96" ht="15.75">
      <c r="AH669" s="629"/>
      <c r="AI669" s="628"/>
      <c r="AJ669" s="628"/>
      <c r="AK669" s="628"/>
      <c r="AL669" s="628"/>
      <c r="AM669" s="628"/>
      <c r="AN669" s="628"/>
      <c r="AO669" s="628"/>
      <c r="AP669" s="628"/>
      <c r="AQ669" s="628"/>
      <c r="AR669" s="628"/>
      <c r="AS669" s="628"/>
      <c r="AT669" s="206"/>
      <c r="BA669" s="775" t="s">
        <v>38</v>
      </c>
      <c r="BB669" s="839">
        <v>2018</v>
      </c>
      <c r="BC669" s="775" t="s">
        <v>44</v>
      </c>
      <c r="BD669" s="840">
        <v>0</v>
      </c>
      <c r="BH669" s="775" t="s">
        <v>38</v>
      </c>
      <c r="BI669" s="836" t="s">
        <v>821</v>
      </c>
      <c r="BJ669" s="775" t="s">
        <v>44</v>
      </c>
      <c r="BK669" s="776">
        <v>1</v>
      </c>
      <c r="BL669" s="775">
        <v>2017</v>
      </c>
      <c r="CL669" s="773"/>
      <c r="CM669" s="773"/>
      <c r="CN669" s="773"/>
      <c r="CO669" s="773"/>
      <c r="CP669" s="773"/>
      <c r="CQ669" s="773"/>
      <c r="CR669" s="773"/>
    </row>
    <row r="670" spans="34:96" ht="15.75">
      <c r="AH670" s="629"/>
      <c r="AI670" s="628"/>
      <c r="AJ670" s="628"/>
      <c r="AK670" s="628"/>
      <c r="AL670" s="628"/>
      <c r="AM670" s="628"/>
      <c r="AN670" s="628"/>
      <c r="AO670" s="628"/>
      <c r="AP670" s="628"/>
      <c r="AQ670" s="628"/>
      <c r="AR670" s="628"/>
      <c r="AS670" s="628"/>
      <c r="AT670" s="206"/>
      <c r="BA670" s="775" t="s">
        <v>38</v>
      </c>
      <c r="BB670" s="839">
        <v>2018</v>
      </c>
      <c r="BC670" s="775" t="s">
        <v>45</v>
      </c>
      <c r="BD670" s="841">
        <v>4.9000000000000004</v>
      </c>
      <c r="BH670" s="775" t="s">
        <v>38</v>
      </c>
      <c r="BI670" s="836" t="s">
        <v>821</v>
      </c>
      <c r="BJ670" s="775" t="s">
        <v>45</v>
      </c>
      <c r="BK670" s="776">
        <v>4.9000000000000004</v>
      </c>
      <c r="BL670" s="775">
        <v>2017</v>
      </c>
      <c r="CL670" s="773"/>
      <c r="CM670" s="773"/>
      <c r="CN670" s="773"/>
      <c r="CO670" s="773"/>
      <c r="CP670" s="773"/>
      <c r="CQ670" s="773"/>
      <c r="CR670" s="773"/>
    </row>
    <row r="671" spans="34:96" ht="15.75">
      <c r="AH671" s="629"/>
      <c r="AI671" s="628"/>
      <c r="AJ671" s="628"/>
      <c r="AK671" s="628"/>
      <c r="AL671" s="628"/>
      <c r="AM671" s="628"/>
      <c r="AN671" s="628"/>
      <c r="AO671" s="628"/>
      <c r="AP671" s="628"/>
      <c r="AQ671" s="628"/>
      <c r="AR671" s="628"/>
      <c r="AS671" s="628"/>
      <c r="AT671" s="206"/>
      <c r="BA671" s="775" t="s">
        <v>38</v>
      </c>
      <c r="BB671" s="839">
        <v>2018</v>
      </c>
      <c r="BC671" s="775" t="s">
        <v>48</v>
      </c>
      <c r="BD671" s="841">
        <v>128.9</v>
      </c>
      <c r="BH671" s="775" t="s">
        <v>38</v>
      </c>
      <c r="BI671" s="836" t="s">
        <v>821</v>
      </c>
      <c r="BJ671" s="775" t="s">
        <v>48</v>
      </c>
      <c r="BK671" s="776">
        <v>110.30000000000001</v>
      </c>
      <c r="BL671" s="775">
        <v>2017</v>
      </c>
      <c r="CL671" s="773"/>
      <c r="CM671" s="773"/>
      <c r="CN671" s="773"/>
      <c r="CO671" s="773"/>
      <c r="CP671" s="773"/>
      <c r="CQ671" s="773"/>
      <c r="CR671" s="773"/>
    </row>
    <row r="672" spans="34:96" ht="15.75">
      <c r="AH672" s="629"/>
      <c r="AI672" s="628"/>
      <c r="AJ672" s="628"/>
      <c r="AK672" s="628"/>
      <c r="AL672" s="628"/>
      <c r="AM672" s="628"/>
      <c r="AN672" s="628"/>
      <c r="AO672" s="628"/>
      <c r="AP672" s="628"/>
      <c r="AQ672" s="628"/>
      <c r="AR672" s="628"/>
      <c r="AS672" s="628"/>
      <c r="AT672" s="206"/>
      <c r="BA672" s="775" t="s">
        <v>38</v>
      </c>
      <c r="BB672" s="839">
        <v>2018</v>
      </c>
      <c r="BC672" s="775" t="s">
        <v>97</v>
      </c>
      <c r="BD672" s="841">
        <v>1318.1</v>
      </c>
      <c r="BH672" s="775" t="s">
        <v>38</v>
      </c>
      <c r="BI672" s="836" t="s">
        <v>821</v>
      </c>
      <c r="BJ672" s="775" t="s">
        <v>97</v>
      </c>
      <c r="BK672" s="776">
        <v>1203.5</v>
      </c>
      <c r="BL672" s="775">
        <v>2017</v>
      </c>
      <c r="CL672" s="773"/>
      <c r="CM672" s="773"/>
      <c r="CN672" s="773"/>
      <c r="CO672" s="773"/>
      <c r="CP672" s="773"/>
      <c r="CQ672" s="773"/>
      <c r="CR672" s="773"/>
    </row>
    <row r="673" spans="34:96" ht="15.75">
      <c r="AH673" s="629"/>
      <c r="AI673" s="628"/>
      <c r="AJ673" s="628"/>
      <c r="AK673" s="628"/>
      <c r="AL673" s="628"/>
      <c r="AM673" s="628"/>
      <c r="AN673" s="628"/>
      <c r="AO673" s="628"/>
      <c r="AP673" s="628"/>
      <c r="AQ673" s="628"/>
      <c r="AR673" s="628"/>
      <c r="AS673" s="628"/>
      <c r="AT673" s="206"/>
      <c r="BA673" s="775" t="s">
        <v>172</v>
      </c>
      <c r="BB673" s="839">
        <v>2018</v>
      </c>
      <c r="BC673" s="775" t="s">
        <v>15</v>
      </c>
      <c r="BD673" s="775">
        <f t="shared" ref="BD673:BD683" si="44">BD684-BD662</f>
        <v>170.89999999999995</v>
      </c>
      <c r="BH673" s="775" t="s">
        <v>172</v>
      </c>
      <c r="BI673" s="836" t="s">
        <v>821</v>
      </c>
      <c r="BJ673" s="775" t="s">
        <v>15</v>
      </c>
      <c r="BK673" s="775">
        <f t="shared" ref="BK673:BK683" si="45">BK684-BK662</f>
        <v>137.10000000000002</v>
      </c>
      <c r="BL673" s="775">
        <v>2017</v>
      </c>
      <c r="CL673" s="773"/>
      <c r="CM673" s="773"/>
      <c r="CN673" s="773"/>
      <c r="CO673" s="773"/>
      <c r="CP673" s="773"/>
      <c r="CQ673" s="773"/>
      <c r="CR673" s="773"/>
    </row>
    <row r="674" spans="34:96" ht="15.75">
      <c r="AH674" s="629"/>
      <c r="AI674" s="628"/>
      <c r="AJ674" s="628"/>
      <c r="AK674" s="628"/>
      <c r="AL674" s="628"/>
      <c r="AM674" s="628"/>
      <c r="AN674" s="628"/>
      <c r="AO674" s="628"/>
      <c r="AP674" s="628"/>
      <c r="AQ674" s="628"/>
      <c r="AR674" s="628"/>
      <c r="AS674" s="628"/>
      <c r="AT674" s="206"/>
      <c r="BA674" s="775" t="s">
        <v>172</v>
      </c>
      <c r="BB674" s="839">
        <v>2018</v>
      </c>
      <c r="BC674" s="775" t="s">
        <v>277</v>
      </c>
      <c r="BD674" s="775">
        <f t="shared" si="44"/>
        <v>76.300000000000011</v>
      </c>
      <c r="BH674" s="775" t="s">
        <v>172</v>
      </c>
      <c r="BI674" s="836" t="s">
        <v>821</v>
      </c>
      <c r="BJ674" s="775" t="s">
        <v>277</v>
      </c>
      <c r="BK674" s="775">
        <f t="shared" si="45"/>
        <v>83.899999999999991</v>
      </c>
      <c r="BL674" s="775">
        <v>2017</v>
      </c>
      <c r="CL674" s="773"/>
      <c r="CM674" s="773"/>
      <c r="CN674" s="773"/>
      <c r="CO674" s="773"/>
      <c r="CP674" s="773"/>
      <c r="CQ674" s="773"/>
      <c r="CR674" s="773"/>
    </row>
    <row r="675" spans="34:96" ht="15.75">
      <c r="AH675" s="629"/>
      <c r="AI675" s="628"/>
      <c r="AJ675" s="628"/>
      <c r="AK675" s="628"/>
      <c r="AL675" s="628"/>
      <c r="AM675" s="628"/>
      <c r="AN675" s="628"/>
      <c r="AO675" s="628"/>
      <c r="AP675" s="628"/>
      <c r="AQ675" s="628"/>
      <c r="AR675" s="628"/>
      <c r="AS675" s="628"/>
      <c r="AT675" s="206"/>
      <c r="BA675" s="775" t="s">
        <v>172</v>
      </c>
      <c r="BB675" s="839">
        <v>2018</v>
      </c>
      <c r="BC675" s="775" t="s">
        <v>1064</v>
      </c>
      <c r="BD675" s="775">
        <f t="shared" si="44"/>
        <v>84.899999999999977</v>
      </c>
      <c r="BH675" s="775" t="s">
        <v>172</v>
      </c>
      <c r="BI675" s="836" t="s">
        <v>821</v>
      </c>
      <c r="BJ675" s="775" t="s">
        <v>1064</v>
      </c>
      <c r="BK675" s="775">
        <f t="shared" si="45"/>
        <v>78.8</v>
      </c>
      <c r="BL675" s="775">
        <v>2017</v>
      </c>
      <c r="CL675" s="773"/>
      <c r="CM675" s="773"/>
      <c r="CN675" s="773"/>
      <c r="CO675" s="773"/>
      <c r="CP675" s="773"/>
      <c r="CQ675" s="773"/>
      <c r="CR675" s="773"/>
    </row>
    <row r="676" spans="34:96" ht="15.75">
      <c r="AH676" s="629"/>
      <c r="AI676" s="628"/>
      <c r="AJ676" s="628"/>
      <c r="AK676" s="628"/>
      <c r="AL676" s="628"/>
      <c r="AM676" s="628"/>
      <c r="AN676" s="628"/>
      <c r="AO676" s="628"/>
      <c r="AP676" s="628"/>
      <c r="AQ676" s="628"/>
      <c r="AR676" s="628"/>
      <c r="AS676" s="628"/>
      <c r="AT676" s="206"/>
      <c r="BA676" s="775" t="s">
        <v>172</v>
      </c>
      <c r="BB676" s="839">
        <v>2018</v>
      </c>
      <c r="BC676" s="775" t="s">
        <v>8</v>
      </c>
      <c r="BD676" s="775">
        <f t="shared" si="44"/>
        <v>250.60000000000002</v>
      </c>
      <c r="BH676" s="775" t="s">
        <v>172</v>
      </c>
      <c r="BI676" s="836" t="s">
        <v>821</v>
      </c>
      <c r="BJ676" s="775" t="s">
        <v>8</v>
      </c>
      <c r="BK676" s="775">
        <f t="shared" si="45"/>
        <v>218.60000000000002</v>
      </c>
      <c r="BL676" s="775">
        <v>2017</v>
      </c>
      <c r="CL676" s="773"/>
      <c r="CM676" s="773"/>
      <c r="CN676" s="773"/>
      <c r="CO676" s="773"/>
      <c r="CP676" s="773"/>
      <c r="CQ676" s="773"/>
      <c r="CR676" s="773"/>
    </row>
    <row r="677" spans="34:96" ht="15.75">
      <c r="AH677" s="629"/>
      <c r="AI677" s="628"/>
      <c r="AJ677" s="628"/>
      <c r="AK677" s="628"/>
      <c r="AL677" s="628"/>
      <c r="AM677" s="628"/>
      <c r="AN677" s="628"/>
      <c r="AO677" s="628"/>
      <c r="AP677" s="628"/>
      <c r="AQ677" s="628"/>
      <c r="AR677" s="628"/>
      <c r="AS677" s="628"/>
      <c r="AT677" s="206"/>
      <c r="BA677" s="775" t="s">
        <v>172</v>
      </c>
      <c r="BB677" s="839">
        <v>2018</v>
      </c>
      <c r="BC677" s="775" t="s">
        <v>96</v>
      </c>
      <c r="BD677" s="775">
        <f t="shared" si="44"/>
        <v>11.399999999999977</v>
      </c>
      <c r="BH677" s="775" t="s">
        <v>172</v>
      </c>
      <c r="BI677" s="836" t="s">
        <v>821</v>
      </c>
      <c r="BJ677" s="775" t="s">
        <v>96</v>
      </c>
      <c r="BK677" s="775">
        <f t="shared" si="45"/>
        <v>10.399999999999977</v>
      </c>
      <c r="BL677" s="775">
        <v>2017</v>
      </c>
      <c r="CL677" s="773"/>
      <c r="CM677" s="773"/>
      <c r="CN677" s="773"/>
      <c r="CO677" s="773"/>
      <c r="CP677" s="773"/>
      <c r="CQ677" s="773"/>
      <c r="CR677" s="773"/>
    </row>
    <row r="678" spans="34:96" ht="15.75">
      <c r="AH678" s="629"/>
      <c r="AI678" s="628"/>
      <c r="AJ678" s="628"/>
      <c r="AK678" s="628"/>
      <c r="AL678" s="628"/>
      <c r="AM678" s="628"/>
      <c r="AN678" s="628"/>
      <c r="AO678" s="628"/>
      <c r="AP678" s="628"/>
      <c r="AQ678" s="628"/>
      <c r="AR678" s="628"/>
      <c r="AS678" s="628"/>
      <c r="AT678" s="206"/>
      <c r="BA678" s="775" t="s">
        <v>172</v>
      </c>
      <c r="BB678" s="839">
        <v>2018</v>
      </c>
      <c r="BC678" s="775" t="s">
        <v>196</v>
      </c>
      <c r="BD678" s="775">
        <f t="shared" si="44"/>
        <v>29.8</v>
      </c>
      <c r="BH678" s="775" t="s">
        <v>172</v>
      </c>
      <c r="BI678" s="836" t="s">
        <v>821</v>
      </c>
      <c r="BJ678" s="775" t="s">
        <v>196</v>
      </c>
      <c r="BK678" s="775">
        <f t="shared" si="45"/>
        <v>19.700000000000003</v>
      </c>
      <c r="BL678" s="775">
        <v>2017</v>
      </c>
      <c r="CL678" s="773"/>
      <c r="CM678" s="773"/>
      <c r="CN678" s="773"/>
      <c r="CO678" s="773"/>
      <c r="CP678" s="773"/>
      <c r="CQ678" s="773"/>
      <c r="CR678" s="773"/>
    </row>
    <row r="679" spans="34:96" ht="15.75">
      <c r="AH679" s="629"/>
      <c r="AI679" s="628"/>
      <c r="AJ679" s="628"/>
      <c r="AK679" s="628"/>
      <c r="AL679" s="628"/>
      <c r="AM679" s="628"/>
      <c r="AN679" s="628"/>
      <c r="AO679" s="628"/>
      <c r="AP679" s="628"/>
      <c r="AQ679" s="628"/>
      <c r="AR679" s="628"/>
      <c r="AS679" s="628"/>
      <c r="AT679" s="206"/>
      <c r="BA679" s="775" t="s">
        <v>172</v>
      </c>
      <c r="BB679" s="839">
        <v>2018</v>
      </c>
      <c r="BC679" s="775" t="s">
        <v>278</v>
      </c>
      <c r="BD679" s="775">
        <f t="shared" si="44"/>
        <v>11.7</v>
      </c>
      <c r="BH679" s="775" t="s">
        <v>172</v>
      </c>
      <c r="BI679" s="836" t="s">
        <v>821</v>
      </c>
      <c r="BJ679" s="775" t="s">
        <v>278</v>
      </c>
      <c r="BK679" s="775">
        <f t="shared" si="45"/>
        <v>7.3</v>
      </c>
      <c r="BL679" s="775">
        <v>2017</v>
      </c>
      <c r="CL679" s="773"/>
      <c r="CM679" s="773"/>
      <c r="CN679" s="773"/>
      <c r="CO679" s="773"/>
      <c r="CP679" s="773"/>
      <c r="CQ679" s="773"/>
      <c r="CR679" s="773"/>
    </row>
    <row r="680" spans="34:96" ht="15.75">
      <c r="AH680" s="629"/>
      <c r="AI680" s="628"/>
      <c r="AJ680" s="628"/>
      <c r="AK680" s="628"/>
      <c r="AL680" s="628"/>
      <c r="AM680" s="628"/>
      <c r="AN680" s="628"/>
      <c r="AO680" s="628"/>
      <c r="AP680" s="628"/>
      <c r="AQ680" s="628"/>
      <c r="AR680" s="628"/>
      <c r="AS680" s="628"/>
      <c r="AT680" s="206"/>
      <c r="BA680" s="775" t="s">
        <v>172</v>
      </c>
      <c r="BB680" s="839">
        <v>2018</v>
      </c>
      <c r="BC680" s="775" t="s">
        <v>44</v>
      </c>
      <c r="BD680" s="775">
        <f t="shared" si="44"/>
        <v>173.6</v>
      </c>
      <c r="BH680" s="775" t="s">
        <v>172</v>
      </c>
      <c r="BI680" s="836" t="s">
        <v>821</v>
      </c>
      <c r="BJ680" s="775" t="s">
        <v>44</v>
      </c>
      <c r="BK680" s="775">
        <f t="shared" si="45"/>
        <v>153.1</v>
      </c>
      <c r="BL680" s="775">
        <v>2017</v>
      </c>
      <c r="CL680" s="773"/>
      <c r="CM680" s="773"/>
      <c r="CN680" s="773"/>
      <c r="CO680" s="773"/>
      <c r="CP680" s="773"/>
      <c r="CQ680" s="773"/>
      <c r="CR680" s="773"/>
    </row>
    <row r="681" spans="34:96" ht="15.75">
      <c r="AH681" s="629"/>
      <c r="AI681" s="628"/>
      <c r="AJ681" s="628"/>
      <c r="AK681" s="628"/>
      <c r="AL681" s="628"/>
      <c r="AM681" s="628"/>
      <c r="AN681" s="628"/>
      <c r="AO681" s="628"/>
      <c r="AP681" s="628"/>
      <c r="AQ681" s="628"/>
      <c r="AR681" s="628"/>
      <c r="AS681" s="628"/>
      <c r="AT681" s="206"/>
      <c r="BA681" s="775" t="s">
        <v>172</v>
      </c>
      <c r="BB681" s="839">
        <v>2018</v>
      </c>
      <c r="BC681" s="775" t="s">
        <v>45</v>
      </c>
      <c r="BD681" s="775">
        <f t="shared" si="44"/>
        <v>4.4999999999999982</v>
      </c>
      <c r="BH681" s="775" t="s">
        <v>172</v>
      </c>
      <c r="BI681" s="836" t="s">
        <v>821</v>
      </c>
      <c r="BJ681" s="775" t="s">
        <v>45</v>
      </c>
      <c r="BK681" s="775">
        <f t="shared" si="45"/>
        <v>3.5</v>
      </c>
      <c r="BL681" s="775">
        <v>2017</v>
      </c>
      <c r="CL681" s="773"/>
      <c r="CM681" s="773"/>
      <c r="CN681" s="773"/>
      <c r="CO681" s="773"/>
      <c r="CP681" s="773"/>
      <c r="CQ681" s="773"/>
      <c r="CR681" s="773"/>
    </row>
    <row r="682" spans="34:96" ht="15.75">
      <c r="AH682" s="629"/>
      <c r="AI682" s="628"/>
      <c r="AJ682" s="628"/>
      <c r="AK682" s="628"/>
      <c r="AL682" s="628"/>
      <c r="AM682" s="628"/>
      <c r="AN682" s="628"/>
      <c r="AO682" s="628"/>
      <c r="AP682" s="628"/>
      <c r="AQ682" s="628"/>
      <c r="AR682" s="628"/>
      <c r="AS682" s="628"/>
      <c r="AT682" s="206"/>
      <c r="BA682" s="775" t="s">
        <v>172</v>
      </c>
      <c r="BB682" s="839">
        <v>2018</v>
      </c>
      <c r="BC682" s="775" t="s">
        <v>48</v>
      </c>
      <c r="BD682" s="775">
        <f t="shared" si="44"/>
        <v>64.5</v>
      </c>
      <c r="BH682" s="775" t="s">
        <v>172</v>
      </c>
      <c r="BI682" s="836" t="s">
        <v>821</v>
      </c>
      <c r="BJ682" s="775" t="s">
        <v>48</v>
      </c>
      <c r="BK682" s="775">
        <f t="shared" si="45"/>
        <v>65.799999999999983</v>
      </c>
      <c r="BL682" s="775">
        <v>2017</v>
      </c>
      <c r="CL682" s="773"/>
      <c r="CM682" s="773"/>
      <c r="CN682" s="773"/>
      <c r="CO682" s="773"/>
      <c r="CP682" s="773"/>
      <c r="CQ682" s="773"/>
      <c r="CR682" s="773"/>
    </row>
    <row r="683" spans="34:96" ht="15.75">
      <c r="AH683" s="206"/>
      <c r="AI683" s="206"/>
      <c r="AJ683" s="206"/>
      <c r="AK683" s="206"/>
      <c r="AL683" s="206"/>
      <c r="AM683" s="206"/>
      <c r="AN683" s="206"/>
      <c r="AO683" s="206"/>
      <c r="AP683" s="206"/>
      <c r="AQ683" s="206"/>
      <c r="AR683" s="206"/>
      <c r="AS683" s="206"/>
      <c r="AT683" s="206"/>
      <c r="BA683" s="775" t="s">
        <v>172</v>
      </c>
      <c r="BB683" s="839">
        <v>2018</v>
      </c>
      <c r="BC683" s="775" t="s">
        <v>97</v>
      </c>
      <c r="BD683" s="775">
        <f t="shared" si="44"/>
        <v>865.50000000000045</v>
      </c>
      <c r="BH683" s="775" t="s">
        <v>172</v>
      </c>
      <c r="BI683" s="836" t="s">
        <v>821</v>
      </c>
      <c r="BJ683" s="775" t="s">
        <v>97</v>
      </c>
      <c r="BK683" s="775">
        <f t="shared" si="45"/>
        <v>774.3</v>
      </c>
      <c r="BL683" s="775">
        <v>2017</v>
      </c>
      <c r="CL683" s="773"/>
      <c r="CM683" s="773"/>
      <c r="CN683" s="773"/>
      <c r="CO683" s="773"/>
      <c r="CP683" s="773"/>
      <c r="CQ683" s="773"/>
      <c r="CR683" s="773"/>
    </row>
    <row r="684" spans="34:96" ht="15.75">
      <c r="BA684" s="775" t="s">
        <v>170</v>
      </c>
      <c r="BB684" s="839">
        <v>2018</v>
      </c>
      <c r="BC684" s="775" t="s">
        <v>15</v>
      </c>
      <c r="BD684" s="775">
        <v>260.79999999999995</v>
      </c>
      <c r="BH684" s="775" t="s">
        <v>170</v>
      </c>
      <c r="BI684" s="836" t="s">
        <v>821</v>
      </c>
      <c r="BJ684" s="775" t="s">
        <v>15</v>
      </c>
      <c r="BK684" s="838">
        <v>192.90000000000003</v>
      </c>
      <c r="BL684" s="775">
        <v>2017</v>
      </c>
      <c r="CL684" s="773"/>
      <c r="CM684" s="773"/>
      <c r="CN684" s="773"/>
      <c r="CO684" s="773"/>
      <c r="CP684" s="773"/>
      <c r="CQ684" s="773"/>
      <c r="CR684" s="773"/>
    </row>
    <row r="685" spans="34:96" ht="15.75">
      <c r="BA685" s="775" t="s">
        <v>170</v>
      </c>
      <c r="BB685" s="839">
        <v>2018</v>
      </c>
      <c r="BC685" s="775" t="s">
        <v>277</v>
      </c>
      <c r="BD685" s="775">
        <v>98.4</v>
      </c>
      <c r="BH685" s="775" t="s">
        <v>170</v>
      </c>
      <c r="BI685" s="836" t="s">
        <v>821</v>
      </c>
      <c r="BJ685" s="775" t="s">
        <v>277</v>
      </c>
      <c r="BK685" s="838">
        <v>103.3</v>
      </c>
      <c r="BL685" s="775">
        <v>2017</v>
      </c>
      <c r="CL685" s="773"/>
      <c r="CM685" s="773"/>
      <c r="CN685" s="773"/>
      <c r="CO685" s="773"/>
      <c r="CP685" s="773"/>
      <c r="CQ685" s="773"/>
      <c r="CR685" s="773"/>
    </row>
    <row r="686" spans="34:96" ht="15.75">
      <c r="BA686" s="775" t="s">
        <v>170</v>
      </c>
      <c r="BB686" s="839">
        <v>2018</v>
      </c>
      <c r="BC686" s="775" t="s">
        <v>1064</v>
      </c>
      <c r="BD686" s="775">
        <v>208.7</v>
      </c>
      <c r="BH686" s="775" t="s">
        <v>170</v>
      </c>
      <c r="BI686" s="836" t="s">
        <v>821</v>
      </c>
      <c r="BJ686" s="775" t="s">
        <v>1064</v>
      </c>
      <c r="BK686" s="838">
        <v>200.1</v>
      </c>
      <c r="BL686" s="775">
        <v>2017</v>
      </c>
      <c r="CL686" s="773"/>
      <c r="CM686" s="773"/>
      <c r="CN686" s="773"/>
      <c r="CO686" s="773"/>
      <c r="CP686" s="773"/>
      <c r="CQ686" s="773"/>
      <c r="CR686" s="773"/>
    </row>
    <row r="687" spans="34:96" ht="15.75">
      <c r="BA687" s="775" t="s">
        <v>170</v>
      </c>
      <c r="BB687" s="839">
        <v>2018</v>
      </c>
      <c r="BC687" s="775" t="s">
        <v>8</v>
      </c>
      <c r="BD687" s="775">
        <v>892.1</v>
      </c>
      <c r="BH687" s="775" t="s">
        <v>170</v>
      </c>
      <c r="BI687" s="836" t="s">
        <v>821</v>
      </c>
      <c r="BJ687" s="775" t="s">
        <v>8</v>
      </c>
      <c r="BK687" s="838">
        <v>810.1</v>
      </c>
      <c r="BL687" s="775">
        <v>2017</v>
      </c>
      <c r="CL687" s="773"/>
      <c r="CM687" s="773"/>
      <c r="CN687" s="773"/>
      <c r="CO687" s="773"/>
      <c r="CP687" s="773"/>
      <c r="CQ687" s="773"/>
      <c r="CR687" s="773"/>
    </row>
    <row r="688" spans="34:96" ht="15.75">
      <c r="BA688" s="775" t="s">
        <v>170</v>
      </c>
      <c r="BB688" s="839">
        <v>2018</v>
      </c>
      <c r="BC688" s="775" t="s">
        <v>96</v>
      </c>
      <c r="BD688" s="775">
        <v>300.89999999999998</v>
      </c>
      <c r="BH688" s="775" t="s">
        <v>170</v>
      </c>
      <c r="BI688" s="836" t="s">
        <v>821</v>
      </c>
      <c r="BJ688" s="775" t="s">
        <v>96</v>
      </c>
      <c r="BK688" s="838">
        <v>291.79999999999995</v>
      </c>
      <c r="BL688" s="775">
        <v>2017</v>
      </c>
      <c r="CL688" s="773"/>
      <c r="CM688" s="773"/>
      <c r="CN688" s="773"/>
      <c r="CO688" s="773"/>
      <c r="CP688" s="773"/>
      <c r="CQ688" s="773"/>
      <c r="CR688" s="773"/>
    </row>
    <row r="689" spans="53:96" ht="15.75">
      <c r="BA689" s="775" t="s">
        <v>170</v>
      </c>
      <c r="BB689" s="839">
        <v>2018</v>
      </c>
      <c r="BC689" s="775" t="s">
        <v>196</v>
      </c>
      <c r="BD689" s="775">
        <v>34.5</v>
      </c>
      <c r="BH689" s="775" t="s">
        <v>170</v>
      </c>
      <c r="BI689" s="836" t="s">
        <v>821</v>
      </c>
      <c r="BJ689" s="775" t="s">
        <v>196</v>
      </c>
      <c r="BK689" s="838">
        <v>27.1</v>
      </c>
      <c r="BL689" s="775">
        <v>2017</v>
      </c>
      <c r="CL689" s="773"/>
      <c r="CM689" s="773"/>
      <c r="CN689" s="773"/>
      <c r="CO689" s="773"/>
      <c r="CP689" s="773"/>
      <c r="CQ689" s="773"/>
      <c r="CR689" s="773"/>
    </row>
    <row r="690" spans="53:96" ht="15.75">
      <c r="BA690" s="775" t="s">
        <v>170</v>
      </c>
      <c r="BB690" s="839">
        <v>2018</v>
      </c>
      <c r="BC690" s="775" t="s">
        <v>278</v>
      </c>
      <c r="BD690" s="775">
        <v>12.299999999999999</v>
      </c>
      <c r="BH690" s="775" t="s">
        <v>170</v>
      </c>
      <c r="BI690" s="836" t="s">
        <v>821</v>
      </c>
      <c r="BJ690" s="775" t="s">
        <v>278</v>
      </c>
      <c r="BK690" s="838">
        <v>13</v>
      </c>
      <c r="BL690" s="775">
        <v>2017</v>
      </c>
      <c r="CL690" s="773"/>
      <c r="CM690" s="773"/>
      <c r="CN690" s="773"/>
      <c r="CO690" s="773"/>
      <c r="CP690" s="773"/>
      <c r="CQ690" s="773"/>
      <c r="CR690" s="773"/>
    </row>
    <row r="691" spans="53:96" ht="15.75">
      <c r="BA691" s="775" t="s">
        <v>170</v>
      </c>
      <c r="BB691" s="839">
        <v>2018</v>
      </c>
      <c r="BC691" s="775" t="s">
        <v>44</v>
      </c>
      <c r="BD691" s="775">
        <v>173.6</v>
      </c>
      <c r="BH691" s="775" t="s">
        <v>170</v>
      </c>
      <c r="BI691" s="836" t="s">
        <v>821</v>
      </c>
      <c r="BJ691" s="775" t="s">
        <v>44</v>
      </c>
      <c r="BK691" s="838">
        <v>154.1</v>
      </c>
      <c r="BL691" s="775">
        <v>2017</v>
      </c>
      <c r="CL691" s="773"/>
      <c r="CM691" s="773"/>
      <c r="CN691" s="773"/>
      <c r="CO691" s="773"/>
      <c r="CP691" s="773"/>
      <c r="CQ691" s="773"/>
      <c r="CR691" s="773"/>
    </row>
    <row r="692" spans="53:96" ht="15.75">
      <c r="BA692" s="775" t="s">
        <v>170</v>
      </c>
      <c r="BB692" s="839">
        <v>2018</v>
      </c>
      <c r="BC692" s="775" t="s">
        <v>45</v>
      </c>
      <c r="BD692" s="775">
        <v>9.3999999999999986</v>
      </c>
      <c r="BH692" s="775" t="s">
        <v>170</v>
      </c>
      <c r="BI692" s="836" t="s">
        <v>821</v>
      </c>
      <c r="BJ692" s="775" t="s">
        <v>45</v>
      </c>
      <c r="BK692" s="838">
        <v>8.4</v>
      </c>
      <c r="BL692" s="775">
        <v>2017</v>
      </c>
      <c r="CL692" s="773"/>
      <c r="CM692" s="773"/>
      <c r="CN692" s="773"/>
      <c r="CO692" s="773"/>
      <c r="CP692" s="773"/>
      <c r="CQ692" s="773"/>
      <c r="CR692" s="773"/>
    </row>
    <row r="693" spans="53:96" ht="15.75">
      <c r="BA693" s="775" t="s">
        <v>170</v>
      </c>
      <c r="BB693" s="839">
        <v>2018</v>
      </c>
      <c r="BC693" s="775" t="s">
        <v>48</v>
      </c>
      <c r="BD693" s="775">
        <v>193.4</v>
      </c>
      <c r="BH693" s="775" t="s">
        <v>170</v>
      </c>
      <c r="BI693" s="836" t="s">
        <v>821</v>
      </c>
      <c r="BJ693" s="775" t="s">
        <v>48</v>
      </c>
      <c r="BK693" s="838">
        <v>176.1</v>
      </c>
      <c r="BL693" s="775">
        <v>2017</v>
      </c>
      <c r="CL693" s="773"/>
      <c r="CM693" s="773"/>
      <c r="CN693" s="773"/>
      <c r="CO693" s="773"/>
      <c r="CP693" s="773"/>
      <c r="CQ693" s="773"/>
      <c r="CR693" s="773"/>
    </row>
    <row r="694" spans="53:96" ht="15.75">
      <c r="BA694" s="775" t="s">
        <v>170</v>
      </c>
      <c r="BB694" s="839">
        <v>2018</v>
      </c>
      <c r="BC694" s="775" t="s">
        <v>97</v>
      </c>
      <c r="BD694" s="775">
        <v>2183.6000000000004</v>
      </c>
      <c r="BH694" s="775" t="s">
        <v>170</v>
      </c>
      <c r="BI694" s="836" t="s">
        <v>821</v>
      </c>
      <c r="BJ694" s="775" t="s">
        <v>97</v>
      </c>
      <c r="BK694" s="838">
        <v>1977.8</v>
      </c>
      <c r="BL694" s="775">
        <v>2017</v>
      </c>
      <c r="CL694" s="773"/>
      <c r="CM694" s="773"/>
      <c r="CN694" s="773"/>
      <c r="CO694" s="773"/>
      <c r="CP694" s="773"/>
      <c r="CQ694" s="773"/>
      <c r="CR694" s="773"/>
    </row>
    <row r="695" spans="53:96" ht="15.75">
      <c r="BA695" s="775" t="s">
        <v>38</v>
      </c>
      <c r="BB695" s="839">
        <v>2020</v>
      </c>
      <c r="BC695" s="775" t="s">
        <v>15</v>
      </c>
      <c r="BD695" s="775">
        <v>136.1</v>
      </c>
      <c r="BH695" s="775" t="s">
        <v>38</v>
      </c>
      <c r="BI695" s="836" t="s">
        <v>1314</v>
      </c>
      <c r="BJ695" s="775" t="s">
        <v>15</v>
      </c>
      <c r="BK695" s="776">
        <v>147.5</v>
      </c>
      <c r="BL695" s="775">
        <v>2020</v>
      </c>
      <c r="CL695" s="773"/>
      <c r="CM695" s="773"/>
      <c r="CN695" s="773"/>
      <c r="CO695" s="773"/>
      <c r="CP695" s="773"/>
      <c r="CQ695" s="773"/>
      <c r="CR695" s="773"/>
    </row>
    <row r="696" spans="53:96" ht="15.75">
      <c r="BA696" s="775" t="s">
        <v>38</v>
      </c>
      <c r="BB696" s="839">
        <v>2020</v>
      </c>
      <c r="BC696" s="775" t="s">
        <v>277</v>
      </c>
      <c r="BD696" s="775">
        <v>15.9</v>
      </c>
      <c r="BH696" s="775" t="s">
        <v>38</v>
      </c>
      <c r="BI696" s="836" t="s">
        <v>1314</v>
      </c>
      <c r="BJ696" s="775" t="s">
        <v>277</v>
      </c>
      <c r="BK696" s="776">
        <v>21</v>
      </c>
      <c r="BL696" s="775">
        <v>2020</v>
      </c>
      <c r="CL696" s="773"/>
      <c r="CM696" s="773"/>
      <c r="CN696" s="773"/>
      <c r="CO696" s="773"/>
      <c r="CP696" s="773"/>
      <c r="CQ696" s="773"/>
      <c r="CR696" s="773"/>
    </row>
    <row r="697" spans="53:96" ht="15.75">
      <c r="BA697" s="775" t="s">
        <v>38</v>
      </c>
      <c r="BB697" s="839">
        <v>2020</v>
      </c>
      <c r="BC697" s="775" t="s">
        <v>1064</v>
      </c>
      <c r="BD697" s="775">
        <v>152.69999999999999</v>
      </c>
      <c r="BH697" s="775" t="s">
        <v>38</v>
      </c>
      <c r="BI697" s="836" t="s">
        <v>1314</v>
      </c>
      <c r="BJ697" s="775" t="s">
        <v>1064</v>
      </c>
      <c r="BK697" s="776">
        <v>185.2</v>
      </c>
      <c r="BL697" s="775">
        <v>2020</v>
      </c>
      <c r="CL697" s="773"/>
      <c r="CM697" s="773"/>
      <c r="CN697" s="773"/>
      <c r="CO697" s="773"/>
      <c r="CP697" s="773"/>
      <c r="CQ697" s="773"/>
      <c r="CR697" s="773"/>
    </row>
    <row r="698" spans="53:96" ht="15.75">
      <c r="BA698" s="775" t="s">
        <v>38</v>
      </c>
      <c r="BB698" s="839">
        <v>2020</v>
      </c>
      <c r="BC698" s="775" t="s">
        <v>8</v>
      </c>
      <c r="BD698" s="775">
        <v>921.60000000000014</v>
      </c>
      <c r="BH698" s="775" t="s">
        <v>38</v>
      </c>
      <c r="BI698" s="836" t="s">
        <v>1314</v>
      </c>
      <c r="BJ698" s="775" t="s">
        <v>8</v>
      </c>
      <c r="BK698" s="844">
        <v>1071.5</v>
      </c>
      <c r="BL698" s="775">
        <v>2020</v>
      </c>
      <c r="CL698" s="773"/>
      <c r="CM698" s="773"/>
      <c r="CN698" s="773"/>
      <c r="CO698" s="773"/>
      <c r="CP698" s="773"/>
      <c r="CQ698" s="773"/>
      <c r="CR698" s="773"/>
    </row>
    <row r="699" spans="53:96" ht="15.75">
      <c r="BA699" s="775" t="s">
        <v>38</v>
      </c>
      <c r="BB699" s="839">
        <v>2020</v>
      </c>
      <c r="BC699" s="775" t="s">
        <v>96</v>
      </c>
      <c r="BD699" s="775">
        <v>383.1</v>
      </c>
      <c r="BH699" s="775" t="s">
        <v>38</v>
      </c>
      <c r="BI699" s="836" t="s">
        <v>1314</v>
      </c>
      <c r="BJ699" s="775" t="s">
        <v>96</v>
      </c>
      <c r="BK699" s="844">
        <v>455</v>
      </c>
      <c r="BL699" s="775">
        <v>2020</v>
      </c>
      <c r="CL699" s="773"/>
      <c r="CM699" s="773"/>
      <c r="CN699" s="773"/>
      <c r="CO699" s="773"/>
      <c r="CP699" s="773"/>
      <c r="CQ699" s="773"/>
      <c r="CR699" s="773"/>
    </row>
    <row r="700" spans="53:96" ht="15.75">
      <c r="BA700" s="775" t="s">
        <v>38</v>
      </c>
      <c r="BB700" s="839">
        <v>2020</v>
      </c>
      <c r="BC700" s="775" t="s">
        <v>196</v>
      </c>
      <c r="BD700" s="775">
        <v>9.8999999999999986</v>
      </c>
      <c r="BH700" s="775" t="s">
        <v>38</v>
      </c>
      <c r="BI700" s="836" t="s">
        <v>1314</v>
      </c>
      <c r="BJ700" s="775" t="s">
        <v>196</v>
      </c>
      <c r="BK700" s="844">
        <v>13.7</v>
      </c>
      <c r="BL700" s="775">
        <v>2020</v>
      </c>
      <c r="CL700" s="773"/>
      <c r="CM700" s="773"/>
      <c r="CN700" s="773"/>
      <c r="CO700" s="773"/>
      <c r="CP700" s="773"/>
      <c r="CQ700" s="773"/>
      <c r="CR700" s="773"/>
    </row>
    <row r="701" spans="53:96" ht="15.75">
      <c r="BA701" s="775" t="s">
        <v>38</v>
      </c>
      <c r="BB701" s="839">
        <v>2020</v>
      </c>
      <c r="BC701" s="775" t="s">
        <v>278</v>
      </c>
      <c r="BD701" s="775">
        <v>0</v>
      </c>
      <c r="BH701" s="775" t="s">
        <v>38</v>
      </c>
      <c r="BI701" s="836" t="s">
        <v>1314</v>
      </c>
      <c r="BJ701" s="775" t="s">
        <v>278</v>
      </c>
      <c r="BK701" s="844">
        <v>0.3</v>
      </c>
      <c r="BL701" s="775">
        <v>2020</v>
      </c>
      <c r="CL701" s="773"/>
      <c r="CM701" s="773"/>
      <c r="CN701" s="773"/>
      <c r="CO701" s="773"/>
      <c r="CP701" s="773"/>
      <c r="CQ701" s="773"/>
      <c r="CR701" s="773"/>
    </row>
    <row r="702" spans="53:96" ht="15.75">
      <c r="BA702" s="775" t="s">
        <v>38</v>
      </c>
      <c r="BB702" s="839">
        <v>2020</v>
      </c>
      <c r="BC702" s="775" t="s">
        <v>44</v>
      </c>
      <c r="BD702" s="775">
        <v>0</v>
      </c>
      <c r="BH702" s="775" t="s">
        <v>38</v>
      </c>
      <c r="BI702" s="836" t="s">
        <v>1314</v>
      </c>
      <c r="BJ702" s="775" t="s">
        <v>44</v>
      </c>
      <c r="BK702" s="844">
        <v>0</v>
      </c>
      <c r="BL702" s="775">
        <v>2020</v>
      </c>
      <c r="CL702" s="773"/>
      <c r="CM702" s="773"/>
      <c r="CN702" s="773"/>
      <c r="CO702" s="773"/>
      <c r="CP702" s="773"/>
      <c r="CQ702" s="773"/>
      <c r="CR702" s="773"/>
    </row>
    <row r="703" spans="53:96" ht="15.75">
      <c r="BA703" s="775" t="s">
        <v>38</v>
      </c>
      <c r="BB703" s="839">
        <v>2020</v>
      </c>
      <c r="BC703" s="775" t="s">
        <v>45</v>
      </c>
      <c r="BD703" s="775">
        <v>0</v>
      </c>
      <c r="BH703" s="775" t="s">
        <v>38</v>
      </c>
      <c r="BI703" s="836" t="s">
        <v>1314</v>
      </c>
      <c r="BJ703" s="775" t="s">
        <v>45</v>
      </c>
      <c r="BK703" s="844">
        <v>0</v>
      </c>
      <c r="BL703" s="775">
        <v>2020</v>
      </c>
      <c r="CL703" s="773"/>
      <c r="CM703" s="773"/>
      <c r="CN703" s="773"/>
      <c r="CO703" s="773"/>
      <c r="CP703" s="773"/>
      <c r="CQ703" s="773"/>
      <c r="CR703" s="773"/>
    </row>
    <row r="704" spans="53:96" ht="15.75">
      <c r="BA704" s="775" t="s">
        <v>38</v>
      </c>
      <c r="BB704" s="839">
        <v>2020</v>
      </c>
      <c r="BC704" s="775" t="s">
        <v>48</v>
      </c>
      <c r="BD704" s="775">
        <v>132.9</v>
      </c>
      <c r="BH704" s="775" t="s">
        <v>38</v>
      </c>
      <c r="BI704" s="836" t="s">
        <v>1314</v>
      </c>
      <c r="BJ704" s="775" t="s">
        <v>48</v>
      </c>
      <c r="BK704" s="844">
        <v>148.4</v>
      </c>
      <c r="BL704" s="775">
        <v>2020</v>
      </c>
      <c r="CL704" s="773"/>
      <c r="CM704" s="773"/>
      <c r="CN704" s="773"/>
      <c r="CO704" s="773"/>
      <c r="CP704" s="773"/>
      <c r="CQ704" s="773"/>
      <c r="CR704" s="773"/>
    </row>
    <row r="705" spans="53:96" ht="15.75">
      <c r="BA705" s="775" t="s">
        <v>38</v>
      </c>
      <c r="BB705" s="839">
        <v>2020</v>
      </c>
      <c r="BC705" s="775" t="s">
        <v>97</v>
      </c>
      <c r="BD705" s="775">
        <v>1757.5</v>
      </c>
      <c r="BH705" s="775" t="s">
        <v>38</v>
      </c>
      <c r="BI705" s="836" t="s">
        <v>1314</v>
      </c>
      <c r="BJ705" s="775" t="s">
        <v>97</v>
      </c>
      <c r="BK705" s="844">
        <v>2052.1</v>
      </c>
      <c r="BL705" s="775">
        <v>2020</v>
      </c>
      <c r="CL705" s="773"/>
      <c r="CM705" s="773"/>
      <c r="CN705" s="773"/>
      <c r="CO705" s="773"/>
      <c r="CP705" s="773"/>
      <c r="CQ705" s="773"/>
      <c r="CR705" s="773"/>
    </row>
    <row r="706" spans="53:96" ht="15.75">
      <c r="BA706" s="775" t="s">
        <v>172</v>
      </c>
      <c r="BB706" s="839">
        <v>2020</v>
      </c>
      <c r="BC706" s="775" t="s">
        <v>15</v>
      </c>
      <c r="BD706" s="775">
        <f>BD717-BD695</f>
        <v>197.6</v>
      </c>
      <c r="BH706" s="775" t="s">
        <v>172</v>
      </c>
      <c r="BI706" s="836" t="s">
        <v>1314</v>
      </c>
      <c r="BJ706" s="775" t="s">
        <v>15</v>
      </c>
      <c r="BK706" s="775">
        <f t="shared" ref="BK706:BK716" si="46">BK717-BK695</f>
        <v>229.39999999999998</v>
      </c>
      <c r="BL706" s="775">
        <v>2020</v>
      </c>
      <c r="CL706" s="773"/>
      <c r="CM706" s="773"/>
      <c r="CN706" s="773"/>
      <c r="CO706" s="773"/>
      <c r="CP706" s="773"/>
      <c r="CQ706" s="773"/>
      <c r="CR706" s="773"/>
    </row>
    <row r="707" spans="53:96" ht="15.75">
      <c r="BA707" s="775" t="s">
        <v>172</v>
      </c>
      <c r="BB707" s="839">
        <v>2020</v>
      </c>
      <c r="BC707" s="775" t="s">
        <v>277</v>
      </c>
      <c r="BD707" s="775">
        <f>BD718-BD696</f>
        <v>35.5</v>
      </c>
      <c r="BH707" s="775" t="s">
        <v>172</v>
      </c>
      <c r="BI707" s="836" t="s">
        <v>1314</v>
      </c>
      <c r="BJ707" s="775" t="s">
        <v>277</v>
      </c>
      <c r="BK707" s="775">
        <f t="shared" si="46"/>
        <v>43.599999999999994</v>
      </c>
      <c r="BL707" s="775">
        <v>2020</v>
      </c>
      <c r="CL707" s="773"/>
      <c r="CM707" s="773"/>
      <c r="CN707" s="773"/>
      <c r="CO707" s="773"/>
      <c r="CP707" s="773"/>
      <c r="CQ707" s="773"/>
      <c r="CR707" s="773"/>
    </row>
    <row r="708" spans="53:96" ht="15.75">
      <c r="BA708" s="775" t="s">
        <v>172</v>
      </c>
      <c r="BB708" s="839">
        <v>2020</v>
      </c>
      <c r="BC708" s="775" t="s">
        <v>1064</v>
      </c>
      <c r="BD708" s="775">
        <f t="shared" ref="BD708:BD716" si="47">BD719-BD697</f>
        <v>28.700000000000017</v>
      </c>
      <c r="BH708" s="775" t="s">
        <v>172</v>
      </c>
      <c r="BI708" s="836" t="s">
        <v>1314</v>
      </c>
      <c r="BJ708" s="775" t="s">
        <v>1064</v>
      </c>
      <c r="BK708" s="775">
        <f t="shared" si="46"/>
        <v>24.700000000000017</v>
      </c>
      <c r="BL708" s="775">
        <v>2020</v>
      </c>
      <c r="CL708" s="773"/>
      <c r="CM708" s="773"/>
      <c r="CN708" s="773"/>
      <c r="CO708" s="773"/>
      <c r="CP708" s="773"/>
      <c r="CQ708" s="773"/>
      <c r="CR708" s="773"/>
    </row>
    <row r="709" spans="53:96" ht="15.75">
      <c r="BA709" s="775" t="s">
        <v>172</v>
      </c>
      <c r="BB709" s="839">
        <v>2020</v>
      </c>
      <c r="BC709" s="775" t="s">
        <v>8</v>
      </c>
      <c r="BD709" s="775">
        <f t="shared" si="47"/>
        <v>394.70000000000005</v>
      </c>
      <c r="BH709" s="775" t="s">
        <v>172</v>
      </c>
      <c r="BI709" s="836" t="s">
        <v>1314</v>
      </c>
      <c r="BJ709" s="775" t="s">
        <v>8</v>
      </c>
      <c r="BK709" s="775">
        <f t="shared" si="46"/>
        <v>458.09999999999991</v>
      </c>
      <c r="BL709" s="775">
        <v>2020</v>
      </c>
      <c r="CL709" s="773"/>
      <c r="CM709" s="773"/>
      <c r="CN709" s="773"/>
      <c r="CO709" s="773"/>
      <c r="CP709" s="773"/>
      <c r="CQ709" s="773"/>
      <c r="CR709" s="773"/>
    </row>
    <row r="710" spans="53:96" ht="15.75">
      <c r="BA710" s="775" t="s">
        <v>172</v>
      </c>
      <c r="BB710" s="839">
        <v>2020</v>
      </c>
      <c r="BC710" s="775" t="s">
        <v>96</v>
      </c>
      <c r="BD710" s="775">
        <f t="shared" si="47"/>
        <v>11.999999999999943</v>
      </c>
      <c r="BH710" s="775" t="s">
        <v>172</v>
      </c>
      <c r="BI710" s="836" t="s">
        <v>1314</v>
      </c>
      <c r="BJ710" s="775" t="s">
        <v>96</v>
      </c>
      <c r="BK710" s="775">
        <f t="shared" si="46"/>
        <v>18.199999999999989</v>
      </c>
      <c r="BL710" s="775">
        <v>2020</v>
      </c>
      <c r="CL710" s="773"/>
      <c r="CM710" s="773"/>
      <c r="CN710" s="773"/>
      <c r="CO710" s="773"/>
      <c r="CP710" s="773"/>
      <c r="CQ710" s="773"/>
      <c r="CR710" s="773"/>
    </row>
    <row r="711" spans="53:96" ht="15.75">
      <c r="BA711" s="775" t="s">
        <v>172</v>
      </c>
      <c r="BB711" s="839">
        <v>2020</v>
      </c>
      <c r="BC711" s="775" t="s">
        <v>196</v>
      </c>
      <c r="BD711" s="775">
        <f t="shared" si="47"/>
        <v>26.6</v>
      </c>
      <c r="BH711" s="775" t="s">
        <v>172</v>
      </c>
      <c r="BI711" s="836" t="s">
        <v>1314</v>
      </c>
      <c r="BJ711" s="775" t="s">
        <v>196</v>
      </c>
      <c r="BK711" s="775">
        <f t="shared" si="46"/>
        <v>23.099999999999998</v>
      </c>
      <c r="BL711" s="775">
        <v>2020</v>
      </c>
      <c r="CL711" s="773"/>
      <c r="CM711" s="773"/>
      <c r="CN711" s="773"/>
      <c r="CO711" s="773"/>
      <c r="CP711" s="773"/>
      <c r="CQ711" s="773"/>
      <c r="CR711" s="773"/>
    </row>
    <row r="712" spans="53:96" ht="15.75">
      <c r="BA712" s="775" t="s">
        <v>172</v>
      </c>
      <c r="BB712" s="839">
        <v>2020</v>
      </c>
      <c r="BC712" s="775" t="s">
        <v>278</v>
      </c>
      <c r="BD712" s="775">
        <f t="shared" si="47"/>
        <v>6.7</v>
      </c>
      <c r="BH712" s="775" t="s">
        <v>172</v>
      </c>
      <c r="BI712" s="836" t="s">
        <v>1314</v>
      </c>
      <c r="BJ712" s="775" t="s">
        <v>278</v>
      </c>
      <c r="BK712" s="775">
        <f t="shared" si="46"/>
        <v>9.3999999999999986</v>
      </c>
      <c r="BL712" s="775">
        <v>2020</v>
      </c>
      <c r="CL712" s="773"/>
      <c r="CM712" s="773"/>
      <c r="CN712" s="773"/>
      <c r="CO712" s="773"/>
      <c r="CP712" s="773"/>
      <c r="CQ712" s="773"/>
      <c r="CR712" s="773"/>
    </row>
    <row r="713" spans="53:96" ht="15.75">
      <c r="BA713" s="775" t="s">
        <v>172</v>
      </c>
      <c r="BB713" s="839">
        <v>2020</v>
      </c>
      <c r="BC713" s="775" t="s">
        <v>44</v>
      </c>
      <c r="BD713" s="775">
        <f t="shared" si="47"/>
        <v>291.60000000000002</v>
      </c>
      <c r="BH713" s="775" t="s">
        <v>172</v>
      </c>
      <c r="BI713" s="836" t="s">
        <v>1314</v>
      </c>
      <c r="BJ713" s="775" t="s">
        <v>44</v>
      </c>
      <c r="BK713" s="775">
        <f t="shared" si="46"/>
        <v>235</v>
      </c>
      <c r="BL713" s="775">
        <v>2020</v>
      </c>
      <c r="CL713" s="773"/>
      <c r="CM713" s="773"/>
      <c r="CN713" s="773"/>
      <c r="CO713" s="773"/>
      <c r="CP713" s="773"/>
      <c r="CQ713" s="773"/>
      <c r="CR713" s="773"/>
    </row>
    <row r="714" spans="53:96" ht="15.75">
      <c r="BA714" s="775" t="s">
        <v>172</v>
      </c>
      <c r="BB714" s="839">
        <v>2020</v>
      </c>
      <c r="BC714" s="775" t="s">
        <v>45</v>
      </c>
      <c r="BD714" s="775">
        <f t="shared" si="47"/>
        <v>3</v>
      </c>
      <c r="BH714" s="775" t="s">
        <v>172</v>
      </c>
      <c r="BI714" s="836" t="s">
        <v>1314</v>
      </c>
      <c r="BJ714" s="775" t="s">
        <v>45</v>
      </c>
      <c r="BK714" s="775">
        <f t="shared" si="46"/>
        <v>4</v>
      </c>
      <c r="BL714" s="775">
        <v>2020</v>
      </c>
      <c r="CL714" s="773"/>
      <c r="CM714" s="773"/>
      <c r="CN714" s="773"/>
      <c r="CO714" s="773"/>
      <c r="CP714" s="773"/>
      <c r="CQ714" s="773"/>
      <c r="CR714" s="773"/>
    </row>
    <row r="715" spans="53:96" ht="15.75">
      <c r="BA715" s="775" t="s">
        <v>172</v>
      </c>
      <c r="BB715" s="839">
        <v>2020</v>
      </c>
      <c r="BC715" s="775" t="s">
        <v>48</v>
      </c>
      <c r="BD715" s="775">
        <f t="shared" si="47"/>
        <v>59.900000000000006</v>
      </c>
      <c r="BH715" s="775" t="s">
        <v>172</v>
      </c>
      <c r="BI715" s="836" t="s">
        <v>1314</v>
      </c>
      <c r="BJ715" s="775" t="s">
        <v>48</v>
      </c>
      <c r="BK715" s="775">
        <f t="shared" si="46"/>
        <v>74</v>
      </c>
      <c r="BL715" s="775">
        <v>2020</v>
      </c>
      <c r="CL715" s="773"/>
      <c r="CM715" s="773"/>
      <c r="CN715" s="773"/>
      <c r="CO715" s="773"/>
      <c r="CP715" s="773"/>
      <c r="CQ715" s="773"/>
      <c r="CR715" s="773"/>
    </row>
    <row r="716" spans="53:96" ht="15.75">
      <c r="BA716" s="775" t="s">
        <v>172</v>
      </c>
      <c r="BB716" s="839">
        <v>2020</v>
      </c>
      <c r="BC716" s="775" t="s">
        <v>97</v>
      </c>
      <c r="BD716" s="775">
        <f t="shared" si="47"/>
        <v>1051.3000000000002</v>
      </c>
      <c r="BH716" s="775" t="s">
        <v>172</v>
      </c>
      <c r="BI716" s="836" t="s">
        <v>1314</v>
      </c>
      <c r="BJ716" s="775" t="s">
        <v>97</v>
      </c>
      <c r="BK716" s="775">
        <f t="shared" si="46"/>
        <v>1109.5999999999999</v>
      </c>
      <c r="BL716" s="775">
        <v>2020</v>
      </c>
      <c r="CL716" s="773"/>
      <c r="CM716" s="773"/>
      <c r="CN716" s="773"/>
      <c r="CO716" s="773"/>
      <c r="CP716" s="773"/>
      <c r="CQ716" s="773"/>
      <c r="CR716" s="773"/>
    </row>
    <row r="717" spans="53:96" ht="15.75">
      <c r="BA717" s="775" t="s">
        <v>170</v>
      </c>
      <c r="BB717" s="839">
        <v>2020</v>
      </c>
      <c r="BC717" s="775" t="s">
        <v>15</v>
      </c>
      <c r="BD717" s="775">
        <v>333.7</v>
      </c>
      <c r="BH717" s="775" t="s">
        <v>170</v>
      </c>
      <c r="BI717" s="836" t="s">
        <v>1314</v>
      </c>
      <c r="BJ717" s="775" t="s">
        <v>15</v>
      </c>
      <c r="BK717" s="845">
        <v>376.9</v>
      </c>
      <c r="BL717" s="775">
        <v>2020</v>
      </c>
      <c r="CL717" s="773"/>
      <c r="CM717" s="773"/>
      <c r="CN717" s="773"/>
      <c r="CO717" s="773"/>
      <c r="CP717" s="773"/>
      <c r="CQ717" s="773"/>
      <c r="CR717" s="773"/>
    </row>
    <row r="718" spans="53:96" ht="15.75">
      <c r="BA718" s="775" t="s">
        <v>170</v>
      </c>
      <c r="BB718" s="839">
        <v>2020</v>
      </c>
      <c r="BC718" s="775" t="s">
        <v>277</v>
      </c>
      <c r="BD718" s="775">
        <v>51.4</v>
      </c>
      <c r="BH718" s="775" t="s">
        <v>170</v>
      </c>
      <c r="BI718" s="836" t="s">
        <v>1314</v>
      </c>
      <c r="BJ718" s="775" t="s">
        <v>277</v>
      </c>
      <c r="BK718" s="845">
        <v>64.599999999999994</v>
      </c>
      <c r="BL718" s="775">
        <v>2020</v>
      </c>
      <c r="CL718" s="773"/>
      <c r="CM718" s="773"/>
      <c r="CN718" s="773"/>
      <c r="CO718" s="773"/>
      <c r="CP718" s="773"/>
      <c r="CQ718" s="773"/>
      <c r="CR718" s="773"/>
    </row>
    <row r="719" spans="53:96" ht="15.75">
      <c r="BA719" s="775" t="s">
        <v>170</v>
      </c>
      <c r="BB719" s="839">
        <v>2020</v>
      </c>
      <c r="BC719" s="775" t="s">
        <v>1064</v>
      </c>
      <c r="BD719" s="775">
        <v>181.4</v>
      </c>
      <c r="BH719" s="775" t="s">
        <v>170</v>
      </c>
      <c r="BI719" s="836" t="s">
        <v>1314</v>
      </c>
      <c r="BJ719" s="775" t="s">
        <v>1064</v>
      </c>
      <c r="BK719" s="845">
        <v>209.9</v>
      </c>
      <c r="BL719" s="775">
        <v>2020</v>
      </c>
      <c r="CL719" s="773"/>
      <c r="CM719" s="773"/>
      <c r="CN719" s="773"/>
      <c r="CO719" s="773"/>
      <c r="CP719" s="773"/>
      <c r="CQ719" s="773"/>
      <c r="CR719" s="773"/>
    </row>
    <row r="720" spans="53:96" ht="15.75">
      <c r="BA720" s="775" t="s">
        <v>170</v>
      </c>
      <c r="BB720" s="839">
        <v>2020</v>
      </c>
      <c r="BC720" s="775" t="s">
        <v>8</v>
      </c>
      <c r="BD720" s="775">
        <v>1316.3000000000002</v>
      </c>
      <c r="BH720" s="775" t="s">
        <v>170</v>
      </c>
      <c r="BI720" s="836" t="s">
        <v>1314</v>
      </c>
      <c r="BJ720" s="775" t="s">
        <v>8</v>
      </c>
      <c r="BK720" s="845">
        <v>1529.6</v>
      </c>
      <c r="BL720" s="775">
        <v>2020</v>
      </c>
      <c r="CL720" s="773"/>
      <c r="CM720" s="773"/>
      <c r="CN720" s="773"/>
      <c r="CO720" s="773"/>
      <c r="CP720" s="773"/>
      <c r="CQ720" s="773"/>
      <c r="CR720" s="773"/>
    </row>
    <row r="721" spans="53:96" ht="15.75">
      <c r="BA721" s="775" t="s">
        <v>170</v>
      </c>
      <c r="BB721" s="839">
        <v>2020</v>
      </c>
      <c r="BC721" s="775" t="s">
        <v>96</v>
      </c>
      <c r="BD721" s="775">
        <v>395.09999999999997</v>
      </c>
      <c r="BH721" s="775" t="s">
        <v>170</v>
      </c>
      <c r="BI721" s="836" t="s">
        <v>1314</v>
      </c>
      <c r="BJ721" s="775" t="s">
        <v>96</v>
      </c>
      <c r="BK721" s="845">
        <v>473.2</v>
      </c>
      <c r="BL721" s="775">
        <v>2020</v>
      </c>
      <c r="CL721" s="773"/>
      <c r="CM721" s="773"/>
      <c r="CN721" s="773"/>
      <c r="CO721" s="773"/>
      <c r="CP721" s="773"/>
      <c r="CQ721" s="773"/>
      <c r="CR721" s="773"/>
    </row>
    <row r="722" spans="53:96" ht="15.75">
      <c r="BA722" s="775" t="s">
        <v>170</v>
      </c>
      <c r="BB722" s="839">
        <v>2020</v>
      </c>
      <c r="BC722" s="775" t="s">
        <v>196</v>
      </c>
      <c r="BD722" s="775">
        <v>36.5</v>
      </c>
      <c r="BH722" s="775" t="s">
        <v>170</v>
      </c>
      <c r="BI722" s="836" t="s">
        <v>1314</v>
      </c>
      <c r="BJ722" s="775" t="s">
        <v>196</v>
      </c>
      <c r="BK722" s="845">
        <v>36.799999999999997</v>
      </c>
      <c r="BL722" s="775">
        <v>2020</v>
      </c>
      <c r="CL722" s="773"/>
      <c r="CM722" s="773"/>
      <c r="CN722" s="773"/>
      <c r="CO722" s="773"/>
      <c r="CP722" s="773"/>
      <c r="CQ722" s="773"/>
      <c r="CR722" s="773"/>
    </row>
    <row r="723" spans="53:96" ht="15.75">
      <c r="BA723" s="775" t="s">
        <v>170</v>
      </c>
      <c r="BB723" s="839">
        <v>2020</v>
      </c>
      <c r="BC723" s="775" t="s">
        <v>278</v>
      </c>
      <c r="BD723" s="775">
        <v>6.7</v>
      </c>
      <c r="BH723" s="775" t="s">
        <v>170</v>
      </c>
      <c r="BI723" s="836" t="s">
        <v>1314</v>
      </c>
      <c r="BJ723" s="775" t="s">
        <v>278</v>
      </c>
      <c r="BK723" s="845">
        <v>9.6999999999999993</v>
      </c>
      <c r="BL723" s="775">
        <v>2020</v>
      </c>
      <c r="CL723" s="773"/>
      <c r="CM723" s="773"/>
      <c r="CN723" s="773"/>
      <c r="CO723" s="773"/>
      <c r="CP723" s="773"/>
      <c r="CQ723" s="773"/>
      <c r="CR723" s="773"/>
    </row>
    <row r="724" spans="53:96" ht="15.75">
      <c r="BA724" s="775" t="s">
        <v>170</v>
      </c>
      <c r="BB724" s="839">
        <v>2020</v>
      </c>
      <c r="BC724" s="775" t="s">
        <v>44</v>
      </c>
      <c r="BD724" s="775">
        <v>291.60000000000002</v>
      </c>
      <c r="BH724" s="775" t="s">
        <v>170</v>
      </c>
      <c r="BI724" s="836" t="s">
        <v>1314</v>
      </c>
      <c r="BJ724" s="775" t="s">
        <v>44</v>
      </c>
      <c r="BK724" s="845">
        <v>235</v>
      </c>
      <c r="BL724" s="775">
        <v>2020</v>
      </c>
      <c r="CL724" s="773"/>
      <c r="CM724" s="773"/>
      <c r="CN724" s="773"/>
      <c r="CO724" s="773"/>
      <c r="CP724" s="773"/>
      <c r="CQ724" s="773"/>
      <c r="CR724" s="773"/>
    </row>
    <row r="725" spans="53:96" ht="15.75">
      <c r="BA725" s="775" t="s">
        <v>170</v>
      </c>
      <c r="BB725" s="839">
        <v>2020</v>
      </c>
      <c r="BC725" s="775" t="s">
        <v>45</v>
      </c>
      <c r="BD725" s="775">
        <v>3</v>
      </c>
      <c r="BH725" s="775" t="s">
        <v>170</v>
      </c>
      <c r="BI725" s="836" t="s">
        <v>1314</v>
      </c>
      <c r="BJ725" s="775" t="s">
        <v>45</v>
      </c>
      <c r="BK725" s="845">
        <v>4</v>
      </c>
      <c r="BL725" s="775">
        <v>2020</v>
      </c>
      <c r="CL725" s="773"/>
      <c r="CM725" s="773"/>
      <c r="CN725" s="773"/>
      <c r="CO725" s="773"/>
      <c r="CP725" s="773"/>
      <c r="CQ725" s="773"/>
      <c r="CR725" s="773"/>
    </row>
    <row r="726" spans="53:96" ht="15.75">
      <c r="BA726" s="775" t="s">
        <v>170</v>
      </c>
      <c r="BB726" s="839">
        <v>2020</v>
      </c>
      <c r="BC726" s="775" t="s">
        <v>48</v>
      </c>
      <c r="BD726" s="775">
        <v>192.8</v>
      </c>
      <c r="BE726" s="775"/>
      <c r="BF726" s="775"/>
      <c r="BH726" s="775" t="s">
        <v>170</v>
      </c>
      <c r="BI726" s="836" t="s">
        <v>1314</v>
      </c>
      <c r="BJ726" s="775" t="s">
        <v>48</v>
      </c>
      <c r="BK726" s="845">
        <v>222.4</v>
      </c>
      <c r="BL726" s="775">
        <v>2020</v>
      </c>
      <c r="CL726" s="773"/>
      <c r="CM726" s="773"/>
      <c r="CN726" s="773"/>
      <c r="CO726" s="773"/>
      <c r="CP726" s="773"/>
      <c r="CQ726" s="773"/>
      <c r="CR726" s="773"/>
    </row>
    <row r="727" spans="53:96" ht="15.75">
      <c r="BA727" s="775" t="s">
        <v>170</v>
      </c>
      <c r="BB727" s="839">
        <v>2020</v>
      </c>
      <c r="BC727" s="775" t="s">
        <v>97</v>
      </c>
      <c r="BD727" s="775">
        <v>2808.8</v>
      </c>
      <c r="BE727" s="775"/>
      <c r="BF727" s="775"/>
      <c r="BH727" s="775" t="s">
        <v>170</v>
      </c>
      <c r="BI727" s="836" t="s">
        <v>1314</v>
      </c>
      <c r="BJ727" s="775" t="s">
        <v>97</v>
      </c>
      <c r="BK727" s="845">
        <v>3161.7</v>
      </c>
      <c r="BL727" s="775">
        <v>2020</v>
      </c>
      <c r="CL727" s="773"/>
      <c r="CM727" s="773"/>
      <c r="CN727" s="773"/>
      <c r="CO727" s="773"/>
      <c r="CP727" s="773"/>
      <c r="CQ727" s="773"/>
      <c r="CR727" s="773"/>
    </row>
    <row r="728" spans="53:96" ht="15.75">
      <c r="BA728" s="775"/>
      <c r="BB728" s="839"/>
      <c r="BC728" s="775"/>
      <c r="BD728" s="775"/>
      <c r="BE728" s="775"/>
      <c r="BF728" s="775"/>
      <c r="BH728" s="775"/>
      <c r="CL728" s="773"/>
      <c r="CM728" s="773"/>
      <c r="CN728" s="773"/>
      <c r="CO728" s="773"/>
      <c r="CP728" s="773"/>
      <c r="CQ728" s="773"/>
      <c r="CR728" s="773"/>
    </row>
    <row r="729" spans="53:96" ht="15.75">
      <c r="BA729" s="775"/>
      <c r="BB729" s="839"/>
      <c r="BC729" s="775"/>
      <c r="BD729" s="775"/>
      <c r="BE729" s="775"/>
      <c r="BF729" s="775"/>
      <c r="CL729" s="773"/>
      <c r="CM729" s="773"/>
      <c r="CN729" s="773"/>
      <c r="CO729" s="773"/>
      <c r="CP729" s="773"/>
      <c r="CQ729" s="773"/>
      <c r="CR729" s="773"/>
    </row>
    <row r="730" spans="53:96" ht="15.75">
      <c r="BA730" s="775"/>
      <c r="BB730" s="839"/>
      <c r="BC730" s="775"/>
      <c r="BD730" s="775"/>
      <c r="BE730" s="775"/>
      <c r="BF730" s="775"/>
      <c r="CL730" s="773"/>
      <c r="CM730" s="773"/>
      <c r="CN730" s="773"/>
      <c r="CO730" s="773"/>
      <c r="CP730" s="773"/>
      <c r="CQ730" s="773"/>
      <c r="CR730" s="773"/>
    </row>
    <row r="731" spans="53:96" ht="15.75">
      <c r="BA731" s="775"/>
      <c r="BB731" s="839"/>
      <c r="BC731" s="775"/>
      <c r="BD731" s="775"/>
      <c r="BE731" s="775"/>
      <c r="BF731" s="775"/>
      <c r="CL731" s="773"/>
      <c r="CM731" s="773"/>
      <c r="CN731" s="773"/>
      <c r="CO731" s="773"/>
      <c r="CP731" s="773"/>
      <c r="CQ731" s="773"/>
      <c r="CR731" s="773"/>
    </row>
    <row r="732" spans="53:96" ht="15.75">
      <c r="BA732" s="775"/>
      <c r="BB732" s="839"/>
      <c r="BC732" s="775"/>
      <c r="BD732" s="775"/>
      <c r="BE732" s="775"/>
      <c r="BF732" s="775"/>
      <c r="CL732" s="773"/>
      <c r="CM732" s="773"/>
      <c r="CN732" s="773"/>
      <c r="CO732" s="773"/>
      <c r="CP732" s="773"/>
      <c r="CQ732" s="773"/>
      <c r="CR732" s="773"/>
    </row>
    <row r="733" spans="53:96" ht="15.75">
      <c r="BA733" s="775"/>
      <c r="BB733" s="839"/>
      <c r="BC733" s="775"/>
      <c r="BD733" s="775"/>
      <c r="BE733" s="775"/>
      <c r="BF733" s="775"/>
      <c r="CL733" s="773"/>
      <c r="CM733" s="773"/>
      <c r="CN733" s="773"/>
      <c r="CO733" s="773"/>
      <c r="CP733" s="773"/>
      <c r="CQ733" s="773"/>
      <c r="CR733" s="773"/>
    </row>
    <row r="734" spans="53:96" ht="15.75">
      <c r="BA734" s="775"/>
      <c r="BB734" s="839"/>
      <c r="BC734" s="775"/>
      <c r="BD734" s="775"/>
      <c r="BE734" s="775"/>
      <c r="BF734" s="775"/>
      <c r="CL734" s="773"/>
      <c r="CM734" s="773"/>
      <c r="CN734" s="773"/>
      <c r="CO734" s="773"/>
      <c r="CP734" s="773"/>
      <c r="CQ734" s="773"/>
      <c r="CR734" s="773"/>
    </row>
    <row r="735" spans="53:96" ht="15.75">
      <c r="BA735" s="775"/>
      <c r="BB735" s="839"/>
      <c r="BC735" s="775"/>
      <c r="BD735" s="775"/>
      <c r="BE735" s="775"/>
      <c r="BF735" s="775"/>
      <c r="CL735" s="773"/>
      <c r="CM735" s="773"/>
      <c r="CN735" s="773"/>
      <c r="CO735" s="773"/>
      <c r="CP735" s="773"/>
      <c r="CQ735" s="773"/>
      <c r="CR735" s="773"/>
    </row>
    <row r="736" spans="53:96" ht="15.75">
      <c r="BA736" s="775"/>
      <c r="BB736" s="839"/>
      <c r="BC736" s="775"/>
      <c r="BD736" s="775"/>
      <c r="BE736" s="775"/>
      <c r="BF736" s="775"/>
      <c r="CL736" s="773"/>
      <c r="CM736" s="773"/>
      <c r="CN736" s="773"/>
      <c r="CO736" s="773"/>
      <c r="CP736" s="773"/>
      <c r="CQ736" s="773"/>
      <c r="CR736" s="773"/>
    </row>
    <row r="737" spans="53:96" ht="15.75">
      <c r="BA737" s="775"/>
      <c r="BB737" s="839"/>
      <c r="BC737" s="775"/>
      <c r="BD737" s="775"/>
      <c r="BE737" s="775"/>
      <c r="BF737" s="775"/>
      <c r="CL737" s="773"/>
      <c r="CM737" s="773"/>
      <c r="CN737" s="773"/>
      <c r="CO737" s="773"/>
      <c r="CP737" s="773"/>
      <c r="CQ737" s="773"/>
      <c r="CR737" s="773"/>
    </row>
    <row r="738" spans="53:96" ht="15.75">
      <c r="BA738" s="775"/>
      <c r="BB738" s="839"/>
      <c r="BC738" s="775"/>
      <c r="BD738" s="775"/>
      <c r="BE738" s="775"/>
      <c r="BF738" s="775"/>
      <c r="CL738" s="773"/>
      <c r="CM738" s="773"/>
      <c r="CN738" s="773"/>
      <c r="CO738" s="773"/>
      <c r="CP738" s="773"/>
      <c r="CQ738" s="773"/>
      <c r="CR738" s="773"/>
    </row>
    <row r="739" spans="53:96" ht="15.75">
      <c r="BA739" s="775"/>
      <c r="BB739" s="839"/>
      <c r="BC739" s="775"/>
      <c r="BD739" s="775"/>
      <c r="BE739" s="775"/>
      <c r="BF739" s="775"/>
      <c r="CL739" s="773"/>
      <c r="CM739" s="773"/>
      <c r="CN739" s="773"/>
      <c r="CO739" s="773"/>
      <c r="CP739" s="773"/>
      <c r="CQ739" s="773"/>
      <c r="CR739" s="773"/>
    </row>
    <row r="740" spans="53:96" ht="15.75">
      <c r="BA740" s="775"/>
      <c r="BB740" s="839"/>
      <c r="BC740" s="775"/>
      <c r="BD740" s="775"/>
      <c r="BE740" s="775"/>
      <c r="BF740" s="775"/>
      <c r="CL740" s="773"/>
      <c r="CM740" s="773"/>
      <c r="CN740" s="773"/>
      <c r="CO740" s="773"/>
      <c r="CP740" s="773"/>
      <c r="CQ740" s="773"/>
      <c r="CR740" s="773"/>
    </row>
    <row r="741" spans="53:96" ht="15.75">
      <c r="BA741" s="775"/>
      <c r="BB741" s="839"/>
      <c r="BC741" s="775"/>
      <c r="BD741" s="775"/>
      <c r="BE741" s="775"/>
      <c r="BF741" s="775"/>
      <c r="CL741" s="773"/>
      <c r="CM741" s="773"/>
      <c r="CN741" s="773"/>
      <c r="CO741" s="773"/>
      <c r="CP741" s="773"/>
      <c r="CQ741" s="773"/>
      <c r="CR741" s="773"/>
    </row>
    <row r="742" spans="53:96" ht="15.75">
      <c r="BA742" s="775"/>
      <c r="BB742" s="839"/>
      <c r="BC742" s="775"/>
      <c r="BE742" s="775"/>
      <c r="BF742" s="775"/>
      <c r="CL742" s="773"/>
      <c r="CM742" s="773"/>
      <c r="CN742" s="773"/>
      <c r="CO742" s="773"/>
      <c r="CP742" s="773"/>
      <c r="CQ742" s="773"/>
      <c r="CR742" s="773"/>
    </row>
    <row r="743" spans="53:96" ht="15.75">
      <c r="BA743" s="775"/>
      <c r="BB743" s="839"/>
      <c r="BC743" s="775"/>
      <c r="BE743" s="775"/>
      <c r="BF743" s="775"/>
      <c r="CL743" s="773"/>
      <c r="CM743" s="773"/>
      <c r="CN743" s="773"/>
      <c r="CO743" s="773"/>
      <c r="CP743" s="773"/>
      <c r="CQ743" s="773"/>
      <c r="CR743" s="773"/>
    </row>
    <row r="744" spans="53:96" ht="15.75">
      <c r="BA744" s="775"/>
      <c r="BB744" s="839"/>
      <c r="BC744" s="775"/>
      <c r="BE744" s="775"/>
      <c r="BF744" s="775"/>
      <c r="CL744" s="773"/>
      <c r="CM744" s="773"/>
      <c r="CN744" s="773"/>
      <c r="CO744" s="773"/>
      <c r="CP744" s="773"/>
      <c r="CQ744" s="773"/>
      <c r="CR744" s="773"/>
    </row>
    <row r="745" spans="53:96" ht="15.75">
      <c r="BA745" s="775"/>
      <c r="BB745" s="839"/>
      <c r="BC745" s="775"/>
      <c r="BE745" s="775"/>
      <c r="BF745" s="775"/>
      <c r="CL745" s="773"/>
      <c r="CM745" s="773"/>
      <c r="CN745" s="773"/>
      <c r="CO745" s="773"/>
      <c r="CP745" s="773"/>
      <c r="CQ745" s="773"/>
      <c r="CR745" s="773"/>
    </row>
    <row r="746" spans="53:96" ht="15.75">
      <c r="BA746" s="775"/>
      <c r="BB746" s="839"/>
      <c r="BC746" s="775"/>
      <c r="BD746" s="775"/>
      <c r="BE746" s="775"/>
      <c r="BF746" s="775"/>
      <c r="CL746" s="773"/>
      <c r="CM746" s="773"/>
      <c r="CN746" s="773"/>
      <c r="CO746" s="773"/>
      <c r="CP746" s="773"/>
      <c r="CQ746" s="773"/>
      <c r="CR746" s="773"/>
    </row>
    <row r="747" spans="53:96" ht="15.75">
      <c r="BA747" s="775"/>
      <c r="BB747" s="839"/>
      <c r="BC747" s="775"/>
      <c r="BD747" s="775"/>
      <c r="BE747" s="775"/>
      <c r="BF747" s="775"/>
      <c r="BG747" s="775"/>
      <c r="BH747" s="775"/>
      <c r="BJ747" s="775"/>
      <c r="CL747" s="773"/>
      <c r="CM747" s="773"/>
      <c r="CN747" s="773"/>
      <c r="CO747" s="773"/>
      <c r="CP747" s="773"/>
      <c r="CQ747" s="773"/>
      <c r="CR747" s="773"/>
    </row>
    <row r="748" spans="53:96" ht="15.75">
      <c r="BA748" s="775"/>
      <c r="BB748" s="839"/>
      <c r="BC748" s="775"/>
      <c r="BD748" s="775"/>
      <c r="BE748" s="775"/>
      <c r="BF748" s="775"/>
      <c r="BG748" s="775"/>
      <c r="BH748" s="775"/>
      <c r="BJ748" s="775"/>
      <c r="CL748" s="773"/>
      <c r="CM748" s="773"/>
      <c r="CN748" s="773"/>
      <c r="CO748" s="773"/>
      <c r="CP748" s="773"/>
      <c r="CQ748" s="773"/>
      <c r="CR748" s="773"/>
    </row>
    <row r="749" spans="53:96" ht="15.75">
      <c r="BA749" s="775"/>
      <c r="BB749" s="839"/>
      <c r="BC749" s="775"/>
      <c r="BD749" s="775"/>
      <c r="BE749" s="775"/>
      <c r="BF749" s="775"/>
      <c r="BG749" s="775"/>
      <c r="BH749" s="775"/>
      <c r="BJ749" s="775"/>
      <c r="CL749" s="773"/>
      <c r="CM749" s="773"/>
      <c r="CN749" s="773"/>
      <c r="CO749" s="773"/>
      <c r="CP749" s="773"/>
      <c r="CQ749" s="773"/>
      <c r="CR749" s="773"/>
    </row>
    <row r="750" spans="53:96" ht="15.75">
      <c r="BA750" s="775"/>
      <c r="BB750" s="839"/>
      <c r="BC750" s="775"/>
      <c r="BD750" s="775"/>
      <c r="BE750" s="775"/>
      <c r="BF750" s="775"/>
      <c r="BG750" s="775"/>
      <c r="BH750" s="775"/>
      <c r="BJ750" s="775"/>
      <c r="CL750" s="773"/>
      <c r="CM750" s="773"/>
      <c r="CN750" s="773"/>
      <c r="CO750" s="773"/>
      <c r="CP750" s="773"/>
      <c r="CQ750" s="773"/>
      <c r="CR750" s="773"/>
    </row>
    <row r="751" spans="53:96" ht="15.75">
      <c r="BA751" s="775"/>
      <c r="BB751" s="839"/>
      <c r="BC751" s="775"/>
      <c r="BD751" s="775"/>
      <c r="BE751" s="775"/>
      <c r="BF751" s="775"/>
      <c r="BG751" s="775"/>
      <c r="BH751" s="775"/>
      <c r="BJ751" s="775"/>
      <c r="CL751" s="773"/>
      <c r="CM751" s="773"/>
      <c r="CN751" s="773"/>
      <c r="CO751" s="773"/>
      <c r="CP751" s="773"/>
      <c r="CQ751" s="773"/>
      <c r="CR751" s="773"/>
    </row>
    <row r="752" spans="53:96" ht="15.75">
      <c r="BA752" s="775"/>
      <c r="BB752" s="839"/>
      <c r="BC752" s="775"/>
      <c r="BD752" s="775"/>
      <c r="BE752" s="775"/>
      <c r="BF752" s="775"/>
      <c r="BG752" s="775"/>
      <c r="BH752" s="775"/>
      <c r="BJ752" s="775"/>
      <c r="CL752" s="773"/>
      <c r="CM752" s="773"/>
      <c r="CN752" s="773"/>
      <c r="CO752" s="773"/>
      <c r="CP752" s="773"/>
      <c r="CQ752" s="773"/>
      <c r="CR752" s="773"/>
    </row>
    <row r="753" spans="53:96" ht="15.75">
      <c r="BA753" s="775"/>
      <c r="BB753" s="839"/>
      <c r="BC753" s="775"/>
      <c r="BD753" s="775"/>
      <c r="BE753" s="775"/>
      <c r="BF753" s="775"/>
      <c r="BG753" s="775"/>
      <c r="BH753" s="775"/>
      <c r="BJ753" s="775"/>
      <c r="CL753" s="773"/>
      <c r="CM753" s="773"/>
      <c r="CN753" s="773"/>
      <c r="CO753" s="773"/>
      <c r="CP753" s="773"/>
      <c r="CQ753" s="773"/>
      <c r="CR753" s="773"/>
    </row>
    <row r="754" spans="53:96" ht="15.75">
      <c r="BA754" s="775"/>
      <c r="BB754" s="839"/>
      <c r="BC754" s="775"/>
      <c r="BD754" s="775"/>
      <c r="BE754" s="775"/>
      <c r="BF754" s="775"/>
      <c r="BG754" s="775"/>
      <c r="BH754" s="775"/>
      <c r="BJ754" s="775"/>
      <c r="CL754" s="773"/>
      <c r="CM754" s="773"/>
      <c r="CN754" s="773"/>
      <c r="CO754" s="773"/>
      <c r="CP754" s="773"/>
      <c r="CQ754" s="773"/>
      <c r="CR754" s="773"/>
    </row>
    <row r="755" spans="53:96" ht="15.75">
      <c r="BA755" s="775"/>
      <c r="BB755" s="839"/>
      <c r="BC755" s="775"/>
      <c r="BD755" s="775"/>
      <c r="BE755" s="775"/>
      <c r="BF755" s="775"/>
      <c r="BG755" s="775"/>
      <c r="BH755" s="775"/>
      <c r="BJ755" s="775"/>
      <c r="CL755" s="773"/>
      <c r="CM755" s="773"/>
      <c r="CN755" s="773"/>
      <c r="CO755" s="773"/>
      <c r="CP755" s="773"/>
      <c r="CQ755" s="773"/>
      <c r="CR755" s="773"/>
    </row>
    <row r="756" spans="53:96" ht="15.75">
      <c r="BA756" s="775"/>
      <c r="BB756" s="839"/>
      <c r="BC756" s="775"/>
      <c r="BD756" s="775"/>
      <c r="BE756" s="775"/>
      <c r="BF756" s="775"/>
      <c r="BG756" s="775"/>
      <c r="BH756" s="775"/>
      <c r="BJ756" s="775"/>
      <c r="CL756" s="773"/>
      <c r="CM756" s="773"/>
      <c r="CN756" s="773"/>
      <c r="CO756" s="773"/>
      <c r="CP756" s="773"/>
      <c r="CQ756" s="773"/>
      <c r="CR756" s="773"/>
    </row>
    <row r="757" spans="53:96" ht="15.75">
      <c r="BA757" s="775"/>
      <c r="BB757" s="839"/>
      <c r="BC757" s="775"/>
      <c r="BD757" s="775"/>
      <c r="BE757" s="775"/>
      <c r="BF757" s="775"/>
      <c r="BG757" s="775"/>
      <c r="BH757" s="775"/>
      <c r="BJ757" s="775"/>
      <c r="CL757" s="773"/>
      <c r="CM757" s="773"/>
      <c r="CN757" s="773"/>
      <c r="CO757" s="773"/>
      <c r="CP757" s="773"/>
      <c r="CQ757" s="773"/>
      <c r="CR757" s="773"/>
    </row>
    <row r="758" spans="53:96" ht="15.75">
      <c r="BA758" s="775"/>
      <c r="BB758" s="839"/>
      <c r="BC758" s="775"/>
      <c r="BD758" s="775"/>
      <c r="BE758" s="775"/>
      <c r="BF758" s="775"/>
      <c r="BG758" s="775"/>
      <c r="BH758" s="775"/>
      <c r="BJ758" s="775"/>
      <c r="CL758" s="773"/>
      <c r="CM758" s="773"/>
      <c r="CN758" s="773"/>
      <c r="CO758" s="773"/>
      <c r="CP758" s="773"/>
      <c r="CQ758" s="773"/>
      <c r="CR758" s="773"/>
    </row>
    <row r="759" spans="53:96" ht="15.75">
      <c r="BA759" s="775"/>
      <c r="BB759" s="839"/>
      <c r="BC759" s="775"/>
      <c r="BD759" s="775"/>
      <c r="BE759" s="775"/>
      <c r="BF759" s="775"/>
      <c r="BG759" s="775"/>
      <c r="BH759" s="775"/>
      <c r="BJ759" s="775"/>
      <c r="CL759" s="773"/>
      <c r="CM759" s="773"/>
      <c r="CN759" s="773"/>
      <c r="CO759" s="773"/>
      <c r="CP759" s="773"/>
      <c r="CQ759" s="773"/>
      <c r="CR759" s="773"/>
    </row>
    <row r="760" spans="53:96" ht="15.75">
      <c r="BA760" s="775"/>
      <c r="BB760" s="839"/>
      <c r="BC760" s="775"/>
      <c r="BD760" s="775"/>
      <c r="BE760" s="775"/>
      <c r="BF760" s="775"/>
      <c r="BG760" s="775"/>
      <c r="BH760" s="775"/>
      <c r="BJ760" s="775"/>
      <c r="CL760" s="773"/>
      <c r="CM760" s="773"/>
      <c r="CN760" s="773"/>
      <c r="CO760" s="773"/>
      <c r="CP760" s="773"/>
      <c r="CQ760" s="773"/>
      <c r="CR760" s="773"/>
    </row>
    <row r="761" spans="53:96" ht="15.75">
      <c r="BE761" s="775"/>
      <c r="BF761" s="775"/>
      <c r="BG761" s="775"/>
      <c r="BH761" s="775"/>
      <c r="BJ761" s="775"/>
      <c r="CL761" s="773"/>
      <c r="CM761" s="773"/>
      <c r="CN761" s="773"/>
      <c r="CO761" s="773"/>
      <c r="CP761" s="773"/>
      <c r="CQ761" s="773"/>
      <c r="CR761" s="773"/>
    </row>
    <row r="762" spans="53:96" ht="15.75">
      <c r="BE762" s="775"/>
      <c r="BF762" s="775"/>
      <c r="BG762" s="775"/>
      <c r="BH762" s="775"/>
      <c r="BJ762" s="775"/>
      <c r="CL762" s="773"/>
      <c r="CM762" s="773"/>
      <c r="CN762" s="773"/>
      <c r="CO762" s="773"/>
      <c r="CP762" s="773"/>
      <c r="CQ762" s="773"/>
      <c r="CR762" s="773"/>
    </row>
    <row r="763" spans="53:96" ht="15.75">
      <c r="BE763" s="775"/>
      <c r="BF763" s="775"/>
      <c r="BG763" s="775"/>
      <c r="BH763" s="775"/>
      <c r="BJ763" s="775"/>
      <c r="CL763" s="773"/>
      <c r="CM763" s="773"/>
      <c r="CN763" s="773"/>
      <c r="CO763" s="773"/>
      <c r="CP763" s="773"/>
      <c r="CQ763" s="773"/>
      <c r="CR763" s="773"/>
    </row>
    <row r="764" spans="53:96" ht="15.75">
      <c r="BE764" s="775"/>
      <c r="BF764" s="775"/>
      <c r="BG764" s="775"/>
      <c r="BH764" s="775"/>
      <c r="BJ764" s="775"/>
      <c r="CL764" s="773"/>
      <c r="CM764" s="773"/>
      <c r="CN764" s="773"/>
      <c r="CO764" s="773"/>
      <c r="CP764" s="773"/>
      <c r="CQ764" s="773"/>
      <c r="CR764" s="773"/>
    </row>
    <row r="765" spans="53:96" ht="15.75">
      <c r="BE765" s="775"/>
      <c r="BF765" s="775"/>
      <c r="BG765" s="775"/>
      <c r="BH765" s="775"/>
      <c r="BJ765" s="775"/>
      <c r="CL765" s="773"/>
      <c r="CM765" s="773"/>
      <c r="CN765" s="773"/>
      <c r="CO765" s="773"/>
      <c r="CP765" s="773"/>
      <c r="CQ765" s="773"/>
      <c r="CR765" s="773"/>
    </row>
    <row r="766" spans="53:96" ht="15.75">
      <c r="BE766" s="775"/>
      <c r="BF766" s="775"/>
      <c r="BG766" s="775"/>
      <c r="BH766" s="775"/>
      <c r="BJ766" s="775"/>
      <c r="CL766" s="773"/>
      <c r="CM766" s="773"/>
      <c r="CN766" s="773"/>
      <c r="CO766" s="773"/>
      <c r="CP766" s="773"/>
      <c r="CQ766" s="773"/>
      <c r="CR766" s="773"/>
    </row>
    <row r="767" spans="53:96" ht="15.75">
      <c r="BE767" s="775"/>
      <c r="BF767" s="775"/>
      <c r="BG767" s="775"/>
      <c r="BH767" s="775"/>
      <c r="BJ767" s="775"/>
      <c r="CL767" s="773"/>
      <c r="CM767" s="773"/>
      <c r="CN767" s="773"/>
      <c r="CO767" s="773"/>
      <c r="CP767" s="773"/>
      <c r="CQ767" s="773"/>
      <c r="CR767" s="773"/>
    </row>
    <row r="768" spans="53:96" ht="15.75">
      <c r="BE768" s="775"/>
      <c r="BF768" s="775"/>
      <c r="BG768" s="775"/>
      <c r="BH768" s="775"/>
      <c r="BJ768" s="775"/>
      <c r="CL768" s="773"/>
      <c r="CM768" s="773"/>
      <c r="CN768" s="773"/>
      <c r="CO768" s="773"/>
      <c r="CP768" s="773"/>
      <c r="CQ768" s="773"/>
      <c r="CR768" s="773"/>
    </row>
    <row r="769" spans="57:96" ht="15.75">
      <c r="BE769" s="775"/>
      <c r="CL769" s="773"/>
      <c r="CM769" s="773"/>
      <c r="CN769" s="773"/>
      <c r="CO769" s="773"/>
      <c r="CP769" s="773"/>
      <c r="CQ769" s="773"/>
      <c r="CR769" s="773"/>
    </row>
    <row r="770" spans="57:96" ht="15.75">
      <c r="BE770" s="775"/>
      <c r="CL770" s="773"/>
      <c r="CM770" s="773"/>
      <c r="CN770" s="773"/>
      <c r="CO770" s="773"/>
      <c r="CP770" s="773"/>
      <c r="CQ770" s="773"/>
      <c r="CR770" s="773"/>
    </row>
    <row r="771" spans="57:96" ht="15.75">
      <c r="BE771" s="775"/>
      <c r="CL771" s="773"/>
      <c r="CM771" s="773"/>
      <c r="CN771" s="773"/>
      <c r="CO771" s="773"/>
      <c r="CP771" s="773"/>
      <c r="CQ771" s="773"/>
      <c r="CR771" s="773"/>
    </row>
    <row r="772" spans="57:96" ht="15.75">
      <c r="BE772" s="775"/>
      <c r="CL772" s="773"/>
      <c r="CM772" s="773"/>
      <c r="CN772" s="773"/>
      <c r="CO772" s="773"/>
      <c r="CP772" s="773"/>
      <c r="CQ772" s="773"/>
      <c r="CR772" s="773"/>
    </row>
    <row r="773" spans="57:96" ht="15.75">
      <c r="BE773" s="775"/>
      <c r="CL773" s="773"/>
      <c r="CM773" s="773"/>
      <c r="CN773" s="773"/>
      <c r="CO773" s="773"/>
      <c r="CP773" s="773"/>
      <c r="CQ773" s="773"/>
      <c r="CR773" s="773"/>
    </row>
    <row r="774" spans="57:96" ht="15.75">
      <c r="BE774" s="775"/>
      <c r="CL774" s="773"/>
      <c r="CM774" s="773"/>
      <c r="CN774" s="773"/>
      <c r="CO774" s="773"/>
      <c r="CP774" s="773"/>
      <c r="CQ774" s="773"/>
      <c r="CR774" s="773"/>
    </row>
    <row r="775" spans="57:96" ht="15.75">
      <c r="CL775" s="773"/>
      <c r="CM775" s="773"/>
      <c r="CN775" s="773"/>
      <c r="CO775" s="773"/>
      <c r="CP775" s="773"/>
      <c r="CQ775" s="773"/>
      <c r="CR775" s="773"/>
    </row>
    <row r="776" spans="57:96" ht="15.75">
      <c r="CL776" s="773"/>
      <c r="CM776" s="773"/>
      <c r="CN776" s="773"/>
      <c r="CO776" s="773"/>
      <c r="CP776" s="773"/>
      <c r="CQ776" s="773"/>
      <c r="CR776" s="773"/>
    </row>
    <row r="777" spans="57:96" ht="15.75">
      <c r="CL777" s="773"/>
      <c r="CM777" s="773"/>
      <c r="CN777" s="773"/>
      <c r="CO777" s="773"/>
      <c r="CP777" s="773"/>
      <c r="CQ777" s="773"/>
      <c r="CR777" s="773"/>
    </row>
    <row r="778" spans="57:96" ht="15.75">
      <c r="CL778" s="773"/>
      <c r="CM778" s="773"/>
      <c r="CN778" s="773"/>
      <c r="CO778" s="773"/>
      <c r="CP778" s="773"/>
      <c r="CQ778" s="773"/>
      <c r="CR778" s="773"/>
    </row>
    <row r="779" spans="57:96" ht="15.75">
      <c r="CL779" s="773"/>
      <c r="CM779" s="773"/>
      <c r="CN779" s="773"/>
      <c r="CO779" s="773"/>
      <c r="CP779" s="773"/>
      <c r="CQ779" s="773"/>
      <c r="CR779" s="773"/>
    </row>
    <row r="780" spans="57:96" ht="15.75">
      <c r="CL780" s="773"/>
      <c r="CM780" s="773"/>
      <c r="CN780" s="773"/>
      <c r="CO780" s="773"/>
      <c r="CP780" s="773"/>
      <c r="CQ780" s="773"/>
      <c r="CR780" s="773"/>
    </row>
    <row r="781" spans="57:96" ht="15.75">
      <c r="CL781" s="773"/>
      <c r="CM781" s="773"/>
      <c r="CN781" s="773"/>
      <c r="CO781" s="773"/>
      <c r="CP781" s="773"/>
      <c r="CQ781" s="773"/>
      <c r="CR781" s="773"/>
    </row>
    <row r="782" spans="57:96" ht="15.75">
      <c r="CL782" s="773"/>
      <c r="CM782" s="773"/>
      <c r="CN782" s="773"/>
      <c r="CO782" s="773"/>
      <c r="CP782" s="773"/>
      <c r="CQ782" s="773"/>
      <c r="CR782" s="773"/>
    </row>
    <row r="783" spans="57:96" ht="15.75">
      <c r="CL783" s="773"/>
      <c r="CM783" s="773"/>
      <c r="CN783" s="773"/>
      <c r="CO783" s="773"/>
      <c r="CP783" s="773"/>
      <c r="CQ783" s="773"/>
      <c r="CR783" s="773"/>
    </row>
    <row r="784" spans="57:96" ht="15.75">
      <c r="CL784" s="773"/>
      <c r="CM784" s="773"/>
      <c r="CN784" s="773"/>
      <c r="CO784" s="773"/>
      <c r="CP784" s="773"/>
      <c r="CQ784" s="773"/>
      <c r="CR784" s="773"/>
    </row>
    <row r="785" spans="59:96" ht="15.75">
      <c r="CL785" s="773"/>
      <c r="CM785" s="773"/>
      <c r="CN785" s="773"/>
      <c r="CO785" s="773"/>
      <c r="CP785" s="773"/>
      <c r="CQ785" s="773"/>
      <c r="CR785" s="773"/>
    </row>
    <row r="786" spans="59:96" ht="15.75">
      <c r="CL786" s="773"/>
      <c r="CM786" s="773"/>
      <c r="CN786" s="773"/>
      <c r="CO786" s="773"/>
      <c r="CP786" s="773"/>
      <c r="CQ786" s="773"/>
      <c r="CR786" s="773"/>
    </row>
    <row r="787" spans="59:96" ht="15.75">
      <c r="CL787" s="773"/>
      <c r="CM787" s="773"/>
      <c r="CN787" s="773"/>
      <c r="CO787" s="773"/>
      <c r="CP787" s="773"/>
      <c r="CQ787" s="773"/>
      <c r="CR787" s="773"/>
    </row>
    <row r="788" spans="59:96" ht="15.75">
      <c r="CL788" s="773"/>
      <c r="CM788" s="773"/>
      <c r="CN788" s="773"/>
      <c r="CO788" s="773"/>
      <c r="CP788" s="773"/>
      <c r="CQ788" s="773"/>
      <c r="CR788" s="773"/>
    </row>
    <row r="789" spans="59:96" ht="15.75">
      <c r="CL789" s="773"/>
      <c r="CM789" s="773"/>
      <c r="CN789" s="773"/>
      <c r="CO789" s="773"/>
      <c r="CP789" s="773"/>
      <c r="CQ789" s="773"/>
      <c r="CR789" s="773"/>
    </row>
    <row r="790" spans="59:96" ht="15.75">
      <c r="BG790" s="775"/>
      <c r="BH790" s="775"/>
      <c r="CL790" s="773"/>
      <c r="CM790" s="773"/>
      <c r="CN790" s="773"/>
      <c r="CO790" s="773"/>
      <c r="CP790" s="773"/>
      <c r="CQ790" s="773"/>
      <c r="CR790" s="773"/>
    </row>
    <row r="791" spans="59:96" ht="15.75">
      <c r="BG791" s="775"/>
      <c r="BH791" s="775"/>
      <c r="CL791" s="773"/>
      <c r="CM791" s="773"/>
      <c r="CN791" s="773"/>
      <c r="CO791" s="773"/>
      <c r="CP791" s="773"/>
      <c r="CQ791" s="773"/>
      <c r="CR791" s="773"/>
    </row>
    <row r="792" spans="59:96" ht="15.75">
      <c r="BG792" s="775"/>
      <c r="BH792" s="775"/>
      <c r="CL792" s="773"/>
      <c r="CM792" s="773"/>
      <c r="CN792" s="773"/>
      <c r="CO792" s="773"/>
      <c r="CP792" s="773"/>
      <c r="CQ792" s="773"/>
      <c r="CR792" s="773"/>
    </row>
    <row r="793" spans="59:96" ht="15.75">
      <c r="BG793" s="775"/>
      <c r="BH793" s="775"/>
      <c r="CL793" s="773"/>
      <c r="CM793" s="773"/>
      <c r="CN793" s="773"/>
      <c r="CO793" s="773"/>
      <c r="CP793" s="773"/>
      <c r="CQ793" s="773"/>
      <c r="CR793" s="773"/>
    </row>
    <row r="794" spans="59:96" ht="15.75">
      <c r="BG794" s="775"/>
      <c r="BH794" s="775"/>
      <c r="CL794" s="773"/>
      <c r="CM794" s="773"/>
      <c r="CN794" s="773"/>
      <c r="CO794" s="773"/>
      <c r="CP794" s="773"/>
      <c r="CQ794" s="773"/>
      <c r="CR794" s="773"/>
    </row>
    <row r="795" spans="59:96" ht="15.75">
      <c r="BG795" s="775"/>
      <c r="BH795" s="775"/>
      <c r="CL795" s="773"/>
      <c r="CM795" s="773"/>
      <c r="CN795" s="773"/>
      <c r="CO795" s="773"/>
      <c r="CP795" s="773"/>
      <c r="CQ795" s="773"/>
      <c r="CR795" s="773"/>
    </row>
    <row r="796" spans="59:96" ht="15.75">
      <c r="BG796" s="775"/>
      <c r="BH796" s="775"/>
      <c r="CL796" s="773"/>
      <c r="CM796" s="773"/>
      <c r="CN796" s="773"/>
      <c r="CO796" s="773"/>
      <c r="CP796" s="773"/>
      <c r="CQ796" s="773"/>
      <c r="CR796" s="773"/>
    </row>
    <row r="797" spans="59:96" ht="15.75">
      <c r="BG797" s="775"/>
      <c r="BH797" s="775"/>
      <c r="CL797" s="773"/>
      <c r="CM797" s="773"/>
      <c r="CN797" s="773"/>
      <c r="CO797" s="773"/>
      <c r="CP797" s="773"/>
      <c r="CQ797" s="773"/>
      <c r="CR797" s="773"/>
    </row>
    <row r="798" spans="59:96">
      <c r="BG798" s="775"/>
      <c r="BH798" s="775"/>
    </row>
    <row r="799" spans="59:96">
      <c r="BG799" s="775"/>
      <c r="BH799" s="775"/>
    </row>
  </sheetData>
  <mergeCells count="1">
    <mergeCell ref="A8:L8"/>
  </mergeCells>
  <dataValidations count="2">
    <dataValidation type="list" allowBlank="1" showInputMessage="1" showErrorMessage="1" sqref="B5">
      <formula1>$BP$1:$BP$2</formula1>
    </dataValidation>
    <dataValidation type="list" allowBlank="1" showInputMessage="1" showErrorMessage="1" sqref="B6:B7">
      <formula1>$BQ$1:$BQ$31</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67"/>
  <sheetViews>
    <sheetView showGridLines="0" zoomScaleNormal="100" workbookViewId="0">
      <pane ySplit="7" topLeftCell="A8" activePane="bottomLeft" state="frozen"/>
      <selection activeCell="B1" sqref="B1"/>
      <selection pane="bottomLeft" activeCell="G242" sqref="G242"/>
    </sheetView>
  </sheetViews>
  <sheetFormatPr defaultColWidth="9.140625" defaultRowHeight="15"/>
  <cols>
    <col min="1" max="1" width="0.140625" style="19" customWidth="1"/>
    <col min="2" max="2" width="13.140625" style="298" bestFit="1" customWidth="1"/>
    <col min="3" max="3" width="13.7109375" style="298" customWidth="1"/>
    <col min="4" max="4" width="13.42578125" style="298" customWidth="1"/>
    <col min="5" max="5" width="14.28515625" style="298" customWidth="1"/>
    <col min="6" max="6" width="18" style="298" customWidth="1"/>
    <col min="7" max="7" width="15.85546875" style="298" customWidth="1"/>
    <col min="8" max="8" width="16.140625" style="298" customWidth="1"/>
    <col min="9" max="9" width="14.140625" style="298" customWidth="1"/>
    <col min="10" max="10" width="14" style="298" customWidth="1"/>
    <col min="11" max="11" width="14.5703125" style="298" customWidth="1"/>
    <col min="12" max="12" width="2.85546875" style="270" customWidth="1"/>
    <col min="13" max="13" width="10.7109375" style="270" bestFit="1" customWidth="1"/>
    <col min="14" max="14" width="13.28515625" style="270" customWidth="1"/>
    <col min="15" max="15" width="13.5703125" style="270" customWidth="1"/>
    <col min="16" max="16" width="12.7109375" style="270" customWidth="1"/>
    <col min="17" max="17" width="15.42578125" style="270" customWidth="1"/>
    <col min="18" max="18" width="13.140625" style="270" customWidth="1"/>
    <col min="19" max="19" width="13.7109375" style="270" customWidth="1"/>
    <col min="20" max="20" width="14.140625" style="270" customWidth="1"/>
    <col min="21" max="21" width="16.85546875" style="270" customWidth="1"/>
    <col min="22" max="22" width="14" style="270" customWidth="1"/>
    <col min="23" max="23" width="2.7109375" style="298" customWidth="1"/>
    <col min="24" max="24" width="15" style="270" customWidth="1"/>
    <col min="25" max="25" width="13.7109375" style="270" customWidth="1"/>
    <col min="26" max="26" width="13.42578125" style="270" customWidth="1"/>
    <col min="27" max="27" width="14.7109375" style="270" customWidth="1"/>
    <col min="28" max="28" width="14.5703125" style="270" customWidth="1"/>
    <col min="29" max="29" width="15.7109375" style="270" customWidth="1"/>
    <col min="30" max="30" width="14.28515625" style="270" customWidth="1"/>
    <col min="31" max="31" width="13.42578125" style="270" customWidth="1"/>
    <col min="32" max="32" width="16" style="270" customWidth="1"/>
    <col min="33" max="33" width="14.28515625" style="270" customWidth="1"/>
    <col min="34" max="16384" width="9.140625" style="270"/>
  </cols>
  <sheetData>
    <row r="1" spans="1:42">
      <c r="M1" s="199">
        <f>(LARGE(B8:B451,1))</f>
        <v>44348</v>
      </c>
    </row>
    <row r="2" spans="1:42">
      <c r="M2" s="199">
        <f>MATCH(M1,B8:B451,0)+6</f>
        <v>78</v>
      </c>
    </row>
    <row r="3" spans="1:42">
      <c r="M3" s="168" t="str">
        <f ca="1">IF(MONTH(INDIRECT(CONCATENATE("B",M2)))=12, "Calendar Year", "Financial year")</f>
        <v>Financial year</v>
      </c>
    </row>
    <row r="4" spans="1:42">
      <c r="M4" s="168"/>
    </row>
    <row r="6" spans="1:42" ht="15.75" thickBot="1">
      <c r="B6" s="1041" t="s">
        <v>1115</v>
      </c>
      <c r="C6" s="1041"/>
      <c r="D6" s="1041"/>
      <c r="E6" s="1041"/>
      <c r="F6" s="1041"/>
      <c r="G6" s="1041"/>
      <c r="H6" s="1041"/>
      <c r="I6" s="1041"/>
      <c r="J6" s="1041"/>
      <c r="K6" s="1041"/>
      <c r="L6" s="230"/>
      <c r="M6" s="1041" t="s">
        <v>1116</v>
      </c>
      <c r="N6" s="1041"/>
      <c r="O6" s="1041"/>
      <c r="P6" s="1041"/>
      <c r="Q6" s="1041"/>
      <c r="R6" s="1041"/>
      <c r="S6" s="1041"/>
      <c r="T6" s="1041"/>
      <c r="U6" s="1041"/>
      <c r="V6" s="26"/>
      <c r="W6" s="314"/>
      <c r="X6" s="1041" t="s">
        <v>1117</v>
      </c>
      <c r="Y6" s="1041"/>
      <c r="Z6" s="1041"/>
      <c r="AA6" s="1041"/>
      <c r="AB6" s="1041"/>
      <c r="AC6" s="1041"/>
      <c r="AD6" s="1041"/>
      <c r="AE6" s="1041"/>
      <c r="AF6" s="1041"/>
      <c r="AG6" s="1041"/>
    </row>
    <row r="7" spans="1:42" ht="79.5" customHeight="1">
      <c r="B7" s="324" t="s">
        <v>24</v>
      </c>
      <c r="C7" s="345" t="s">
        <v>1133</v>
      </c>
      <c r="D7" s="325" t="s">
        <v>1136</v>
      </c>
      <c r="E7" s="343" t="s">
        <v>1134</v>
      </c>
      <c r="F7" s="343" t="s">
        <v>1135</v>
      </c>
      <c r="G7" s="345" t="s">
        <v>1137</v>
      </c>
      <c r="H7" s="345" t="s">
        <v>1138</v>
      </c>
      <c r="I7" s="344" t="s">
        <v>1139</v>
      </c>
      <c r="J7" s="344" t="s">
        <v>1140</v>
      </c>
      <c r="K7" s="326" t="s">
        <v>1141</v>
      </c>
      <c r="L7" s="319"/>
      <c r="M7" s="327" t="s">
        <v>1063</v>
      </c>
      <c r="N7" s="345" t="s">
        <v>1133</v>
      </c>
      <c r="O7" s="343" t="s">
        <v>1136</v>
      </c>
      <c r="P7" s="343" t="s">
        <v>1134</v>
      </c>
      <c r="Q7" s="345" t="s">
        <v>1135</v>
      </c>
      <c r="R7" s="325" t="s">
        <v>1137</v>
      </c>
      <c r="S7" s="345" t="s">
        <v>1138</v>
      </c>
      <c r="T7" s="345" t="s">
        <v>1139</v>
      </c>
      <c r="U7" s="344" t="s">
        <v>1140</v>
      </c>
      <c r="V7" s="326" t="s">
        <v>1141</v>
      </c>
      <c r="W7" s="28"/>
      <c r="X7" s="327" t="s">
        <v>1063</v>
      </c>
      <c r="Y7" s="345" t="s">
        <v>1133</v>
      </c>
      <c r="Z7" s="325" t="s">
        <v>1136</v>
      </c>
      <c r="AA7" s="345" t="s">
        <v>1134</v>
      </c>
      <c r="AB7" s="325" t="s">
        <v>1135</v>
      </c>
      <c r="AC7" s="345" t="s">
        <v>1137</v>
      </c>
      <c r="AD7" s="325" t="s">
        <v>1138</v>
      </c>
      <c r="AE7" s="345" t="s">
        <v>1139</v>
      </c>
      <c r="AF7" s="345" t="s">
        <v>1140</v>
      </c>
      <c r="AG7" s="326" t="s">
        <v>1141</v>
      </c>
      <c r="AH7" s="167"/>
      <c r="AI7" s="167"/>
      <c r="AJ7" s="167"/>
      <c r="AK7" s="167"/>
      <c r="AL7" s="167"/>
      <c r="AM7" s="167"/>
      <c r="AN7" s="167"/>
      <c r="AO7" s="167"/>
      <c r="AP7" s="167"/>
    </row>
    <row r="8" spans="1:42">
      <c r="A8" s="19">
        <f>YEAR(B8)</f>
        <v>2003</v>
      </c>
      <c r="B8" s="16">
        <v>37865</v>
      </c>
      <c r="C8" s="529">
        <v>37.4</v>
      </c>
      <c r="D8" s="528">
        <f>E8-C8</f>
        <v>26.200000000000003</v>
      </c>
      <c r="E8" s="531">
        <v>63.6</v>
      </c>
      <c r="F8" s="528">
        <v>71.099999999999994</v>
      </c>
      <c r="G8" s="529">
        <f>H8-F8</f>
        <v>44.800000000000011</v>
      </c>
      <c r="H8" s="530">
        <v>115.9</v>
      </c>
      <c r="I8" s="349">
        <f t="shared" ref="I8:I39" si="0">C8/E8</f>
        <v>0.58805031446540879</v>
      </c>
      <c r="J8" s="366">
        <f>F8/H8</f>
        <v>0.61345987920621214</v>
      </c>
      <c r="K8" s="367">
        <f t="shared" ref="K8:K39" si="1">C8/(SUM(C8+F8))</f>
        <v>0.34470046082949307</v>
      </c>
      <c r="L8" s="315"/>
      <c r="M8" s="316">
        <f t="shared" ref="M8:M13" si="2">M9-1</f>
        <v>2011</v>
      </c>
      <c r="N8" s="533">
        <f t="shared" ref="N8:N17" si="3">SUMIF($A$8:$A$567,$M8,C$8:C$569)</f>
        <v>562</v>
      </c>
      <c r="O8" s="532">
        <f t="shared" ref="O8:O16" si="4">SUM(P8-N8)</f>
        <v>581.80000000000018</v>
      </c>
      <c r="P8" s="659">
        <f t="shared" ref="P8:P17" si="5">SUMIF($A$8:$A$567,$M8,E$8:E$569)</f>
        <v>1143.8000000000002</v>
      </c>
      <c r="Q8" s="532">
        <f t="shared" ref="Q8:Q17" si="6">SUMIF($A$8:$A$567,$M8,F$8:F$569)</f>
        <v>1263.3999999999999</v>
      </c>
      <c r="R8" s="659">
        <f t="shared" ref="R8:R16" si="7">SUM(S8-Q8)</f>
        <v>1166.1000000000001</v>
      </c>
      <c r="S8" s="532">
        <f t="shared" ref="S8:S17" si="8">SUMIF($A$8:$A$567,$M8,H$8:H$569)</f>
        <v>2429.5</v>
      </c>
      <c r="T8" s="370">
        <f t="shared" ref="T8:T16" si="9">N8/P8</f>
        <v>0.49134464067144595</v>
      </c>
      <c r="U8" s="338">
        <f t="shared" ref="U8:U16" si="10">Q8/S8</f>
        <v>0.52002469643959659</v>
      </c>
      <c r="V8" s="372">
        <f t="shared" ref="V8:V16" si="11">N8/(Q8+N8)</f>
        <v>0.30787772543004277</v>
      </c>
      <c r="W8" s="318"/>
      <c r="X8" s="317" t="str">
        <f t="shared" ref="X8" ca="1" si="12">IF($M$3="Calendar Year",CONCATENATE(M8,"-",M8+1),CONCATENATE(M8,"-",M8+1))</f>
        <v>2011-2012</v>
      </c>
      <c r="Y8" s="537">
        <f>SUM(C40:C43)</f>
        <v>637</v>
      </c>
      <c r="Z8" s="536">
        <f t="shared" ref="Z8:Z16" si="13">SUM(AA8-Y8)</f>
        <v>606</v>
      </c>
      <c r="AA8" s="660">
        <f>SUM(E40:E43)</f>
        <v>1243</v>
      </c>
      <c r="AB8" s="536">
        <f>SUM(F40:F43)</f>
        <v>1469.8999999999999</v>
      </c>
      <c r="AC8" s="660">
        <f t="shared" ref="AC8:AC16" si="14">SUM(AD8-AB8)</f>
        <v>1240.1000000000001</v>
      </c>
      <c r="AD8" s="536">
        <f>SUM(H40:H43)</f>
        <v>2710</v>
      </c>
      <c r="AE8" s="371">
        <f t="shared" ref="AE8:AE16" si="15">Y8/AA8</f>
        <v>0.51246983105390187</v>
      </c>
      <c r="AF8" s="339">
        <f t="shared" ref="AF8:AF16" si="16">AB8/AD8</f>
        <v>0.5423985239852398</v>
      </c>
      <c r="AG8" s="373">
        <f t="shared" ref="AG8:AG16" si="17">Y8/(AB8+Y8)</f>
        <v>0.30233993070387777</v>
      </c>
      <c r="AH8" s="167"/>
      <c r="AI8" s="167"/>
      <c r="AJ8" s="167"/>
      <c r="AK8" s="167"/>
      <c r="AL8" s="167"/>
      <c r="AM8" s="167"/>
      <c r="AN8" s="167"/>
      <c r="AO8" s="167"/>
      <c r="AP8" s="167"/>
    </row>
    <row r="9" spans="1:42">
      <c r="A9" s="19">
        <f t="shared" ref="A9:A72" si="18">YEAR(B9)</f>
        <v>2003</v>
      </c>
      <c r="B9" s="16">
        <v>37956</v>
      </c>
      <c r="C9" s="527">
        <v>54.1</v>
      </c>
      <c r="D9" s="526">
        <f t="shared" ref="D9:D72" si="19">E9-C9</f>
        <v>29.999999999999993</v>
      </c>
      <c r="E9" s="527">
        <v>84.1</v>
      </c>
      <c r="F9" s="526">
        <v>67.900000000000006</v>
      </c>
      <c r="G9" s="527">
        <f t="shared" ref="G9:G72" si="20">H9-F9</f>
        <v>47.5</v>
      </c>
      <c r="H9" s="526">
        <v>115.4</v>
      </c>
      <c r="I9" s="348">
        <f t="shared" si="0"/>
        <v>0.643281807372176</v>
      </c>
      <c r="J9" s="368">
        <f t="shared" ref="J9:J72" si="21">F9/H9</f>
        <v>0.58838821490467941</v>
      </c>
      <c r="K9" s="369">
        <f t="shared" si="1"/>
        <v>0.44344262295081971</v>
      </c>
      <c r="L9" s="315"/>
      <c r="M9" s="317">
        <f t="shared" si="2"/>
        <v>2012</v>
      </c>
      <c r="N9" s="537">
        <f t="shared" si="3"/>
        <v>664</v>
      </c>
      <c r="O9" s="536">
        <f t="shared" si="4"/>
        <v>508.69999999999982</v>
      </c>
      <c r="P9" s="660">
        <f t="shared" si="5"/>
        <v>1172.6999999999998</v>
      </c>
      <c r="Q9" s="536">
        <f t="shared" si="6"/>
        <v>1388.6000000000001</v>
      </c>
      <c r="R9" s="660">
        <f t="shared" si="7"/>
        <v>1094.6000000000001</v>
      </c>
      <c r="S9" s="536">
        <f t="shared" si="8"/>
        <v>2483.2000000000003</v>
      </c>
      <c r="T9" s="371">
        <f t="shared" si="9"/>
        <v>0.56621471817174052</v>
      </c>
      <c r="U9" s="339">
        <f t="shared" si="10"/>
        <v>0.5591978092783505</v>
      </c>
      <c r="V9" s="373">
        <f t="shared" si="11"/>
        <v>0.32349215628958389</v>
      </c>
      <c r="W9" s="318"/>
      <c r="X9" s="316" t="str">
        <f t="shared" ref="X9:X17" ca="1" si="22">IF($M$3="Calendar Year",CONCATENATE(M9,"-",M9+1),CONCATENATE(M9,"-",M9+1))</f>
        <v>2012-2013</v>
      </c>
      <c r="Y9" s="533">
        <f>SUM(C44:C47)</f>
        <v>573.79999999999995</v>
      </c>
      <c r="Z9" s="532">
        <f t="shared" si="13"/>
        <v>444.60000000000014</v>
      </c>
      <c r="AA9" s="659">
        <f>SUM(E44:E47)</f>
        <v>1018.4000000000001</v>
      </c>
      <c r="AB9" s="532">
        <f>SUM(F44:F47)</f>
        <v>1189.5999999999999</v>
      </c>
      <c r="AC9" s="659">
        <f t="shared" si="14"/>
        <v>847.50000000000045</v>
      </c>
      <c r="AD9" s="532">
        <f>SUM(H44:H47)</f>
        <v>2037.1000000000004</v>
      </c>
      <c r="AE9" s="370">
        <f t="shared" si="15"/>
        <v>0.56343283582089543</v>
      </c>
      <c r="AF9" s="338">
        <f t="shared" si="16"/>
        <v>0.58396740464385632</v>
      </c>
      <c r="AG9" s="372">
        <f t="shared" si="17"/>
        <v>0.32539412498582282</v>
      </c>
      <c r="AH9" s="167"/>
      <c r="AI9" s="167"/>
      <c r="AJ9" s="167"/>
      <c r="AK9" s="167"/>
      <c r="AL9" s="167"/>
      <c r="AM9" s="167"/>
      <c r="AN9" s="167"/>
      <c r="AO9" s="167"/>
      <c r="AP9" s="167"/>
    </row>
    <row r="10" spans="1:42">
      <c r="A10" s="19">
        <f t="shared" si="18"/>
        <v>2004</v>
      </c>
      <c r="B10" s="16">
        <v>38047</v>
      </c>
      <c r="C10" s="529">
        <v>37.6</v>
      </c>
      <c r="D10" s="528">
        <f t="shared" si="19"/>
        <v>22.5</v>
      </c>
      <c r="E10" s="531">
        <v>60.1</v>
      </c>
      <c r="F10" s="528">
        <v>59</v>
      </c>
      <c r="G10" s="529">
        <f t="shared" si="20"/>
        <v>48.099999999999994</v>
      </c>
      <c r="H10" s="530">
        <v>107.1</v>
      </c>
      <c r="I10" s="349">
        <f t="shared" si="0"/>
        <v>0.62562396006655574</v>
      </c>
      <c r="J10" s="366">
        <f t="shared" si="21"/>
        <v>0.55088702147525681</v>
      </c>
      <c r="K10" s="367">
        <f t="shared" si="1"/>
        <v>0.38923395445134579</v>
      </c>
      <c r="L10" s="167"/>
      <c r="M10" s="316">
        <f t="shared" si="2"/>
        <v>2013</v>
      </c>
      <c r="N10" s="533">
        <f t="shared" si="3"/>
        <v>484.6</v>
      </c>
      <c r="O10" s="532">
        <f t="shared" si="4"/>
        <v>384.9</v>
      </c>
      <c r="P10" s="659">
        <f t="shared" si="5"/>
        <v>869.5</v>
      </c>
      <c r="Q10" s="532">
        <f t="shared" si="6"/>
        <v>1023.5999999999999</v>
      </c>
      <c r="R10" s="659">
        <f t="shared" si="7"/>
        <v>629.5</v>
      </c>
      <c r="S10" s="532">
        <f t="shared" si="8"/>
        <v>1653.1</v>
      </c>
      <c r="T10" s="370">
        <f t="shared" si="9"/>
        <v>0.55733179988499137</v>
      </c>
      <c r="U10" s="338">
        <f t="shared" si="10"/>
        <v>0.61920029036355939</v>
      </c>
      <c r="V10" s="372">
        <f t="shared" si="11"/>
        <v>0.32131017106484555</v>
      </c>
      <c r="W10" s="318"/>
      <c r="X10" s="317" t="str">
        <f t="shared" ca="1" si="22"/>
        <v>2013-2014</v>
      </c>
      <c r="Y10" s="537">
        <f>SUM(C48:C51)</f>
        <v>381</v>
      </c>
      <c r="Z10" s="536">
        <f t="shared" si="13"/>
        <v>300.89999999999998</v>
      </c>
      <c r="AA10" s="660">
        <f>SUM(E48:E51)</f>
        <v>681.9</v>
      </c>
      <c r="AB10" s="536">
        <f>SUM(F48:F51)</f>
        <v>839.09999999999991</v>
      </c>
      <c r="AC10" s="660">
        <f t="shared" si="14"/>
        <v>587</v>
      </c>
      <c r="AD10" s="536">
        <f>SUM(H48:H51)</f>
        <v>1426.1</v>
      </c>
      <c r="AE10" s="371">
        <f t="shared" si="15"/>
        <v>0.55873295204575457</v>
      </c>
      <c r="AF10" s="339">
        <f t="shared" si="16"/>
        <v>0.58838791108617905</v>
      </c>
      <c r="AG10" s="373">
        <f t="shared" si="17"/>
        <v>0.31226948610769611</v>
      </c>
      <c r="AH10" s="167"/>
      <c r="AI10" s="167"/>
      <c r="AJ10" s="167"/>
      <c r="AK10" s="167"/>
      <c r="AL10" s="167"/>
      <c r="AM10" s="167"/>
      <c r="AN10" s="167"/>
      <c r="AO10" s="167"/>
      <c r="AP10" s="167"/>
    </row>
    <row r="11" spans="1:42">
      <c r="A11" s="19">
        <f t="shared" si="18"/>
        <v>2004</v>
      </c>
      <c r="B11" s="16">
        <v>38139</v>
      </c>
      <c r="C11" s="527">
        <v>66.7</v>
      </c>
      <c r="D11" s="526">
        <f t="shared" si="19"/>
        <v>36.599999999999994</v>
      </c>
      <c r="E11" s="527">
        <v>103.3</v>
      </c>
      <c r="F11" s="526">
        <v>72.099999999999994</v>
      </c>
      <c r="G11" s="527">
        <f t="shared" si="20"/>
        <v>65</v>
      </c>
      <c r="H11" s="526">
        <v>137.1</v>
      </c>
      <c r="I11" s="348">
        <f t="shared" si="0"/>
        <v>0.6456921587608907</v>
      </c>
      <c r="J11" s="368">
        <f t="shared" si="21"/>
        <v>0.52589350838803794</v>
      </c>
      <c r="K11" s="369">
        <f t="shared" si="1"/>
        <v>0.48054755043227665</v>
      </c>
      <c r="L11" s="167"/>
      <c r="M11" s="317">
        <f t="shared" si="2"/>
        <v>2014</v>
      </c>
      <c r="N11" s="537">
        <f t="shared" si="3"/>
        <v>290</v>
      </c>
      <c r="O11" s="536">
        <f t="shared" si="4"/>
        <v>254.89999999999998</v>
      </c>
      <c r="P11" s="660">
        <f t="shared" si="5"/>
        <v>544.9</v>
      </c>
      <c r="Q11" s="536">
        <f t="shared" si="6"/>
        <v>755.4</v>
      </c>
      <c r="R11" s="660">
        <f t="shared" si="7"/>
        <v>539.00000000000011</v>
      </c>
      <c r="S11" s="536">
        <f t="shared" si="8"/>
        <v>1294.4000000000001</v>
      </c>
      <c r="T11" s="371">
        <f t="shared" si="9"/>
        <v>0.53220774454028263</v>
      </c>
      <c r="U11" s="339">
        <f t="shared" si="10"/>
        <v>0.58359085290482071</v>
      </c>
      <c r="V11" s="373">
        <f t="shared" si="11"/>
        <v>0.27740577769274916</v>
      </c>
      <c r="W11" s="318"/>
      <c r="X11" s="316" t="str">
        <f t="shared" ca="1" si="22"/>
        <v>2014-2015</v>
      </c>
      <c r="Y11" s="533">
        <f>SUM(C52:C55)</f>
        <v>250.8</v>
      </c>
      <c r="Z11" s="532">
        <f t="shared" si="13"/>
        <v>235.3</v>
      </c>
      <c r="AA11" s="659">
        <f>SUM(E52:E55)</f>
        <v>486.1</v>
      </c>
      <c r="AB11" s="532">
        <f>SUM(F52:F55)</f>
        <v>666.5</v>
      </c>
      <c r="AC11" s="659">
        <f t="shared" si="14"/>
        <v>426.79999999999995</v>
      </c>
      <c r="AD11" s="532">
        <f>SUM(H52:H55)</f>
        <v>1093.3</v>
      </c>
      <c r="AE11" s="370">
        <f t="shared" si="15"/>
        <v>0.51594322155934991</v>
      </c>
      <c r="AF11" s="338">
        <f t="shared" si="16"/>
        <v>0.60962224458062753</v>
      </c>
      <c r="AG11" s="372">
        <f t="shared" si="17"/>
        <v>0.27341109778698358</v>
      </c>
      <c r="AH11" s="167"/>
      <c r="AI11" s="167"/>
      <c r="AJ11" s="167"/>
      <c r="AK11" s="167"/>
      <c r="AL11" s="167"/>
      <c r="AM11" s="167"/>
      <c r="AN11" s="167"/>
      <c r="AO11" s="167"/>
      <c r="AP11" s="167"/>
    </row>
    <row r="12" spans="1:42">
      <c r="A12" s="19">
        <f t="shared" si="18"/>
        <v>2004</v>
      </c>
      <c r="B12" s="16">
        <v>38231</v>
      </c>
      <c r="C12" s="529">
        <v>68.099999999999994</v>
      </c>
      <c r="D12" s="528">
        <f t="shared" si="19"/>
        <v>30</v>
      </c>
      <c r="E12" s="531">
        <v>98.1</v>
      </c>
      <c r="F12" s="528">
        <v>79.8</v>
      </c>
      <c r="G12" s="529">
        <f t="shared" si="20"/>
        <v>73.2</v>
      </c>
      <c r="H12" s="530">
        <v>153</v>
      </c>
      <c r="I12" s="349">
        <f t="shared" si="0"/>
        <v>0.6941896024464832</v>
      </c>
      <c r="J12" s="366">
        <f t="shared" si="21"/>
        <v>0.52156862745098043</v>
      </c>
      <c r="K12" s="367">
        <f t="shared" si="1"/>
        <v>0.46044624746450308</v>
      </c>
      <c r="L12" s="167"/>
      <c r="M12" s="316">
        <f t="shared" si="2"/>
        <v>2015</v>
      </c>
      <c r="N12" s="533">
        <f t="shared" si="3"/>
        <v>230.39999999999998</v>
      </c>
      <c r="O12" s="532">
        <f t="shared" si="4"/>
        <v>195.70000000000005</v>
      </c>
      <c r="P12" s="659">
        <f t="shared" si="5"/>
        <v>426.1</v>
      </c>
      <c r="Q12" s="532">
        <f t="shared" si="6"/>
        <v>613.20000000000005</v>
      </c>
      <c r="R12" s="659">
        <f t="shared" si="7"/>
        <v>399.89999999999986</v>
      </c>
      <c r="S12" s="532">
        <f t="shared" si="8"/>
        <v>1013.0999999999999</v>
      </c>
      <c r="T12" s="370">
        <f t="shared" si="9"/>
        <v>0.54071814128138929</v>
      </c>
      <c r="U12" s="338">
        <f t="shared" si="10"/>
        <v>0.60527095054782365</v>
      </c>
      <c r="V12" s="372">
        <f t="shared" si="11"/>
        <v>0.27311522048364151</v>
      </c>
      <c r="W12" s="318"/>
      <c r="X12" s="317" t="str">
        <f t="shared" ca="1" si="22"/>
        <v>2015-2016</v>
      </c>
      <c r="Y12" s="537">
        <f>SUM(C56:C59)</f>
        <v>241.40000000000003</v>
      </c>
      <c r="Z12" s="536">
        <f t="shared" si="13"/>
        <v>170.3</v>
      </c>
      <c r="AA12" s="660">
        <f>SUM(E56:E59)</f>
        <v>411.70000000000005</v>
      </c>
      <c r="AB12" s="536">
        <f>SUM(F56:F59)</f>
        <v>629.6</v>
      </c>
      <c r="AC12" s="660">
        <f t="shared" si="14"/>
        <v>379.80000000000007</v>
      </c>
      <c r="AD12" s="536">
        <f>SUM(H56:H59)</f>
        <v>1009.4000000000001</v>
      </c>
      <c r="AE12" s="371">
        <f t="shared" si="15"/>
        <v>0.58634928345882931</v>
      </c>
      <c r="AF12" s="339">
        <f t="shared" si="16"/>
        <v>0.62373687339013273</v>
      </c>
      <c r="AG12" s="373">
        <f t="shared" si="17"/>
        <v>0.27715269804822046</v>
      </c>
      <c r="AH12" s="167"/>
      <c r="AI12" s="167"/>
      <c r="AJ12" s="167"/>
      <c r="AK12" s="167"/>
      <c r="AL12" s="167"/>
      <c r="AM12" s="167"/>
      <c r="AN12" s="167"/>
      <c r="AO12" s="167"/>
      <c r="AP12" s="167"/>
    </row>
    <row r="13" spans="1:42">
      <c r="A13" s="19">
        <f t="shared" si="18"/>
        <v>2004</v>
      </c>
      <c r="B13" s="16">
        <v>38322</v>
      </c>
      <c r="C13" s="527">
        <v>74.7</v>
      </c>
      <c r="D13" s="526">
        <f t="shared" si="19"/>
        <v>32.799999999999997</v>
      </c>
      <c r="E13" s="527">
        <v>107.5</v>
      </c>
      <c r="F13" s="526">
        <v>82</v>
      </c>
      <c r="G13" s="527">
        <f t="shared" si="20"/>
        <v>71.300000000000011</v>
      </c>
      <c r="H13" s="526">
        <v>153.30000000000001</v>
      </c>
      <c r="I13" s="348">
        <f t="shared" si="0"/>
        <v>0.69488372093023254</v>
      </c>
      <c r="J13" s="368">
        <f t="shared" si="21"/>
        <v>0.5348988910632746</v>
      </c>
      <c r="K13" s="369">
        <f t="shared" si="1"/>
        <v>0.47670708359923425</v>
      </c>
      <c r="L13" s="167"/>
      <c r="M13" s="317">
        <f t="shared" si="2"/>
        <v>2016</v>
      </c>
      <c r="N13" s="537">
        <f t="shared" si="3"/>
        <v>267.5</v>
      </c>
      <c r="O13" s="536">
        <f t="shared" si="4"/>
        <v>168.39999999999998</v>
      </c>
      <c r="P13" s="660">
        <f t="shared" si="5"/>
        <v>435.9</v>
      </c>
      <c r="Q13" s="536">
        <f t="shared" si="6"/>
        <v>660.09999999999991</v>
      </c>
      <c r="R13" s="660">
        <f t="shared" si="7"/>
        <v>330.80000000000018</v>
      </c>
      <c r="S13" s="536">
        <f t="shared" si="8"/>
        <v>990.90000000000009</v>
      </c>
      <c r="T13" s="371">
        <f t="shared" si="9"/>
        <v>0.61367286074787797</v>
      </c>
      <c r="U13" s="339">
        <f t="shared" si="10"/>
        <v>0.66616207488142076</v>
      </c>
      <c r="V13" s="373">
        <f t="shared" si="11"/>
        <v>0.28837861147046145</v>
      </c>
      <c r="W13" s="318"/>
      <c r="X13" s="316" t="str">
        <f t="shared" ca="1" si="22"/>
        <v>2016-2017</v>
      </c>
      <c r="Y13" s="533">
        <f>SUM(C60:C63)</f>
        <v>295.3</v>
      </c>
      <c r="Z13" s="532">
        <f t="shared" si="13"/>
        <v>188.2</v>
      </c>
      <c r="AA13" s="659">
        <f>SUM(E60:E63)</f>
        <v>483.5</v>
      </c>
      <c r="AB13" s="532">
        <f>SUM(F60:F63)</f>
        <v>733.09999999999991</v>
      </c>
      <c r="AC13" s="659">
        <f t="shared" si="14"/>
        <v>348.5</v>
      </c>
      <c r="AD13" s="532">
        <f>SUM(H60:H63)</f>
        <v>1081.5999999999999</v>
      </c>
      <c r="AE13" s="370">
        <f t="shared" si="15"/>
        <v>0.61075491209927613</v>
      </c>
      <c r="AF13" s="338">
        <f t="shared" si="16"/>
        <v>0.67779215976331353</v>
      </c>
      <c r="AG13" s="372">
        <f t="shared" si="17"/>
        <v>0.28714507973551151</v>
      </c>
      <c r="AH13" s="167"/>
      <c r="AI13" s="167"/>
      <c r="AJ13" s="167"/>
      <c r="AK13" s="167"/>
      <c r="AL13" s="167"/>
      <c r="AM13" s="167"/>
      <c r="AN13" s="167"/>
      <c r="AO13" s="167"/>
      <c r="AP13" s="167"/>
    </row>
    <row r="14" spans="1:42">
      <c r="A14" s="19">
        <f t="shared" si="18"/>
        <v>2005</v>
      </c>
      <c r="B14" s="16">
        <v>38412</v>
      </c>
      <c r="C14" s="529">
        <v>60.2</v>
      </c>
      <c r="D14" s="528">
        <f t="shared" si="19"/>
        <v>23.599999999999994</v>
      </c>
      <c r="E14" s="531">
        <v>83.8</v>
      </c>
      <c r="F14" s="528">
        <v>74.2</v>
      </c>
      <c r="G14" s="529">
        <f t="shared" si="20"/>
        <v>67.8</v>
      </c>
      <c r="H14" s="530">
        <v>142</v>
      </c>
      <c r="I14" s="349">
        <f t="shared" si="0"/>
        <v>0.7183770883054893</v>
      </c>
      <c r="J14" s="366">
        <f t="shared" si="21"/>
        <v>0.5225352112676056</v>
      </c>
      <c r="K14" s="367">
        <f t="shared" si="1"/>
        <v>0.44791666666666669</v>
      </c>
      <c r="L14" s="167"/>
      <c r="M14" s="316">
        <v>2017</v>
      </c>
      <c r="N14" s="533">
        <f t="shared" si="3"/>
        <v>339.1</v>
      </c>
      <c r="O14" s="532">
        <f t="shared" si="4"/>
        <v>221.30000000000007</v>
      </c>
      <c r="P14" s="659">
        <f t="shared" si="5"/>
        <v>560.40000000000009</v>
      </c>
      <c r="Q14" s="532">
        <f t="shared" si="6"/>
        <v>769.9</v>
      </c>
      <c r="R14" s="659">
        <f t="shared" si="7"/>
        <v>423.50000000000011</v>
      </c>
      <c r="S14" s="532">
        <f t="shared" si="8"/>
        <v>1193.4000000000001</v>
      </c>
      <c r="T14" s="370">
        <f t="shared" si="9"/>
        <v>0.60510349750178438</v>
      </c>
      <c r="U14" s="338">
        <f t="shared" si="10"/>
        <v>0.64513155689626267</v>
      </c>
      <c r="V14" s="372">
        <f t="shared" si="11"/>
        <v>0.30577096483318306</v>
      </c>
      <c r="W14" s="318"/>
      <c r="X14" s="317" t="str">
        <f t="shared" ca="1" si="22"/>
        <v>2017-2018</v>
      </c>
      <c r="Y14" s="537">
        <f>SUM(C64:C67)</f>
        <v>405.90000000000003</v>
      </c>
      <c r="Z14" s="536">
        <f t="shared" si="13"/>
        <v>258.99999999999994</v>
      </c>
      <c r="AA14" s="660">
        <f>SUM(E64:E67)</f>
        <v>664.9</v>
      </c>
      <c r="AB14" s="536">
        <f>SUM(F64:F67)</f>
        <v>797.80000000000007</v>
      </c>
      <c r="AC14" s="660">
        <f t="shared" si="14"/>
        <v>515.1</v>
      </c>
      <c r="AD14" s="536">
        <f>SUM(H64:H67)</f>
        <v>1312.9</v>
      </c>
      <c r="AE14" s="371">
        <f t="shared" si="15"/>
        <v>0.61046773950970079</v>
      </c>
      <c r="AF14" s="339">
        <f t="shared" si="16"/>
        <v>0.60766242668900905</v>
      </c>
      <c r="AG14" s="373">
        <f t="shared" si="17"/>
        <v>0.33721026833928719</v>
      </c>
      <c r="AH14" s="167"/>
      <c r="AI14" s="167"/>
      <c r="AJ14" s="167"/>
      <c r="AK14" s="167"/>
      <c r="AL14" s="167"/>
      <c r="AM14" s="167"/>
      <c r="AN14" s="167"/>
      <c r="AO14" s="167"/>
      <c r="AP14" s="167"/>
    </row>
    <row r="15" spans="1:42">
      <c r="A15" s="19">
        <f t="shared" si="18"/>
        <v>2005</v>
      </c>
      <c r="B15" s="16">
        <v>38504</v>
      </c>
      <c r="C15" s="527">
        <v>80.2</v>
      </c>
      <c r="D15" s="526">
        <f t="shared" si="19"/>
        <v>35</v>
      </c>
      <c r="E15" s="527">
        <v>115.2</v>
      </c>
      <c r="F15" s="526">
        <v>86.8</v>
      </c>
      <c r="G15" s="527">
        <f t="shared" si="20"/>
        <v>88.7</v>
      </c>
      <c r="H15" s="526">
        <v>175.5</v>
      </c>
      <c r="I15" s="348">
        <f t="shared" si="0"/>
        <v>0.69618055555555558</v>
      </c>
      <c r="J15" s="368">
        <f t="shared" si="21"/>
        <v>0.49458689458689459</v>
      </c>
      <c r="K15" s="369">
        <f t="shared" si="1"/>
        <v>0.48023952095808387</v>
      </c>
      <c r="L15" s="167"/>
      <c r="M15" s="317">
        <v>2018</v>
      </c>
      <c r="N15" s="537">
        <f t="shared" si="3"/>
        <v>501.70000000000005</v>
      </c>
      <c r="O15" s="536">
        <f t="shared" si="4"/>
        <v>298.59999999999991</v>
      </c>
      <c r="P15" s="660">
        <f t="shared" si="5"/>
        <v>800.3</v>
      </c>
      <c r="Q15" s="536">
        <f t="shared" si="6"/>
        <v>816.7</v>
      </c>
      <c r="R15" s="660">
        <f t="shared" si="7"/>
        <v>567.19999999999982</v>
      </c>
      <c r="S15" s="536">
        <f t="shared" si="8"/>
        <v>1383.8999999999999</v>
      </c>
      <c r="T15" s="371">
        <f t="shared" si="9"/>
        <v>0.62688991628139457</v>
      </c>
      <c r="U15" s="339">
        <f t="shared" si="10"/>
        <v>0.59014379651708948</v>
      </c>
      <c r="V15" s="373">
        <f t="shared" si="11"/>
        <v>0.38053701456310679</v>
      </c>
      <c r="W15" s="318"/>
      <c r="X15" s="316" t="str">
        <f t="shared" ca="1" si="22"/>
        <v>2018-2019</v>
      </c>
      <c r="Y15" s="533">
        <f>SUM(C68:C71)</f>
        <v>598.5</v>
      </c>
      <c r="Z15" s="532">
        <f t="shared" si="13"/>
        <v>308.89999999999998</v>
      </c>
      <c r="AA15" s="659">
        <f>SUM(E68:E71)</f>
        <v>907.4</v>
      </c>
      <c r="AB15" s="532">
        <f>SUM(F68:F71)</f>
        <v>843.59999999999991</v>
      </c>
      <c r="AC15" s="659">
        <f t="shared" si="14"/>
        <v>597.20000000000005</v>
      </c>
      <c r="AD15" s="532">
        <f>SUM(H68:H71)</f>
        <v>1440.8</v>
      </c>
      <c r="AE15" s="370">
        <f t="shared" si="15"/>
        <v>0.65957681287194181</v>
      </c>
      <c r="AF15" s="338">
        <f t="shared" si="16"/>
        <v>0.58550805108273174</v>
      </c>
      <c r="AG15" s="372">
        <f t="shared" si="17"/>
        <v>0.41501976284584985</v>
      </c>
      <c r="AH15" s="167"/>
      <c r="AI15" s="167"/>
      <c r="AJ15" s="167"/>
      <c r="AK15" s="167"/>
      <c r="AL15" s="167"/>
      <c r="AM15" s="167"/>
      <c r="AN15" s="167"/>
      <c r="AO15" s="167"/>
      <c r="AP15" s="167"/>
    </row>
    <row r="16" spans="1:42">
      <c r="A16" s="19">
        <f t="shared" si="18"/>
        <v>2005</v>
      </c>
      <c r="B16" s="16">
        <v>38596</v>
      </c>
      <c r="C16" s="529">
        <v>64.2</v>
      </c>
      <c r="D16" s="528">
        <f t="shared" si="19"/>
        <v>41.3</v>
      </c>
      <c r="E16" s="531">
        <v>105.5</v>
      </c>
      <c r="F16" s="528">
        <v>90.2</v>
      </c>
      <c r="G16" s="529">
        <f t="shared" si="20"/>
        <v>96.399999999999991</v>
      </c>
      <c r="H16" s="530">
        <v>186.6</v>
      </c>
      <c r="I16" s="349">
        <f t="shared" si="0"/>
        <v>0.60853080568720386</v>
      </c>
      <c r="J16" s="366">
        <f t="shared" si="21"/>
        <v>0.48338692390139337</v>
      </c>
      <c r="K16" s="367">
        <f t="shared" si="1"/>
        <v>0.41580310880829013</v>
      </c>
      <c r="L16" s="167"/>
      <c r="M16" s="316">
        <v>2019</v>
      </c>
      <c r="N16" s="533">
        <f t="shared" si="3"/>
        <v>696</v>
      </c>
      <c r="O16" s="532">
        <f t="shared" si="4"/>
        <v>360.69999999999982</v>
      </c>
      <c r="P16" s="659">
        <f t="shared" si="5"/>
        <v>1056.6999999999998</v>
      </c>
      <c r="Q16" s="532">
        <f t="shared" si="6"/>
        <v>952.19999999999993</v>
      </c>
      <c r="R16" s="659">
        <f t="shared" si="7"/>
        <v>639.50000000000011</v>
      </c>
      <c r="S16" s="532">
        <f t="shared" si="8"/>
        <v>1591.7</v>
      </c>
      <c r="T16" s="370">
        <f t="shared" si="9"/>
        <v>0.65865430112614753</v>
      </c>
      <c r="U16" s="338">
        <f t="shared" si="10"/>
        <v>0.59822830935477789</v>
      </c>
      <c r="V16" s="372">
        <f t="shared" si="11"/>
        <v>0.42227884965416823</v>
      </c>
      <c r="W16" s="318"/>
      <c r="X16" s="317" t="str">
        <f t="shared" ca="1" si="22"/>
        <v>2019-2020</v>
      </c>
      <c r="Y16" s="537">
        <f>SUM(C72:C75)</f>
        <v>651.4</v>
      </c>
      <c r="Z16" s="536">
        <f t="shared" si="13"/>
        <v>407.6</v>
      </c>
      <c r="AA16" s="660">
        <f>SUM(E72:E75)</f>
        <v>1059</v>
      </c>
      <c r="AB16" s="536">
        <f>SUM(F72:F75)</f>
        <v>1041.8</v>
      </c>
      <c r="AC16" s="660">
        <f t="shared" si="14"/>
        <v>670.89999999999986</v>
      </c>
      <c r="AD16" s="536">
        <f>SUM(H72:H75)</f>
        <v>1712.6999999999998</v>
      </c>
      <c r="AE16" s="371">
        <f t="shared" si="15"/>
        <v>0.61510859301227572</v>
      </c>
      <c r="AF16" s="339">
        <f t="shared" si="16"/>
        <v>0.60827932504233084</v>
      </c>
      <c r="AG16" s="373">
        <f t="shared" si="17"/>
        <v>0.38471533191589891</v>
      </c>
      <c r="AH16" s="167"/>
      <c r="AI16" s="167"/>
      <c r="AJ16" s="167"/>
      <c r="AK16" s="167"/>
      <c r="AL16" s="167"/>
      <c r="AM16" s="167"/>
      <c r="AN16" s="167"/>
      <c r="AO16" s="167"/>
      <c r="AP16" s="167"/>
    </row>
    <row r="17" spans="1:42" ht="15.75" thickBot="1">
      <c r="A17" s="19">
        <f t="shared" si="18"/>
        <v>2005</v>
      </c>
      <c r="B17" s="16">
        <v>38687</v>
      </c>
      <c r="C17" s="527">
        <v>70.8</v>
      </c>
      <c r="D17" s="526">
        <f t="shared" si="19"/>
        <v>47</v>
      </c>
      <c r="E17" s="527">
        <v>117.8</v>
      </c>
      <c r="F17" s="526">
        <v>87.2</v>
      </c>
      <c r="G17" s="527">
        <f t="shared" si="20"/>
        <v>122.60000000000001</v>
      </c>
      <c r="H17" s="526">
        <v>209.8</v>
      </c>
      <c r="I17" s="348">
        <f t="shared" si="0"/>
        <v>0.60101867572156198</v>
      </c>
      <c r="J17" s="368">
        <f t="shared" si="21"/>
        <v>0.41563393708293611</v>
      </c>
      <c r="K17" s="369">
        <f t="shared" si="1"/>
        <v>0.44810126582278481</v>
      </c>
      <c r="L17" s="167"/>
      <c r="M17" s="330">
        <v>2020</v>
      </c>
      <c r="N17" s="538">
        <f t="shared" si="3"/>
        <v>577.40000000000009</v>
      </c>
      <c r="O17" s="661">
        <f t="shared" ref="O17" si="23">SUM(P17-N17)</f>
        <v>379.4</v>
      </c>
      <c r="P17" s="993">
        <f t="shared" si="5"/>
        <v>956.80000000000007</v>
      </c>
      <c r="Q17" s="994">
        <f t="shared" si="6"/>
        <v>1180.2</v>
      </c>
      <c r="R17" s="662">
        <f t="shared" ref="R17" si="24">SUM(S17-Q17)</f>
        <v>671.7</v>
      </c>
      <c r="S17" s="661">
        <f t="shared" si="8"/>
        <v>1851.9</v>
      </c>
      <c r="T17" s="489">
        <f t="shared" ref="T17" si="25">N17/P17</f>
        <v>0.60346989966555187</v>
      </c>
      <c r="U17" s="490">
        <f t="shared" ref="U17" si="26">Q17/S17</f>
        <v>0.637291430422809</v>
      </c>
      <c r="V17" s="491">
        <f t="shared" ref="V17" si="27">N17/(Q17+N17)</f>
        <v>0.32851615839781523</v>
      </c>
      <c r="W17" s="318"/>
      <c r="X17" s="758" t="str">
        <f t="shared" ca="1" si="22"/>
        <v>2020-2021</v>
      </c>
      <c r="Y17" s="807">
        <f>SUM(C76:C79)</f>
        <v>683.30000000000007</v>
      </c>
      <c r="Z17" s="808">
        <f t="shared" ref="Z17" si="28">SUM(AA17-Y17)</f>
        <v>383.6</v>
      </c>
      <c r="AA17" s="809">
        <f>SUM(E76:E79)</f>
        <v>1066.9000000000001</v>
      </c>
      <c r="AB17" s="809">
        <f>SUM(F76:F79)</f>
        <v>1368.8</v>
      </c>
      <c r="AC17" s="809">
        <f t="shared" ref="AC17" si="29">SUM(AD17-AB17)</f>
        <v>726.00000000000023</v>
      </c>
      <c r="AD17" s="808">
        <f>SUM(H76:H79)</f>
        <v>2094.8000000000002</v>
      </c>
      <c r="AE17" s="810">
        <f t="shared" ref="AE17" si="30">Y17/AA17</f>
        <v>0.64045365076389538</v>
      </c>
      <c r="AF17" s="811">
        <f t="shared" ref="AF17" si="31">AB17/AD17</f>
        <v>0.65342753484819549</v>
      </c>
      <c r="AG17" s="812">
        <f t="shared" ref="AG17" si="32">Y17/(AB17+Y17)</f>
        <v>0.332975975829638</v>
      </c>
      <c r="AH17" s="167"/>
      <c r="AI17" s="167"/>
      <c r="AJ17" s="167"/>
      <c r="AK17" s="167"/>
      <c r="AL17" s="167"/>
      <c r="AM17" s="167"/>
      <c r="AN17" s="167"/>
      <c r="AO17" s="167"/>
      <c r="AP17" s="167"/>
    </row>
    <row r="18" spans="1:42">
      <c r="A18" s="19">
        <f t="shared" si="18"/>
        <v>2006</v>
      </c>
      <c r="B18" s="16">
        <v>38777</v>
      </c>
      <c r="C18" s="529">
        <v>60.4</v>
      </c>
      <c r="D18" s="528">
        <f t="shared" si="19"/>
        <v>44.1</v>
      </c>
      <c r="E18" s="531">
        <v>104.5</v>
      </c>
      <c r="F18" s="528">
        <v>61.1</v>
      </c>
      <c r="G18" s="529">
        <f t="shared" si="20"/>
        <v>98.200000000000017</v>
      </c>
      <c r="H18" s="530">
        <v>159.30000000000001</v>
      </c>
      <c r="I18" s="349">
        <f t="shared" si="0"/>
        <v>0.57799043062200961</v>
      </c>
      <c r="J18" s="366">
        <f t="shared" si="21"/>
        <v>0.38355304456999373</v>
      </c>
      <c r="K18" s="367">
        <f t="shared" si="1"/>
        <v>0.49711934156378601</v>
      </c>
      <c r="L18" s="167"/>
      <c r="V18" s="28"/>
      <c r="W18" s="318"/>
      <c r="AB18" s="167"/>
      <c r="AC18" s="167"/>
      <c r="AD18" s="167"/>
      <c r="AF18" s="167"/>
      <c r="AG18" s="167"/>
      <c r="AH18" s="167"/>
      <c r="AI18" s="167"/>
      <c r="AJ18" s="167"/>
      <c r="AK18" s="167"/>
      <c r="AL18" s="167"/>
      <c r="AM18" s="167"/>
      <c r="AN18" s="167"/>
      <c r="AO18" s="167"/>
      <c r="AP18" s="167"/>
    </row>
    <row r="19" spans="1:42">
      <c r="A19" s="19">
        <f t="shared" si="18"/>
        <v>2006</v>
      </c>
      <c r="B19" s="16">
        <v>38869</v>
      </c>
      <c r="C19" s="527">
        <v>73.2</v>
      </c>
      <c r="D19" s="526">
        <f t="shared" si="19"/>
        <v>56.499999999999986</v>
      </c>
      <c r="E19" s="527">
        <v>129.69999999999999</v>
      </c>
      <c r="F19" s="526">
        <v>83.1</v>
      </c>
      <c r="G19" s="527">
        <f t="shared" si="20"/>
        <v>144.6</v>
      </c>
      <c r="H19" s="526">
        <v>227.7</v>
      </c>
      <c r="I19" s="348">
        <f t="shared" si="0"/>
        <v>0.5643793369313802</v>
      </c>
      <c r="J19" s="368">
        <f t="shared" si="21"/>
        <v>0.36495388669301715</v>
      </c>
      <c r="K19" s="369">
        <f t="shared" si="1"/>
        <v>0.46833013435700577</v>
      </c>
      <c r="L19" s="167"/>
      <c r="V19" s="28"/>
      <c r="W19" s="28"/>
      <c r="AB19" s="167"/>
      <c r="AC19" s="167"/>
      <c r="AD19" s="167"/>
      <c r="AF19" s="167"/>
      <c r="AG19" s="167"/>
      <c r="AH19" s="167"/>
      <c r="AI19" s="167"/>
      <c r="AJ19" s="167"/>
      <c r="AK19" s="167"/>
      <c r="AL19" s="167"/>
      <c r="AM19" s="167"/>
      <c r="AN19" s="167"/>
      <c r="AO19" s="167"/>
      <c r="AP19" s="167"/>
    </row>
    <row r="20" spans="1:42">
      <c r="A20" s="19">
        <f t="shared" si="18"/>
        <v>2006</v>
      </c>
      <c r="B20" s="16">
        <v>38961</v>
      </c>
      <c r="C20" s="529">
        <v>77.099999999999994</v>
      </c>
      <c r="D20" s="528">
        <f t="shared" si="19"/>
        <v>61.400000000000006</v>
      </c>
      <c r="E20" s="531">
        <v>138.5</v>
      </c>
      <c r="F20" s="528">
        <v>113.1</v>
      </c>
      <c r="G20" s="529">
        <f t="shared" si="20"/>
        <v>143.00000000000003</v>
      </c>
      <c r="H20" s="530">
        <v>256.10000000000002</v>
      </c>
      <c r="I20" s="349">
        <f t="shared" si="0"/>
        <v>0.55667870036101075</v>
      </c>
      <c r="J20" s="366">
        <f t="shared" si="21"/>
        <v>0.44162436548223344</v>
      </c>
      <c r="K20" s="367">
        <f t="shared" si="1"/>
        <v>0.40536277602523657</v>
      </c>
      <c r="L20" s="167"/>
      <c r="V20" s="28"/>
      <c r="W20" s="28"/>
      <c r="AB20" s="167"/>
      <c r="AC20" s="167"/>
      <c r="AD20" s="167"/>
      <c r="AF20" s="167"/>
      <c r="AG20" s="167"/>
      <c r="AH20" s="167"/>
      <c r="AI20" s="167"/>
      <c r="AJ20" s="167"/>
      <c r="AK20" s="167"/>
      <c r="AL20" s="167"/>
      <c r="AM20" s="167"/>
      <c r="AN20" s="167"/>
      <c r="AO20" s="167"/>
      <c r="AP20" s="167"/>
    </row>
    <row r="21" spans="1:42">
      <c r="A21" s="19">
        <f t="shared" si="18"/>
        <v>2006</v>
      </c>
      <c r="B21" s="16">
        <v>39052</v>
      </c>
      <c r="C21" s="527">
        <v>86.4</v>
      </c>
      <c r="D21" s="526">
        <f t="shared" si="19"/>
        <v>73.799999999999983</v>
      </c>
      <c r="E21" s="527">
        <v>160.19999999999999</v>
      </c>
      <c r="F21" s="526">
        <v>130.80000000000001</v>
      </c>
      <c r="G21" s="527">
        <f t="shared" si="20"/>
        <v>157.19999999999999</v>
      </c>
      <c r="H21" s="526">
        <v>288</v>
      </c>
      <c r="I21" s="348">
        <f t="shared" si="0"/>
        <v>0.53932584269662931</v>
      </c>
      <c r="J21" s="368">
        <f t="shared" si="21"/>
        <v>0.45416666666666672</v>
      </c>
      <c r="K21" s="369">
        <f t="shared" si="1"/>
        <v>0.39779005524861877</v>
      </c>
      <c r="L21" s="167"/>
      <c r="V21" s="28"/>
      <c r="W21" s="28"/>
      <c r="AB21" s="167"/>
      <c r="AC21" s="167"/>
      <c r="AD21" s="167"/>
      <c r="AF21" s="167"/>
      <c r="AG21" s="167"/>
      <c r="AH21" s="167"/>
      <c r="AI21" s="167"/>
      <c r="AJ21" s="167"/>
      <c r="AK21" s="167"/>
      <c r="AL21" s="167"/>
      <c r="AM21" s="167"/>
      <c r="AN21" s="167"/>
      <c r="AO21" s="167"/>
      <c r="AP21" s="167"/>
    </row>
    <row r="22" spans="1:42">
      <c r="A22" s="19">
        <f t="shared" si="18"/>
        <v>2007</v>
      </c>
      <c r="B22" s="16">
        <v>39142</v>
      </c>
      <c r="C22" s="529">
        <v>74.099999999999994</v>
      </c>
      <c r="D22" s="528">
        <f t="shared" si="19"/>
        <v>58.400000000000006</v>
      </c>
      <c r="E22" s="531">
        <v>132.5</v>
      </c>
      <c r="F22" s="528">
        <v>105.7</v>
      </c>
      <c r="G22" s="529">
        <f t="shared" si="20"/>
        <v>131.10000000000002</v>
      </c>
      <c r="H22" s="530">
        <v>236.8</v>
      </c>
      <c r="I22" s="349">
        <f t="shared" si="0"/>
        <v>0.55924528301886789</v>
      </c>
      <c r="J22" s="366">
        <f t="shared" si="21"/>
        <v>0.44636824324324326</v>
      </c>
      <c r="K22" s="367">
        <f t="shared" si="1"/>
        <v>0.41212458286985532</v>
      </c>
      <c r="L22" s="167"/>
      <c r="V22" s="28"/>
      <c r="W22" s="28"/>
      <c r="AB22" s="167"/>
      <c r="AC22" s="167"/>
      <c r="AD22" s="167"/>
      <c r="AF22" s="167"/>
      <c r="AG22" s="167"/>
      <c r="AH22" s="167"/>
      <c r="AI22" s="167"/>
      <c r="AJ22" s="167"/>
      <c r="AK22" s="167"/>
      <c r="AL22" s="167"/>
      <c r="AM22" s="167"/>
      <c r="AN22" s="167"/>
      <c r="AO22" s="167"/>
      <c r="AP22" s="167"/>
    </row>
    <row r="23" spans="1:42">
      <c r="A23" s="19">
        <f t="shared" si="18"/>
        <v>2007</v>
      </c>
      <c r="B23" s="16">
        <v>39234</v>
      </c>
      <c r="C23" s="527">
        <v>94.4</v>
      </c>
      <c r="D23" s="526">
        <f t="shared" si="19"/>
        <v>84.299999999999983</v>
      </c>
      <c r="E23" s="527">
        <v>178.7</v>
      </c>
      <c r="F23" s="526">
        <v>157.4</v>
      </c>
      <c r="G23" s="527">
        <f t="shared" si="20"/>
        <v>166.29999999999998</v>
      </c>
      <c r="H23" s="526">
        <v>323.7</v>
      </c>
      <c r="I23" s="348">
        <f t="shared" si="0"/>
        <v>0.52825965304980416</v>
      </c>
      <c r="J23" s="368">
        <f t="shared" si="21"/>
        <v>0.48625270312017305</v>
      </c>
      <c r="K23" s="369">
        <f t="shared" si="1"/>
        <v>0.37490071485305798</v>
      </c>
      <c r="L23" s="167"/>
      <c r="V23" s="28"/>
      <c r="W23" s="28"/>
      <c r="AB23" s="167"/>
      <c r="AC23" s="167"/>
      <c r="AD23" s="167"/>
      <c r="AF23" s="167"/>
      <c r="AG23" s="167"/>
      <c r="AH23" s="167"/>
      <c r="AI23" s="167"/>
      <c r="AJ23" s="167"/>
      <c r="AK23" s="167"/>
      <c r="AL23" s="167"/>
      <c r="AM23" s="167"/>
      <c r="AN23" s="167"/>
      <c r="AO23" s="167"/>
      <c r="AP23" s="167"/>
    </row>
    <row r="24" spans="1:42">
      <c r="A24" s="19">
        <f t="shared" si="18"/>
        <v>2007</v>
      </c>
      <c r="B24" s="16">
        <v>39326</v>
      </c>
      <c r="C24" s="529">
        <v>110.9</v>
      </c>
      <c r="D24" s="528">
        <f t="shared" si="19"/>
        <v>98.6</v>
      </c>
      <c r="E24" s="531">
        <v>209.5</v>
      </c>
      <c r="F24" s="528">
        <v>182.5</v>
      </c>
      <c r="G24" s="529">
        <f t="shared" si="20"/>
        <v>171.39999999999998</v>
      </c>
      <c r="H24" s="530">
        <v>353.9</v>
      </c>
      <c r="I24" s="349">
        <f t="shared" si="0"/>
        <v>0.52935560859188546</v>
      </c>
      <c r="J24" s="366">
        <f t="shared" si="21"/>
        <v>0.51568239615710654</v>
      </c>
      <c r="K24" s="367">
        <f t="shared" si="1"/>
        <v>0.37798227675528295</v>
      </c>
      <c r="L24" s="167"/>
      <c r="V24" s="28"/>
      <c r="W24" s="28"/>
      <c r="AB24" s="167"/>
      <c r="AC24" s="167"/>
      <c r="AD24" s="167"/>
      <c r="AF24" s="167"/>
      <c r="AG24" s="167"/>
      <c r="AH24" s="167"/>
      <c r="AI24" s="167"/>
      <c r="AJ24" s="167"/>
      <c r="AK24" s="167"/>
      <c r="AL24" s="167"/>
      <c r="AM24" s="167"/>
      <c r="AN24" s="167"/>
      <c r="AO24" s="167"/>
      <c r="AP24" s="167"/>
    </row>
    <row r="25" spans="1:42">
      <c r="A25" s="19">
        <f t="shared" si="18"/>
        <v>2007</v>
      </c>
      <c r="B25" s="16">
        <v>39417</v>
      </c>
      <c r="C25" s="527">
        <v>135</v>
      </c>
      <c r="D25" s="526">
        <f t="shared" si="19"/>
        <v>139.19999999999999</v>
      </c>
      <c r="E25" s="527">
        <v>274.2</v>
      </c>
      <c r="F25" s="526">
        <v>178.8</v>
      </c>
      <c r="G25" s="527">
        <f t="shared" si="20"/>
        <v>172.89999999999998</v>
      </c>
      <c r="H25" s="526">
        <v>351.7</v>
      </c>
      <c r="I25" s="348">
        <f t="shared" si="0"/>
        <v>0.49234135667396062</v>
      </c>
      <c r="J25" s="368">
        <f t="shared" si="21"/>
        <v>0.5083878305373899</v>
      </c>
      <c r="K25" s="369">
        <f t="shared" si="1"/>
        <v>0.43021032504780116</v>
      </c>
      <c r="L25" s="167"/>
      <c r="V25" s="28"/>
      <c r="W25" s="28"/>
      <c r="AB25" s="167"/>
      <c r="AC25" s="167"/>
      <c r="AD25" s="167"/>
      <c r="AF25" s="167"/>
      <c r="AG25" s="167"/>
      <c r="AH25" s="167"/>
      <c r="AI25" s="167"/>
      <c r="AJ25" s="167"/>
      <c r="AK25" s="167"/>
      <c r="AL25" s="167"/>
      <c r="AM25" s="167"/>
      <c r="AN25" s="167"/>
      <c r="AO25" s="167"/>
      <c r="AP25" s="167"/>
    </row>
    <row r="26" spans="1:42">
      <c r="A26" s="19">
        <f t="shared" si="18"/>
        <v>2008</v>
      </c>
      <c r="B26" s="16">
        <v>39508</v>
      </c>
      <c r="C26" s="529">
        <v>117.4</v>
      </c>
      <c r="D26" s="528">
        <f t="shared" si="19"/>
        <v>106.19999999999999</v>
      </c>
      <c r="E26" s="531">
        <v>223.6</v>
      </c>
      <c r="F26" s="528">
        <v>154</v>
      </c>
      <c r="G26" s="529">
        <f t="shared" si="20"/>
        <v>166.3</v>
      </c>
      <c r="H26" s="530">
        <v>320.3</v>
      </c>
      <c r="I26" s="349">
        <f t="shared" si="0"/>
        <v>0.52504472271914138</v>
      </c>
      <c r="J26" s="366">
        <f t="shared" si="21"/>
        <v>0.48079925070246643</v>
      </c>
      <c r="K26" s="367">
        <f t="shared" si="1"/>
        <v>0.43257184966838619</v>
      </c>
      <c r="L26" s="167"/>
      <c r="V26" s="28"/>
      <c r="W26" s="28"/>
      <c r="AB26" s="167"/>
      <c r="AC26" s="167"/>
      <c r="AD26" s="167"/>
      <c r="AF26" s="167"/>
      <c r="AG26" s="167"/>
      <c r="AH26" s="167"/>
      <c r="AI26" s="167"/>
      <c r="AJ26" s="167"/>
      <c r="AK26" s="167"/>
      <c r="AL26" s="167"/>
      <c r="AM26" s="167"/>
      <c r="AN26" s="167"/>
      <c r="AO26" s="167"/>
      <c r="AP26" s="167"/>
    </row>
    <row r="27" spans="1:42">
      <c r="A27" s="19">
        <f t="shared" si="18"/>
        <v>2008</v>
      </c>
      <c r="B27" s="16">
        <v>39600</v>
      </c>
      <c r="C27" s="527">
        <v>173.6</v>
      </c>
      <c r="D27" s="526">
        <f t="shared" si="19"/>
        <v>131.79999999999998</v>
      </c>
      <c r="E27" s="527">
        <v>305.39999999999998</v>
      </c>
      <c r="F27" s="526">
        <v>207.6</v>
      </c>
      <c r="G27" s="527">
        <f t="shared" si="20"/>
        <v>215.1</v>
      </c>
      <c r="H27" s="526">
        <v>422.7</v>
      </c>
      <c r="I27" s="348">
        <f t="shared" si="0"/>
        <v>0.56843483955468244</v>
      </c>
      <c r="J27" s="368">
        <f t="shared" si="21"/>
        <v>0.49112845990063875</v>
      </c>
      <c r="K27" s="369">
        <f t="shared" si="1"/>
        <v>0.45540398740818466</v>
      </c>
      <c r="L27" s="167"/>
      <c r="N27" s="234"/>
      <c r="O27" s="234"/>
      <c r="P27" s="234"/>
      <c r="Q27" s="235"/>
      <c r="R27" s="235"/>
      <c r="S27" s="234"/>
      <c r="T27" s="234"/>
      <c r="U27" s="234"/>
      <c r="V27" s="28"/>
      <c r="W27" s="28"/>
      <c r="AB27" s="167"/>
      <c r="AC27" s="167"/>
      <c r="AD27" s="167"/>
      <c r="AF27" s="167"/>
      <c r="AG27" s="167"/>
      <c r="AH27" s="167"/>
      <c r="AI27" s="167"/>
      <c r="AJ27" s="167"/>
      <c r="AK27" s="167"/>
      <c r="AL27" s="167"/>
      <c r="AM27" s="167"/>
      <c r="AN27" s="167"/>
      <c r="AO27" s="167"/>
      <c r="AP27" s="167"/>
    </row>
    <row r="28" spans="1:42">
      <c r="A28" s="19">
        <f t="shared" si="18"/>
        <v>2008</v>
      </c>
      <c r="B28" s="16">
        <v>39692</v>
      </c>
      <c r="C28" s="529">
        <v>157.30000000000001</v>
      </c>
      <c r="D28" s="528">
        <f t="shared" si="19"/>
        <v>113.30000000000001</v>
      </c>
      <c r="E28" s="531">
        <v>270.60000000000002</v>
      </c>
      <c r="F28" s="528">
        <v>226.5</v>
      </c>
      <c r="G28" s="529">
        <f t="shared" si="20"/>
        <v>190.60000000000002</v>
      </c>
      <c r="H28" s="530">
        <v>417.1</v>
      </c>
      <c r="I28" s="349">
        <f t="shared" si="0"/>
        <v>0.58130081300813008</v>
      </c>
      <c r="J28" s="366">
        <f t="shared" si="21"/>
        <v>0.54303524334691922</v>
      </c>
      <c r="K28" s="367">
        <f t="shared" si="1"/>
        <v>0.4098488796248046</v>
      </c>
      <c r="L28" s="167"/>
      <c r="V28" s="28"/>
      <c r="W28" s="28"/>
      <c r="AB28" s="167"/>
      <c r="AC28" s="167"/>
      <c r="AD28" s="167"/>
      <c r="AF28" s="167"/>
      <c r="AG28" s="167"/>
      <c r="AH28" s="167"/>
      <c r="AI28" s="167"/>
      <c r="AJ28" s="167"/>
      <c r="AK28" s="167"/>
      <c r="AL28" s="167"/>
      <c r="AM28" s="167"/>
      <c r="AN28" s="167"/>
      <c r="AO28" s="167"/>
      <c r="AP28" s="167"/>
    </row>
    <row r="29" spans="1:42">
      <c r="A29" s="19">
        <f t="shared" si="18"/>
        <v>2008</v>
      </c>
      <c r="B29" s="16">
        <v>39783</v>
      </c>
      <c r="C29" s="527">
        <v>128.1</v>
      </c>
      <c r="D29" s="526">
        <f t="shared" si="19"/>
        <v>109.6</v>
      </c>
      <c r="E29" s="527">
        <v>237.7</v>
      </c>
      <c r="F29" s="526">
        <v>235.9</v>
      </c>
      <c r="G29" s="527">
        <f t="shared" si="20"/>
        <v>174.9</v>
      </c>
      <c r="H29" s="526">
        <v>410.8</v>
      </c>
      <c r="I29" s="348">
        <f t="shared" si="0"/>
        <v>0.53891459823306687</v>
      </c>
      <c r="J29" s="368">
        <f t="shared" si="21"/>
        <v>0.57424537487828631</v>
      </c>
      <c r="K29" s="369">
        <f t="shared" si="1"/>
        <v>0.35192307692307689</v>
      </c>
      <c r="L29" s="167"/>
      <c r="V29" s="28"/>
      <c r="W29" s="28"/>
      <c r="AB29" s="167"/>
      <c r="AC29" s="167"/>
      <c r="AD29" s="167"/>
      <c r="AF29" s="167"/>
      <c r="AG29" s="167"/>
      <c r="AH29" s="167"/>
      <c r="AI29" s="167"/>
      <c r="AJ29" s="167"/>
      <c r="AK29" s="167"/>
      <c r="AL29" s="167"/>
      <c r="AM29" s="167"/>
      <c r="AN29" s="167"/>
      <c r="AO29" s="167"/>
      <c r="AP29" s="167"/>
    </row>
    <row r="30" spans="1:42">
      <c r="A30" s="19">
        <f t="shared" si="18"/>
        <v>2009</v>
      </c>
      <c r="B30" s="16">
        <v>39873</v>
      </c>
      <c r="C30" s="529">
        <v>84.4</v>
      </c>
      <c r="D30" s="528">
        <f t="shared" si="19"/>
        <v>64.400000000000006</v>
      </c>
      <c r="E30" s="531">
        <v>148.80000000000001</v>
      </c>
      <c r="F30" s="528">
        <v>139.9</v>
      </c>
      <c r="G30" s="529">
        <f t="shared" si="20"/>
        <v>114.69999999999999</v>
      </c>
      <c r="H30" s="530">
        <v>254.6</v>
      </c>
      <c r="I30" s="349">
        <f t="shared" si="0"/>
        <v>0.56720430107526876</v>
      </c>
      <c r="J30" s="366">
        <f t="shared" si="21"/>
        <v>0.54948939512961514</v>
      </c>
      <c r="K30" s="367">
        <f t="shared" si="1"/>
        <v>0.3762817654926438</v>
      </c>
      <c r="L30" s="167"/>
      <c r="V30" s="28"/>
      <c r="W30" s="28"/>
      <c r="AB30" s="167"/>
      <c r="AC30" s="167"/>
      <c r="AD30" s="167"/>
      <c r="AF30" s="167"/>
      <c r="AG30" s="167"/>
      <c r="AH30" s="167"/>
      <c r="AI30" s="167"/>
      <c r="AJ30" s="167"/>
      <c r="AK30" s="167"/>
      <c r="AL30" s="167"/>
      <c r="AM30" s="167"/>
      <c r="AN30" s="167"/>
      <c r="AO30" s="167"/>
      <c r="AP30" s="167"/>
    </row>
    <row r="31" spans="1:42">
      <c r="A31" s="19">
        <f t="shared" si="18"/>
        <v>2009</v>
      </c>
      <c r="B31" s="16">
        <v>39965</v>
      </c>
      <c r="C31" s="527">
        <v>96</v>
      </c>
      <c r="D31" s="526">
        <f t="shared" si="19"/>
        <v>86.1</v>
      </c>
      <c r="E31" s="527">
        <v>182.1</v>
      </c>
      <c r="F31" s="526">
        <v>178.8</v>
      </c>
      <c r="G31" s="527">
        <f t="shared" si="20"/>
        <v>122.59999999999997</v>
      </c>
      <c r="H31" s="526">
        <v>301.39999999999998</v>
      </c>
      <c r="I31" s="348">
        <f t="shared" si="0"/>
        <v>0.52718286655683688</v>
      </c>
      <c r="J31" s="368">
        <f t="shared" si="21"/>
        <v>0.59323158593231595</v>
      </c>
      <c r="K31" s="369">
        <f t="shared" si="1"/>
        <v>0.34934497816593885</v>
      </c>
      <c r="L31" s="167"/>
      <c r="V31" s="28"/>
      <c r="W31" s="28"/>
      <c r="AB31" s="167"/>
      <c r="AC31" s="167"/>
      <c r="AD31" s="167"/>
      <c r="AF31" s="167"/>
      <c r="AG31" s="167"/>
      <c r="AH31" s="167"/>
      <c r="AI31" s="167"/>
      <c r="AJ31" s="167"/>
      <c r="AK31" s="167"/>
      <c r="AL31" s="167"/>
      <c r="AM31" s="167"/>
      <c r="AN31" s="167"/>
      <c r="AO31" s="167"/>
      <c r="AP31" s="167"/>
    </row>
    <row r="32" spans="1:42">
      <c r="A32" s="19">
        <f t="shared" si="18"/>
        <v>2009</v>
      </c>
      <c r="B32" s="16">
        <v>40057</v>
      </c>
      <c r="C32" s="529">
        <v>97.9</v>
      </c>
      <c r="D32" s="528">
        <f t="shared" si="19"/>
        <v>103.9</v>
      </c>
      <c r="E32" s="531">
        <v>201.8</v>
      </c>
      <c r="F32" s="528">
        <v>201</v>
      </c>
      <c r="G32" s="529">
        <f t="shared" si="20"/>
        <v>154.5</v>
      </c>
      <c r="H32" s="530">
        <v>355.5</v>
      </c>
      <c r="I32" s="349">
        <f t="shared" si="0"/>
        <v>0.48513379583746286</v>
      </c>
      <c r="J32" s="366">
        <f t="shared" si="21"/>
        <v>0.56540084388185652</v>
      </c>
      <c r="K32" s="367">
        <f t="shared" si="1"/>
        <v>0.32753429240548682</v>
      </c>
      <c r="L32" s="167"/>
      <c r="V32" s="28"/>
      <c r="W32" s="28"/>
      <c r="AB32" s="167"/>
      <c r="AC32" s="167"/>
      <c r="AD32" s="167"/>
      <c r="AF32" s="167"/>
      <c r="AG32" s="167"/>
      <c r="AH32" s="167"/>
      <c r="AI32" s="167"/>
      <c r="AJ32" s="167"/>
      <c r="AK32" s="167"/>
      <c r="AL32" s="167"/>
      <c r="AM32" s="167"/>
      <c r="AN32" s="167"/>
      <c r="AO32" s="167"/>
      <c r="AP32" s="167"/>
    </row>
    <row r="33" spans="1:42">
      <c r="A33" s="19">
        <f t="shared" si="18"/>
        <v>2009</v>
      </c>
      <c r="B33" s="16">
        <v>40148</v>
      </c>
      <c r="C33" s="527">
        <v>135.80000000000001</v>
      </c>
      <c r="D33" s="526">
        <f t="shared" si="19"/>
        <v>93.199999999999989</v>
      </c>
      <c r="E33" s="527">
        <v>229</v>
      </c>
      <c r="F33" s="526">
        <v>185.9</v>
      </c>
      <c r="G33" s="527">
        <f t="shared" si="20"/>
        <v>163.79999999999998</v>
      </c>
      <c r="H33" s="526">
        <v>349.7</v>
      </c>
      <c r="I33" s="348">
        <f t="shared" si="0"/>
        <v>0.59301310043668132</v>
      </c>
      <c r="J33" s="368">
        <f t="shared" si="21"/>
        <v>0.53159851301115246</v>
      </c>
      <c r="K33" s="369">
        <f t="shared" si="1"/>
        <v>0.42213242151072428</v>
      </c>
      <c r="L33" s="167"/>
      <c r="V33" s="28"/>
      <c r="W33" s="28"/>
      <c r="AB33" s="167"/>
      <c r="AC33" s="167"/>
      <c r="AD33" s="167"/>
      <c r="AF33" s="167"/>
      <c r="AG33" s="167"/>
      <c r="AH33" s="167"/>
      <c r="AI33" s="167"/>
      <c r="AJ33" s="167"/>
      <c r="AK33" s="167"/>
      <c r="AL33" s="167"/>
      <c r="AM33" s="167"/>
      <c r="AN33" s="167"/>
      <c r="AO33" s="167"/>
      <c r="AP33" s="167"/>
    </row>
    <row r="34" spans="1:42">
      <c r="A34" s="19">
        <f t="shared" si="18"/>
        <v>2010</v>
      </c>
      <c r="B34" s="16">
        <v>40238</v>
      </c>
      <c r="C34" s="531">
        <v>101.8</v>
      </c>
      <c r="D34" s="528">
        <f t="shared" si="19"/>
        <v>71.600000000000009</v>
      </c>
      <c r="E34" s="531">
        <v>173.4</v>
      </c>
      <c r="F34" s="528">
        <v>155.30000000000001</v>
      </c>
      <c r="G34" s="529">
        <f t="shared" si="20"/>
        <v>130.59999999999997</v>
      </c>
      <c r="H34" s="530">
        <v>285.89999999999998</v>
      </c>
      <c r="I34" s="349">
        <f t="shared" si="0"/>
        <v>0.58708189158016144</v>
      </c>
      <c r="J34" s="366">
        <f t="shared" si="21"/>
        <v>0.54319692200069958</v>
      </c>
      <c r="K34" s="367">
        <f t="shared" si="1"/>
        <v>0.39595488136911705</v>
      </c>
      <c r="L34" s="167"/>
      <c r="V34" s="28"/>
      <c r="W34" s="28"/>
      <c r="AB34" s="167"/>
      <c r="AC34" s="167"/>
      <c r="AD34" s="167"/>
      <c r="AF34" s="167"/>
      <c r="AG34" s="167"/>
      <c r="AH34" s="167"/>
      <c r="AI34" s="167"/>
      <c r="AJ34" s="167"/>
      <c r="AK34" s="167"/>
      <c r="AL34" s="167"/>
      <c r="AM34" s="167"/>
      <c r="AN34" s="167"/>
      <c r="AO34" s="167"/>
      <c r="AP34" s="167"/>
    </row>
    <row r="35" spans="1:42">
      <c r="A35" s="19">
        <f t="shared" si="18"/>
        <v>2010</v>
      </c>
      <c r="B35" s="16">
        <v>40330</v>
      </c>
      <c r="C35" s="527">
        <v>147.69999999999999</v>
      </c>
      <c r="D35" s="526">
        <f t="shared" si="19"/>
        <v>101.5</v>
      </c>
      <c r="E35" s="527">
        <v>249.2</v>
      </c>
      <c r="F35" s="526">
        <v>218.5</v>
      </c>
      <c r="G35" s="527">
        <f t="shared" si="20"/>
        <v>169.39999999999998</v>
      </c>
      <c r="H35" s="526">
        <v>387.9</v>
      </c>
      <c r="I35" s="348">
        <f t="shared" si="0"/>
        <v>0.59269662921348309</v>
      </c>
      <c r="J35" s="368">
        <f t="shared" si="21"/>
        <v>0.56328950760505292</v>
      </c>
      <c r="K35" s="369">
        <f t="shared" si="1"/>
        <v>0.40333151283451663</v>
      </c>
      <c r="L35" s="167"/>
      <c r="V35" s="28"/>
      <c r="W35" s="28"/>
      <c r="AB35" s="167"/>
      <c r="AC35" s="167"/>
      <c r="AD35" s="167"/>
      <c r="AF35" s="167"/>
      <c r="AG35" s="167"/>
      <c r="AH35" s="167"/>
      <c r="AI35" s="167"/>
      <c r="AJ35" s="167"/>
      <c r="AK35" s="167"/>
      <c r="AL35" s="167"/>
      <c r="AM35" s="167"/>
      <c r="AN35" s="167"/>
      <c r="AO35" s="167"/>
      <c r="AP35" s="167"/>
    </row>
    <row r="36" spans="1:42">
      <c r="A36" s="19">
        <f t="shared" si="18"/>
        <v>2010</v>
      </c>
      <c r="B36" s="16">
        <v>40422</v>
      </c>
      <c r="C36" s="531">
        <v>135.4</v>
      </c>
      <c r="D36" s="528">
        <f t="shared" si="19"/>
        <v>105.5</v>
      </c>
      <c r="E36" s="531">
        <v>240.9</v>
      </c>
      <c r="F36" s="528">
        <v>249.2</v>
      </c>
      <c r="G36" s="529">
        <f t="shared" si="20"/>
        <v>179.3</v>
      </c>
      <c r="H36" s="530">
        <v>428.5</v>
      </c>
      <c r="I36" s="349">
        <f t="shared" si="0"/>
        <v>0.56205894562058945</v>
      </c>
      <c r="J36" s="366">
        <f t="shared" si="21"/>
        <v>0.58156359393232204</v>
      </c>
      <c r="K36" s="367">
        <f t="shared" si="1"/>
        <v>0.35205408216328654</v>
      </c>
      <c r="L36" s="167"/>
      <c r="N36" s="19"/>
      <c r="O36" s="19"/>
      <c r="P36" s="19"/>
      <c r="T36" s="19"/>
      <c r="V36" s="28"/>
      <c r="W36" s="28"/>
      <c r="AB36" s="167"/>
      <c r="AC36" s="167"/>
      <c r="AD36" s="167"/>
      <c r="AF36" s="167"/>
      <c r="AG36" s="167"/>
      <c r="AH36" s="167"/>
      <c r="AI36" s="167"/>
      <c r="AJ36" s="167"/>
      <c r="AK36" s="167"/>
      <c r="AL36" s="167"/>
      <c r="AM36" s="167"/>
      <c r="AN36" s="167"/>
      <c r="AO36" s="167"/>
      <c r="AP36" s="167"/>
    </row>
    <row r="37" spans="1:42">
      <c r="A37" s="19">
        <f t="shared" si="18"/>
        <v>2010</v>
      </c>
      <c r="B37" s="16">
        <v>40513</v>
      </c>
      <c r="C37" s="527">
        <v>166</v>
      </c>
      <c r="D37" s="526">
        <f t="shared" si="19"/>
        <v>123.5</v>
      </c>
      <c r="E37" s="527">
        <v>289.5</v>
      </c>
      <c r="F37" s="526">
        <v>227.7</v>
      </c>
      <c r="G37" s="527">
        <f t="shared" si="20"/>
        <v>207.2</v>
      </c>
      <c r="H37" s="526">
        <v>434.9</v>
      </c>
      <c r="I37" s="348">
        <f t="shared" si="0"/>
        <v>0.57340241796200342</v>
      </c>
      <c r="J37" s="368">
        <f t="shared" si="21"/>
        <v>0.52356863646815355</v>
      </c>
      <c r="K37" s="369">
        <f t="shared" si="1"/>
        <v>0.42164084328168655</v>
      </c>
      <c r="L37" s="167"/>
      <c r="V37" s="28"/>
      <c r="W37" s="28"/>
      <c r="AB37" s="167"/>
      <c r="AC37" s="167"/>
      <c r="AD37" s="167"/>
      <c r="AF37" s="167"/>
      <c r="AG37" s="167"/>
      <c r="AH37" s="167"/>
      <c r="AI37" s="167"/>
      <c r="AJ37" s="167"/>
      <c r="AK37" s="167"/>
      <c r="AL37" s="167"/>
      <c r="AM37" s="167"/>
      <c r="AN37" s="167"/>
      <c r="AO37" s="167"/>
      <c r="AP37" s="167"/>
    </row>
    <row r="38" spans="1:42">
      <c r="A38" s="19">
        <f t="shared" si="18"/>
        <v>2011</v>
      </c>
      <c r="B38" s="16">
        <v>40603</v>
      </c>
      <c r="C38" s="529">
        <v>119</v>
      </c>
      <c r="D38" s="528">
        <f t="shared" si="19"/>
        <v>96</v>
      </c>
      <c r="E38" s="531">
        <v>215</v>
      </c>
      <c r="F38" s="528">
        <v>243.2</v>
      </c>
      <c r="G38" s="529">
        <f t="shared" si="20"/>
        <v>191.90000000000003</v>
      </c>
      <c r="H38" s="530">
        <v>435.1</v>
      </c>
      <c r="I38" s="349">
        <f t="shared" si="0"/>
        <v>0.55348837209302326</v>
      </c>
      <c r="J38" s="366">
        <f t="shared" si="21"/>
        <v>0.55895196506550215</v>
      </c>
      <c r="K38" s="367">
        <f t="shared" si="1"/>
        <v>0.32854776366648264</v>
      </c>
      <c r="L38" s="167"/>
      <c r="V38" s="28"/>
      <c r="W38" s="28"/>
      <c r="AB38" s="167"/>
      <c r="AC38" s="167"/>
      <c r="AD38" s="167"/>
      <c r="AF38" s="167"/>
      <c r="AG38" s="167"/>
      <c r="AH38" s="167"/>
      <c r="AI38" s="167"/>
      <c r="AJ38" s="167"/>
      <c r="AK38" s="167"/>
      <c r="AL38" s="167"/>
      <c r="AM38" s="167"/>
      <c r="AN38" s="167"/>
      <c r="AO38" s="167"/>
      <c r="AP38" s="167"/>
    </row>
    <row r="39" spans="1:42">
      <c r="A39" s="19">
        <f t="shared" si="18"/>
        <v>2011</v>
      </c>
      <c r="B39" s="16">
        <v>40695</v>
      </c>
      <c r="C39" s="527">
        <v>146</v>
      </c>
      <c r="D39" s="526">
        <f t="shared" si="19"/>
        <v>146.10000000000002</v>
      </c>
      <c r="E39" s="527">
        <v>292.10000000000002</v>
      </c>
      <c r="F39" s="526">
        <v>303.60000000000002</v>
      </c>
      <c r="G39" s="527">
        <f t="shared" si="20"/>
        <v>311.69999999999993</v>
      </c>
      <c r="H39" s="526">
        <v>615.29999999999995</v>
      </c>
      <c r="I39" s="348">
        <f t="shared" si="0"/>
        <v>0.49982882574460796</v>
      </c>
      <c r="J39" s="368">
        <f t="shared" si="21"/>
        <v>0.49341784495368118</v>
      </c>
      <c r="K39" s="369">
        <f t="shared" si="1"/>
        <v>0.32473309608540923</v>
      </c>
      <c r="L39" s="167"/>
      <c r="V39" s="28"/>
      <c r="W39" s="28"/>
      <c r="AB39" s="167"/>
      <c r="AC39" s="167"/>
      <c r="AD39" s="167"/>
      <c r="AF39" s="167"/>
      <c r="AG39" s="167"/>
      <c r="AH39" s="167"/>
      <c r="AI39" s="167"/>
      <c r="AJ39" s="167"/>
      <c r="AK39" s="167"/>
      <c r="AL39" s="167"/>
      <c r="AM39" s="167"/>
      <c r="AN39" s="167"/>
      <c r="AO39" s="167"/>
      <c r="AP39" s="167"/>
    </row>
    <row r="40" spans="1:42">
      <c r="A40" s="19">
        <f t="shared" si="18"/>
        <v>2011</v>
      </c>
      <c r="B40" s="16">
        <v>40787</v>
      </c>
      <c r="C40" s="529">
        <v>144.80000000000001</v>
      </c>
      <c r="D40" s="528">
        <f t="shared" si="19"/>
        <v>168.3</v>
      </c>
      <c r="E40" s="531">
        <v>313.10000000000002</v>
      </c>
      <c r="F40" s="528">
        <v>336.9</v>
      </c>
      <c r="G40" s="529">
        <f t="shared" si="20"/>
        <v>333.4</v>
      </c>
      <c r="H40" s="530">
        <v>670.3</v>
      </c>
      <c r="I40" s="349">
        <f t="shared" ref="I40:I79" si="33">C40/E40</f>
        <v>0.46247205365697858</v>
      </c>
      <c r="J40" s="366">
        <f t="shared" si="21"/>
        <v>0.50261077129643439</v>
      </c>
      <c r="K40" s="367">
        <f t="shared" ref="K40:K79" si="34">C40/(SUM(C40+F40))</f>
        <v>0.30060203446128297</v>
      </c>
      <c r="L40" s="167"/>
      <c r="V40" s="28"/>
      <c r="W40" s="28"/>
      <c r="AB40" s="167"/>
      <c r="AC40" s="167"/>
      <c r="AD40" s="167"/>
      <c r="AF40" s="167"/>
      <c r="AG40" s="167"/>
      <c r="AH40" s="167"/>
      <c r="AI40" s="167"/>
      <c r="AJ40" s="167"/>
      <c r="AK40" s="167"/>
      <c r="AL40" s="167"/>
      <c r="AM40" s="167"/>
      <c r="AN40" s="167"/>
      <c r="AO40" s="167"/>
      <c r="AP40" s="167"/>
    </row>
    <row r="41" spans="1:42">
      <c r="A41" s="19">
        <f t="shared" si="18"/>
        <v>2011</v>
      </c>
      <c r="B41" s="16">
        <v>40878</v>
      </c>
      <c r="C41" s="527">
        <v>152.19999999999999</v>
      </c>
      <c r="D41" s="526">
        <f t="shared" si="19"/>
        <v>171.40000000000003</v>
      </c>
      <c r="E41" s="527">
        <v>323.60000000000002</v>
      </c>
      <c r="F41" s="526">
        <v>379.7</v>
      </c>
      <c r="G41" s="527">
        <f t="shared" si="20"/>
        <v>329.09999999999997</v>
      </c>
      <c r="H41" s="526">
        <v>708.8</v>
      </c>
      <c r="I41" s="348">
        <f t="shared" si="33"/>
        <v>0.47033374536464767</v>
      </c>
      <c r="J41" s="368">
        <f t="shared" si="21"/>
        <v>0.53569413092550788</v>
      </c>
      <c r="K41" s="369">
        <f t="shared" si="34"/>
        <v>0.28614401203233691</v>
      </c>
      <c r="L41" s="167"/>
      <c r="V41" s="28"/>
      <c r="W41" s="28"/>
      <c r="AB41" s="167"/>
      <c r="AC41" s="167"/>
      <c r="AD41" s="167"/>
      <c r="AF41" s="167"/>
      <c r="AG41" s="167"/>
      <c r="AH41" s="167"/>
      <c r="AI41" s="167"/>
      <c r="AJ41" s="167"/>
      <c r="AK41" s="167"/>
      <c r="AL41" s="167"/>
      <c r="AM41" s="167"/>
      <c r="AN41" s="167"/>
      <c r="AO41" s="167"/>
      <c r="AP41" s="167"/>
    </row>
    <row r="42" spans="1:42">
      <c r="A42" s="19">
        <f t="shared" si="18"/>
        <v>2012</v>
      </c>
      <c r="B42" s="16">
        <v>40969</v>
      </c>
      <c r="C42" s="529">
        <v>126.5</v>
      </c>
      <c r="D42" s="528">
        <f t="shared" si="19"/>
        <v>122.1</v>
      </c>
      <c r="E42" s="531">
        <v>248.6</v>
      </c>
      <c r="F42" s="528">
        <v>363.6</v>
      </c>
      <c r="G42" s="529">
        <f t="shared" si="20"/>
        <v>263.89999999999998</v>
      </c>
      <c r="H42" s="530">
        <v>627.5</v>
      </c>
      <c r="I42" s="349">
        <f t="shared" si="33"/>
        <v>0.50884955752212391</v>
      </c>
      <c r="J42" s="366">
        <f t="shared" si="21"/>
        <v>0.57944223107569726</v>
      </c>
      <c r="K42" s="367">
        <f t="shared" si="34"/>
        <v>0.25811058967557637</v>
      </c>
      <c r="L42" s="167"/>
      <c r="V42" s="28"/>
      <c r="W42" s="28"/>
      <c r="AB42" s="167"/>
      <c r="AC42" s="167"/>
      <c r="AD42" s="167"/>
      <c r="AF42" s="167"/>
      <c r="AG42" s="167"/>
      <c r="AH42" s="167"/>
      <c r="AI42" s="167"/>
      <c r="AJ42" s="167"/>
      <c r="AK42" s="167"/>
      <c r="AL42" s="167"/>
      <c r="AM42" s="167"/>
      <c r="AN42" s="167"/>
      <c r="AO42" s="167"/>
      <c r="AP42" s="167"/>
    </row>
    <row r="43" spans="1:42">
      <c r="A43" s="19">
        <f t="shared" si="18"/>
        <v>2012</v>
      </c>
      <c r="B43" s="16">
        <v>41061</v>
      </c>
      <c r="C43" s="527">
        <v>213.5</v>
      </c>
      <c r="D43" s="526">
        <f t="shared" si="19"/>
        <v>144.19999999999999</v>
      </c>
      <c r="E43" s="527">
        <v>357.7</v>
      </c>
      <c r="F43" s="526">
        <v>389.7</v>
      </c>
      <c r="G43" s="527">
        <f t="shared" si="20"/>
        <v>313.7</v>
      </c>
      <c r="H43" s="526">
        <v>703.4</v>
      </c>
      <c r="I43" s="348">
        <f t="shared" si="33"/>
        <v>0.59686888454011744</v>
      </c>
      <c r="J43" s="368">
        <f t="shared" si="21"/>
        <v>0.55402331532556159</v>
      </c>
      <c r="K43" s="369">
        <f t="shared" si="34"/>
        <v>0.35394562334217505</v>
      </c>
      <c r="L43" s="167"/>
      <c r="V43" s="28"/>
      <c r="W43" s="28"/>
      <c r="AB43" s="167"/>
      <c r="AC43" s="167"/>
      <c r="AD43" s="167"/>
      <c r="AF43" s="167"/>
      <c r="AG43" s="167"/>
      <c r="AH43" s="167"/>
      <c r="AI43" s="167"/>
      <c r="AJ43" s="167"/>
      <c r="AK43" s="167"/>
      <c r="AL43" s="167"/>
      <c r="AM43" s="167"/>
      <c r="AN43" s="167"/>
      <c r="AO43" s="167"/>
      <c r="AP43" s="167"/>
    </row>
    <row r="44" spans="1:42">
      <c r="A44" s="19">
        <f t="shared" si="18"/>
        <v>2012</v>
      </c>
      <c r="B44" s="16">
        <v>41153</v>
      </c>
      <c r="C44" s="529">
        <v>179.5</v>
      </c>
      <c r="D44" s="528">
        <f t="shared" si="19"/>
        <v>123.5</v>
      </c>
      <c r="E44" s="531">
        <v>303</v>
      </c>
      <c r="F44" s="528">
        <v>309.10000000000002</v>
      </c>
      <c r="G44" s="529">
        <f t="shared" si="20"/>
        <v>282.60000000000002</v>
      </c>
      <c r="H44" s="530">
        <v>591.70000000000005</v>
      </c>
      <c r="I44" s="349">
        <f t="shared" si="33"/>
        <v>0.59240924092409242</v>
      </c>
      <c r="J44" s="366">
        <f t="shared" si="21"/>
        <v>0.5223931046138246</v>
      </c>
      <c r="K44" s="367">
        <f t="shared" si="34"/>
        <v>0.36737617683176421</v>
      </c>
      <c r="L44" s="167"/>
      <c r="V44" s="28"/>
      <c r="W44" s="28"/>
      <c r="AB44" s="167"/>
      <c r="AC44" s="167"/>
      <c r="AD44" s="167"/>
      <c r="AF44" s="167"/>
      <c r="AG44" s="167"/>
      <c r="AH44" s="167"/>
      <c r="AI44" s="167"/>
      <c r="AJ44" s="167"/>
      <c r="AK44" s="167"/>
      <c r="AL44" s="167"/>
      <c r="AM44" s="167"/>
      <c r="AN44" s="167"/>
      <c r="AO44" s="167"/>
      <c r="AP44" s="167"/>
    </row>
    <row r="45" spans="1:42">
      <c r="A45" s="19">
        <f t="shared" si="18"/>
        <v>2012</v>
      </c>
      <c r="B45" s="16">
        <v>41244</v>
      </c>
      <c r="C45" s="527">
        <v>144.5</v>
      </c>
      <c r="D45" s="526">
        <f t="shared" si="19"/>
        <v>118.89999999999998</v>
      </c>
      <c r="E45" s="527">
        <v>263.39999999999998</v>
      </c>
      <c r="F45" s="526">
        <v>326.2</v>
      </c>
      <c r="G45" s="527">
        <f t="shared" si="20"/>
        <v>234.40000000000003</v>
      </c>
      <c r="H45" s="526">
        <v>560.6</v>
      </c>
      <c r="I45" s="348">
        <f t="shared" si="33"/>
        <v>0.54859529233105553</v>
      </c>
      <c r="J45" s="368">
        <f t="shared" si="21"/>
        <v>0.58187656082768457</v>
      </c>
      <c r="K45" s="369">
        <f t="shared" si="34"/>
        <v>0.30698958997238157</v>
      </c>
      <c r="L45" s="167"/>
      <c r="V45" s="28"/>
      <c r="W45" s="28"/>
      <c r="AB45" s="167"/>
      <c r="AC45" s="167"/>
      <c r="AD45" s="167"/>
      <c r="AF45" s="167"/>
      <c r="AG45" s="167"/>
      <c r="AH45" s="167"/>
      <c r="AI45" s="167"/>
      <c r="AJ45" s="167"/>
      <c r="AK45" s="167"/>
      <c r="AL45" s="167"/>
      <c r="AM45" s="167"/>
      <c r="AN45" s="167"/>
      <c r="AO45" s="167"/>
      <c r="AP45" s="167"/>
    </row>
    <row r="46" spans="1:42">
      <c r="A46" s="19">
        <f t="shared" si="18"/>
        <v>2013</v>
      </c>
      <c r="B46" s="16">
        <v>41334</v>
      </c>
      <c r="C46" s="529">
        <v>91.3</v>
      </c>
      <c r="D46" s="528">
        <f t="shared" si="19"/>
        <v>85.000000000000014</v>
      </c>
      <c r="E46" s="531">
        <v>176.3</v>
      </c>
      <c r="F46" s="528">
        <v>330.5</v>
      </c>
      <c r="G46" s="529">
        <f t="shared" si="20"/>
        <v>165.39999999999998</v>
      </c>
      <c r="H46" s="530">
        <v>495.9</v>
      </c>
      <c r="I46" s="349">
        <f t="shared" si="33"/>
        <v>0.51786727169597269</v>
      </c>
      <c r="J46" s="366">
        <f t="shared" si="21"/>
        <v>0.66646501310748141</v>
      </c>
      <c r="K46" s="367">
        <f t="shared" si="34"/>
        <v>0.2164532954006638</v>
      </c>
      <c r="L46" s="167"/>
      <c r="V46" s="28"/>
      <c r="W46" s="28"/>
      <c r="AB46" s="167"/>
      <c r="AC46" s="167"/>
      <c r="AD46" s="167"/>
      <c r="AF46" s="167"/>
      <c r="AG46" s="167"/>
      <c r="AH46" s="167"/>
      <c r="AI46" s="167"/>
      <c r="AJ46" s="167"/>
      <c r="AK46" s="167"/>
      <c r="AL46" s="167"/>
      <c r="AM46" s="167"/>
      <c r="AN46" s="167"/>
      <c r="AO46" s="167"/>
      <c r="AP46" s="167"/>
    </row>
    <row r="47" spans="1:42">
      <c r="A47" s="19">
        <f t="shared" si="18"/>
        <v>2013</v>
      </c>
      <c r="B47" s="16">
        <v>41426</v>
      </c>
      <c r="C47" s="527">
        <v>158.5</v>
      </c>
      <c r="D47" s="526">
        <f t="shared" si="19"/>
        <v>117.19999999999999</v>
      </c>
      <c r="E47" s="527">
        <v>275.7</v>
      </c>
      <c r="F47" s="526">
        <v>223.8</v>
      </c>
      <c r="G47" s="527">
        <f t="shared" si="20"/>
        <v>165.09999999999997</v>
      </c>
      <c r="H47" s="526">
        <v>388.9</v>
      </c>
      <c r="I47" s="348">
        <f t="shared" si="33"/>
        <v>0.57490025389916577</v>
      </c>
      <c r="J47" s="368">
        <f t="shared" si="21"/>
        <v>0.57546927230650557</v>
      </c>
      <c r="K47" s="369">
        <f t="shared" si="34"/>
        <v>0.41459586712006274</v>
      </c>
      <c r="L47" s="167"/>
      <c r="V47" s="28"/>
      <c r="W47" s="28"/>
      <c r="AB47" s="167"/>
      <c r="AC47" s="167"/>
      <c r="AD47" s="167"/>
      <c r="AF47" s="167"/>
      <c r="AG47" s="167"/>
      <c r="AH47" s="167"/>
      <c r="AI47" s="167"/>
      <c r="AJ47" s="167"/>
      <c r="AK47" s="167"/>
      <c r="AL47" s="167"/>
      <c r="AM47" s="167"/>
      <c r="AN47" s="167"/>
      <c r="AO47" s="167"/>
      <c r="AP47" s="167"/>
    </row>
    <row r="48" spans="1:42">
      <c r="A48" s="19">
        <f t="shared" si="18"/>
        <v>2013</v>
      </c>
      <c r="B48" s="16">
        <v>41518</v>
      </c>
      <c r="C48" s="529">
        <v>148</v>
      </c>
      <c r="D48" s="528">
        <f t="shared" si="19"/>
        <v>93.9</v>
      </c>
      <c r="E48" s="531">
        <v>241.9</v>
      </c>
      <c r="F48" s="528">
        <v>247.8</v>
      </c>
      <c r="G48" s="529">
        <f t="shared" si="20"/>
        <v>148.69999999999999</v>
      </c>
      <c r="H48" s="530">
        <v>396.5</v>
      </c>
      <c r="I48" s="349">
        <f t="shared" si="33"/>
        <v>0.61182306738321623</v>
      </c>
      <c r="J48" s="366">
        <f t="shared" si="21"/>
        <v>0.62496847414880208</v>
      </c>
      <c r="K48" s="367">
        <f t="shared" si="34"/>
        <v>0.37392622536634662</v>
      </c>
      <c r="L48" s="167"/>
      <c r="N48" s="265"/>
      <c r="O48" s="265"/>
      <c r="P48" s="265"/>
      <c r="Q48" s="265"/>
      <c r="R48" s="265"/>
      <c r="S48" s="265"/>
      <c r="T48" s="265"/>
      <c r="U48" s="265"/>
      <c r="V48" s="28"/>
      <c r="W48" s="28"/>
      <c r="AB48" s="167"/>
      <c r="AC48" s="167"/>
      <c r="AD48" s="167"/>
      <c r="AF48" s="167"/>
      <c r="AG48" s="167"/>
      <c r="AH48" s="167"/>
      <c r="AI48" s="167"/>
      <c r="AJ48" s="167"/>
      <c r="AK48" s="167"/>
      <c r="AL48" s="167"/>
      <c r="AM48" s="167"/>
      <c r="AN48" s="167"/>
      <c r="AO48" s="167"/>
      <c r="AP48" s="167"/>
    </row>
    <row r="49" spans="1:42">
      <c r="A49" s="19">
        <f t="shared" si="18"/>
        <v>2013</v>
      </c>
      <c r="B49" s="16">
        <v>41609</v>
      </c>
      <c r="C49" s="527">
        <v>86.8</v>
      </c>
      <c r="D49" s="526">
        <f t="shared" si="19"/>
        <v>88.8</v>
      </c>
      <c r="E49" s="527">
        <v>175.6</v>
      </c>
      <c r="F49" s="526">
        <v>221.5</v>
      </c>
      <c r="G49" s="527">
        <f t="shared" si="20"/>
        <v>150.30000000000001</v>
      </c>
      <c r="H49" s="526">
        <v>371.8</v>
      </c>
      <c r="I49" s="348">
        <f t="shared" si="33"/>
        <v>0.49430523917995445</v>
      </c>
      <c r="J49" s="368">
        <f t="shared" si="21"/>
        <v>0.59575040344271113</v>
      </c>
      <c r="K49" s="369">
        <f t="shared" si="34"/>
        <v>0.28154395069737265</v>
      </c>
      <c r="L49" s="167"/>
      <c r="N49" s="265"/>
      <c r="O49" s="265"/>
      <c r="P49" s="265"/>
      <c r="Q49" s="265"/>
      <c r="R49" s="265"/>
      <c r="S49" s="265"/>
      <c r="T49" s="265"/>
      <c r="U49" s="265"/>
      <c r="V49" s="28"/>
      <c r="W49" s="28"/>
      <c r="AB49" s="167"/>
      <c r="AC49" s="167"/>
      <c r="AD49" s="167"/>
      <c r="AF49" s="167"/>
      <c r="AG49" s="167"/>
      <c r="AH49" s="167"/>
      <c r="AI49" s="167"/>
      <c r="AJ49" s="167"/>
      <c r="AK49" s="167"/>
      <c r="AL49" s="167"/>
      <c r="AM49" s="167"/>
      <c r="AN49" s="167"/>
      <c r="AO49" s="167"/>
      <c r="AP49" s="167"/>
    </row>
    <row r="50" spans="1:42">
      <c r="A50" s="19">
        <f t="shared" si="18"/>
        <v>2014</v>
      </c>
      <c r="B50" s="16">
        <v>41699</v>
      </c>
      <c r="C50" s="529">
        <v>53.3</v>
      </c>
      <c r="D50" s="528">
        <f t="shared" si="19"/>
        <v>67.5</v>
      </c>
      <c r="E50" s="531">
        <v>120.8</v>
      </c>
      <c r="F50" s="528">
        <v>153</v>
      </c>
      <c r="G50" s="529">
        <f t="shared" si="20"/>
        <v>133.80000000000001</v>
      </c>
      <c r="H50" s="530">
        <v>286.8</v>
      </c>
      <c r="I50" s="349">
        <f t="shared" si="33"/>
        <v>0.44122516556291391</v>
      </c>
      <c r="J50" s="366">
        <f t="shared" si="21"/>
        <v>0.53347280334728031</v>
      </c>
      <c r="K50" s="367">
        <f t="shared" si="34"/>
        <v>0.25836160930683466</v>
      </c>
      <c r="L50" s="167"/>
      <c r="N50" s="265"/>
      <c r="O50" s="265"/>
      <c r="P50" s="265"/>
      <c r="Q50" s="265"/>
      <c r="R50" s="265"/>
      <c r="S50" s="265"/>
      <c r="T50" s="265"/>
      <c r="U50" s="265"/>
      <c r="V50" s="28"/>
      <c r="W50" s="28"/>
      <c r="AB50" s="167"/>
      <c r="AC50" s="167"/>
      <c r="AD50" s="167"/>
      <c r="AF50" s="167"/>
      <c r="AG50" s="167"/>
      <c r="AH50" s="167"/>
      <c r="AI50" s="167"/>
      <c r="AJ50" s="167"/>
      <c r="AK50" s="167"/>
      <c r="AL50" s="167"/>
      <c r="AM50" s="167"/>
      <c r="AN50" s="167"/>
      <c r="AO50" s="167"/>
      <c r="AP50" s="167"/>
    </row>
    <row r="51" spans="1:42">
      <c r="A51" s="19">
        <f t="shared" si="18"/>
        <v>2014</v>
      </c>
      <c r="B51" s="16">
        <v>41791</v>
      </c>
      <c r="C51" s="527">
        <v>92.9</v>
      </c>
      <c r="D51" s="526">
        <f t="shared" si="19"/>
        <v>50.699999999999989</v>
      </c>
      <c r="E51" s="527">
        <v>143.6</v>
      </c>
      <c r="F51" s="526">
        <v>216.8</v>
      </c>
      <c r="G51" s="527">
        <f t="shared" si="20"/>
        <v>154.19999999999999</v>
      </c>
      <c r="H51" s="526">
        <v>371</v>
      </c>
      <c r="I51" s="348">
        <f t="shared" si="33"/>
        <v>0.64693593314763242</v>
      </c>
      <c r="J51" s="368">
        <f t="shared" si="21"/>
        <v>0.58436657681940707</v>
      </c>
      <c r="K51" s="369">
        <f t="shared" si="34"/>
        <v>0.29996771068776235</v>
      </c>
      <c r="L51" s="167"/>
      <c r="N51" s="265"/>
      <c r="O51" s="265"/>
      <c r="P51" s="265"/>
      <c r="Q51" s="265"/>
      <c r="R51" s="265"/>
      <c r="S51" s="265"/>
      <c r="T51" s="265"/>
      <c r="U51" s="265"/>
      <c r="V51" s="28"/>
      <c r="W51" s="28"/>
      <c r="AB51" s="167"/>
      <c r="AC51" s="167"/>
      <c r="AD51" s="167"/>
      <c r="AF51" s="167"/>
      <c r="AG51" s="167"/>
      <c r="AH51" s="167"/>
      <c r="AI51" s="167"/>
      <c r="AJ51" s="167"/>
      <c r="AK51" s="167"/>
      <c r="AL51" s="167"/>
      <c r="AM51" s="167"/>
      <c r="AN51" s="167"/>
      <c r="AO51" s="167"/>
      <c r="AP51" s="167"/>
    </row>
    <row r="52" spans="1:42">
      <c r="A52" s="19">
        <f t="shared" si="18"/>
        <v>2014</v>
      </c>
      <c r="B52" s="16">
        <v>41883</v>
      </c>
      <c r="C52" s="529">
        <v>69.900000000000006</v>
      </c>
      <c r="D52" s="528">
        <f t="shared" si="19"/>
        <v>59.799999999999983</v>
      </c>
      <c r="E52" s="531">
        <v>129.69999999999999</v>
      </c>
      <c r="F52" s="528">
        <v>197.2</v>
      </c>
      <c r="G52" s="529">
        <f t="shared" si="20"/>
        <v>130.90000000000003</v>
      </c>
      <c r="H52" s="530">
        <v>328.1</v>
      </c>
      <c r="I52" s="349">
        <f t="shared" si="33"/>
        <v>0.53893600616808024</v>
      </c>
      <c r="J52" s="366">
        <f t="shared" si="21"/>
        <v>0.60103626943005173</v>
      </c>
      <c r="K52" s="367">
        <f t="shared" si="34"/>
        <v>0.26169973792587048</v>
      </c>
      <c r="L52" s="167"/>
      <c r="N52" s="265"/>
      <c r="O52" s="265"/>
      <c r="P52" s="265"/>
      <c r="Q52" s="265"/>
      <c r="R52" s="265"/>
      <c r="S52" s="265"/>
      <c r="T52" s="265"/>
      <c r="U52" s="265"/>
      <c r="V52" s="28"/>
      <c r="W52" s="28"/>
      <c r="AB52" s="167"/>
      <c r="AC52" s="167"/>
      <c r="AD52" s="167"/>
      <c r="AF52" s="167"/>
      <c r="AG52" s="167"/>
      <c r="AH52" s="167"/>
      <c r="AI52" s="167"/>
      <c r="AJ52" s="167"/>
      <c r="AK52" s="167"/>
      <c r="AL52" s="167"/>
      <c r="AM52" s="167"/>
      <c r="AN52" s="167"/>
      <c r="AO52" s="167"/>
      <c r="AP52" s="167"/>
    </row>
    <row r="53" spans="1:42">
      <c r="A53" s="19">
        <f t="shared" si="18"/>
        <v>2014</v>
      </c>
      <c r="B53" s="16">
        <v>41974</v>
      </c>
      <c r="C53" s="527">
        <v>73.900000000000006</v>
      </c>
      <c r="D53" s="526">
        <f t="shared" si="19"/>
        <v>76.900000000000006</v>
      </c>
      <c r="E53" s="527">
        <v>150.80000000000001</v>
      </c>
      <c r="F53" s="526">
        <v>188.4</v>
      </c>
      <c r="G53" s="527">
        <f t="shared" si="20"/>
        <v>120.1</v>
      </c>
      <c r="H53" s="526">
        <v>308.5</v>
      </c>
      <c r="I53" s="348">
        <f t="shared" si="33"/>
        <v>0.490053050397878</v>
      </c>
      <c r="J53" s="368">
        <f t="shared" si="21"/>
        <v>0.61069692058346836</v>
      </c>
      <c r="K53" s="369">
        <f t="shared" si="34"/>
        <v>0.2817384674037362</v>
      </c>
      <c r="L53" s="167"/>
      <c r="N53" s="265"/>
      <c r="O53" s="265"/>
      <c r="P53" s="265"/>
      <c r="Q53" s="265"/>
      <c r="R53" s="265"/>
      <c r="S53" s="265"/>
      <c r="T53" s="265"/>
      <c r="U53" s="265"/>
      <c r="V53" s="28"/>
      <c r="W53" s="28"/>
      <c r="AB53" s="167"/>
      <c r="AC53" s="167"/>
      <c r="AD53" s="167"/>
      <c r="AF53" s="167"/>
      <c r="AG53" s="167"/>
      <c r="AH53" s="167"/>
      <c r="AI53" s="167"/>
      <c r="AJ53" s="167"/>
      <c r="AK53" s="167"/>
      <c r="AL53" s="167"/>
      <c r="AM53" s="167"/>
      <c r="AN53" s="167"/>
      <c r="AO53" s="167"/>
      <c r="AP53" s="167"/>
    </row>
    <row r="54" spans="1:42">
      <c r="A54" s="19">
        <f t="shared" si="18"/>
        <v>2015</v>
      </c>
      <c r="B54" s="16">
        <v>42064</v>
      </c>
      <c r="C54" s="529">
        <v>43.3</v>
      </c>
      <c r="D54" s="528">
        <f t="shared" si="19"/>
        <v>47.8</v>
      </c>
      <c r="E54" s="531">
        <v>91.1</v>
      </c>
      <c r="F54" s="528">
        <v>139.9</v>
      </c>
      <c r="G54" s="529">
        <f t="shared" si="20"/>
        <v>86.699999999999989</v>
      </c>
      <c r="H54" s="530">
        <v>226.6</v>
      </c>
      <c r="I54" s="349">
        <f t="shared" si="33"/>
        <v>0.47530186608122943</v>
      </c>
      <c r="J54" s="366">
        <f t="shared" si="21"/>
        <v>0.61738746690203006</v>
      </c>
      <c r="K54" s="367">
        <f t="shared" si="34"/>
        <v>0.23635371179039302</v>
      </c>
      <c r="L54" s="167"/>
      <c r="N54" s="265"/>
      <c r="O54" s="265"/>
      <c r="P54" s="265"/>
      <c r="Q54" s="265"/>
      <c r="R54" s="265"/>
      <c r="S54" s="265"/>
      <c r="T54" s="265"/>
      <c r="U54" s="265"/>
      <c r="V54" s="28"/>
      <c r="W54" s="28"/>
      <c r="AB54" s="167"/>
      <c r="AC54" s="167"/>
      <c r="AD54" s="167"/>
      <c r="AF54" s="167"/>
      <c r="AG54" s="167"/>
      <c r="AH54" s="167"/>
      <c r="AI54" s="167"/>
      <c r="AJ54" s="167"/>
      <c r="AK54" s="167"/>
      <c r="AL54" s="167"/>
      <c r="AM54" s="167"/>
      <c r="AN54" s="167"/>
      <c r="AO54" s="167"/>
      <c r="AP54" s="167"/>
    </row>
    <row r="55" spans="1:42">
      <c r="A55" s="19">
        <f t="shared" si="18"/>
        <v>2015</v>
      </c>
      <c r="B55" s="16">
        <v>42156</v>
      </c>
      <c r="C55" s="527">
        <v>63.7</v>
      </c>
      <c r="D55" s="526">
        <f t="shared" si="19"/>
        <v>50.8</v>
      </c>
      <c r="E55" s="527">
        <v>114.5</v>
      </c>
      <c r="F55" s="526">
        <v>141</v>
      </c>
      <c r="G55" s="527">
        <f t="shared" si="20"/>
        <v>89.1</v>
      </c>
      <c r="H55" s="526">
        <v>230.1</v>
      </c>
      <c r="I55" s="348">
        <f t="shared" si="33"/>
        <v>0.55633187772925763</v>
      </c>
      <c r="J55" s="368">
        <f t="shared" si="21"/>
        <v>0.61277705345501954</v>
      </c>
      <c r="K55" s="369">
        <f t="shared" si="34"/>
        <v>0.31118710307767466</v>
      </c>
      <c r="L55" s="167"/>
      <c r="N55" s="265"/>
      <c r="O55" s="265"/>
      <c r="P55" s="265"/>
      <c r="Q55" s="265"/>
      <c r="R55" s="265"/>
      <c r="S55" s="265"/>
      <c r="T55" s="265"/>
      <c r="U55" s="265"/>
      <c r="V55" s="28"/>
      <c r="W55" s="28"/>
      <c r="AB55" s="167"/>
      <c r="AC55" s="167"/>
      <c r="AD55" s="167"/>
      <c r="AF55" s="167"/>
      <c r="AG55" s="167"/>
      <c r="AH55" s="167"/>
      <c r="AI55" s="167"/>
      <c r="AJ55" s="167"/>
      <c r="AK55" s="167"/>
      <c r="AL55" s="167"/>
      <c r="AM55" s="167"/>
      <c r="AN55" s="167"/>
      <c r="AO55" s="167"/>
      <c r="AP55" s="167"/>
    </row>
    <row r="56" spans="1:42">
      <c r="A56" s="19">
        <f t="shared" si="18"/>
        <v>2015</v>
      </c>
      <c r="B56" s="16">
        <v>42248</v>
      </c>
      <c r="C56" s="529">
        <v>60.6</v>
      </c>
      <c r="D56" s="528">
        <f t="shared" si="19"/>
        <v>54.300000000000004</v>
      </c>
      <c r="E56" s="531">
        <v>114.9</v>
      </c>
      <c r="F56" s="528">
        <v>172.5</v>
      </c>
      <c r="G56" s="529">
        <f t="shared" si="20"/>
        <v>106.60000000000002</v>
      </c>
      <c r="H56" s="530">
        <v>279.10000000000002</v>
      </c>
      <c r="I56" s="349">
        <f t="shared" si="33"/>
        <v>0.52741514360313313</v>
      </c>
      <c r="J56" s="366">
        <f t="shared" si="21"/>
        <v>0.61805804371193118</v>
      </c>
      <c r="K56" s="367">
        <f t="shared" si="34"/>
        <v>0.25997425997425999</v>
      </c>
      <c r="L56" s="167"/>
      <c r="N56" s="265"/>
      <c r="O56" s="265"/>
      <c r="P56" s="265"/>
      <c r="Q56" s="265"/>
      <c r="R56" s="265"/>
      <c r="S56" s="265"/>
      <c r="T56" s="265"/>
      <c r="U56" s="265"/>
      <c r="V56" s="28"/>
      <c r="W56" s="28"/>
      <c r="AB56" s="167"/>
      <c r="AC56" s="167"/>
      <c r="AD56" s="167"/>
      <c r="AF56" s="167"/>
      <c r="AG56" s="167"/>
      <c r="AH56" s="167"/>
      <c r="AI56" s="167"/>
      <c r="AJ56" s="167"/>
      <c r="AK56" s="167"/>
      <c r="AL56" s="167"/>
      <c r="AM56" s="167"/>
      <c r="AN56" s="167"/>
      <c r="AO56" s="167"/>
      <c r="AP56" s="167"/>
    </row>
    <row r="57" spans="1:42">
      <c r="A57" s="19">
        <f t="shared" si="18"/>
        <v>2015</v>
      </c>
      <c r="B57" s="16">
        <v>42339</v>
      </c>
      <c r="C57" s="527">
        <v>62.8</v>
      </c>
      <c r="D57" s="526">
        <f t="shared" si="19"/>
        <v>42.8</v>
      </c>
      <c r="E57" s="527">
        <v>105.6</v>
      </c>
      <c r="F57" s="526">
        <v>159.80000000000001</v>
      </c>
      <c r="G57" s="527">
        <f t="shared" si="20"/>
        <v>117.5</v>
      </c>
      <c r="H57" s="526">
        <v>277.3</v>
      </c>
      <c r="I57" s="348">
        <f t="shared" si="33"/>
        <v>0.59469696969696972</v>
      </c>
      <c r="J57" s="368">
        <f t="shared" si="21"/>
        <v>0.57627118644067798</v>
      </c>
      <c r="K57" s="369">
        <f t="shared" si="34"/>
        <v>0.28212039532794247</v>
      </c>
      <c r="L57" s="167"/>
      <c r="N57" s="265"/>
      <c r="O57" s="265"/>
      <c r="P57" s="265"/>
      <c r="Q57" s="265"/>
      <c r="R57" s="265"/>
      <c r="S57" s="265"/>
      <c r="T57" s="265"/>
      <c r="U57" s="265"/>
      <c r="V57" s="28"/>
      <c r="W57" s="28"/>
      <c r="AB57" s="167"/>
      <c r="AC57" s="167"/>
      <c r="AD57" s="167"/>
      <c r="AF57" s="167"/>
      <c r="AG57" s="167"/>
      <c r="AH57" s="167"/>
      <c r="AI57" s="167"/>
      <c r="AJ57" s="167"/>
      <c r="AK57" s="167"/>
      <c r="AL57" s="167"/>
      <c r="AM57" s="167"/>
      <c r="AN57" s="167"/>
      <c r="AO57" s="167"/>
      <c r="AP57" s="167"/>
    </row>
    <row r="58" spans="1:42">
      <c r="A58" s="19">
        <f t="shared" si="18"/>
        <v>2016</v>
      </c>
      <c r="B58" s="16">
        <v>42430</v>
      </c>
      <c r="C58" s="529">
        <v>52.7</v>
      </c>
      <c r="D58" s="528">
        <f t="shared" si="19"/>
        <v>34.399999999999991</v>
      </c>
      <c r="E58" s="531">
        <v>87.1</v>
      </c>
      <c r="F58" s="528">
        <v>134.4</v>
      </c>
      <c r="G58" s="529">
        <f t="shared" si="20"/>
        <v>68.799999999999983</v>
      </c>
      <c r="H58" s="530">
        <v>203.2</v>
      </c>
      <c r="I58" s="349">
        <f t="shared" si="33"/>
        <v>0.60505166475315741</v>
      </c>
      <c r="J58" s="366">
        <f t="shared" si="21"/>
        <v>0.66141732283464572</v>
      </c>
      <c r="K58" s="367">
        <f t="shared" si="34"/>
        <v>0.28166755745590594</v>
      </c>
      <c r="L58" s="167"/>
      <c r="V58" s="28"/>
      <c r="W58" s="28"/>
      <c r="AB58" s="167"/>
      <c r="AC58" s="167"/>
      <c r="AD58" s="167"/>
      <c r="AF58" s="167"/>
      <c r="AG58" s="167"/>
      <c r="AH58" s="167"/>
      <c r="AI58" s="167"/>
      <c r="AJ58" s="167"/>
      <c r="AK58" s="167"/>
      <c r="AL58" s="167"/>
      <c r="AM58" s="167"/>
      <c r="AN58" s="167"/>
      <c r="AO58" s="167"/>
      <c r="AP58" s="167"/>
    </row>
    <row r="59" spans="1:42">
      <c r="A59" s="19">
        <f t="shared" si="18"/>
        <v>2016</v>
      </c>
      <c r="B59" s="16">
        <v>42522</v>
      </c>
      <c r="C59" s="527">
        <v>65.3</v>
      </c>
      <c r="D59" s="526">
        <f t="shared" si="19"/>
        <v>38.799999999999997</v>
      </c>
      <c r="E59" s="527">
        <v>104.1</v>
      </c>
      <c r="F59" s="526">
        <v>162.9</v>
      </c>
      <c r="G59" s="527">
        <f t="shared" si="20"/>
        <v>86.9</v>
      </c>
      <c r="H59" s="526">
        <v>249.8</v>
      </c>
      <c r="I59" s="348">
        <f t="shared" si="33"/>
        <v>0.62728146013448605</v>
      </c>
      <c r="J59" s="368">
        <f t="shared" si="21"/>
        <v>0.65212169735788628</v>
      </c>
      <c r="K59" s="369">
        <f t="shared" si="34"/>
        <v>0.28615249780893953</v>
      </c>
      <c r="L59" s="167"/>
      <c r="V59" s="28"/>
      <c r="W59" s="28"/>
      <c r="AB59" s="167"/>
      <c r="AC59" s="167"/>
      <c r="AD59" s="167"/>
      <c r="AF59" s="167"/>
      <c r="AG59" s="167"/>
      <c r="AH59" s="167"/>
      <c r="AI59" s="167"/>
      <c r="AJ59" s="167"/>
      <c r="AK59" s="167"/>
      <c r="AL59" s="167"/>
      <c r="AM59" s="167"/>
      <c r="AN59" s="167"/>
      <c r="AO59" s="167"/>
      <c r="AP59" s="167"/>
    </row>
    <row r="60" spans="1:42">
      <c r="A60" s="19">
        <f t="shared" si="18"/>
        <v>2016</v>
      </c>
      <c r="B60" s="16">
        <v>42614</v>
      </c>
      <c r="C60" s="529">
        <v>71.2</v>
      </c>
      <c r="D60" s="528">
        <f t="shared" si="19"/>
        <v>42.599999999999994</v>
      </c>
      <c r="E60" s="531">
        <v>113.8</v>
      </c>
      <c r="F60" s="528">
        <v>177.6</v>
      </c>
      <c r="G60" s="529">
        <f t="shared" si="20"/>
        <v>88.000000000000028</v>
      </c>
      <c r="H60" s="530">
        <v>265.60000000000002</v>
      </c>
      <c r="I60" s="349">
        <f t="shared" si="33"/>
        <v>0.62565905096660812</v>
      </c>
      <c r="J60" s="366">
        <f t="shared" si="21"/>
        <v>0.6686746987951806</v>
      </c>
      <c r="K60" s="367">
        <f t="shared" si="34"/>
        <v>0.28617363344051444</v>
      </c>
      <c r="L60" s="167"/>
      <c r="V60" s="28"/>
      <c r="W60" s="28"/>
      <c r="AB60" s="167"/>
      <c r="AC60" s="167"/>
      <c r="AD60" s="167"/>
      <c r="AF60" s="167"/>
      <c r="AG60" s="167"/>
      <c r="AH60" s="167"/>
      <c r="AI60" s="167"/>
      <c r="AJ60" s="167"/>
      <c r="AK60" s="167"/>
      <c r="AL60" s="167"/>
      <c r="AM60" s="167"/>
      <c r="AN60" s="167"/>
      <c r="AO60" s="167"/>
      <c r="AP60" s="167"/>
    </row>
    <row r="61" spans="1:42">
      <c r="A61" s="19">
        <f t="shared" si="18"/>
        <v>2016</v>
      </c>
      <c r="B61" s="16">
        <v>42705</v>
      </c>
      <c r="C61" s="527">
        <v>78.3</v>
      </c>
      <c r="D61" s="526">
        <f t="shared" si="19"/>
        <v>52.600000000000009</v>
      </c>
      <c r="E61" s="527">
        <v>130.9</v>
      </c>
      <c r="F61" s="526">
        <v>185.2</v>
      </c>
      <c r="G61" s="527">
        <f t="shared" si="20"/>
        <v>87.100000000000023</v>
      </c>
      <c r="H61" s="526">
        <v>272.3</v>
      </c>
      <c r="I61" s="348">
        <f t="shared" si="33"/>
        <v>0.5981665393430099</v>
      </c>
      <c r="J61" s="368">
        <f t="shared" si="21"/>
        <v>0.68013220712449496</v>
      </c>
      <c r="K61" s="369">
        <f t="shared" si="34"/>
        <v>0.29715370018975329</v>
      </c>
      <c r="L61" s="167"/>
      <c r="V61" s="28"/>
      <c r="W61" s="28"/>
      <c r="AB61" s="167"/>
      <c r="AC61" s="167"/>
      <c r="AD61" s="167"/>
      <c r="AF61" s="167"/>
      <c r="AG61" s="167"/>
      <c r="AH61" s="167"/>
      <c r="AI61" s="167"/>
      <c r="AJ61" s="167"/>
      <c r="AK61" s="167"/>
      <c r="AL61" s="167"/>
      <c r="AM61" s="167"/>
      <c r="AN61" s="167"/>
      <c r="AO61" s="167"/>
      <c r="AP61" s="167"/>
    </row>
    <row r="62" spans="1:42">
      <c r="A62" s="19">
        <f t="shared" si="18"/>
        <v>2017</v>
      </c>
      <c r="B62" s="16">
        <v>42795</v>
      </c>
      <c r="C62" s="529">
        <v>62.5</v>
      </c>
      <c r="D62" s="528">
        <f t="shared" si="19"/>
        <v>40.400000000000006</v>
      </c>
      <c r="E62" s="531">
        <v>102.9</v>
      </c>
      <c r="F62" s="528">
        <v>162.6</v>
      </c>
      <c r="G62" s="529">
        <f t="shared" si="20"/>
        <v>72.200000000000017</v>
      </c>
      <c r="H62" s="530">
        <v>234.8</v>
      </c>
      <c r="I62" s="349">
        <f t="shared" si="33"/>
        <v>0.60738581146744408</v>
      </c>
      <c r="J62" s="366">
        <f t="shared" si="21"/>
        <v>0.69250425894378187</v>
      </c>
      <c r="K62" s="367">
        <f t="shared" si="34"/>
        <v>0.27765437583296315</v>
      </c>
      <c r="L62" s="167"/>
      <c r="V62" s="28"/>
      <c r="W62" s="28"/>
      <c r="AB62" s="167"/>
      <c r="AC62" s="167"/>
      <c r="AD62" s="167"/>
      <c r="AF62" s="167"/>
      <c r="AG62" s="167"/>
      <c r="AH62" s="167"/>
      <c r="AI62" s="167"/>
      <c r="AJ62" s="167"/>
      <c r="AK62" s="167"/>
      <c r="AL62" s="167"/>
      <c r="AM62" s="167"/>
      <c r="AN62" s="167"/>
      <c r="AO62" s="167"/>
      <c r="AP62" s="167"/>
    </row>
    <row r="63" spans="1:42">
      <c r="A63" s="19">
        <f t="shared" si="18"/>
        <v>2017</v>
      </c>
      <c r="B63" s="16">
        <v>42887</v>
      </c>
      <c r="C63" s="527">
        <v>83.3</v>
      </c>
      <c r="D63" s="526">
        <f t="shared" si="19"/>
        <v>52.600000000000009</v>
      </c>
      <c r="E63" s="527">
        <v>135.9</v>
      </c>
      <c r="F63" s="526">
        <v>207.7</v>
      </c>
      <c r="G63" s="527">
        <f t="shared" si="20"/>
        <v>101.19999999999999</v>
      </c>
      <c r="H63" s="526">
        <v>308.89999999999998</v>
      </c>
      <c r="I63" s="348">
        <f t="shared" si="33"/>
        <v>0.61295069904341426</v>
      </c>
      <c r="J63" s="368">
        <f t="shared" si="21"/>
        <v>0.67238588539980582</v>
      </c>
      <c r="K63" s="369">
        <f t="shared" si="34"/>
        <v>0.28625429553264603</v>
      </c>
      <c r="L63" s="167"/>
      <c r="V63" s="28"/>
      <c r="W63" s="28"/>
      <c r="AB63" s="167"/>
      <c r="AC63" s="167"/>
      <c r="AD63" s="167"/>
      <c r="AF63" s="167"/>
      <c r="AG63" s="167"/>
      <c r="AH63" s="167"/>
      <c r="AI63" s="167"/>
      <c r="AJ63" s="167"/>
      <c r="AK63" s="167"/>
      <c r="AL63" s="167"/>
      <c r="AM63" s="167"/>
      <c r="AN63" s="167"/>
      <c r="AO63" s="167"/>
      <c r="AP63" s="167"/>
    </row>
    <row r="64" spans="1:42">
      <c r="A64" s="19">
        <f t="shared" si="18"/>
        <v>2017</v>
      </c>
      <c r="B64" s="16">
        <v>42979</v>
      </c>
      <c r="C64" s="531">
        <v>94.8</v>
      </c>
      <c r="D64" s="530">
        <f t="shared" si="19"/>
        <v>64.100000000000009</v>
      </c>
      <c r="E64" s="531">
        <v>158.9</v>
      </c>
      <c r="F64" s="530">
        <v>199.5</v>
      </c>
      <c r="G64" s="531">
        <f t="shared" si="20"/>
        <v>116.80000000000001</v>
      </c>
      <c r="H64" s="530">
        <v>316.3</v>
      </c>
      <c r="I64" s="349">
        <f t="shared" si="33"/>
        <v>0.59660163624921325</v>
      </c>
      <c r="J64" s="366">
        <f t="shared" si="21"/>
        <v>0.63073031931710399</v>
      </c>
      <c r="K64" s="367">
        <f t="shared" si="34"/>
        <v>0.32212028542303772</v>
      </c>
      <c r="L64" s="167"/>
      <c r="V64" s="28"/>
      <c r="W64" s="28"/>
      <c r="AB64" s="167"/>
      <c r="AC64" s="167"/>
      <c r="AD64" s="167"/>
      <c r="AF64" s="167"/>
      <c r="AG64" s="167"/>
      <c r="AH64" s="167"/>
      <c r="AI64" s="167"/>
      <c r="AJ64" s="167"/>
      <c r="AK64" s="167"/>
      <c r="AL64" s="167"/>
      <c r="AM64" s="167"/>
      <c r="AN64" s="167"/>
      <c r="AO64" s="167"/>
      <c r="AP64" s="167"/>
    </row>
    <row r="65" spans="1:42">
      <c r="A65" s="19">
        <f t="shared" si="18"/>
        <v>2017</v>
      </c>
      <c r="B65" s="16">
        <v>43070</v>
      </c>
      <c r="C65" s="527">
        <v>98.5</v>
      </c>
      <c r="D65" s="526">
        <f t="shared" si="19"/>
        <v>64.199999999999989</v>
      </c>
      <c r="E65" s="527">
        <v>162.69999999999999</v>
      </c>
      <c r="F65" s="526">
        <v>200.1</v>
      </c>
      <c r="G65" s="527">
        <f t="shared" si="20"/>
        <v>133.29999999999998</v>
      </c>
      <c r="H65" s="526">
        <v>333.4</v>
      </c>
      <c r="I65" s="348">
        <f t="shared" si="33"/>
        <v>0.60540872771972964</v>
      </c>
      <c r="J65" s="368">
        <f t="shared" si="21"/>
        <v>0.60017996400719853</v>
      </c>
      <c r="K65" s="369">
        <f t="shared" si="34"/>
        <v>0.32987273945077022</v>
      </c>
      <c r="L65" s="167"/>
      <c r="V65" s="28"/>
      <c r="W65" s="28"/>
      <c r="AB65" s="167"/>
      <c r="AC65" s="167"/>
      <c r="AD65" s="167"/>
      <c r="AF65" s="167"/>
      <c r="AG65" s="167"/>
      <c r="AH65" s="167"/>
      <c r="AI65" s="167"/>
      <c r="AJ65" s="167"/>
      <c r="AK65" s="167"/>
      <c r="AL65" s="167"/>
      <c r="AM65" s="167"/>
      <c r="AN65" s="167"/>
      <c r="AO65" s="167"/>
      <c r="AP65" s="167"/>
    </row>
    <row r="66" spans="1:42">
      <c r="A66" s="19">
        <f t="shared" si="18"/>
        <v>2018</v>
      </c>
      <c r="B66" s="16">
        <v>43160</v>
      </c>
      <c r="C66" s="531">
        <v>88.9</v>
      </c>
      <c r="D66" s="530">
        <f t="shared" si="19"/>
        <v>56.5</v>
      </c>
      <c r="E66" s="531">
        <v>145.4</v>
      </c>
      <c r="F66" s="530">
        <v>172.1</v>
      </c>
      <c r="G66" s="531">
        <f t="shared" si="20"/>
        <v>121.20000000000002</v>
      </c>
      <c r="H66" s="530">
        <v>293.3</v>
      </c>
      <c r="I66" s="349">
        <f t="shared" si="33"/>
        <v>0.61141678129298493</v>
      </c>
      <c r="J66" s="366">
        <f t="shared" si="21"/>
        <v>0.58677122400272752</v>
      </c>
      <c r="K66" s="367">
        <f t="shared" si="34"/>
        <v>0.34061302681992339</v>
      </c>
      <c r="L66" s="167"/>
      <c r="V66" s="28"/>
      <c r="W66" s="28"/>
      <c r="AB66" s="167"/>
      <c r="AC66" s="167"/>
      <c r="AD66" s="167"/>
      <c r="AF66" s="167"/>
      <c r="AG66" s="167"/>
      <c r="AH66" s="167"/>
      <c r="AI66" s="167"/>
      <c r="AJ66" s="167"/>
      <c r="AK66" s="167"/>
      <c r="AL66" s="167"/>
      <c r="AM66" s="167"/>
      <c r="AN66" s="167"/>
      <c r="AO66" s="167"/>
      <c r="AP66" s="167"/>
    </row>
    <row r="67" spans="1:42">
      <c r="A67" s="19">
        <f t="shared" si="18"/>
        <v>2018</v>
      </c>
      <c r="B67" s="16">
        <v>43252</v>
      </c>
      <c r="C67" s="527">
        <v>123.7</v>
      </c>
      <c r="D67" s="526">
        <f t="shared" si="19"/>
        <v>74.2</v>
      </c>
      <c r="E67" s="527">
        <v>197.9</v>
      </c>
      <c r="F67" s="526">
        <v>226.1</v>
      </c>
      <c r="G67" s="527">
        <f t="shared" si="20"/>
        <v>143.79999999999998</v>
      </c>
      <c r="H67" s="526">
        <v>369.9</v>
      </c>
      <c r="I67" s="348">
        <f t="shared" si="33"/>
        <v>0.62506316321374433</v>
      </c>
      <c r="J67" s="368">
        <f t="shared" si="21"/>
        <v>0.61124628277912951</v>
      </c>
      <c r="K67" s="369">
        <f t="shared" si="34"/>
        <v>0.35363064608347627</v>
      </c>
      <c r="L67" s="167"/>
      <c r="V67" s="28"/>
      <c r="W67" s="28"/>
      <c r="AF67" s="180"/>
      <c r="AG67" s="180"/>
      <c r="AH67" s="167"/>
      <c r="AI67" s="167"/>
      <c r="AJ67" s="167"/>
      <c r="AK67" s="167"/>
      <c r="AL67" s="167"/>
      <c r="AM67" s="167"/>
      <c r="AN67" s="167"/>
      <c r="AO67" s="167"/>
      <c r="AP67" s="167"/>
    </row>
    <row r="68" spans="1:42">
      <c r="A68" s="19">
        <f t="shared" si="18"/>
        <v>2018</v>
      </c>
      <c r="B68" s="16">
        <v>43344</v>
      </c>
      <c r="C68" s="531">
        <v>142</v>
      </c>
      <c r="D68" s="530">
        <f t="shared" si="19"/>
        <v>81.5</v>
      </c>
      <c r="E68" s="531">
        <v>223.5</v>
      </c>
      <c r="F68" s="530">
        <v>219.4</v>
      </c>
      <c r="G68" s="531">
        <f t="shared" si="20"/>
        <v>141.99999999999997</v>
      </c>
      <c r="H68" s="530">
        <v>361.4</v>
      </c>
      <c r="I68" s="349">
        <f t="shared" si="33"/>
        <v>0.63534675615212532</v>
      </c>
      <c r="J68" s="366">
        <f t="shared" si="21"/>
        <v>0.60708356391809637</v>
      </c>
      <c r="K68" s="367">
        <f t="shared" si="34"/>
        <v>0.39291643608190374</v>
      </c>
      <c r="L68" s="167"/>
      <c r="V68" s="27"/>
      <c r="W68" s="28"/>
      <c r="AF68" s="180"/>
      <c r="AG68" s="180"/>
      <c r="AH68" s="167"/>
      <c r="AI68" s="167"/>
      <c r="AJ68" s="167"/>
      <c r="AK68" s="167"/>
      <c r="AL68" s="167"/>
      <c r="AM68" s="167"/>
      <c r="AN68" s="167"/>
      <c r="AO68" s="167"/>
      <c r="AP68" s="167"/>
    </row>
    <row r="69" spans="1:42">
      <c r="A69" s="19">
        <f t="shared" si="18"/>
        <v>2018</v>
      </c>
      <c r="B69" s="16">
        <v>43435</v>
      </c>
      <c r="C69" s="527">
        <v>147.1</v>
      </c>
      <c r="D69" s="526">
        <f t="shared" si="19"/>
        <v>86.4</v>
      </c>
      <c r="E69" s="527">
        <v>233.5</v>
      </c>
      <c r="F69" s="526">
        <v>199.1</v>
      </c>
      <c r="G69" s="527">
        <f t="shared" si="20"/>
        <v>160.20000000000002</v>
      </c>
      <c r="H69" s="526">
        <v>359.3</v>
      </c>
      <c r="I69" s="348">
        <f t="shared" si="33"/>
        <v>0.62997858672376872</v>
      </c>
      <c r="J69" s="368">
        <f t="shared" si="21"/>
        <v>0.55413303645978285</v>
      </c>
      <c r="K69" s="369">
        <f t="shared" si="34"/>
        <v>0.42489890236857308</v>
      </c>
      <c r="V69" s="27"/>
      <c r="W69" s="27"/>
      <c r="AF69" s="180"/>
      <c r="AG69" s="180"/>
      <c r="AH69" s="180"/>
      <c r="AI69" s="180"/>
    </row>
    <row r="70" spans="1:42">
      <c r="A70" s="19">
        <f t="shared" si="18"/>
        <v>2019</v>
      </c>
      <c r="B70" s="16">
        <v>43525</v>
      </c>
      <c r="C70" s="531">
        <v>125.5</v>
      </c>
      <c r="D70" s="530">
        <f t="shared" si="19"/>
        <v>49.800000000000011</v>
      </c>
      <c r="E70" s="531">
        <v>175.3</v>
      </c>
      <c r="F70" s="530">
        <v>193.9</v>
      </c>
      <c r="G70" s="531">
        <f t="shared" si="20"/>
        <v>136.49999999999997</v>
      </c>
      <c r="H70" s="530">
        <v>330.4</v>
      </c>
      <c r="I70" s="349">
        <f t="shared" si="33"/>
        <v>0.71591557330290923</v>
      </c>
      <c r="J70" s="366">
        <f t="shared" si="21"/>
        <v>0.58686440677966112</v>
      </c>
      <c r="K70" s="367">
        <f t="shared" si="34"/>
        <v>0.39292423293675643</v>
      </c>
      <c r="V70" s="27"/>
      <c r="W70" s="27"/>
      <c r="AF70" s="180"/>
      <c r="AG70" s="180"/>
      <c r="AH70" s="180"/>
      <c r="AI70" s="180"/>
    </row>
    <row r="71" spans="1:42">
      <c r="A71" s="19">
        <f t="shared" si="18"/>
        <v>2019</v>
      </c>
      <c r="B71" s="16">
        <v>43617</v>
      </c>
      <c r="C71" s="527">
        <v>183.9</v>
      </c>
      <c r="D71" s="526">
        <f t="shared" si="19"/>
        <v>91.200000000000017</v>
      </c>
      <c r="E71" s="527">
        <v>275.10000000000002</v>
      </c>
      <c r="F71" s="526">
        <v>231.2</v>
      </c>
      <c r="G71" s="527">
        <f t="shared" si="20"/>
        <v>158.5</v>
      </c>
      <c r="H71" s="526">
        <v>389.7</v>
      </c>
      <c r="I71" s="348">
        <f t="shared" si="33"/>
        <v>0.66848418756815697</v>
      </c>
      <c r="J71" s="368">
        <f t="shared" si="21"/>
        <v>0.59327687965101361</v>
      </c>
      <c r="K71" s="369">
        <f t="shared" si="34"/>
        <v>0.4430257769212238</v>
      </c>
      <c r="V71" s="27"/>
      <c r="W71" s="27"/>
      <c r="AF71" s="180"/>
      <c r="AG71" s="180"/>
      <c r="AH71" s="180"/>
      <c r="AI71" s="180"/>
    </row>
    <row r="72" spans="1:42">
      <c r="A72" s="19">
        <f t="shared" si="18"/>
        <v>2019</v>
      </c>
      <c r="B72" s="16">
        <v>43709</v>
      </c>
      <c r="C72" s="531">
        <v>207.6</v>
      </c>
      <c r="D72" s="530">
        <f t="shared" si="19"/>
        <v>94.799999999999983</v>
      </c>
      <c r="E72" s="531">
        <v>302.39999999999998</v>
      </c>
      <c r="F72" s="530">
        <v>252.2</v>
      </c>
      <c r="G72" s="531">
        <f t="shared" si="20"/>
        <v>170.2</v>
      </c>
      <c r="H72" s="530">
        <v>422.4</v>
      </c>
      <c r="I72" s="349">
        <f t="shared" si="33"/>
        <v>0.68650793650793651</v>
      </c>
      <c r="J72" s="366">
        <f t="shared" si="21"/>
        <v>0.59706439393939392</v>
      </c>
      <c r="K72" s="367">
        <f t="shared" si="34"/>
        <v>0.4515006524575903</v>
      </c>
      <c r="V72" s="27"/>
      <c r="W72" s="27"/>
      <c r="AF72" s="180"/>
      <c r="AG72" s="180"/>
      <c r="AH72" s="180"/>
      <c r="AI72" s="180"/>
    </row>
    <row r="73" spans="1:42">
      <c r="A73" s="19">
        <f t="shared" ref="A73:A75" si="35">YEAR(B73)</f>
        <v>2019</v>
      </c>
      <c r="B73" s="16">
        <v>43800</v>
      </c>
      <c r="C73" s="527">
        <v>179</v>
      </c>
      <c r="D73" s="526">
        <f t="shared" ref="D73:D79" si="36">E73-C73</f>
        <v>124.89999999999998</v>
      </c>
      <c r="E73" s="527">
        <v>303.89999999999998</v>
      </c>
      <c r="F73" s="526">
        <v>274.89999999999998</v>
      </c>
      <c r="G73" s="527">
        <f t="shared" ref="G73:G79" si="37">H73-F73</f>
        <v>174.3</v>
      </c>
      <c r="H73" s="526">
        <v>449.2</v>
      </c>
      <c r="I73" s="348">
        <f t="shared" si="33"/>
        <v>0.58900954261270155</v>
      </c>
      <c r="J73" s="368">
        <f t="shared" ref="J73:J79" si="38">F73/H73</f>
        <v>0.6119768477292965</v>
      </c>
      <c r="K73" s="369">
        <f t="shared" si="34"/>
        <v>0.39435999118748627</v>
      </c>
      <c r="V73" s="27"/>
      <c r="W73" s="27"/>
      <c r="AF73" s="180"/>
      <c r="AG73" s="180"/>
      <c r="AH73" s="180"/>
      <c r="AI73" s="180"/>
    </row>
    <row r="74" spans="1:42">
      <c r="A74" s="19">
        <f t="shared" si="35"/>
        <v>2020</v>
      </c>
      <c r="B74" s="16">
        <v>43891</v>
      </c>
      <c r="C74" s="531">
        <v>131.4</v>
      </c>
      <c r="D74" s="530">
        <f t="shared" si="36"/>
        <v>92.299999999999983</v>
      </c>
      <c r="E74" s="531">
        <v>223.7</v>
      </c>
      <c r="F74" s="530">
        <v>235.7</v>
      </c>
      <c r="G74" s="531">
        <f t="shared" si="37"/>
        <v>151.10000000000002</v>
      </c>
      <c r="H74" s="530">
        <v>386.8</v>
      </c>
      <c r="I74" s="349">
        <f t="shared" si="33"/>
        <v>0.58739383102369247</v>
      </c>
      <c r="J74" s="366">
        <f t="shared" si="38"/>
        <v>0.60935884177869692</v>
      </c>
      <c r="K74" s="367">
        <f t="shared" si="34"/>
        <v>0.35794061563606644</v>
      </c>
      <c r="V74" s="27"/>
      <c r="W74" s="27"/>
      <c r="AC74" s="180"/>
      <c r="AF74" s="180"/>
      <c r="AG74" s="180"/>
      <c r="AH74" s="180"/>
      <c r="AI74" s="180"/>
    </row>
    <row r="75" spans="1:42">
      <c r="A75" s="19">
        <f t="shared" si="35"/>
        <v>2020</v>
      </c>
      <c r="B75" s="682">
        <v>43983</v>
      </c>
      <c r="C75" s="527">
        <v>133.4</v>
      </c>
      <c r="D75" s="526">
        <f t="shared" si="36"/>
        <v>95.6</v>
      </c>
      <c r="E75" s="527">
        <v>229</v>
      </c>
      <c r="F75" s="526">
        <v>279</v>
      </c>
      <c r="G75" s="527">
        <f t="shared" si="37"/>
        <v>175.3</v>
      </c>
      <c r="H75" s="526">
        <v>454.3</v>
      </c>
      <c r="I75" s="348">
        <f t="shared" si="33"/>
        <v>0.5825327510917031</v>
      </c>
      <c r="J75" s="368">
        <f t="shared" si="38"/>
        <v>0.61413163108078361</v>
      </c>
      <c r="K75" s="369">
        <f t="shared" si="34"/>
        <v>0.32347235693501458</v>
      </c>
      <c r="V75" s="27"/>
      <c r="W75" s="27"/>
      <c r="AH75" s="180"/>
      <c r="AI75" s="180"/>
    </row>
    <row r="76" spans="1:42">
      <c r="A76" s="19">
        <v>2020</v>
      </c>
      <c r="B76" s="16">
        <v>44075</v>
      </c>
      <c r="C76" s="531">
        <v>163.9</v>
      </c>
      <c r="D76" s="530">
        <f t="shared" ref="D76:D77" si="39">E76-C76</f>
        <v>93.6</v>
      </c>
      <c r="E76" s="531">
        <v>257.5</v>
      </c>
      <c r="F76" s="530">
        <v>319.5</v>
      </c>
      <c r="G76" s="531">
        <f t="shared" ref="G76:G77" si="40">H76-F76</f>
        <v>167.89999999999998</v>
      </c>
      <c r="H76" s="530">
        <v>487.4</v>
      </c>
      <c r="I76" s="349">
        <f t="shared" ref="I76:I77" si="41">C76/E76</f>
        <v>0.63650485436893212</v>
      </c>
      <c r="J76" s="366">
        <f t="shared" ref="J76:J77" si="42">F76/H76</f>
        <v>0.65551908083709487</v>
      </c>
      <c r="K76" s="367">
        <f t="shared" ref="K76:K77" si="43">C76/(SUM(C76+F76))</f>
        <v>0.33905668183698801</v>
      </c>
      <c r="W76" s="27"/>
      <c r="AH76" s="180"/>
      <c r="AI76" s="180"/>
    </row>
    <row r="77" spans="1:42">
      <c r="A77" s="19">
        <v>2020</v>
      </c>
      <c r="B77" s="16">
        <v>44166</v>
      </c>
      <c r="C77" s="527">
        <v>148.69999999999999</v>
      </c>
      <c r="D77" s="526">
        <f t="shared" si="39"/>
        <v>97.9</v>
      </c>
      <c r="E77" s="527">
        <v>246.6</v>
      </c>
      <c r="F77" s="526">
        <v>346</v>
      </c>
      <c r="G77" s="527">
        <f t="shared" si="40"/>
        <v>177.39999999999998</v>
      </c>
      <c r="H77" s="526">
        <v>523.4</v>
      </c>
      <c r="I77" s="348">
        <f t="shared" si="41"/>
        <v>0.60300081103000813</v>
      </c>
      <c r="J77" s="368">
        <f t="shared" si="42"/>
        <v>0.66106228505922815</v>
      </c>
      <c r="K77" s="369">
        <f t="shared" si="43"/>
        <v>0.30058621386699008</v>
      </c>
    </row>
    <row r="78" spans="1:42">
      <c r="A78" s="19">
        <v>2021</v>
      </c>
      <c r="B78" s="16">
        <v>44256</v>
      </c>
      <c r="C78" s="531">
        <v>169.3</v>
      </c>
      <c r="D78" s="530">
        <f t="shared" si="36"/>
        <v>83</v>
      </c>
      <c r="E78" s="531">
        <v>252.3</v>
      </c>
      <c r="F78" s="530">
        <v>310.89999999999998</v>
      </c>
      <c r="G78" s="531">
        <f t="shared" si="37"/>
        <v>171.60000000000002</v>
      </c>
      <c r="H78" s="530">
        <v>482.5</v>
      </c>
      <c r="I78" s="349">
        <f t="shared" si="33"/>
        <v>0.67102655568767344</v>
      </c>
      <c r="J78" s="366">
        <f t="shared" si="38"/>
        <v>0.64435233160621752</v>
      </c>
      <c r="K78" s="367">
        <f t="shared" si="34"/>
        <v>0.35256143273635987</v>
      </c>
    </row>
    <row r="79" spans="1:42" ht="15.75" thickBot="1">
      <c r="A79" s="19">
        <v>2021</v>
      </c>
      <c r="B79" s="757">
        <v>44348</v>
      </c>
      <c r="C79" s="803">
        <v>201.4</v>
      </c>
      <c r="D79" s="804">
        <f t="shared" si="36"/>
        <v>109.1</v>
      </c>
      <c r="E79" s="803">
        <v>310.5</v>
      </c>
      <c r="F79" s="804">
        <v>392.4</v>
      </c>
      <c r="G79" s="803">
        <f t="shared" si="37"/>
        <v>209.10000000000002</v>
      </c>
      <c r="H79" s="804">
        <v>601.5</v>
      </c>
      <c r="I79" s="829">
        <f t="shared" si="33"/>
        <v>0.6486312399355878</v>
      </c>
      <c r="J79" s="830">
        <f t="shared" si="38"/>
        <v>0.6523690773067331</v>
      </c>
      <c r="K79" s="831">
        <f t="shared" si="34"/>
        <v>0.33917143819467838</v>
      </c>
    </row>
    <row r="80" spans="1:42">
      <c r="A80" s="19">
        <f t="shared" ref="A80:A107" si="44">YEAR(B82)</f>
        <v>1900</v>
      </c>
      <c r="C80" s="7"/>
      <c r="E80" s="116"/>
      <c r="F80" s="7"/>
      <c r="G80" s="116"/>
      <c r="I80" s="116"/>
    </row>
    <row r="81" spans="1:9">
      <c r="A81" s="19">
        <f t="shared" si="44"/>
        <v>1900</v>
      </c>
      <c r="C81" s="7"/>
      <c r="E81" s="116"/>
      <c r="F81" s="7"/>
      <c r="G81" s="116"/>
      <c r="I81" s="116"/>
    </row>
    <row r="82" spans="1:9">
      <c r="A82" s="19">
        <f t="shared" si="44"/>
        <v>1900</v>
      </c>
      <c r="C82" s="7"/>
      <c r="E82" s="116"/>
      <c r="F82" s="7"/>
      <c r="G82" s="116"/>
      <c r="I82" s="116"/>
    </row>
    <row r="83" spans="1:9">
      <c r="A83" s="19">
        <f t="shared" si="44"/>
        <v>1900</v>
      </c>
      <c r="C83" s="7"/>
      <c r="E83" s="116"/>
      <c r="F83" s="7"/>
      <c r="G83" s="116"/>
      <c r="I83" s="116"/>
    </row>
    <row r="84" spans="1:9">
      <c r="A84" s="19">
        <f t="shared" si="44"/>
        <v>1900</v>
      </c>
      <c r="C84" s="7"/>
      <c r="F84" s="7"/>
      <c r="G84" s="116"/>
    </row>
    <row r="85" spans="1:9">
      <c r="A85" s="19">
        <f t="shared" si="44"/>
        <v>1900</v>
      </c>
      <c r="C85" s="7"/>
      <c r="F85" s="7"/>
      <c r="G85" s="116"/>
    </row>
    <row r="86" spans="1:9">
      <c r="A86" s="19">
        <f t="shared" si="44"/>
        <v>1900</v>
      </c>
      <c r="C86" s="7"/>
      <c r="F86" s="7"/>
      <c r="G86" s="116"/>
    </row>
    <row r="87" spans="1:9">
      <c r="A87" s="19">
        <f t="shared" si="44"/>
        <v>1900</v>
      </c>
      <c r="C87" s="7"/>
      <c r="F87" s="7"/>
      <c r="G87" s="116"/>
    </row>
    <row r="88" spans="1:9">
      <c r="A88" s="19">
        <f t="shared" si="44"/>
        <v>1900</v>
      </c>
      <c r="F88" s="116"/>
      <c r="G88" s="116"/>
    </row>
    <row r="89" spans="1:9">
      <c r="A89" s="19">
        <f t="shared" si="44"/>
        <v>1900</v>
      </c>
      <c r="F89" s="116"/>
      <c r="G89" s="116"/>
    </row>
    <row r="90" spans="1:9">
      <c r="A90" s="19">
        <f t="shared" si="44"/>
        <v>1900</v>
      </c>
      <c r="F90" s="116"/>
      <c r="G90" s="116"/>
    </row>
    <row r="91" spans="1:9">
      <c r="A91" s="19">
        <f t="shared" si="44"/>
        <v>1900</v>
      </c>
      <c r="F91" s="116"/>
      <c r="G91" s="116"/>
    </row>
    <row r="92" spans="1:9">
      <c r="A92" s="19">
        <f t="shared" si="44"/>
        <v>1900</v>
      </c>
      <c r="F92" s="116"/>
      <c r="G92" s="116"/>
    </row>
    <row r="93" spans="1:9">
      <c r="A93" s="19">
        <f t="shared" si="44"/>
        <v>1900</v>
      </c>
      <c r="F93" s="116"/>
      <c r="G93" s="116"/>
    </row>
    <row r="94" spans="1:9">
      <c r="A94" s="19">
        <f t="shared" si="44"/>
        <v>1900</v>
      </c>
      <c r="F94" s="116"/>
      <c r="G94" s="116"/>
    </row>
    <row r="95" spans="1:9">
      <c r="A95" s="19">
        <f t="shared" si="44"/>
        <v>1900</v>
      </c>
      <c r="F95" s="116"/>
      <c r="G95" s="116"/>
    </row>
    <row r="96" spans="1:9">
      <c r="A96" s="19">
        <f t="shared" si="44"/>
        <v>1900</v>
      </c>
      <c r="F96" s="116"/>
      <c r="G96" s="116"/>
    </row>
    <row r="97" spans="1:7">
      <c r="A97" s="19">
        <f t="shared" si="44"/>
        <v>1900</v>
      </c>
      <c r="F97" s="116"/>
      <c r="G97" s="116"/>
    </row>
    <row r="98" spans="1:7" ht="15.75" customHeight="1">
      <c r="A98" s="19">
        <f t="shared" si="44"/>
        <v>1900</v>
      </c>
      <c r="F98" s="116"/>
      <c r="G98" s="116"/>
    </row>
    <row r="99" spans="1:7">
      <c r="A99" s="19">
        <f t="shared" si="44"/>
        <v>1900</v>
      </c>
      <c r="F99" s="116"/>
      <c r="G99" s="116"/>
    </row>
    <row r="100" spans="1:7">
      <c r="A100" s="19">
        <f t="shared" si="44"/>
        <v>1900</v>
      </c>
      <c r="F100" s="116"/>
      <c r="G100" s="116"/>
    </row>
    <row r="101" spans="1:7">
      <c r="A101" s="19">
        <f t="shared" si="44"/>
        <v>1900</v>
      </c>
      <c r="F101" s="116"/>
      <c r="G101" s="116"/>
    </row>
    <row r="102" spans="1:7">
      <c r="A102" s="19">
        <f t="shared" si="44"/>
        <v>1900</v>
      </c>
      <c r="F102" s="116"/>
      <c r="G102" s="116"/>
    </row>
    <row r="103" spans="1:7">
      <c r="A103" s="19">
        <f t="shared" si="44"/>
        <v>1900</v>
      </c>
      <c r="F103" s="116"/>
      <c r="G103" s="116"/>
    </row>
    <row r="104" spans="1:7">
      <c r="A104" s="19">
        <f t="shared" si="44"/>
        <v>1900</v>
      </c>
      <c r="F104" s="116"/>
      <c r="G104" s="116"/>
    </row>
    <row r="105" spans="1:7" ht="15" customHeight="1">
      <c r="A105" s="19">
        <f t="shared" si="44"/>
        <v>1900</v>
      </c>
      <c r="F105" s="116"/>
      <c r="G105" s="116"/>
    </row>
    <row r="106" spans="1:7">
      <c r="A106" s="19">
        <f t="shared" si="44"/>
        <v>1900</v>
      </c>
      <c r="F106" s="116"/>
      <c r="G106" s="116"/>
    </row>
    <row r="107" spans="1:7">
      <c r="A107" s="19">
        <f t="shared" si="44"/>
        <v>1900</v>
      </c>
      <c r="F107" s="116"/>
      <c r="G107" s="116"/>
    </row>
    <row r="108" spans="1:7">
      <c r="A108" s="19">
        <f t="shared" ref="A108:A134" si="45">YEAR(B110)</f>
        <v>1900</v>
      </c>
      <c r="F108" s="116"/>
      <c r="G108" s="116"/>
    </row>
    <row r="109" spans="1:7">
      <c r="A109" s="19">
        <f t="shared" si="45"/>
        <v>1900</v>
      </c>
      <c r="F109" s="116"/>
      <c r="G109" s="116"/>
    </row>
    <row r="110" spans="1:7">
      <c r="A110" s="19">
        <f t="shared" si="45"/>
        <v>1900</v>
      </c>
      <c r="F110" s="116"/>
      <c r="G110" s="116"/>
    </row>
    <row r="111" spans="1:7">
      <c r="A111" s="19">
        <f t="shared" si="45"/>
        <v>1900</v>
      </c>
      <c r="F111" s="116"/>
      <c r="G111" s="116"/>
    </row>
    <row r="112" spans="1:7">
      <c r="A112" s="19">
        <f t="shared" si="45"/>
        <v>1900</v>
      </c>
      <c r="F112" s="116"/>
      <c r="G112" s="116"/>
    </row>
    <row r="113" spans="1:7">
      <c r="A113" s="19">
        <f t="shared" si="45"/>
        <v>1900</v>
      </c>
      <c r="F113" s="116"/>
      <c r="G113" s="116"/>
    </row>
    <row r="114" spans="1:7">
      <c r="A114" s="19">
        <f t="shared" si="45"/>
        <v>1900</v>
      </c>
      <c r="F114" s="116"/>
      <c r="G114" s="116"/>
    </row>
    <row r="115" spans="1:7">
      <c r="A115" s="19">
        <f t="shared" si="45"/>
        <v>1900</v>
      </c>
      <c r="F115" s="116"/>
      <c r="G115" s="116"/>
    </row>
    <row r="116" spans="1:7">
      <c r="A116" s="19">
        <f t="shared" si="45"/>
        <v>1900</v>
      </c>
      <c r="F116" s="116"/>
      <c r="G116" s="116"/>
    </row>
    <row r="117" spans="1:7">
      <c r="A117" s="19">
        <f t="shared" si="45"/>
        <v>1900</v>
      </c>
      <c r="F117" s="116"/>
      <c r="G117" s="116"/>
    </row>
    <row r="118" spans="1:7">
      <c r="A118" s="19">
        <f t="shared" si="45"/>
        <v>1900</v>
      </c>
      <c r="F118" s="116"/>
      <c r="G118" s="116"/>
    </row>
    <row r="119" spans="1:7">
      <c r="A119" s="19">
        <f t="shared" si="45"/>
        <v>1900</v>
      </c>
      <c r="F119" s="116"/>
      <c r="G119" s="116"/>
    </row>
    <row r="120" spans="1:7">
      <c r="A120" s="19">
        <f t="shared" si="45"/>
        <v>1900</v>
      </c>
      <c r="F120" s="116"/>
      <c r="G120" s="116"/>
    </row>
    <row r="121" spans="1:7">
      <c r="A121" s="19">
        <f t="shared" si="45"/>
        <v>1900</v>
      </c>
      <c r="F121" s="116"/>
      <c r="G121" s="116"/>
    </row>
    <row r="122" spans="1:7">
      <c r="A122" s="19">
        <f t="shared" si="45"/>
        <v>1900</v>
      </c>
      <c r="F122" s="116"/>
      <c r="G122" s="116"/>
    </row>
    <row r="123" spans="1:7">
      <c r="A123" s="19">
        <f t="shared" si="45"/>
        <v>1900</v>
      </c>
      <c r="F123" s="116"/>
      <c r="G123" s="116"/>
    </row>
    <row r="124" spans="1:7">
      <c r="A124" s="19">
        <f t="shared" si="45"/>
        <v>1900</v>
      </c>
      <c r="F124" s="116"/>
      <c r="G124" s="116"/>
    </row>
    <row r="125" spans="1:7">
      <c r="A125" s="19">
        <f t="shared" si="45"/>
        <v>1900</v>
      </c>
      <c r="F125" s="116"/>
      <c r="G125" s="116"/>
    </row>
    <row r="126" spans="1:7">
      <c r="A126" s="19">
        <f t="shared" si="45"/>
        <v>1900</v>
      </c>
    </row>
    <row r="127" spans="1:7">
      <c r="A127" s="19">
        <f t="shared" si="45"/>
        <v>1900</v>
      </c>
    </row>
    <row r="128" spans="1:7">
      <c r="A128" s="19">
        <f t="shared" si="45"/>
        <v>1900</v>
      </c>
    </row>
    <row r="129" spans="1:1">
      <c r="A129" s="19">
        <f t="shared" si="45"/>
        <v>1900</v>
      </c>
    </row>
    <row r="130" spans="1:1">
      <c r="A130" s="19">
        <f t="shared" si="45"/>
        <v>1900</v>
      </c>
    </row>
    <row r="131" spans="1:1">
      <c r="A131" s="19">
        <f t="shared" si="45"/>
        <v>1900</v>
      </c>
    </row>
    <row r="132" spans="1:1">
      <c r="A132" s="19">
        <f t="shared" si="45"/>
        <v>1900</v>
      </c>
    </row>
    <row r="133" spans="1:1">
      <c r="A133" s="19">
        <f t="shared" si="45"/>
        <v>1900</v>
      </c>
    </row>
    <row r="134" spans="1:1">
      <c r="A134" s="19">
        <f t="shared" si="45"/>
        <v>1900</v>
      </c>
    </row>
    <row r="135" spans="1:1">
      <c r="A135" s="19">
        <f t="shared" ref="A135:A198" si="46">YEAR(B137)</f>
        <v>1900</v>
      </c>
    </row>
    <row r="136" spans="1:1">
      <c r="A136" s="19">
        <f t="shared" si="46"/>
        <v>1900</v>
      </c>
    </row>
    <row r="137" spans="1:1">
      <c r="A137" s="19">
        <f t="shared" si="46"/>
        <v>1900</v>
      </c>
    </row>
    <row r="138" spans="1:1">
      <c r="A138" s="19">
        <f t="shared" si="46"/>
        <v>1900</v>
      </c>
    </row>
    <row r="139" spans="1:1">
      <c r="A139" s="19">
        <f t="shared" si="46"/>
        <v>1900</v>
      </c>
    </row>
    <row r="140" spans="1:1">
      <c r="A140" s="19">
        <f t="shared" si="46"/>
        <v>1900</v>
      </c>
    </row>
    <row r="141" spans="1:1">
      <c r="A141" s="19">
        <f t="shared" si="46"/>
        <v>1900</v>
      </c>
    </row>
    <row r="142" spans="1:1">
      <c r="A142" s="19">
        <f t="shared" si="46"/>
        <v>1900</v>
      </c>
    </row>
    <row r="143" spans="1:1">
      <c r="A143" s="19">
        <f t="shared" si="46"/>
        <v>1900</v>
      </c>
    </row>
    <row r="144" spans="1:1">
      <c r="A144" s="19">
        <f t="shared" si="46"/>
        <v>1900</v>
      </c>
    </row>
    <row r="145" spans="1:18">
      <c r="A145" s="19">
        <f t="shared" si="46"/>
        <v>1900</v>
      </c>
    </row>
    <row r="146" spans="1:18">
      <c r="A146" s="19">
        <f t="shared" si="46"/>
        <v>1900</v>
      </c>
    </row>
    <row r="147" spans="1:18">
      <c r="A147" s="19">
        <f t="shared" si="46"/>
        <v>1900</v>
      </c>
      <c r="R147" s="7"/>
    </row>
    <row r="148" spans="1:18">
      <c r="A148" s="19">
        <f t="shared" si="46"/>
        <v>1900</v>
      </c>
    </row>
    <row r="149" spans="1:18">
      <c r="A149" s="19">
        <f t="shared" si="46"/>
        <v>1900</v>
      </c>
    </row>
    <row r="150" spans="1:18">
      <c r="A150" s="19">
        <f t="shared" si="46"/>
        <v>1900</v>
      </c>
    </row>
    <row r="151" spans="1:18">
      <c r="A151" s="19">
        <f t="shared" si="46"/>
        <v>1900</v>
      </c>
    </row>
    <row r="152" spans="1:18">
      <c r="A152" s="19">
        <f t="shared" si="46"/>
        <v>1900</v>
      </c>
    </row>
    <row r="153" spans="1:18">
      <c r="A153" s="19">
        <f t="shared" si="46"/>
        <v>1900</v>
      </c>
    </row>
    <row r="154" spans="1:18">
      <c r="A154" s="19">
        <f t="shared" si="46"/>
        <v>1900</v>
      </c>
    </row>
    <row r="155" spans="1:18">
      <c r="A155" s="19">
        <f t="shared" si="46"/>
        <v>1900</v>
      </c>
    </row>
    <row r="156" spans="1:18">
      <c r="A156" s="19">
        <f t="shared" si="46"/>
        <v>1900</v>
      </c>
    </row>
    <row r="157" spans="1:18">
      <c r="A157" s="19">
        <f t="shared" si="46"/>
        <v>1900</v>
      </c>
    </row>
    <row r="158" spans="1:18">
      <c r="A158" s="19">
        <f t="shared" si="46"/>
        <v>1900</v>
      </c>
    </row>
    <row r="159" spans="1:18">
      <c r="A159" s="19">
        <f t="shared" si="46"/>
        <v>1900</v>
      </c>
    </row>
    <row r="160" spans="1:18">
      <c r="A160" s="19">
        <f t="shared" si="46"/>
        <v>1900</v>
      </c>
    </row>
    <row r="161" spans="1:1">
      <c r="A161" s="19">
        <f t="shared" si="46"/>
        <v>1900</v>
      </c>
    </row>
    <row r="162" spans="1:1">
      <c r="A162" s="19">
        <f t="shared" si="46"/>
        <v>1900</v>
      </c>
    </row>
    <row r="163" spans="1:1">
      <c r="A163" s="19">
        <f t="shared" si="46"/>
        <v>1900</v>
      </c>
    </row>
    <row r="164" spans="1:1">
      <c r="A164" s="19">
        <f t="shared" si="46"/>
        <v>1900</v>
      </c>
    </row>
    <row r="165" spans="1:1">
      <c r="A165" s="19">
        <f t="shared" si="46"/>
        <v>1900</v>
      </c>
    </row>
    <row r="166" spans="1:1">
      <c r="A166" s="19">
        <f t="shared" si="46"/>
        <v>1900</v>
      </c>
    </row>
    <row r="167" spans="1:1">
      <c r="A167" s="19">
        <f t="shared" si="46"/>
        <v>1900</v>
      </c>
    </row>
    <row r="168" spans="1:1">
      <c r="A168" s="19">
        <f t="shared" si="46"/>
        <v>1900</v>
      </c>
    </row>
    <row r="169" spans="1:1">
      <c r="A169" s="19">
        <f t="shared" si="46"/>
        <v>1900</v>
      </c>
    </row>
    <row r="170" spans="1:1">
      <c r="A170" s="19">
        <f t="shared" si="46"/>
        <v>1900</v>
      </c>
    </row>
    <row r="171" spans="1:1">
      <c r="A171" s="19">
        <f t="shared" si="46"/>
        <v>1900</v>
      </c>
    </row>
    <row r="172" spans="1:1">
      <c r="A172" s="19">
        <f t="shared" si="46"/>
        <v>1900</v>
      </c>
    </row>
    <row r="173" spans="1:1">
      <c r="A173" s="19">
        <f t="shared" si="46"/>
        <v>1900</v>
      </c>
    </row>
    <row r="174" spans="1:1">
      <c r="A174" s="19">
        <f t="shared" si="46"/>
        <v>1900</v>
      </c>
    </row>
    <row r="175" spans="1:1">
      <c r="A175" s="19">
        <f t="shared" si="46"/>
        <v>1900</v>
      </c>
    </row>
    <row r="176" spans="1:1">
      <c r="A176" s="19">
        <f t="shared" si="46"/>
        <v>1900</v>
      </c>
    </row>
    <row r="177" spans="1:1">
      <c r="A177" s="19">
        <f t="shared" si="46"/>
        <v>1900</v>
      </c>
    </row>
    <row r="178" spans="1:1">
      <c r="A178" s="19">
        <f t="shared" si="46"/>
        <v>1900</v>
      </c>
    </row>
    <row r="179" spans="1:1">
      <c r="A179" s="19">
        <f t="shared" si="46"/>
        <v>1900</v>
      </c>
    </row>
    <row r="180" spans="1:1">
      <c r="A180" s="19">
        <f t="shared" si="46"/>
        <v>1900</v>
      </c>
    </row>
    <row r="181" spans="1:1">
      <c r="A181" s="19">
        <f t="shared" si="46"/>
        <v>1900</v>
      </c>
    </row>
    <row r="182" spans="1:1">
      <c r="A182" s="19">
        <f t="shared" si="46"/>
        <v>1900</v>
      </c>
    </row>
    <row r="183" spans="1:1">
      <c r="A183" s="19">
        <f t="shared" si="46"/>
        <v>1900</v>
      </c>
    </row>
    <row r="184" spans="1:1">
      <c r="A184" s="19">
        <f t="shared" si="46"/>
        <v>1900</v>
      </c>
    </row>
    <row r="185" spans="1:1">
      <c r="A185" s="19">
        <f t="shared" si="46"/>
        <v>1900</v>
      </c>
    </row>
    <row r="186" spans="1:1">
      <c r="A186" s="19">
        <f t="shared" si="46"/>
        <v>1900</v>
      </c>
    </row>
    <row r="187" spans="1:1">
      <c r="A187" s="19">
        <f t="shared" si="46"/>
        <v>1900</v>
      </c>
    </row>
    <row r="188" spans="1:1">
      <c r="A188" s="19">
        <f t="shared" si="46"/>
        <v>1900</v>
      </c>
    </row>
    <row r="189" spans="1:1">
      <c r="A189" s="19">
        <f t="shared" si="46"/>
        <v>1900</v>
      </c>
    </row>
    <row r="190" spans="1:1">
      <c r="A190" s="19">
        <f t="shared" si="46"/>
        <v>1900</v>
      </c>
    </row>
    <row r="191" spans="1:1">
      <c r="A191" s="19">
        <f t="shared" si="46"/>
        <v>1900</v>
      </c>
    </row>
    <row r="192" spans="1:1">
      <c r="A192" s="19">
        <f t="shared" si="46"/>
        <v>1900</v>
      </c>
    </row>
    <row r="193" spans="1:1">
      <c r="A193" s="19">
        <f t="shared" si="46"/>
        <v>1900</v>
      </c>
    </row>
    <row r="194" spans="1:1">
      <c r="A194" s="19">
        <f t="shared" si="46"/>
        <v>1900</v>
      </c>
    </row>
    <row r="195" spans="1:1">
      <c r="A195" s="19">
        <f t="shared" si="46"/>
        <v>1900</v>
      </c>
    </row>
    <row r="196" spans="1:1">
      <c r="A196" s="19">
        <f t="shared" si="46"/>
        <v>1900</v>
      </c>
    </row>
    <row r="197" spans="1:1">
      <c r="A197" s="19">
        <f t="shared" si="46"/>
        <v>1900</v>
      </c>
    </row>
    <row r="198" spans="1:1" ht="16.5" customHeight="1">
      <c r="A198" s="19">
        <f t="shared" si="46"/>
        <v>1900</v>
      </c>
    </row>
    <row r="199" spans="1:1">
      <c r="A199" s="19">
        <f t="shared" ref="A199:A262" si="47">YEAR(B201)</f>
        <v>1900</v>
      </c>
    </row>
    <row r="200" spans="1:1">
      <c r="A200" s="19">
        <f t="shared" si="47"/>
        <v>1900</v>
      </c>
    </row>
    <row r="201" spans="1:1">
      <c r="A201" s="19">
        <f t="shared" si="47"/>
        <v>1900</v>
      </c>
    </row>
    <row r="202" spans="1:1">
      <c r="A202" s="19">
        <f t="shared" si="47"/>
        <v>1900</v>
      </c>
    </row>
    <row r="203" spans="1:1">
      <c r="A203" s="19">
        <f t="shared" si="47"/>
        <v>1900</v>
      </c>
    </row>
    <row r="204" spans="1:1">
      <c r="A204" s="19">
        <f t="shared" si="47"/>
        <v>1900</v>
      </c>
    </row>
    <row r="205" spans="1:1">
      <c r="A205" s="19">
        <f t="shared" si="47"/>
        <v>1900</v>
      </c>
    </row>
    <row r="206" spans="1:1">
      <c r="A206" s="19">
        <f t="shared" si="47"/>
        <v>1900</v>
      </c>
    </row>
    <row r="207" spans="1:1">
      <c r="A207" s="19">
        <f t="shared" si="47"/>
        <v>1900</v>
      </c>
    </row>
    <row r="208" spans="1:1">
      <c r="A208" s="19">
        <f t="shared" si="47"/>
        <v>1900</v>
      </c>
    </row>
    <row r="209" spans="1:1">
      <c r="A209" s="19">
        <f t="shared" si="47"/>
        <v>1900</v>
      </c>
    </row>
    <row r="210" spans="1:1">
      <c r="A210" s="19">
        <f t="shared" si="47"/>
        <v>1900</v>
      </c>
    </row>
    <row r="211" spans="1:1">
      <c r="A211" s="19">
        <f t="shared" si="47"/>
        <v>1900</v>
      </c>
    </row>
    <row r="212" spans="1:1">
      <c r="A212" s="19">
        <f t="shared" si="47"/>
        <v>1900</v>
      </c>
    </row>
    <row r="213" spans="1:1">
      <c r="A213" s="19">
        <f t="shared" si="47"/>
        <v>1900</v>
      </c>
    </row>
    <row r="214" spans="1:1">
      <c r="A214" s="19">
        <f t="shared" si="47"/>
        <v>1900</v>
      </c>
    </row>
    <row r="215" spans="1:1">
      <c r="A215" s="19">
        <f t="shared" si="47"/>
        <v>1900</v>
      </c>
    </row>
    <row r="216" spans="1:1">
      <c r="A216" s="19">
        <f t="shared" si="47"/>
        <v>1900</v>
      </c>
    </row>
    <row r="217" spans="1:1">
      <c r="A217" s="19">
        <f t="shared" si="47"/>
        <v>1900</v>
      </c>
    </row>
    <row r="218" spans="1:1">
      <c r="A218" s="19">
        <f t="shared" si="47"/>
        <v>1900</v>
      </c>
    </row>
    <row r="219" spans="1:1">
      <c r="A219" s="19">
        <f t="shared" si="47"/>
        <v>1900</v>
      </c>
    </row>
    <row r="220" spans="1:1">
      <c r="A220" s="19">
        <f t="shared" si="47"/>
        <v>1900</v>
      </c>
    </row>
    <row r="221" spans="1:1">
      <c r="A221" s="19">
        <f t="shared" si="47"/>
        <v>1900</v>
      </c>
    </row>
    <row r="222" spans="1:1">
      <c r="A222" s="19">
        <f t="shared" si="47"/>
        <v>1900</v>
      </c>
    </row>
    <row r="223" spans="1:1">
      <c r="A223" s="19">
        <f t="shared" si="47"/>
        <v>1900</v>
      </c>
    </row>
    <row r="224" spans="1:1">
      <c r="A224" s="19">
        <f t="shared" si="47"/>
        <v>1900</v>
      </c>
    </row>
    <row r="225" spans="1:1">
      <c r="A225" s="19">
        <f t="shared" si="47"/>
        <v>1900</v>
      </c>
    </row>
    <row r="226" spans="1:1">
      <c r="A226" s="19">
        <f t="shared" si="47"/>
        <v>1900</v>
      </c>
    </row>
    <row r="227" spans="1:1">
      <c r="A227" s="19">
        <f t="shared" si="47"/>
        <v>1900</v>
      </c>
    </row>
    <row r="228" spans="1:1">
      <c r="A228" s="19">
        <f t="shared" si="47"/>
        <v>1900</v>
      </c>
    </row>
    <row r="229" spans="1:1">
      <c r="A229" s="19">
        <f t="shared" si="47"/>
        <v>1900</v>
      </c>
    </row>
    <row r="230" spans="1:1">
      <c r="A230" s="19">
        <f t="shared" si="47"/>
        <v>1900</v>
      </c>
    </row>
    <row r="231" spans="1:1">
      <c r="A231" s="19">
        <f t="shared" si="47"/>
        <v>1900</v>
      </c>
    </row>
    <row r="232" spans="1:1">
      <c r="A232" s="19">
        <f t="shared" si="47"/>
        <v>1900</v>
      </c>
    </row>
    <row r="233" spans="1:1">
      <c r="A233" s="19">
        <f t="shared" si="47"/>
        <v>1900</v>
      </c>
    </row>
    <row r="234" spans="1:1">
      <c r="A234" s="19">
        <f t="shared" si="47"/>
        <v>1900</v>
      </c>
    </row>
    <row r="235" spans="1:1">
      <c r="A235" s="19">
        <f t="shared" si="47"/>
        <v>1900</v>
      </c>
    </row>
    <row r="236" spans="1:1">
      <c r="A236" s="19">
        <f t="shared" si="47"/>
        <v>1900</v>
      </c>
    </row>
    <row r="237" spans="1:1">
      <c r="A237" s="19">
        <f t="shared" si="47"/>
        <v>1900</v>
      </c>
    </row>
    <row r="238" spans="1:1">
      <c r="A238" s="19">
        <f t="shared" si="47"/>
        <v>1900</v>
      </c>
    </row>
    <row r="239" spans="1:1">
      <c r="A239" s="19">
        <f t="shared" si="47"/>
        <v>1900</v>
      </c>
    </row>
    <row r="240" spans="1:1">
      <c r="A240" s="19">
        <f t="shared" si="47"/>
        <v>1900</v>
      </c>
    </row>
    <row r="241" spans="1:1">
      <c r="A241" s="19">
        <f t="shared" si="47"/>
        <v>1900</v>
      </c>
    </row>
    <row r="242" spans="1:1">
      <c r="A242" s="19">
        <f t="shared" si="47"/>
        <v>1900</v>
      </c>
    </row>
    <row r="243" spans="1:1">
      <c r="A243" s="19">
        <f t="shared" si="47"/>
        <v>1900</v>
      </c>
    </row>
    <row r="244" spans="1:1">
      <c r="A244" s="19">
        <f t="shared" si="47"/>
        <v>1900</v>
      </c>
    </row>
    <row r="245" spans="1:1">
      <c r="A245" s="19">
        <f t="shared" si="47"/>
        <v>1900</v>
      </c>
    </row>
    <row r="246" spans="1:1">
      <c r="A246" s="19">
        <f t="shared" si="47"/>
        <v>1900</v>
      </c>
    </row>
    <row r="247" spans="1:1">
      <c r="A247" s="19">
        <f t="shared" si="47"/>
        <v>1900</v>
      </c>
    </row>
    <row r="248" spans="1:1">
      <c r="A248" s="19">
        <f t="shared" si="47"/>
        <v>1900</v>
      </c>
    </row>
    <row r="249" spans="1:1">
      <c r="A249" s="19">
        <f t="shared" si="47"/>
        <v>1900</v>
      </c>
    </row>
    <row r="250" spans="1:1">
      <c r="A250" s="19">
        <f t="shared" si="47"/>
        <v>1900</v>
      </c>
    </row>
    <row r="251" spans="1:1">
      <c r="A251" s="19">
        <f t="shared" si="47"/>
        <v>1900</v>
      </c>
    </row>
    <row r="252" spans="1:1">
      <c r="A252" s="19">
        <f t="shared" si="47"/>
        <v>1900</v>
      </c>
    </row>
    <row r="253" spans="1:1">
      <c r="A253" s="19">
        <f t="shared" si="47"/>
        <v>1900</v>
      </c>
    </row>
    <row r="254" spans="1:1">
      <c r="A254" s="19">
        <f t="shared" si="47"/>
        <v>1900</v>
      </c>
    </row>
    <row r="255" spans="1:1">
      <c r="A255" s="19">
        <f t="shared" si="47"/>
        <v>1900</v>
      </c>
    </row>
    <row r="256" spans="1:1">
      <c r="A256" s="19">
        <f t="shared" si="47"/>
        <v>1900</v>
      </c>
    </row>
    <row r="257" spans="1:1">
      <c r="A257" s="19">
        <f t="shared" si="47"/>
        <v>1900</v>
      </c>
    </row>
    <row r="258" spans="1:1">
      <c r="A258" s="19">
        <f t="shared" si="47"/>
        <v>1900</v>
      </c>
    </row>
    <row r="259" spans="1:1">
      <c r="A259" s="19">
        <f t="shared" si="47"/>
        <v>1900</v>
      </c>
    </row>
    <row r="260" spans="1:1">
      <c r="A260" s="19">
        <f t="shared" si="47"/>
        <v>1900</v>
      </c>
    </row>
    <row r="261" spans="1:1">
      <c r="A261" s="19">
        <f t="shared" si="47"/>
        <v>1900</v>
      </c>
    </row>
    <row r="262" spans="1:1">
      <c r="A262" s="19">
        <f t="shared" si="47"/>
        <v>1900</v>
      </c>
    </row>
    <row r="263" spans="1:1">
      <c r="A263" s="19">
        <f t="shared" ref="A263:A326" si="48">YEAR(B265)</f>
        <v>1900</v>
      </c>
    </row>
    <row r="264" spans="1:1">
      <c r="A264" s="19">
        <f t="shared" si="48"/>
        <v>1900</v>
      </c>
    </row>
    <row r="265" spans="1:1">
      <c r="A265" s="19">
        <f t="shared" si="48"/>
        <v>1900</v>
      </c>
    </row>
    <row r="266" spans="1:1">
      <c r="A266" s="19">
        <f t="shared" si="48"/>
        <v>1900</v>
      </c>
    </row>
    <row r="267" spans="1:1">
      <c r="A267" s="19">
        <f t="shared" si="48"/>
        <v>1900</v>
      </c>
    </row>
    <row r="268" spans="1:1">
      <c r="A268" s="19">
        <f t="shared" si="48"/>
        <v>1900</v>
      </c>
    </row>
    <row r="269" spans="1:1">
      <c r="A269" s="19">
        <f t="shared" si="48"/>
        <v>1900</v>
      </c>
    </row>
    <row r="270" spans="1:1">
      <c r="A270" s="19">
        <f t="shared" si="48"/>
        <v>1900</v>
      </c>
    </row>
    <row r="271" spans="1:1">
      <c r="A271" s="19">
        <f t="shared" si="48"/>
        <v>1900</v>
      </c>
    </row>
    <row r="272" spans="1:1">
      <c r="A272" s="19">
        <f t="shared" si="48"/>
        <v>1900</v>
      </c>
    </row>
    <row r="273" spans="1:1">
      <c r="A273" s="19">
        <f t="shared" si="48"/>
        <v>1900</v>
      </c>
    </row>
    <row r="274" spans="1:1">
      <c r="A274" s="19">
        <f t="shared" si="48"/>
        <v>1900</v>
      </c>
    </row>
    <row r="275" spans="1:1">
      <c r="A275" s="19">
        <f t="shared" si="48"/>
        <v>1900</v>
      </c>
    </row>
    <row r="276" spans="1:1">
      <c r="A276" s="19">
        <f t="shared" si="48"/>
        <v>1900</v>
      </c>
    </row>
    <row r="277" spans="1:1">
      <c r="A277" s="19">
        <f t="shared" si="48"/>
        <v>1900</v>
      </c>
    </row>
    <row r="278" spans="1:1">
      <c r="A278" s="19">
        <f t="shared" si="48"/>
        <v>1900</v>
      </c>
    </row>
    <row r="279" spans="1:1">
      <c r="A279" s="19">
        <f t="shared" si="48"/>
        <v>1900</v>
      </c>
    </row>
    <row r="280" spans="1:1">
      <c r="A280" s="19">
        <f t="shared" si="48"/>
        <v>1900</v>
      </c>
    </row>
    <row r="281" spans="1:1">
      <c r="A281" s="19">
        <f t="shared" si="48"/>
        <v>1900</v>
      </c>
    </row>
    <row r="282" spans="1:1">
      <c r="A282" s="19">
        <f t="shared" si="48"/>
        <v>1900</v>
      </c>
    </row>
    <row r="283" spans="1:1">
      <c r="A283" s="19">
        <f t="shared" si="48"/>
        <v>1900</v>
      </c>
    </row>
    <row r="284" spans="1:1">
      <c r="A284" s="19">
        <f t="shared" si="48"/>
        <v>1900</v>
      </c>
    </row>
    <row r="285" spans="1:1">
      <c r="A285" s="19">
        <f t="shared" si="48"/>
        <v>1900</v>
      </c>
    </row>
    <row r="286" spans="1:1">
      <c r="A286" s="19">
        <f t="shared" si="48"/>
        <v>1900</v>
      </c>
    </row>
    <row r="287" spans="1:1">
      <c r="A287" s="19">
        <f t="shared" si="48"/>
        <v>1900</v>
      </c>
    </row>
    <row r="288" spans="1:1">
      <c r="A288" s="19">
        <f t="shared" si="48"/>
        <v>1900</v>
      </c>
    </row>
    <row r="289" spans="1:1">
      <c r="A289" s="19">
        <f t="shared" si="48"/>
        <v>1900</v>
      </c>
    </row>
    <row r="290" spans="1:1">
      <c r="A290" s="19">
        <f t="shared" si="48"/>
        <v>1900</v>
      </c>
    </row>
    <row r="291" spans="1:1">
      <c r="A291" s="19">
        <f t="shared" si="48"/>
        <v>1900</v>
      </c>
    </row>
    <row r="292" spans="1:1">
      <c r="A292" s="19">
        <f t="shared" si="48"/>
        <v>1900</v>
      </c>
    </row>
    <row r="293" spans="1:1">
      <c r="A293" s="19">
        <f t="shared" si="48"/>
        <v>1900</v>
      </c>
    </row>
    <row r="294" spans="1:1">
      <c r="A294" s="19">
        <f t="shared" si="48"/>
        <v>1900</v>
      </c>
    </row>
    <row r="295" spans="1:1">
      <c r="A295" s="19">
        <f t="shared" si="48"/>
        <v>1900</v>
      </c>
    </row>
    <row r="296" spans="1:1">
      <c r="A296" s="19">
        <f t="shared" si="48"/>
        <v>1900</v>
      </c>
    </row>
    <row r="297" spans="1:1">
      <c r="A297" s="19">
        <f t="shared" si="48"/>
        <v>1900</v>
      </c>
    </row>
    <row r="298" spans="1:1">
      <c r="A298" s="19">
        <f t="shared" si="48"/>
        <v>1900</v>
      </c>
    </row>
    <row r="299" spans="1:1">
      <c r="A299" s="19">
        <f t="shared" si="48"/>
        <v>1900</v>
      </c>
    </row>
    <row r="300" spans="1:1">
      <c r="A300" s="19">
        <f t="shared" si="48"/>
        <v>1900</v>
      </c>
    </row>
    <row r="301" spans="1:1">
      <c r="A301" s="19">
        <f t="shared" si="48"/>
        <v>1900</v>
      </c>
    </row>
    <row r="302" spans="1:1">
      <c r="A302" s="19">
        <f t="shared" si="48"/>
        <v>1900</v>
      </c>
    </row>
    <row r="303" spans="1:1">
      <c r="A303" s="19">
        <f t="shared" si="48"/>
        <v>1900</v>
      </c>
    </row>
    <row r="304" spans="1:1">
      <c r="A304" s="19">
        <f t="shared" si="48"/>
        <v>1900</v>
      </c>
    </row>
    <row r="305" spans="1:1">
      <c r="A305" s="19">
        <f t="shared" si="48"/>
        <v>1900</v>
      </c>
    </row>
    <row r="306" spans="1:1">
      <c r="A306" s="19">
        <f t="shared" si="48"/>
        <v>1900</v>
      </c>
    </row>
    <row r="307" spans="1:1">
      <c r="A307" s="19">
        <f t="shared" si="48"/>
        <v>1900</v>
      </c>
    </row>
    <row r="308" spans="1:1">
      <c r="A308" s="19">
        <f t="shared" si="48"/>
        <v>1900</v>
      </c>
    </row>
    <row r="309" spans="1:1">
      <c r="A309" s="19">
        <f t="shared" si="48"/>
        <v>1900</v>
      </c>
    </row>
    <row r="310" spans="1:1">
      <c r="A310" s="19">
        <f t="shared" si="48"/>
        <v>1900</v>
      </c>
    </row>
    <row r="311" spans="1:1">
      <c r="A311" s="19">
        <f t="shared" si="48"/>
        <v>1900</v>
      </c>
    </row>
    <row r="312" spans="1:1">
      <c r="A312" s="19">
        <f t="shared" si="48"/>
        <v>1900</v>
      </c>
    </row>
    <row r="313" spans="1:1">
      <c r="A313" s="19">
        <f t="shared" si="48"/>
        <v>1900</v>
      </c>
    </row>
    <row r="314" spans="1:1">
      <c r="A314" s="19">
        <f t="shared" si="48"/>
        <v>1900</v>
      </c>
    </row>
    <row r="315" spans="1:1">
      <c r="A315" s="19">
        <f t="shared" si="48"/>
        <v>1900</v>
      </c>
    </row>
    <row r="316" spans="1:1">
      <c r="A316" s="19">
        <f t="shared" si="48"/>
        <v>1900</v>
      </c>
    </row>
    <row r="317" spans="1:1">
      <c r="A317" s="19">
        <f t="shared" si="48"/>
        <v>1900</v>
      </c>
    </row>
    <row r="318" spans="1:1">
      <c r="A318" s="19">
        <f t="shared" si="48"/>
        <v>1900</v>
      </c>
    </row>
    <row r="319" spans="1:1">
      <c r="A319" s="19">
        <f t="shared" si="48"/>
        <v>1900</v>
      </c>
    </row>
    <row r="320" spans="1:1">
      <c r="A320" s="19">
        <f t="shared" si="48"/>
        <v>1900</v>
      </c>
    </row>
    <row r="321" spans="1:1">
      <c r="A321" s="19">
        <f t="shared" si="48"/>
        <v>1900</v>
      </c>
    </row>
    <row r="322" spans="1:1">
      <c r="A322" s="19">
        <f t="shared" si="48"/>
        <v>1900</v>
      </c>
    </row>
    <row r="323" spans="1:1">
      <c r="A323" s="19">
        <f t="shared" si="48"/>
        <v>1900</v>
      </c>
    </row>
    <row r="324" spans="1:1">
      <c r="A324" s="19">
        <f t="shared" si="48"/>
        <v>1900</v>
      </c>
    </row>
    <row r="325" spans="1:1">
      <c r="A325" s="19">
        <f t="shared" si="48"/>
        <v>1900</v>
      </c>
    </row>
    <row r="326" spans="1:1">
      <c r="A326" s="19">
        <f t="shared" si="48"/>
        <v>1900</v>
      </c>
    </row>
    <row r="327" spans="1:1">
      <c r="A327" s="19">
        <f t="shared" ref="A327:A390" si="49">YEAR(B329)</f>
        <v>1900</v>
      </c>
    </row>
    <row r="328" spans="1:1">
      <c r="A328" s="19">
        <f t="shared" si="49"/>
        <v>1900</v>
      </c>
    </row>
    <row r="329" spans="1:1">
      <c r="A329" s="19">
        <f t="shared" si="49"/>
        <v>1900</v>
      </c>
    </row>
    <row r="330" spans="1:1">
      <c r="A330" s="19">
        <f t="shared" si="49"/>
        <v>1900</v>
      </c>
    </row>
    <row r="331" spans="1:1">
      <c r="A331" s="19">
        <f t="shared" si="49"/>
        <v>1900</v>
      </c>
    </row>
    <row r="332" spans="1:1">
      <c r="A332" s="19">
        <f t="shared" si="49"/>
        <v>1900</v>
      </c>
    </row>
    <row r="333" spans="1:1">
      <c r="A333" s="19">
        <f t="shared" si="49"/>
        <v>1900</v>
      </c>
    </row>
    <row r="334" spans="1:1">
      <c r="A334" s="19">
        <f t="shared" si="49"/>
        <v>1900</v>
      </c>
    </row>
    <row r="335" spans="1:1">
      <c r="A335" s="19">
        <f t="shared" si="49"/>
        <v>1900</v>
      </c>
    </row>
    <row r="336" spans="1:1">
      <c r="A336" s="19">
        <f t="shared" si="49"/>
        <v>1900</v>
      </c>
    </row>
    <row r="337" spans="1:1">
      <c r="A337" s="19">
        <f t="shared" si="49"/>
        <v>1900</v>
      </c>
    </row>
    <row r="338" spans="1:1">
      <c r="A338" s="19">
        <f t="shared" si="49"/>
        <v>1900</v>
      </c>
    </row>
    <row r="339" spans="1:1">
      <c r="A339" s="19">
        <f t="shared" si="49"/>
        <v>1900</v>
      </c>
    </row>
    <row r="340" spans="1:1">
      <c r="A340" s="19">
        <f t="shared" si="49"/>
        <v>1900</v>
      </c>
    </row>
    <row r="341" spans="1:1">
      <c r="A341" s="19">
        <f t="shared" si="49"/>
        <v>1900</v>
      </c>
    </row>
    <row r="342" spans="1:1">
      <c r="A342" s="19">
        <f t="shared" si="49"/>
        <v>1900</v>
      </c>
    </row>
    <row r="343" spans="1:1">
      <c r="A343" s="19">
        <f t="shared" si="49"/>
        <v>1900</v>
      </c>
    </row>
    <row r="344" spans="1:1">
      <c r="A344" s="19">
        <f t="shared" si="49"/>
        <v>1900</v>
      </c>
    </row>
    <row r="345" spans="1:1">
      <c r="A345" s="19">
        <f t="shared" si="49"/>
        <v>1900</v>
      </c>
    </row>
    <row r="346" spans="1:1">
      <c r="A346" s="19">
        <f t="shared" si="49"/>
        <v>1900</v>
      </c>
    </row>
    <row r="347" spans="1:1">
      <c r="A347" s="19">
        <f t="shared" si="49"/>
        <v>1900</v>
      </c>
    </row>
    <row r="348" spans="1:1">
      <c r="A348" s="19">
        <f t="shared" si="49"/>
        <v>1900</v>
      </c>
    </row>
    <row r="349" spans="1:1">
      <c r="A349" s="19">
        <f t="shared" si="49"/>
        <v>1900</v>
      </c>
    </row>
    <row r="350" spans="1:1">
      <c r="A350" s="19">
        <f t="shared" si="49"/>
        <v>1900</v>
      </c>
    </row>
    <row r="351" spans="1:1">
      <c r="A351" s="19">
        <f t="shared" si="49"/>
        <v>1900</v>
      </c>
    </row>
    <row r="352" spans="1:1">
      <c r="A352" s="19">
        <f t="shared" si="49"/>
        <v>1900</v>
      </c>
    </row>
    <row r="353" spans="1:1">
      <c r="A353" s="19">
        <f t="shared" si="49"/>
        <v>1900</v>
      </c>
    </row>
    <row r="354" spans="1:1">
      <c r="A354" s="19">
        <f t="shared" si="49"/>
        <v>1900</v>
      </c>
    </row>
    <row r="355" spans="1:1">
      <c r="A355" s="19">
        <f t="shared" si="49"/>
        <v>1900</v>
      </c>
    </row>
    <row r="356" spans="1:1">
      <c r="A356" s="19">
        <f t="shared" si="49"/>
        <v>1900</v>
      </c>
    </row>
    <row r="357" spans="1:1">
      <c r="A357" s="19">
        <f t="shared" si="49"/>
        <v>1900</v>
      </c>
    </row>
    <row r="358" spans="1:1">
      <c r="A358" s="19">
        <f t="shared" si="49"/>
        <v>1900</v>
      </c>
    </row>
    <row r="359" spans="1:1">
      <c r="A359" s="19">
        <f t="shared" si="49"/>
        <v>1900</v>
      </c>
    </row>
    <row r="360" spans="1:1">
      <c r="A360" s="19">
        <f t="shared" si="49"/>
        <v>1900</v>
      </c>
    </row>
    <row r="361" spans="1:1">
      <c r="A361" s="19">
        <f t="shared" si="49"/>
        <v>1900</v>
      </c>
    </row>
    <row r="362" spans="1:1">
      <c r="A362" s="19">
        <f t="shared" si="49"/>
        <v>1900</v>
      </c>
    </row>
    <row r="363" spans="1:1">
      <c r="A363" s="19">
        <f t="shared" si="49"/>
        <v>1900</v>
      </c>
    </row>
    <row r="364" spans="1:1">
      <c r="A364" s="19">
        <f t="shared" si="49"/>
        <v>1900</v>
      </c>
    </row>
    <row r="365" spans="1:1">
      <c r="A365" s="19">
        <f t="shared" si="49"/>
        <v>1900</v>
      </c>
    </row>
    <row r="366" spans="1:1">
      <c r="A366" s="19">
        <f t="shared" si="49"/>
        <v>1900</v>
      </c>
    </row>
    <row r="367" spans="1:1">
      <c r="A367" s="19">
        <f t="shared" si="49"/>
        <v>1900</v>
      </c>
    </row>
    <row r="368" spans="1:1">
      <c r="A368" s="19">
        <f t="shared" si="49"/>
        <v>1900</v>
      </c>
    </row>
    <row r="369" spans="1:1">
      <c r="A369" s="19">
        <f t="shared" si="49"/>
        <v>1900</v>
      </c>
    </row>
    <row r="370" spans="1:1">
      <c r="A370" s="19">
        <f t="shared" si="49"/>
        <v>1900</v>
      </c>
    </row>
    <row r="371" spans="1:1">
      <c r="A371" s="19">
        <f t="shared" si="49"/>
        <v>1900</v>
      </c>
    </row>
    <row r="372" spans="1:1">
      <c r="A372" s="19">
        <f t="shared" si="49"/>
        <v>1900</v>
      </c>
    </row>
    <row r="373" spans="1:1">
      <c r="A373" s="19">
        <f t="shared" si="49"/>
        <v>1900</v>
      </c>
    </row>
    <row r="374" spans="1:1">
      <c r="A374" s="19">
        <f t="shared" si="49"/>
        <v>1900</v>
      </c>
    </row>
    <row r="375" spans="1:1">
      <c r="A375" s="19">
        <f t="shared" si="49"/>
        <v>1900</v>
      </c>
    </row>
    <row r="376" spans="1:1">
      <c r="A376" s="19">
        <f t="shared" si="49"/>
        <v>1900</v>
      </c>
    </row>
    <row r="377" spans="1:1">
      <c r="A377" s="19">
        <f t="shared" si="49"/>
        <v>1900</v>
      </c>
    </row>
    <row r="378" spans="1:1">
      <c r="A378" s="19">
        <f t="shared" si="49"/>
        <v>1900</v>
      </c>
    </row>
    <row r="379" spans="1:1">
      <c r="A379" s="19">
        <f t="shared" si="49"/>
        <v>1900</v>
      </c>
    </row>
    <row r="380" spans="1:1">
      <c r="A380" s="19">
        <f t="shared" si="49"/>
        <v>1900</v>
      </c>
    </row>
    <row r="381" spans="1:1">
      <c r="A381" s="19">
        <f t="shared" si="49"/>
        <v>1900</v>
      </c>
    </row>
    <row r="382" spans="1:1">
      <c r="A382" s="19">
        <f t="shared" si="49"/>
        <v>1900</v>
      </c>
    </row>
    <row r="383" spans="1:1">
      <c r="A383" s="19">
        <f t="shared" si="49"/>
        <v>1900</v>
      </c>
    </row>
    <row r="384" spans="1:1">
      <c r="A384" s="19">
        <f t="shared" si="49"/>
        <v>1900</v>
      </c>
    </row>
    <row r="385" spans="1:1">
      <c r="A385" s="19">
        <f t="shared" si="49"/>
        <v>1900</v>
      </c>
    </row>
    <row r="386" spans="1:1">
      <c r="A386" s="19">
        <f t="shared" si="49"/>
        <v>1900</v>
      </c>
    </row>
    <row r="387" spans="1:1">
      <c r="A387" s="19">
        <f t="shared" si="49"/>
        <v>1900</v>
      </c>
    </row>
    <row r="388" spans="1:1">
      <c r="A388" s="19">
        <f t="shared" si="49"/>
        <v>1900</v>
      </c>
    </row>
    <row r="389" spans="1:1">
      <c r="A389" s="19">
        <f t="shared" si="49"/>
        <v>1900</v>
      </c>
    </row>
    <row r="390" spans="1:1">
      <c r="A390" s="19">
        <f t="shared" si="49"/>
        <v>1900</v>
      </c>
    </row>
    <row r="391" spans="1:1">
      <c r="A391" s="19">
        <f t="shared" ref="A391:A454" si="50">YEAR(B393)</f>
        <v>1900</v>
      </c>
    </row>
    <row r="392" spans="1:1">
      <c r="A392" s="19">
        <f t="shared" si="50"/>
        <v>1900</v>
      </c>
    </row>
    <row r="393" spans="1:1">
      <c r="A393" s="19">
        <f t="shared" si="50"/>
        <v>1900</v>
      </c>
    </row>
    <row r="394" spans="1:1">
      <c r="A394" s="19">
        <f t="shared" si="50"/>
        <v>1900</v>
      </c>
    </row>
    <row r="395" spans="1:1">
      <c r="A395" s="19">
        <f t="shared" si="50"/>
        <v>1900</v>
      </c>
    </row>
    <row r="396" spans="1:1">
      <c r="A396" s="19">
        <f t="shared" si="50"/>
        <v>1900</v>
      </c>
    </row>
    <row r="397" spans="1:1">
      <c r="A397" s="19">
        <f t="shared" si="50"/>
        <v>1900</v>
      </c>
    </row>
    <row r="398" spans="1:1">
      <c r="A398" s="19">
        <f t="shared" si="50"/>
        <v>1900</v>
      </c>
    </row>
    <row r="399" spans="1:1">
      <c r="A399" s="19">
        <f t="shared" si="50"/>
        <v>1900</v>
      </c>
    </row>
    <row r="400" spans="1:1">
      <c r="A400" s="19">
        <f t="shared" si="50"/>
        <v>1900</v>
      </c>
    </row>
    <row r="401" spans="1:1">
      <c r="A401" s="19">
        <f t="shared" si="50"/>
        <v>1900</v>
      </c>
    </row>
    <row r="402" spans="1:1">
      <c r="A402" s="19">
        <f t="shared" si="50"/>
        <v>1900</v>
      </c>
    </row>
    <row r="403" spans="1:1">
      <c r="A403" s="19">
        <f t="shared" si="50"/>
        <v>1900</v>
      </c>
    </row>
    <row r="404" spans="1:1">
      <c r="A404" s="19">
        <f t="shared" si="50"/>
        <v>1900</v>
      </c>
    </row>
    <row r="405" spans="1:1">
      <c r="A405" s="19">
        <f t="shared" si="50"/>
        <v>1900</v>
      </c>
    </row>
    <row r="406" spans="1:1">
      <c r="A406" s="19">
        <f t="shared" si="50"/>
        <v>1900</v>
      </c>
    </row>
    <row r="407" spans="1:1">
      <c r="A407" s="19">
        <f t="shared" si="50"/>
        <v>1900</v>
      </c>
    </row>
    <row r="408" spans="1:1">
      <c r="A408" s="19">
        <f t="shared" si="50"/>
        <v>1900</v>
      </c>
    </row>
    <row r="409" spans="1:1">
      <c r="A409" s="19">
        <f t="shared" si="50"/>
        <v>1900</v>
      </c>
    </row>
    <row r="410" spans="1:1">
      <c r="A410" s="19">
        <f t="shared" si="50"/>
        <v>1900</v>
      </c>
    </row>
    <row r="411" spans="1:1">
      <c r="A411" s="19">
        <f t="shared" si="50"/>
        <v>1900</v>
      </c>
    </row>
    <row r="412" spans="1:1">
      <c r="A412" s="19">
        <f t="shared" si="50"/>
        <v>1900</v>
      </c>
    </row>
    <row r="413" spans="1:1">
      <c r="A413" s="19">
        <f t="shared" si="50"/>
        <v>1900</v>
      </c>
    </row>
    <row r="414" spans="1:1">
      <c r="A414" s="19">
        <f t="shared" si="50"/>
        <v>1900</v>
      </c>
    </row>
    <row r="415" spans="1:1">
      <c r="A415" s="19">
        <f t="shared" si="50"/>
        <v>1900</v>
      </c>
    </row>
    <row r="416" spans="1:1">
      <c r="A416" s="19">
        <f t="shared" si="50"/>
        <v>1900</v>
      </c>
    </row>
    <row r="417" spans="1:1">
      <c r="A417" s="19">
        <f t="shared" si="50"/>
        <v>1900</v>
      </c>
    </row>
    <row r="418" spans="1:1">
      <c r="A418" s="19">
        <f t="shared" si="50"/>
        <v>1900</v>
      </c>
    </row>
    <row r="419" spans="1:1">
      <c r="A419" s="19">
        <f t="shared" si="50"/>
        <v>1900</v>
      </c>
    </row>
    <row r="420" spans="1:1">
      <c r="A420" s="19">
        <f t="shared" si="50"/>
        <v>1900</v>
      </c>
    </row>
    <row r="421" spans="1:1">
      <c r="A421" s="19">
        <f t="shared" si="50"/>
        <v>1900</v>
      </c>
    </row>
    <row r="422" spans="1:1">
      <c r="A422" s="19">
        <f t="shared" si="50"/>
        <v>1900</v>
      </c>
    </row>
    <row r="423" spans="1:1">
      <c r="A423" s="19">
        <f t="shared" si="50"/>
        <v>1900</v>
      </c>
    </row>
    <row r="424" spans="1:1">
      <c r="A424" s="19">
        <f t="shared" si="50"/>
        <v>1900</v>
      </c>
    </row>
    <row r="425" spans="1:1">
      <c r="A425" s="19">
        <f t="shared" si="50"/>
        <v>1900</v>
      </c>
    </row>
    <row r="426" spans="1:1">
      <c r="A426" s="19">
        <f t="shared" si="50"/>
        <v>1900</v>
      </c>
    </row>
    <row r="427" spans="1:1">
      <c r="A427" s="19">
        <f t="shared" si="50"/>
        <v>1900</v>
      </c>
    </row>
    <row r="428" spans="1:1">
      <c r="A428" s="19">
        <f t="shared" si="50"/>
        <v>1900</v>
      </c>
    </row>
    <row r="429" spans="1:1">
      <c r="A429" s="19">
        <f t="shared" si="50"/>
        <v>1900</v>
      </c>
    </row>
    <row r="430" spans="1:1">
      <c r="A430" s="19">
        <f t="shared" si="50"/>
        <v>1900</v>
      </c>
    </row>
    <row r="431" spans="1:1">
      <c r="A431" s="19">
        <f t="shared" si="50"/>
        <v>1900</v>
      </c>
    </row>
    <row r="432" spans="1:1">
      <c r="A432" s="19">
        <f t="shared" si="50"/>
        <v>1900</v>
      </c>
    </row>
    <row r="433" spans="1:1">
      <c r="A433" s="19">
        <f t="shared" si="50"/>
        <v>1900</v>
      </c>
    </row>
    <row r="434" spans="1:1">
      <c r="A434" s="19">
        <f t="shared" si="50"/>
        <v>1900</v>
      </c>
    </row>
    <row r="435" spans="1:1">
      <c r="A435" s="19">
        <f t="shared" si="50"/>
        <v>1900</v>
      </c>
    </row>
    <row r="436" spans="1:1">
      <c r="A436" s="19">
        <f t="shared" si="50"/>
        <v>1900</v>
      </c>
    </row>
    <row r="437" spans="1:1">
      <c r="A437" s="19">
        <f t="shared" si="50"/>
        <v>1900</v>
      </c>
    </row>
    <row r="438" spans="1:1">
      <c r="A438" s="19">
        <f t="shared" si="50"/>
        <v>1900</v>
      </c>
    </row>
    <row r="439" spans="1:1">
      <c r="A439" s="19">
        <f t="shared" si="50"/>
        <v>1900</v>
      </c>
    </row>
    <row r="440" spans="1:1">
      <c r="A440" s="19">
        <f t="shared" si="50"/>
        <v>1900</v>
      </c>
    </row>
    <row r="441" spans="1:1">
      <c r="A441" s="19">
        <f t="shared" si="50"/>
        <v>1900</v>
      </c>
    </row>
    <row r="442" spans="1:1">
      <c r="A442" s="19">
        <f t="shared" si="50"/>
        <v>1900</v>
      </c>
    </row>
    <row r="443" spans="1:1">
      <c r="A443" s="19">
        <f t="shared" si="50"/>
        <v>1900</v>
      </c>
    </row>
    <row r="444" spans="1:1">
      <c r="A444" s="19">
        <f t="shared" si="50"/>
        <v>1900</v>
      </c>
    </row>
    <row r="445" spans="1:1">
      <c r="A445" s="19">
        <f t="shared" si="50"/>
        <v>1900</v>
      </c>
    </row>
    <row r="446" spans="1:1">
      <c r="A446" s="19">
        <f t="shared" si="50"/>
        <v>1900</v>
      </c>
    </row>
    <row r="447" spans="1:1">
      <c r="A447" s="19">
        <f t="shared" si="50"/>
        <v>1900</v>
      </c>
    </row>
    <row r="448" spans="1:1">
      <c r="A448" s="19">
        <f t="shared" si="50"/>
        <v>1900</v>
      </c>
    </row>
    <row r="449" spans="1:1">
      <c r="A449" s="19">
        <f t="shared" si="50"/>
        <v>1900</v>
      </c>
    </row>
    <row r="450" spans="1:1">
      <c r="A450" s="19">
        <f t="shared" si="50"/>
        <v>1900</v>
      </c>
    </row>
    <row r="451" spans="1:1">
      <c r="A451" s="19">
        <f t="shared" si="50"/>
        <v>1900</v>
      </c>
    </row>
    <row r="452" spans="1:1">
      <c r="A452" s="19">
        <f t="shared" si="50"/>
        <v>1900</v>
      </c>
    </row>
    <row r="453" spans="1:1">
      <c r="A453" s="19">
        <f t="shared" si="50"/>
        <v>1900</v>
      </c>
    </row>
    <row r="454" spans="1:1">
      <c r="A454" s="19">
        <f t="shared" si="50"/>
        <v>1900</v>
      </c>
    </row>
    <row r="455" spans="1:1">
      <c r="A455" s="19">
        <f t="shared" ref="A455:A518" si="51">YEAR(B457)</f>
        <v>1900</v>
      </c>
    </row>
    <row r="456" spans="1:1">
      <c r="A456" s="19">
        <f t="shared" si="51"/>
        <v>1900</v>
      </c>
    </row>
    <row r="457" spans="1:1">
      <c r="A457" s="19">
        <f t="shared" si="51"/>
        <v>1900</v>
      </c>
    </row>
    <row r="458" spans="1:1">
      <c r="A458" s="19">
        <f t="shared" si="51"/>
        <v>1900</v>
      </c>
    </row>
    <row r="459" spans="1:1">
      <c r="A459" s="19">
        <f t="shared" si="51"/>
        <v>1900</v>
      </c>
    </row>
    <row r="460" spans="1:1">
      <c r="A460" s="19">
        <f t="shared" si="51"/>
        <v>1900</v>
      </c>
    </row>
    <row r="461" spans="1:1">
      <c r="A461" s="19">
        <f t="shared" si="51"/>
        <v>1900</v>
      </c>
    </row>
    <row r="462" spans="1:1">
      <c r="A462" s="19">
        <f t="shared" si="51"/>
        <v>1900</v>
      </c>
    </row>
    <row r="463" spans="1:1">
      <c r="A463" s="19">
        <f t="shared" si="51"/>
        <v>1900</v>
      </c>
    </row>
    <row r="464" spans="1:1">
      <c r="A464" s="19">
        <f t="shared" si="51"/>
        <v>1900</v>
      </c>
    </row>
    <row r="465" spans="1:1">
      <c r="A465" s="19">
        <f t="shared" si="51"/>
        <v>1900</v>
      </c>
    </row>
    <row r="466" spans="1:1">
      <c r="A466" s="19">
        <f t="shared" si="51"/>
        <v>1900</v>
      </c>
    </row>
    <row r="467" spans="1:1">
      <c r="A467" s="19">
        <f t="shared" si="51"/>
        <v>1900</v>
      </c>
    </row>
    <row r="468" spans="1:1">
      <c r="A468" s="19">
        <f t="shared" si="51"/>
        <v>1900</v>
      </c>
    </row>
    <row r="469" spans="1:1">
      <c r="A469" s="19">
        <f t="shared" si="51"/>
        <v>1900</v>
      </c>
    </row>
    <row r="470" spans="1:1">
      <c r="A470" s="19">
        <f t="shared" si="51"/>
        <v>1900</v>
      </c>
    </row>
    <row r="471" spans="1:1">
      <c r="A471" s="19">
        <f t="shared" si="51"/>
        <v>1900</v>
      </c>
    </row>
    <row r="472" spans="1:1">
      <c r="A472" s="19">
        <f t="shared" si="51"/>
        <v>1900</v>
      </c>
    </row>
    <row r="473" spans="1:1">
      <c r="A473" s="19">
        <f t="shared" si="51"/>
        <v>1900</v>
      </c>
    </row>
    <row r="474" spans="1:1">
      <c r="A474" s="19">
        <f t="shared" si="51"/>
        <v>1900</v>
      </c>
    </row>
    <row r="475" spans="1:1">
      <c r="A475" s="19">
        <f t="shared" si="51"/>
        <v>1900</v>
      </c>
    </row>
    <row r="476" spans="1:1">
      <c r="A476" s="19">
        <f t="shared" si="51"/>
        <v>1900</v>
      </c>
    </row>
    <row r="477" spans="1:1">
      <c r="A477" s="19">
        <f t="shared" si="51"/>
        <v>1900</v>
      </c>
    </row>
    <row r="478" spans="1:1">
      <c r="A478" s="19">
        <f t="shared" si="51"/>
        <v>1900</v>
      </c>
    </row>
    <row r="479" spans="1:1">
      <c r="A479" s="19">
        <f t="shared" si="51"/>
        <v>1900</v>
      </c>
    </row>
    <row r="480" spans="1:1">
      <c r="A480" s="19">
        <f t="shared" si="51"/>
        <v>1900</v>
      </c>
    </row>
    <row r="481" spans="1:1">
      <c r="A481" s="19">
        <f t="shared" si="51"/>
        <v>1900</v>
      </c>
    </row>
    <row r="482" spans="1:1">
      <c r="A482" s="19">
        <f t="shared" si="51"/>
        <v>1900</v>
      </c>
    </row>
    <row r="483" spans="1:1">
      <c r="A483" s="19">
        <f t="shared" si="51"/>
        <v>1900</v>
      </c>
    </row>
    <row r="484" spans="1:1">
      <c r="A484" s="19">
        <f t="shared" si="51"/>
        <v>1900</v>
      </c>
    </row>
    <row r="485" spans="1:1">
      <c r="A485" s="19">
        <f t="shared" si="51"/>
        <v>1900</v>
      </c>
    </row>
    <row r="486" spans="1:1">
      <c r="A486" s="19">
        <f t="shared" si="51"/>
        <v>1900</v>
      </c>
    </row>
    <row r="487" spans="1:1">
      <c r="A487" s="19">
        <f t="shared" si="51"/>
        <v>1900</v>
      </c>
    </row>
    <row r="488" spans="1:1">
      <c r="A488" s="19">
        <f t="shared" si="51"/>
        <v>1900</v>
      </c>
    </row>
    <row r="489" spans="1:1">
      <c r="A489" s="19">
        <f t="shared" si="51"/>
        <v>1900</v>
      </c>
    </row>
    <row r="490" spans="1:1">
      <c r="A490" s="19">
        <f t="shared" si="51"/>
        <v>1900</v>
      </c>
    </row>
    <row r="491" spans="1:1">
      <c r="A491" s="19">
        <f t="shared" si="51"/>
        <v>1900</v>
      </c>
    </row>
    <row r="492" spans="1:1">
      <c r="A492" s="19">
        <f t="shared" si="51"/>
        <v>1900</v>
      </c>
    </row>
    <row r="493" spans="1:1">
      <c r="A493" s="19">
        <f t="shared" si="51"/>
        <v>1900</v>
      </c>
    </row>
    <row r="494" spans="1:1">
      <c r="A494" s="19">
        <f t="shared" si="51"/>
        <v>1900</v>
      </c>
    </row>
    <row r="495" spans="1:1">
      <c r="A495" s="19">
        <f t="shared" si="51"/>
        <v>1900</v>
      </c>
    </row>
    <row r="496" spans="1:1">
      <c r="A496" s="19">
        <f t="shared" si="51"/>
        <v>1900</v>
      </c>
    </row>
    <row r="497" spans="1:1">
      <c r="A497" s="19">
        <f t="shared" si="51"/>
        <v>1900</v>
      </c>
    </row>
    <row r="498" spans="1:1">
      <c r="A498" s="19">
        <f t="shared" si="51"/>
        <v>1900</v>
      </c>
    </row>
    <row r="499" spans="1:1">
      <c r="A499" s="19">
        <f t="shared" si="51"/>
        <v>1900</v>
      </c>
    </row>
    <row r="500" spans="1:1">
      <c r="A500" s="19">
        <f t="shared" si="51"/>
        <v>1900</v>
      </c>
    </row>
    <row r="501" spans="1:1">
      <c r="A501" s="19">
        <f t="shared" si="51"/>
        <v>1900</v>
      </c>
    </row>
    <row r="502" spans="1:1">
      <c r="A502" s="19">
        <f t="shared" si="51"/>
        <v>1900</v>
      </c>
    </row>
    <row r="503" spans="1:1">
      <c r="A503" s="19">
        <f t="shared" si="51"/>
        <v>1900</v>
      </c>
    </row>
    <row r="504" spans="1:1">
      <c r="A504" s="19">
        <f t="shared" si="51"/>
        <v>1900</v>
      </c>
    </row>
    <row r="505" spans="1:1">
      <c r="A505" s="19">
        <f t="shared" si="51"/>
        <v>1900</v>
      </c>
    </row>
    <row r="506" spans="1:1">
      <c r="A506" s="19">
        <f t="shared" si="51"/>
        <v>1900</v>
      </c>
    </row>
    <row r="507" spans="1:1">
      <c r="A507" s="19">
        <f t="shared" si="51"/>
        <v>1900</v>
      </c>
    </row>
    <row r="508" spans="1:1">
      <c r="A508" s="19">
        <f t="shared" si="51"/>
        <v>1900</v>
      </c>
    </row>
    <row r="509" spans="1:1">
      <c r="A509" s="19">
        <f t="shared" si="51"/>
        <v>1900</v>
      </c>
    </row>
    <row r="510" spans="1:1">
      <c r="A510" s="19">
        <f t="shared" si="51"/>
        <v>1900</v>
      </c>
    </row>
    <row r="511" spans="1:1">
      <c r="A511" s="19">
        <f t="shared" si="51"/>
        <v>1900</v>
      </c>
    </row>
    <row r="512" spans="1:1">
      <c r="A512" s="19">
        <f t="shared" si="51"/>
        <v>1900</v>
      </c>
    </row>
    <row r="513" spans="1:1">
      <c r="A513" s="19">
        <f t="shared" si="51"/>
        <v>1900</v>
      </c>
    </row>
    <row r="514" spans="1:1">
      <c r="A514" s="19">
        <f t="shared" si="51"/>
        <v>1900</v>
      </c>
    </row>
    <row r="515" spans="1:1">
      <c r="A515" s="19">
        <f t="shared" si="51"/>
        <v>1900</v>
      </c>
    </row>
    <row r="516" spans="1:1">
      <c r="A516" s="19">
        <f t="shared" si="51"/>
        <v>1900</v>
      </c>
    </row>
    <row r="517" spans="1:1">
      <c r="A517" s="19">
        <f t="shared" si="51"/>
        <v>1900</v>
      </c>
    </row>
    <row r="518" spans="1:1">
      <c r="A518" s="19">
        <f t="shared" si="51"/>
        <v>1900</v>
      </c>
    </row>
    <row r="519" spans="1:1">
      <c r="A519" s="19">
        <f t="shared" ref="A519:A567" si="52">YEAR(B521)</f>
        <v>1900</v>
      </c>
    </row>
    <row r="520" spans="1:1">
      <c r="A520" s="19">
        <f t="shared" si="52"/>
        <v>1900</v>
      </c>
    </row>
    <row r="521" spans="1:1">
      <c r="A521" s="19">
        <f t="shared" si="52"/>
        <v>1900</v>
      </c>
    </row>
    <row r="522" spans="1:1">
      <c r="A522" s="19">
        <f t="shared" si="52"/>
        <v>1900</v>
      </c>
    </row>
    <row r="523" spans="1:1">
      <c r="A523" s="19">
        <f t="shared" si="52"/>
        <v>1900</v>
      </c>
    </row>
    <row r="524" spans="1:1">
      <c r="A524" s="19">
        <f t="shared" si="52"/>
        <v>1900</v>
      </c>
    </row>
    <row r="525" spans="1:1">
      <c r="A525" s="19">
        <f t="shared" si="52"/>
        <v>1900</v>
      </c>
    </row>
    <row r="526" spans="1:1">
      <c r="A526" s="19">
        <f t="shared" si="52"/>
        <v>1900</v>
      </c>
    </row>
    <row r="527" spans="1:1">
      <c r="A527" s="19">
        <f t="shared" si="52"/>
        <v>1900</v>
      </c>
    </row>
    <row r="528" spans="1:1">
      <c r="A528" s="19">
        <f t="shared" si="52"/>
        <v>1900</v>
      </c>
    </row>
    <row r="529" spans="1:1">
      <c r="A529" s="19">
        <f t="shared" si="52"/>
        <v>1900</v>
      </c>
    </row>
    <row r="530" spans="1:1">
      <c r="A530" s="19">
        <f t="shared" si="52"/>
        <v>1900</v>
      </c>
    </row>
    <row r="531" spans="1:1">
      <c r="A531" s="19">
        <f t="shared" si="52"/>
        <v>1900</v>
      </c>
    </row>
    <row r="532" spans="1:1">
      <c r="A532" s="19">
        <f t="shared" si="52"/>
        <v>1900</v>
      </c>
    </row>
    <row r="533" spans="1:1">
      <c r="A533" s="19">
        <f t="shared" si="52"/>
        <v>1900</v>
      </c>
    </row>
    <row r="534" spans="1:1">
      <c r="A534" s="19">
        <f t="shared" si="52"/>
        <v>1900</v>
      </c>
    </row>
    <row r="535" spans="1:1">
      <c r="A535" s="19">
        <f t="shared" si="52"/>
        <v>1900</v>
      </c>
    </row>
    <row r="536" spans="1:1">
      <c r="A536" s="19">
        <f t="shared" si="52"/>
        <v>1900</v>
      </c>
    </row>
    <row r="537" spans="1:1">
      <c r="A537" s="19">
        <f t="shared" si="52"/>
        <v>1900</v>
      </c>
    </row>
    <row r="538" spans="1:1">
      <c r="A538" s="19">
        <f t="shared" si="52"/>
        <v>1900</v>
      </c>
    </row>
    <row r="539" spans="1:1">
      <c r="A539" s="19">
        <f t="shared" si="52"/>
        <v>1900</v>
      </c>
    </row>
    <row r="540" spans="1:1">
      <c r="A540" s="19">
        <f t="shared" si="52"/>
        <v>1900</v>
      </c>
    </row>
    <row r="541" spans="1:1">
      <c r="A541" s="19">
        <f t="shared" si="52"/>
        <v>1900</v>
      </c>
    </row>
    <row r="542" spans="1:1">
      <c r="A542" s="19">
        <f t="shared" si="52"/>
        <v>1900</v>
      </c>
    </row>
    <row r="543" spans="1:1">
      <c r="A543" s="19">
        <f t="shared" si="52"/>
        <v>1900</v>
      </c>
    </row>
    <row r="544" spans="1:1">
      <c r="A544" s="19">
        <f t="shared" si="52"/>
        <v>1900</v>
      </c>
    </row>
    <row r="545" spans="1:1">
      <c r="A545" s="19">
        <f t="shared" si="52"/>
        <v>1900</v>
      </c>
    </row>
    <row r="546" spans="1:1">
      <c r="A546" s="19">
        <f t="shared" si="52"/>
        <v>1900</v>
      </c>
    </row>
    <row r="547" spans="1:1">
      <c r="A547" s="19">
        <f t="shared" si="52"/>
        <v>1900</v>
      </c>
    </row>
    <row r="548" spans="1:1">
      <c r="A548" s="19">
        <f t="shared" si="52"/>
        <v>1900</v>
      </c>
    </row>
    <row r="549" spans="1:1">
      <c r="A549" s="19">
        <f t="shared" si="52"/>
        <v>1900</v>
      </c>
    </row>
    <row r="550" spans="1:1">
      <c r="A550" s="19">
        <f t="shared" si="52"/>
        <v>1900</v>
      </c>
    </row>
    <row r="551" spans="1:1">
      <c r="A551" s="19">
        <f t="shared" si="52"/>
        <v>1900</v>
      </c>
    </row>
    <row r="552" spans="1:1">
      <c r="A552" s="19">
        <f t="shared" si="52"/>
        <v>1900</v>
      </c>
    </row>
    <row r="553" spans="1:1">
      <c r="A553" s="19">
        <f t="shared" si="52"/>
        <v>1900</v>
      </c>
    </row>
    <row r="554" spans="1:1">
      <c r="A554" s="19">
        <f t="shared" si="52"/>
        <v>1900</v>
      </c>
    </row>
    <row r="555" spans="1:1">
      <c r="A555" s="19">
        <f t="shared" si="52"/>
        <v>1900</v>
      </c>
    </row>
    <row r="556" spans="1:1">
      <c r="A556" s="19">
        <f t="shared" si="52"/>
        <v>1900</v>
      </c>
    </row>
    <row r="557" spans="1:1">
      <c r="A557" s="19">
        <f t="shared" si="52"/>
        <v>1900</v>
      </c>
    </row>
    <row r="558" spans="1:1">
      <c r="A558" s="19">
        <f t="shared" si="52"/>
        <v>1900</v>
      </c>
    </row>
    <row r="559" spans="1:1">
      <c r="A559" s="19">
        <f t="shared" si="52"/>
        <v>1900</v>
      </c>
    </row>
    <row r="560" spans="1:1">
      <c r="A560" s="19">
        <f t="shared" si="52"/>
        <v>1900</v>
      </c>
    </row>
    <row r="561" spans="1:1">
      <c r="A561" s="19">
        <f t="shared" si="52"/>
        <v>1900</v>
      </c>
    </row>
    <row r="562" spans="1:1">
      <c r="A562" s="19">
        <f t="shared" si="52"/>
        <v>1900</v>
      </c>
    </row>
    <row r="563" spans="1:1">
      <c r="A563" s="19">
        <f t="shared" si="52"/>
        <v>1900</v>
      </c>
    </row>
    <row r="564" spans="1:1">
      <c r="A564" s="19">
        <f t="shared" si="52"/>
        <v>1900</v>
      </c>
    </row>
    <row r="565" spans="1:1">
      <c r="A565" s="19">
        <f t="shared" si="52"/>
        <v>1900</v>
      </c>
    </row>
    <row r="566" spans="1:1">
      <c r="A566" s="19">
        <f t="shared" si="52"/>
        <v>1900</v>
      </c>
    </row>
    <row r="567" spans="1:1">
      <c r="A567" s="19">
        <f t="shared" si="52"/>
        <v>1900</v>
      </c>
    </row>
  </sheetData>
  <mergeCells count="3">
    <mergeCell ref="M6:U6"/>
    <mergeCell ref="X6:AG6"/>
    <mergeCell ref="B6:K6"/>
  </mergeCells>
  <pageMargins left="0.7" right="0.7" top="0.75" bottom="0.75" header="0.3" footer="0.3"/>
  <pageSetup paperSize="9" orientation="portrait" r:id="rId1"/>
  <ignoredErrors>
    <ignoredError sqref="Y8:Y16 AA8:AB16 AD8:AD17 Y17 AA17:AB17" formulaRange="1"/>
    <ignoredError sqref="O8:O17 R8:R17" formula="1"/>
    <ignoredError sqref="Z8:Z17 AC8:AC17" formula="1" formulaRange="1"/>
    <ignoredError sqref="J75 I75 K75" evalErro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
  <sheetViews>
    <sheetView showGridLines="0" topLeftCell="C1" zoomScaleNormal="100" workbookViewId="0">
      <selection activeCell="F150" sqref="F150"/>
    </sheetView>
  </sheetViews>
  <sheetFormatPr defaultColWidth="14.7109375" defaultRowHeight="11.25"/>
  <cols>
    <col min="1" max="2" width="14.7109375" style="173" hidden="1" customWidth="1"/>
    <col min="3" max="3" width="9.28515625" style="173" bestFit="1" customWidth="1"/>
    <col min="4" max="4" width="16.85546875" style="173" bestFit="1" customWidth="1"/>
    <col min="5" max="5" width="17.42578125" style="173" customWidth="1"/>
    <col min="6" max="6" width="16.85546875" style="173" bestFit="1" customWidth="1"/>
    <col min="7" max="9" width="0.140625" style="183" customWidth="1"/>
    <col min="10" max="10" width="4.28515625" style="174" customWidth="1"/>
    <col min="11" max="18" width="14.7109375" style="173"/>
    <col min="19" max="19" width="30.7109375" style="173" customWidth="1"/>
    <col min="20" max="16384" width="14.7109375" style="173"/>
  </cols>
  <sheetData>
    <row r="1" spans="1:18" ht="15" customHeight="1">
      <c r="E1" s="236"/>
      <c r="G1" s="174"/>
      <c r="I1" s="174"/>
    </row>
    <row r="2" spans="1:18" ht="15" customHeight="1">
      <c r="E2" s="236"/>
      <c r="G2" s="174"/>
      <c r="I2" s="174"/>
      <c r="R2" s="175"/>
    </row>
    <row r="3" spans="1:18" ht="15" customHeight="1">
      <c r="E3" s="236"/>
      <c r="G3" s="174"/>
      <c r="I3" s="174"/>
      <c r="R3" s="175"/>
    </row>
    <row r="4" spans="1:18" ht="15" customHeight="1">
      <c r="E4" s="236"/>
      <c r="G4" s="174"/>
      <c r="I4" s="174"/>
      <c r="R4" s="175"/>
    </row>
    <row r="5" spans="1:18" ht="15" customHeight="1">
      <c r="E5" s="236"/>
      <c r="G5" s="174"/>
      <c r="I5" s="174"/>
      <c r="R5" s="175"/>
    </row>
    <row r="6" spans="1:18" ht="15.75" thickBot="1">
      <c r="C6" s="1049" t="s">
        <v>1045</v>
      </c>
      <c r="D6" s="1049"/>
      <c r="E6" s="1049"/>
      <c r="F6" s="1049"/>
      <c r="G6" s="174" t="s">
        <v>97</v>
      </c>
      <c r="H6" s="183" t="s">
        <v>279</v>
      </c>
      <c r="I6" s="174" t="s">
        <v>280</v>
      </c>
      <c r="K6" s="236"/>
      <c r="R6" s="175"/>
    </row>
    <row r="7" spans="1:18" ht="52.5" customHeight="1">
      <c r="A7" s="176"/>
      <c r="B7" s="176"/>
      <c r="C7" s="324" t="s">
        <v>24</v>
      </c>
      <c r="D7" s="345" t="s">
        <v>1142</v>
      </c>
      <c r="E7" s="345" t="s">
        <v>1143</v>
      </c>
      <c r="F7" s="326" t="s">
        <v>1144</v>
      </c>
      <c r="G7" s="184" t="str">
        <f>M38</f>
        <v>Annual Average (Financial Year)</v>
      </c>
      <c r="H7" s="184" t="str">
        <f>M38</f>
        <v>Annual Average (Financial Year)</v>
      </c>
      <c r="I7" s="184" t="str">
        <f>M38</f>
        <v>Annual Average (Financial Year)</v>
      </c>
      <c r="R7" s="175"/>
    </row>
    <row r="8" spans="1:18" ht="15">
      <c r="A8" s="177">
        <f t="shared" ref="A8:A58" si="0">YEAR(C8)</f>
        <v>2003</v>
      </c>
      <c r="B8" s="178" t="str">
        <f t="shared" ref="B8:B58" si="1">IF(MONTH(C8)&lt;4,"1",IF(MONTH(C8)&lt;7,"2",IF(MONTH(C8)&lt;10,"3","4")))</f>
        <v>3</v>
      </c>
      <c r="C8" s="16">
        <v>37865</v>
      </c>
      <c r="D8" s="653">
        <v>646</v>
      </c>
      <c r="E8" s="654">
        <v>758</v>
      </c>
      <c r="F8" s="655">
        <v>1404</v>
      </c>
      <c r="G8" s="185">
        <f>IF($G$7=$R$11,IF(B8="3",AVERAGE(F8:F11),IF(B8="4",AVERAGE(F7:F10),IF(B8="1",AVERAGE(F6:F9),AVERAGE(F6:F8)))),AVERAGEIF($A$8:$A$149,A8,$F$8:$F$151))</f>
        <v>1420.2750000000001</v>
      </c>
      <c r="H8" s="185">
        <f>IF($H$7=$R$11,IF(B8="3",AVERAGE(D8:D11),IF(B8="4",AVERAGE(D7:D10),IF(B8="1",AVERAGE(D6:D9),AVERAGE(D6:D8)))),AVERAGEIF($A$8:$A$149,A8,$D$8:$D$151))</f>
        <v>670.25</v>
      </c>
      <c r="I8" s="185">
        <f>IF($I$7=$R$11,IF(B8="3",AVERAGE(E8:E11),IF(B8="4",AVERAGE(E7:E10),IF(B8="1",AVERAGE(E6:E9),AVERAGE(E6:E8)))),AVERAGEIF($A$8:$A$149,A8,$E$8:$E$151))</f>
        <v>750.15</v>
      </c>
      <c r="R8" s="175"/>
    </row>
    <row r="9" spans="1:18" ht="15">
      <c r="A9" s="177">
        <f t="shared" si="0"/>
        <v>2003</v>
      </c>
      <c r="B9" s="178" t="str">
        <f t="shared" si="1"/>
        <v>4</v>
      </c>
      <c r="C9" s="16">
        <v>37956</v>
      </c>
      <c r="D9" s="656">
        <v>636</v>
      </c>
      <c r="E9" s="657">
        <v>690</v>
      </c>
      <c r="F9" s="658">
        <v>1326</v>
      </c>
      <c r="G9" s="185">
        <f t="shared" ref="G9:G40" si="2">IF($G$7=$R$11,IF(B9="3",AVERAGE(F9:F12),IF(B9="4",AVERAGE(F8:F11),IF(B9="1",AVERAGE(F7:F10),AVERAGE(F6:F9)))),AVERAGEIF($A$8:$A$149,A9,$F$8:$F$151))</f>
        <v>1420.2750000000001</v>
      </c>
      <c r="H9" s="185">
        <f t="shared" ref="H9:H40" si="3">IF($H$7=$R$11,IF(B9="3",AVERAGE(D9:D12),IF(B9="4",AVERAGE(D8:D11),IF(B9="1",AVERAGE(D7:D10),AVERAGE(D6:D9)))),AVERAGEIF($A$8:$A$149,A9,$D$8:$D$151))</f>
        <v>670.25</v>
      </c>
      <c r="I9" s="185">
        <f t="shared" ref="I9:I40" si="4">IF($I$7=$R$11,IF(B9="3",AVERAGE(E9:E12),IF(B9="4",AVERAGE(E8:E11),IF(B9="1",AVERAGE(E7:E10),AVERAGE(E6:E9)))),AVERAGEIF($A$8:$A$149,A9,$E$8:$E$151))</f>
        <v>750.15</v>
      </c>
      <c r="R9" s="175"/>
    </row>
    <row r="10" spans="1:18" ht="15">
      <c r="A10" s="177">
        <f t="shared" si="0"/>
        <v>2004</v>
      </c>
      <c r="B10" s="178" t="str">
        <f t="shared" si="1"/>
        <v>1</v>
      </c>
      <c r="C10" s="16">
        <v>38047</v>
      </c>
      <c r="D10" s="653">
        <v>508</v>
      </c>
      <c r="E10" s="654">
        <v>596</v>
      </c>
      <c r="F10" s="655">
        <v>1104</v>
      </c>
      <c r="G10" s="185">
        <f t="shared" si="2"/>
        <v>1420.2750000000001</v>
      </c>
      <c r="H10" s="185">
        <f t="shared" si="3"/>
        <v>670.25</v>
      </c>
      <c r="I10" s="185">
        <f t="shared" si="4"/>
        <v>750.15</v>
      </c>
      <c r="R10" s="179"/>
    </row>
    <row r="11" spans="1:18" ht="15">
      <c r="A11" s="177">
        <f t="shared" si="0"/>
        <v>2004</v>
      </c>
      <c r="B11" s="178" t="str">
        <f t="shared" si="1"/>
        <v>2</v>
      </c>
      <c r="C11" s="16">
        <v>38139</v>
      </c>
      <c r="D11" s="656">
        <v>891</v>
      </c>
      <c r="E11" s="657">
        <v>956.6</v>
      </c>
      <c r="F11" s="658">
        <v>1847.1</v>
      </c>
      <c r="G11" s="185">
        <f t="shared" si="2"/>
        <v>1420.2750000000001</v>
      </c>
      <c r="H11" s="185">
        <f t="shared" si="3"/>
        <v>670.25</v>
      </c>
      <c r="I11" s="185">
        <f t="shared" si="4"/>
        <v>750.15</v>
      </c>
      <c r="R11" s="179" t="s">
        <v>281</v>
      </c>
    </row>
    <row r="12" spans="1:18" ht="15">
      <c r="A12" s="177">
        <f t="shared" si="0"/>
        <v>2004</v>
      </c>
      <c r="B12" s="178" t="str">
        <f t="shared" si="1"/>
        <v>3</v>
      </c>
      <c r="C12" s="16">
        <v>38231</v>
      </c>
      <c r="D12" s="653">
        <v>897.7</v>
      </c>
      <c r="E12" s="654">
        <v>1023.9</v>
      </c>
      <c r="F12" s="655">
        <v>1921.6</v>
      </c>
      <c r="G12" s="185">
        <f t="shared" si="2"/>
        <v>1696.1</v>
      </c>
      <c r="H12" s="185">
        <f t="shared" si="3"/>
        <v>695.85</v>
      </c>
      <c r="I12" s="185">
        <f t="shared" si="4"/>
        <v>1000.25</v>
      </c>
      <c r="R12" s="179" t="s">
        <v>282</v>
      </c>
    </row>
    <row r="13" spans="1:18" ht="15">
      <c r="A13" s="177">
        <f t="shared" si="0"/>
        <v>2004</v>
      </c>
      <c r="B13" s="178" t="str">
        <f t="shared" si="1"/>
        <v>4</v>
      </c>
      <c r="C13" s="16">
        <v>38322</v>
      </c>
      <c r="D13" s="656">
        <v>602.79999999999995</v>
      </c>
      <c r="E13" s="657">
        <v>1045.5999999999999</v>
      </c>
      <c r="F13" s="658">
        <v>1648.5</v>
      </c>
      <c r="G13" s="185">
        <f t="shared" si="2"/>
        <v>1696.1</v>
      </c>
      <c r="H13" s="185">
        <f t="shared" si="3"/>
        <v>695.85</v>
      </c>
      <c r="I13" s="185">
        <f t="shared" si="4"/>
        <v>1000.25</v>
      </c>
      <c r="R13" s="175"/>
    </row>
    <row r="14" spans="1:18" ht="15">
      <c r="A14" s="177">
        <f t="shared" si="0"/>
        <v>2005</v>
      </c>
      <c r="B14" s="178" t="str">
        <f t="shared" si="1"/>
        <v>1</v>
      </c>
      <c r="C14" s="16">
        <v>38412</v>
      </c>
      <c r="D14" s="653">
        <v>532.79999999999995</v>
      </c>
      <c r="E14" s="654">
        <v>898.7</v>
      </c>
      <c r="F14" s="655">
        <v>1431.4</v>
      </c>
      <c r="G14" s="185">
        <f t="shared" si="2"/>
        <v>1696.1</v>
      </c>
      <c r="H14" s="185">
        <f t="shared" si="3"/>
        <v>695.85</v>
      </c>
      <c r="I14" s="185">
        <f t="shared" si="4"/>
        <v>1000.25</v>
      </c>
      <c r="R14" s="175"/>
    </row>
    <row r="15" spans="1:18" ht="15">
      <c r="A15" s="177">
        <f t="shared" si="0"/>
        <v>2005</v>
      </c>
      <c r="B15" s="178" t="str">
        <f t="shared" si="1"/>
        <v>2</v>
      </c>
      <c r="C15" s="16">
        <v>38504</v>
      </c>
      <c r="D15" s="656">
        <v>750.1</v>
      </c>
      <c r="E15" s="657">
        <v>1032.8</v>
      </c>
      <c r="F15" s="658">
        <v>1782.9</v>
      </c>
      <c r="G15" s="185">
        <f t="shared" si="2"/>
        <v>1696.1</v>
      </c>
      <c r="H15" s="185">
        <f t="shared" si="3"/>
        <v>695.85</v>
      </c>
      <c r="I15" s="185">
        <f t="shared" si="4"/>
        <v>1000.25</v>
      </c>
      <c r="R15" s="175"/>
    </row>
    <row r="16" spans="1:18" ht="15">
      <c r="A16" s="177">
        <f t="shared" si="0"/>
        <v>2005</v>
      </c>
      <c r="B16" s="178" t="str">
        <f t="shared" si="1"/>
        <v>3</v>
      </c>
      <c r="C16" s="16">
        <v>38596</v>
      </c>
      <c r="D16" s="653">
        <v>735.1</v>
      </c>
      <c r="E16" s="654">
        <v>1099.9000000000001</v>
      </c>
      <c r="F16" s="655">
        <v>1835</v>
      </c>
      <c r="G16" s="185">
        <f t="shared" si="2"/>
        <v>1709.1999999999998</v>
      </c>
      <c r="H16" s="185">
        <f t="shared" si="3"/>
        <v>654.42499999999995</v>
      </c>
      <c r="I16" s="185">
        <f t="shared" si="4"/>
        <v>1054.7750000000001</v>
      </c>
      <c r="R16" s="175"/>
    </row>
    <row r="17" spans="1:18" ht="15">
      <c r="A17" s="177">
        <f t="shared" si="0"/>
        <v>2005</v>
      </c>
      <c r="B17" s="178" t="str">
        <f t="shared" si="1"/>
        <v>4</v>
      </c>
      <c r="C17" s="16">
        <v>38687</v>
      </c>
      <c r="D17" s="656">
        <v>581.79999999999995</v>
      </c>
      <c r="E17" s="657">
        <v>1036.7</v>
      </c>
      <c r="F17" s="658">
        <v>1618.6</v>
      </c>
      <c r="G17" s="185">
        <f t="shared" si="2"/>
        <v>1709.1999999999998</v>
      </c>
      <c r="H17" s="185">
        <f t="shared" si="3"/>
        <v>654.42499999999995</v>
      </c>
      <c r="I17" s="185">
        <f t="shared" si="4"/>
        <v>1054.7750000000001</v>
      </c>
      <c r="R17" s="175"/>
    </row>
    <row r="18" spans="1:18" ht="15">
      <c r="A18" s="177">
        <f t="shared" si="0"/>
        <v>2006</v>
      </c>
      <c r="B18" s="178" t="str">
        <f t="shared" si="1"/>
        <v>1</v>
      </c>
      <c r="C18" s="16">
        <v>38777</v>
      </c>
      <c r="D18" s="653">
        <v>522.79999999999995</v>
      </c>
      <c r="E18" s="654">
        <v>944.4</v>
      </c>
      <c r="F18" s="655">
        <v>1467.1</v>
      </c>
      <c r="G18" s="185">
        <f t="shared" si="2"/>
        <v>1709.1999999999998</v>
      </c>
      <c r="H18" s="185">
        <f t="shared" si="3"/>
        <v>654.42499999999995</v>
      </c>
      <c r="I18" s="185">
        <f t="shared" si="4"/>
        <v>1054.7750000000001</v>
      </c>
      <c r="R18" s="175"/>
    </row>
    <row r="19" spans="1:18" ht="15">
      <c r="A19" s="177">
        <f t="shared" si="0"/>
        <v>2006</v>
      </c>
      <c r="B19" s="178" t="str">
        <f t="shared" si="1"/>
        <v>2</v>
      </c>
      <c r="C19" s="16">
        <v>38869</v>
      </c>
      <c r="D19" s="656">
        <v>778</v>
      </c>
      <c r="E19" s="657">
        <v>1138.0999999999999</v>
      </c>
      <c r="F19" s="658">
        <v>1916.1</v>
      </c>
      <c r="G19" s="185">
        <f t="shared" si="2"/>
        <v>1709.1999999999998</v>
      </c>
      <c r="H19" s="185">
        <f t="shared" si="3"/>
        <v>654.42499999999995</v>
      </c>
      <c r="I19" s="185">
        <f t="shared" si="4"/>
        <v>1054.7750000000001</v>
      </c>
      <c r="R19" s="175"/>
    </row>
    <row r="20" spans="1:18" ht="15">
      <c r="A20" s="177">
        <f t="shared" si="0"/>
        <v>2006</v>
      </c>
      <c r="B20" s="178" t="str">
        <f t="shared" si="1"/>
        <v>3</v>
      </c>
      <c r="C20" s="16">
        <v>38961</v>
      </c>
      <c r="D20" s="653">
        <v>812.4</v>
      </c>
      <c r="E20" s="654">
        <v>1438.6</v>
      </c>
      <c r="F20" s="655">
        <v>2251</v>
      </c>
      <c r="G20" s="185">
        <f t="shared" si="2"/>
        <v>2113.6499999999996</v>
      </c>
      <c r="H20" s="185">
        <f t="shared" si="3"/>
        <v>810.02499999999998</v>
      </c>
      <c r="I20" s="185">
        <f t="shared" si="4"/>
        <v>1303.625</v>
      </c>
      <c r="R20" s="175"/>
    </row>
    <row r="21" spans="1:18" ht="15">
      <c r="A21" s="177">
        <f t="shared" si="0"/>
        <v>2006</v>
      </c>
      <c r="B21" s="178" t="str">
        <f t="shared" si="1"/>
        <v>4</v>
      </c>
      <c r="C21" s="16">
        <v>39052</v>
      </c>
      <c r="D21" s="656">
        <v>900.4</v>
      </c>
      <c r="E21" s="657">
        <v>1199.3</v>
      </c>
      <c r="F21" s="658">
        <v>2099.6999999999998</v>
      </c>
      <c r="G21" s="185">
        <f t="shared" si="2"/>
        <v>2113.6499999999996</v>
      </c>
      <c r="H21" s="185">
        <f t="shared" si="3"/>
        <v>810.02499999999998</v>
      </c>
      <c r="I21" s="185">
        <f t="shared" si="4"/>
        <v>1303.625</v>
      </c>
      <c r="R21" s="175"/>
    </row>
    <row r="22" spans="1:18" ht="15">
      <c r="A22" s="177">
        <f t="shared" si="0"/>
        <v>2007</v>
      </c>
      <c r="B22" s="178" t="str">
        <f t="shared" si="1"/>
        <v>1</v>
      </c>
      <c r="C22" s="16">
        <v>39142</v>
      </c>
      <c r="D22" s="653">
        <v>713.2</v>
      </c>
      <c r="E22" s="654">
        <v>1071</v>
      </c>
      <c r="F22" s="655">
        <v>1784.2</v>
      </c>
      <c r="G22" s="185">
        <f t="shared" si="2"/>
        <v>2113.6499999999996</v>
      </c>
      <c r="H22" s="185">
        <f t="shared" si="3"/>
        <v>810.02499999999998</v>
      </c>
      <c r="I22" s="185">
        <f t="shared" si="4"/>
        <v>1303.625</v>
      </c>
      <c r="R22" s="175"/>
    </row>
    <row r="23" spans="1:18" ht="15">
      <c r="A23" s="177">
        <f t="shared" si="0"/>
        <v>2007</v>
      </c>
      <c r="B23" s="178" t="str">
        <f t="shared" si="1"/>
        <v>2</v>
      </c>
      <c r="C23" s="16">
        <v>39234</v>
      </c>
      <c r="D23" s="656">
        <v>814.1</v>
      </c>
      <c r="E23" s="657">
        <v>1505.6</v>
      </c>
      <c r="F23" s="658">
        <v>2319.6999999999998</v>
      </c>
      <c r="G23" s="185">
        <f t="shared" si="2"/>
        <v>2113.6499999999996</v>
      </c>
      <c r="H23" s="185">
        <f t="shared" si="3"/>
        <v>810.02499999999998</v>
      </c>
      <c r="I23" s="185">
        <f t="shared" si="4"/>
        <v>1303.625</v>
      </c>
      <c r="R23" s="175"/>
    </row>
    <row r="24" spans="1:18" ht="15">
      <c r="A24" s="177">
        <f t="shared" si="0"/>
        <v>2007</v>
      </c>
      <c r="B24" s="178" t="str">
        <f t="shared" si="1"/>
        <v>3</v>
      </c>
      <c r="C24" s="16">
        <v>39326</v>
      </c>
      <c r="D24" s="653">
        <v>1055.8</v>
      </c>
      <c r="E24" s="654">
        <v>1500.8</v>
      </c>
      <c r="F24" s="655">
        <v>2556.6999999999998</v>
      </c>
      <c r="G24" s="185">
        <f t="shared" si="2"/>
        <v>2438.8999999999996</v>
      </c>
      <c r="H24" s="185">
        <f t="shared" si="3"/>
        <v>980</v>
      </c>
      <c r="I24" s="185">
        <f t="shared" si="4"/>
        <v>1458.8500000000001</v>
      </c>
      <c r="R24" s="175"/>
    </row>
    <row r="25" spans="1:18" ht="15">
      <c r="A25" s="177">
        <f t="shared" si="0"/>
        <v>2007</v>
      </c>
      <c r="B25" s="178" t="str">
        <f t="shared" si="1"/>
        <v>4</v>
      </c>
      <c r="C25" s="16">
        <v>39417</v>
      </c>
      <c r="D25" s="656">
        <v>970.1</v>
      </c>
      <c r="E25" s="657">
        <v>1476</v>
      </c>
      <c r="F25" s="658">
        <v>2446.1</v>
      </c>
      <c r="G25" s="185">
        <f t="shared" si="2"/>
        <v>2438.8999999999996</v>
      </c>
      <c r="H25" s="185">
        <f t="shared" si="3"/>
        <v>980</v>
      </c>
      <c r="I25" s="185">
        <f t="shared" si="4"/>
        <v>1458.8500000000001</v>
      </c>
      <c r="R25" s="175"/>
    </row>
    <row r="26" spans="1:18" ht="15">
      <c r="A26" s="177">
        <f t="shared" si="0"/>
        <v>2008</v>
      </c>
      <c r="B26" s="178" t="str">
        <f t="shared" si="1"/>
        <v>1</v>
      </c>
      <c r="C26" s="16">
        <v>39508</v>
      </c>
      <c r="D26" s="653">
        <v>737.1</v>
      </c>
      <c r="E26" s="654">
        <v>1275.4000000000001</v>
      </c>
      <c r="F26" s="655">
        <v>2012.5</v>
      </c>
      <c r="G26" s="185">
        <f t="shared" si="2"/>
        <v>2438.8999999999996</v>
      </c>
      <c r="H26" s="185">
        <f t="shared" si="3"/>
        <v>980</v>
      </c>
      <c r="I26" s="185">
        <f t="shared" si="4"/>
        <v>1458.8500000000001</v>
      </c>
      <c r="R26" s="175"/>
    </row>
    <row r="27" spans="1:18" ht="15">
      <c r="A27" s="177">
        <f t="shared" si="0"/>
        <v>2008</v>
      </c>
      <c r="B27" s="178" t="str">
        <f t="shared" si="1"/>
        <v>2</v>
      </c>
      <c r="C27" s="16">
        <v>39600</v>
      </c>
      <c r="D27" s="656">
        <v>1157</v>
      </c>
      <c r="E27" s="657">
        <v>1583.2</v>
      </c>
      <c r="F27" s="658">
        <v>2740.3</v>
      </c>
      <c r="G27" s="185">
        <f t="shared" si="2"/>
        <v>2438.8999999999996</v>
      </c>
      <c r="H27" s="185">
        <f t="shared" si="3"/>
        <v>980</v>
      </c>
      <c r="I27" s="185">
        <f t="shared" si="4"/>
        <v>1458.8500000000001</v>
      </c>
      <c r="R27" s="175"/>
    </row>
    <row r="28" spans="1:18" ht="15">
      <c r="A28" s="177">
        <f t="shared" si="0"/>
        <v>2008</v>
      </c>
      <c r="B28" s="178" t="str">
        <f t="shared" si="1"/>
        <v>3</v>
      </c>
      <c r="C28" s="16">
        <v>39692</v>
      </c>
      <c r="D28" s="653">
        <v>1068.9000000000001</v>
      </c>
      <c r="E28" s="654">
        <v>1636</v>
      </c>
      <c r="F28" s="655">
        <v>2704.8</v>
      </c>
      <c r="G28" s="185">
        <f t="shared" si="2"/>
        <v>1971.9250000000002</v>
      </c>
      <c r="H28" s="185">
        <f t="shared" si="3"/>
        <v>680.09999999999991</v>
      </c>
      <c r="I28" s="185">
        <f t="shared" si="4"/>
        <v>1291.8499999999999</v>
      </c>
    </row>
    <row r="29" spans="1:18" ht="15">
      <c r="A29" s="177">
        <f t="shared" si="0"/>
        <v>2008</v>
      </c>
      <c r="B29" s="178" t="str">
        <f t="shared" si="1"/>
        <v>4</v>
      </c>
      <c r="C29" s="16">
        <v>39783</v>
      </c>
      <c r="D29" s="656">
        <v>792.1</v>
      </c>
      <c r="E29" s="657">
        <v>1444.4</v>
      </c>
      <c r="F29" s="658">
        <v>2236.5</v>
      </c>
      <c r="G29" s="185">
        <f t="shared" si="2"/>
        <v>1971.9250000000002</v>
      </c>
      <c r="H29" s="185">
        <f t="shared" si="3"/>
        <v>680.09999999999991</v>
      </c>
      <c r="I29" s="185">
        <f t="shared" si="4"/>
        <v>1291.8499999999999</v>
      </c>
    </row>
    <row r="30" spans="1:18" ht="15">
      <c r="A30" s="177">
        <f t="shared" si="0"/>
        <v>2009</v>
      </c>
      <c r="B30" s="178" t="str">
        <f t="shared" si="1"/>
        <v>1</v>
      </c>
      <c r="C30" s="16">
        <v>39873</v>
      </c>
      <c r="D30" s="653">
        <v>338.2</v>
      </c>
      <c r="E30" s="654">
        <v>888.3</v>
      </c>
      <c r="F30" s="655">
        <v>1226.5</v>
      </c>
      <c r="G30" s="185">
        <f t="shared" si="2"/>
        <v>1971.9250000000002</v>
      </c>
      <c r="H30" s="185">
        <f t="shared" si="3"/>
        <v>680.09999999999991</v>
      </c>
      <c r="I30" s="185">
        <f t="shared" si="4"/>
        <v>1291.8499999999999</v>
      </c>
    </row>
    <row r="31" spans="1:18" ht="15">
      <c r="A31" s="177">
        <f t="shared" si="0"/>
        <v>2009</v>
      </c>
      <c r="B31" s="178" t="str">
        <f t="shared" si="1"/>
        <v>2</v>
      </c>
      <c r="C31" s="16">
        <v>39965</v>
      </c>
      <c r="D31" s="656">
        <v>521.20000000000005</v>
      </c>
      <c r="E31" s="657">
        <v>1198.7</v>
      </c>
      <c r="F31" s="658">
        <v>1719.9</v>
      </c>
      <c r="G31" s="185">
        <f t="shared" si="2"/>
        <v>1971.9250000000002</v>
      </c>
      <c r="H31" s="185">
        <f t="shared" si="3"/>
        <v>680.09999999999991</v>
      </c>
      <c r="I31" s="185">
        <f t="shared" si="4"/>
        <v>1291.8499999999999</v>
      </c>
    </row>
    <row r="32" spans="1:18" ht="15">
      <c r="A32" s="177">
        <f t="shared" si="0"/>
        <v>2009</v>
      </c>
      <c r="B32" s="178" t="str">
        <f t="shared" si="1"/>
        <v>3</v>
      </c>
      <c r="C32" s="16">
        <v>40057</v>
      </c>
      <c r="D32" s="653">
        <v>719</v>
      </c>
      <c r="E32" s="654">
        <v>1422</v>
      </c>
      <c r="F32" s="655">
        <v>2141</v>
      </c>
      <c r="G32" s="185">
        <f t="shared" si="2"/>
        <v>2074.7250000000004</v>
      </c>
      <c r="H32" s="185">
        <f t="shared" si="3"/>
        <v>763.625</v>
      </c>
      <c r="I32" s="185">
        <f t="shared" si="4"/>
        <v>1311.125</v>
      </c>
    </row>
    <row r="33" spans="1:15" ht="15">
      <c r="A33" s="177">
        <f t="shared" si="0"/>
        <v>2009</v>
      </c>
      <c r="B33" s="178" t="str">
        <f t="shared" si="1"/>
        <v>4</v>
      </c>
      <c r="C33" s="16">
        <v>40148</v>
      </c>
      <c r="D33" s="656">
        <v>857.6</v>
      </c>
      <c r="E33" s="657">
        <v>1436.6</v>
      </c>
      <c r="F33" s="658">
        <v>2294.1</v>
      </c>
      <c r="G33" s="185">
        <f t="shared" si="2"/>
        <v>2074.7250000000004</v>
      </c>
      <c r="H33" s="185">
        <f t="shared" si="3"/>
        <v>763.625</v>
      </c>
      <c r="I33" s="185">
        <f t="shared" si="4"/>
        <v>1311.125</v>
      </c>
    </row>
    <row r="34" spans="1:15" ht="15">
      <c r="A34" s="177">
        <f t="shared" si="0"/>
        <v>2010</v>
      </c>
      <c r="B34" s="178" t="str">
        <f t="shared" si="1"/>
        <v>1</v>
      </c>
      <c r="C34" s="16">
        <v>40238</v>
      </c>
      <c r="D34" s="653">
        <v>547.5</v>
      </c>
      <c r="E34" s="654">
        <v>995.8</v>
      </c>
      <c r="F34" s="655">
        <v>1543.3</v>
      </c>
      <c r="G34" s="185">
        <f t="shared" si="2"/>
        <v>2074.7250000000004</v>
      </c>
      <c r="H34" s="185">
        <f t="shared" si="3"/>
        <v>763.625</v>
      </c>
      <c r="I34" s="185">
        <f t="shared" si="4"/>
        <v>1311.125</v>
      </c>
    </row>
    <row r="35" spans="1:15" ht="15">
      <c r="A35" s="177">
        <f t="shared" si="0"/>
        <v>2010</v>
      </c>
      <c r="B35" s="178" t="str">
        <f t="shared" si="1"/>
        <v>2</v>
      </c>
      <c r="C35" s="16">
        <v>40330</v>
      </c>
      <c r="D35" s="656">
        <v>930.4</v>
      </c>
      <c r="E35" s="657">
        <v>1390.1</v>
      </c>
      <c r="F35" s="658">
        <v>2320.5</v>
      </c>
      <c r="G35" s="185">
        <f t="shared" si="2"/>
        <v>2074.7250000000004</v>
      </c>
      <c r="H35" s="185">
        <f t="shared" si="3"/>
        <v>763.625</v>
      </c>
      <c r="I35" s="185">
        <f t="shared" si="4"/>
        <v>1311.125</v>
      </c>
    </row>
    <row r="36" spans="1:15" ht="15.75" thickBot="1">
      <c r="A36" s="177">
        <f t="shared" si="0"/>
        <v>2010</v>
      </c>
      <c r="B36" s="178" t="str">
        <f t="shared" si="1"/>
        <v>3</v>
      </c>
      <c r="C36" s="16">
        <v>40422</v>
      </c>
      <c r="D36" s="653">
        <v>907.4</v>
      </c>
      <c r="E36" s="654">
        <v>1555.8</v>
      </c>
      <c r="F36" s="655">
        <v>2463.1999999999998</v>
      </c>
      <c r="G36" s="185">
        <f t="shared" si="2"/>
        <v>2424.8249999999998</v>
      </c>
      <c r="H36" s="185">
        <f t="shared" si="3"/>
        <v>859.07500000000005</v>
      </c>
      <c r="I36" s="185">
        <f t="shared" si="4"/>
        <v>1565.7750000000001</v>
      </c>
    </row>
    <row r="37" spans="1:15" ht="15">
      <c r="A37" s="177">
        <f t="shared" si="0"/>
        <v>2010</v>
      </c>
      <c r="B37" s="178" t="str">
        <f t="shared" si="1"/>
        <v>4</v>
      </c>
      <c r="C37" s="16">
        <v>40513</v>
      </c>
      <c r="D37" s="656">
        <v>932.7</v>
      </c>
      <c r="E37" s="657">
        <v>1449.3</v>
      </c>
      <c r="F37" s="658">
        <v>2382</v>
      </c>
      <c r="G37" s="185">
        <f t="shared" si="2"/>
        <v>2424.8249999999998</v>
      </c>
      <c r="H37" s="185">
        <f t="shared" si="3"/>
        <v>859.07500000000005</v>
      </c>
      <c r="I37" s="185">
        <f t="shared" si="4"/>
        <v>1565.7750000000001</v>
      </c>
      <c r="M37" s="1043" t="s">
        <v>283</v>
      </c>
      <c r="N37" s="1044"/>
      <c r="O37" s="1045"/>
    </row>
    <row r="38" spans="1:15" ht="15.75" thickBot="1">
      <c r="A38" s="177">
        <f t="shared" si="0"/>
        <v>2011</v>
      </c>
      <c r="B38" s="178" t="str">
        <f t="shared" si="1"/>
        <v>1</v>
      </c>
      <c r="C38" s="16">
        <v>40603</v>
      </c>
      <c r="D38" s="653">
        <v>617.20000000000005</v>
      </c>
      <c r="E38" s="654">
        <v>1361.7</v>
      </c>
      <c r="F38" s="655">
        <v>1978.9</v>
      </c>
      <c r="G38" s="185">
        <f t="shared" si="2"/>
        <v>2424.8249999999998</v>
      </c>
      <c r="H38" s="185">
        <f t="shared" si="3"/>
        <v>859.07500000000005</v>
      </c>
      <c r="I38" s="185">
        <f t="shared" si="4"/>
        <v>1565.7750000000001</v>
      </c>
      <c r="M38" s="1046" t="s">
        <v>281</v>
      </c>
      <c r="N38" s="1047"/>
      <c r="O38" s="1048"/>
    </row>
    <row r="39" spans="1:15" ht="15">
      <c r="A39" s="177">
        <f t="shared" si="0"/>
        <v>2011</v>
      </c>
      <c r="B39" s="178" t="str">
        <f t="shared" si="1"/>
        <v>2</v>
      </c>
      <c r="C39" s="16">
        <v>40695</v>
      </c>
      <c r="D39" s="656">
        <v>979</v>
      </c>
      <c r="E39" s="657">
        <v>1896.3</v>
      </c>
      <c r="F39" s="658">
        <v>2875.2</v>
      </c>
      <c r="G39" s="185">
        <f t="shared" si="2"/>
        <v>2424.8249999999998</v>
      </c>
      <c r="H39" s="185">
        <f t="shared" si="3"/>
        <v>859.07500000000005</v>
      </c>
      <c r="I39" s="185">
        <f t="shared" si="4"/>
        <v>1565.7750000000001</v>
      </c>
    </row>
    <row r="40" spans="1:15" ht="15">
      <c r="A40" s="177">
        <f t="shared" si="0"/>
        <v>2011</v>
      </c>
      <c r="B40" s="178" t="str">
        <f t="shared" si="1"/>
        <v>3</v>
      </c>
      <c r="C40" s="16">
        <v>40787</v>
      </c>
      <c r="D40" s="653">
        <v>1037.7</v>
      </c>
      <c r="E40" s="654">
        <v>2120.3000000000002</v>
      </c>
      <c r="F40" s="655">
        <v>3157.9</v>
      </c>
      <c r="G40" s="185">
        <f t="shared" si="2"/>
        <v>2852.15</v>
      </c>
      <c r="H40" s="185">
        <f t="shared" si="3"/>
        <v>925.02499999999986</v>
      </c>
      <c r="I40" s="185">
        <f t="shared" si="4"/>
        <v>1927.1750000000002</v>
      </c>
    </row>
    <row r="41" spans="1:15" ht="15">
      <c r="A41" s="177">
        <f t="shared" si="0"/>
        <v>2011</v>
      </c>
      <c r="B41" s="178" t="str">
        <f t="shared" si="1"/>
        <v>4</v>
      </c>
      <c r="C41" s="16">
        <v>40878</v>
      </c>
      <c r="D41" s="656">
        <v>1008.4</v>
      </c>
      <c r="E41" s="657">
        <v>1947.2</v>
      </c>
      <c r="F41" s="658">
        <v>2955.6</v>
      </c>
      <c r="G41" s="185">
        <f t="shared" ref="G41:G72" si="5">IF($G$7=$R$11,IF(B41="3",AVERAGE(F41:F44),IF(B41="4",AVERAGE(F40:F43),IF(B41="1",AVERAGE(F39:F42),AVERAGE(F38:F41)))),AVERAGEIF($A$8:$A$149,A41,$F$8:$F$151))</f>
        <v>2852.15</v>
      </c>
      <c r="H41" s="185">
        <f t="shared" ref="H41:H72" si="6">IF($H$7=$R$11,IF(B41="3",AVERAGE(D41:D44),IF(B41="4",AVERAGE(D40:D43),IF(B41="1",AVERAGE(D39:D42),AVERAGE(D38:D41)))),AVERAGEIF($A$8:$A$149,A41,$D$8:$D$151))</f>
        <v>925.02499999999986</v>
      </c>
      <c r="I41" s="185">
        <f t="shared" ref="I41:I72" si="7">IF($I$7=$R$11,IF(B41="3",AVERAGE(E41:E44),IF(B41="4",AVERAGE(E40:E43),IF(B41="1",AVERAGE(E39:E42),AVERAGE(E38:E41)))),AVERAGEIF($A$8:$A$149,A41,$E$8:$E$151))</f>
        <v>1927.1750000000002</v>
      </c>
    </row>
    <row r="42" spans="1:15" ht="15">
      <c r="A42" s="177">
        <f t="shared" si="0"/>
        <v>2012</v>
      </c>
      <c r="B42" s="178" t="str">
        <f t="shared" si="1"/>
        <v>1</v>
      </c>
      <c r="C42" s="16">
        <v>40969</v>
      </c>
      <c r="D42" s="653">
        <v>582.79999999999995</v>
      </c>
      <c r="E42" s="654">
        <v>1688.8</v>
      </c>
      <c r="F42" s="655">
        <v>2271.6</v>
      </c>
      <c r="G42" s="185">
        <f t="shared" si="5"/>
        <v>2852.15</v>
      </c>
      <c r="H42" s="185">
        <f t="shared" si="6"/>
        <v>925.02499999999986</v>
      </c>
      <c r="I42" s="185">
        <f t="shared" si="7"/>
        <v>1927.1750000000002</v>
      </c>
    </row>
    <row r="43" spans="1:15" ht="15">
      <c r="A43" s="177">
        <f t="shared" si="0"/>
        <v>2012</v>
      </c>
      <c r="B43" s="178" t="str">
        <f t="shared" si="1"/>
        <v>2</v>
      </c>
      <c r="C43" s="16">
        <v>41061</v>
      </c>
      <c r="D43" s="656">
        <v>1071.2</v>
      </c>
      <c r="E43" s="657">
        <v>1952.4</v>
      </c>
      <c r="F43" s="658">
        <v>3023.5</v>
      </c>
      <c r="G43" s="185">
        <f t="shared" si="5"/>
        <v>2852.15</v>
      </c>
      <c r="H43" s="185">
        <f t="shared" si="6"/>
        <v>925.02499999999986</v>
      </c>
      <c r="I43" s="185">
        <f t="shared" si="7"/>
        <v>1927.1750000000002</v>
      </c>
    </row>
    <row r="44" spans="1:15" ht="15">
      <c r="A44" s="177">
        <f t="shared" si="0"/>
        <v>2012</v>
      </c>
      <c r="B44" s="178" t="str">
        <f t="shared" si="1"/>
        <v>3</v>
      </c>
      <c r="C44" s="16">
        <v>41153</v>
      </c>
      <c r="D44" s="653">
        <v>943.1</v>
      </c>
      <c r="E44" s="654">
        <v>1771.1</v>
      </c>
      <c r="F44" s="655">
        <v>2714.2</v>
      </c>
      <c r="G44" s="185">
        <f t="shared" si="5"/>
        <v>2105</v>
      </c>
      <c r="H44" s="185">
        <f t="shared" si="6"/>
        <v>682.42499999999995</v>
      </c>
      <c r="I44" s="185">
        <f t="shared" si="7"/>
        <v>1422.5749999999998</v>
      </c>
    </row>
    <row r="45" spans="1:15" ht="15">
      <c r="A45" s="177">
        <f t="shared" si="0"/>
        <v>2012</v>
      </c>
      <c r="B45" s="178" t="str">
        <f t="shared" si="1"/>
        <v>4</v>
      </c>
      <c r="C45" s="16">
        <v>41244</v>
      </c>
      <c r="D45" s="656">
        <v>677.4</v>
      </c>
      <c r="E45" s="657">
        <v>1501.6</v>
      </c>
      <c r="F45" s="658">
        <v>2179</v>
      </c>
      <c r="G45" s="185">
        <f t="shared" si="5"/>
        <v>2105</v>
      </c>
      <c r="H45" s="185">
        <f t="shared" si="6"/>
        <v>682.42499999999995</v>
      </c>
      <c r="I45" s="185">
        <f t="shared" si="7"/>
        <v>1422.5749999999998</v>
      </c>
    </row>
    <row r="46" spans="1:15" ht="15">
      <c r="A46" s="177">
        <f t="shared" si="0"/>
        <v>2013</v>
      </c>
      <c r="B46" s="178" t="str">
        <f t="shared" si="1"/>
        <v>1</v>
      </c>
      <c r="C46" s="16">
        <v>41334</v>
      </c>
      <c r="D46" s="653">
        <v>416.7</v>
      </c>
      <c r="E46" s="654">
        <v>1117.5999999999999</v>
      </c>
      <c r="F46" s="655">
        <v>1534.3</v>
      </c>
      <c r="G46" s="185">
        <f t="shared" si="5"/>
        <v>2105</v>
      </c>
      <c r="H46" s="185">
        <f t="shared" si="6"/>
        <v>682.42499999999995</v>
      </c>
      <c r="I46" s="185">
        <f t="shared" si="7"/>
        <v>1422.5749999999998</v>
      </c>
    </row>
    <row r="47" spans="1:15" ht="15">
      <c r="A47" s="177">
        <f t="shared" si="0"/>
        <v>2013</v>
      </c>
      <c r="B47" s="178" t="str">
        <f t="shared" si="1"/>
        <v>2</v>
      </c>
      <c r="C47" s="16">
        <v>41426</v>
      </c>
      <c r="D47" s="656">
        <v>692.5</v>
      </c>
      <c r="E47" s="657">
        <v>1300</v>
      </c>
      <c r="F47" s="658">
        <v>1992.5</v>
      </c>
      <c r="G47" s="185">
        <f t="shared" si="5"/>
        <v>2105</v>
      </c>
      <c r="H47" s="185">
        <f t="shared" si="6"/>
        <v>682.42499999999995</v>
      </c>
      <c r="I47" s="185">
        <f t="shared" si="7"/>
        <v>1422.5749999999998</v>
      </c>
    </row>
    <row r="48" spans="1:15" ht="15">
      <c r="A48" s="177">
        <f t="shared" si="0"/>
        <v>2013</v>
      </c>
      <c r="B48" s="178" t="str">
        <f t="shared" si="1"/>
        <v>3</v>
      </c>
      <c r="C48" s="16">
        <v>41518</v>
      </c>
      <c r="D48" s="653">
        <v>592.70000000000005</v>
      </c>
      <c r="E48" s="654">
        <v>1253.5999999999999</v>
      </c>
      <c r="F48" s="655">
        <v>1846.3</v>
      </c>
      <c r="G48" s="185">
        <f t="shared" si="5"/>
        <v>1613.325</v>
      </c>
      <c r="H48" s="185">
        <f t="shared" si="6"/>
        <v>399.40000000000003</v>
      </c>
      <c r="I48" s="185">
        <f t="shared" si="7"/>
        <v>1213.9499999999998</v>
      </c>
      <c r="M48" s="179" t="s">
        <v>335</v>
      </c>
      <c r="N48" s="179" t="str">
        <f>CONCATENATE(M48,IF($M$38="Annual Average (Financial Year)",RIGHT($M$38,16),RIGHT($M$38,15)))</f>
        <v>New Deposits (Quarterly average over (Financial Year)</v>
      </c>
    </row>
    <row r="49" spans="1:14" ht="15">
      <c r="A49" s="177">
        <f t="shared" si="0"/>
        <v>2013</v>
      </c>
      <c r="B49" s="178" t="str">
        <f t="shared" si="1"/>
        <v>4</v>
      </c>
      <c r="C49" s="16">
        <v>41609</v>
      </c>
      <c r="D49" s="656">
        <v>396.1</v>
      </c>
      <c r="E49" s="657">
        <v>1368.1</v>
      </c>
      <c r="F49" s="658">
        <v>1764.1</v>
      </c>
      <c r="G49" s="185">
        <f t="shared" si="5"/>
        <v>1613.325</v>
      </c>
      <c r="H49" s="185">
        <f t="shared" si="6"/>
        <v>399.40000000000003</v>
      </c>
      <c r="I49" s="185">
        <f t="shared" si="7"/>
        <v>1213.9499999999998</v>
      </c>
      <c r="M49" s="179" t="s">
        <v>336</v>
      </c>
      <c r="N49" s="179" t="str">
        <f>CONCATENATE(M49,IF($M$38="Annual Average (Financial Year)",RIGHT($M$38,16),RIGHT($M$38,15)))</f>
        <v>Existing Deposits (Quarterly average over (Financial Year)</v>
      </c>
    </row>
    <row r="50" spans="1:14" ht="15">
      <c r="A50" s="177">
        <f t="shared" si="0"/>
        <v>2014</v>
      </c>
      <c r="B50" s="178" t="str">
        <f t="shared" si="1"/>
        <v>1</v>
      </c>
      <c r="C50" s="16">
        <v>41699</v>
      </c>
      <c r="D50" s="653">
        <v>300</v>
      </c>
      <c r="E50" s="654">
        <v>848.1</v>
      </c>
      <c r="F50" s="655">
        <v>1148.0999999999999</v>
      </c>
      <c r="G50" s="185">
        <f t="shared" si="5"/>
        <v>1613.325</v>
      </c>
      <c r="H50" s="185">
        <f t="shared" si="6"/>
        <v>399.40000000000003</v>
      </c>
      <c r="I50" s="185">
        <f t="shared" si="7"/>
        <v>1213.9499999999998</v>
      </c>
      <c r="M50" s="179" t="s">
        <v>337</v>
      </c>
      <c r="N50" s="179" t="str">
        <f>CONCATENATE(M50,IF($M$38="Annual Average (Financial Year)",RIGHT($M$38,16),RIGHT($M$38,15)))</f>
        <v>Total (Quarterly average over (Financial Year)</v>
      </c>
    </row>
    <row r="51" spans="1:14" ht="15">
      <c r="A51" s="177">
        <f t="shared" si="0"/>
        <v>2014</v>
      </c>
      <c r="B51" s="178" t="str">
        <f t="shared" si="1"/>
        <v>2</v>
      </c>
      <c r="C51" s="16">
        <v>41791</v>
      </c>
      <c r="D51" s="656">
        <v>308.8</v>
      </c>
      <c r="E51" s="657">
        <v>1386</v>
      </c>
      <c r="F51" s="658">
        <v>1694.8</v>
      </c>
      <c r="G51" s="185">
        <f t="shared" si="5"/>
        <v>1613.325</v>
      </c>
      <c r="H51" s="185">
        <f t="shared" si="6"/>
        <v>399.40000000000003</v>
      </c>
      <c r="I51" s="185">
        <f t="shared" si="7"/>
        <v>1213.9499999999998</v>
      </c>
    </row>
    <row r="52" spans="1:14" ht="15">
      <c r="A52" s="177">
        <f t="shared" si="0"/>
        <v>2014</v>
      </c>
      <c r="B52" s="178" t="str">
        <f t="shared" si="1"/>
        <v>3</v>
      </c>
      <c r="C52" s="16">
        <v>41883</v>
      </c>
      <c r="D52" s="653">
        <v>397.2</v>
      </c>
      <c r="E52" s="654">
        <v>1271.8</v>
      </c>
      <c r="F52" s="655">
        <v>1669</v>
      </c>
      <c r="G52" s="185">
        <f t="shared" si="5"/>
        <v>1490.75</v>
      </c>
      <c r="H52" s="185">
        <f t="shared" si="6"/>
        <v>392.32499999999993</v>
      </c>
      <c r="I52" s="185">
        <f t="shared" si="7"/>
        <v>1098.7249999999999</v>
      </c>
    </row>
    <row r="53" spans="1:14" ht="15">
      <c r="A53" s="177">
        <f t="shared" si="0"/>
        <v>2014</v>
      </c>
      <c r="B53" s="178" t="str">
        <f t="shared" si="1"/>
        <v>4</v>
      </c>
      <c r="C53" s="16">
        <v>41974</v>
      </c>
      <c r="D53" s="656">
        <v>491.9</v>
      </c>
      <c r="E53" s="657">
        <v>1121.2</v>
      </c>
      <c r="F53" s="658">
        <v>1613.1</v>
      </c>
      <c r="G53" s="185">
        <f t="shared" si="5"/>
        <v>1490.75</v>
      </c>
      <c r="H53" s="185">
        <f t="shared" si="6"/>
        <v>392.32499999999993</v>
      </c>
      <c r="I53" s="185">
        <f t="shared" si="7"/>
        <v>1098.7249999999999</v>
      </c>
    </row>
    <row r="54" spans="1:14" ht="15">
      <c r="A54" s="177">
        <f t="shared" si="0"/>
        <v>2015</v>
      </c>
      <c r="B54" s="178" t="str">
        <f t="shared" si="1"/>
        <v>1</v>
      </c>
      <c r="C54" s="16">
        <v>42064</v>
      </c>
      <c r="D54" s="653">
        <v>242.1</v>
      </c>
      <c r="E54" s="654">
        <v>898.6</v>
      </c>
      <c r="F54" s="655">
        <v>1140.7</v>
      </c>
      <c r="G54" s="185">
        <f t="shared" si="5"/>
        <v>1490.75</v>
      </c>
      <c r="H54" s="185">
        <f t="shared" si="6"/>
        <v>392.32499999999993</v>
      </c>
      <c r="I54" s="185">
        <f t="shared" si="7"/>
        <v>1098.7249999999999</v>
      </c>
    </row>
    <row r="55" spans="1:14" ht="15">
      <c r="A55" s="177">
        <f t="shared" si="0"/>
        <v>2015</v>
      </c>
      <c r="B55" s="178" t="str">
        <f t="shared" si="1"/>
        <v>2</v>
      </c>
      <c r="C55" s="16">
        <v>42156</v>
      </c>
      <c r="D55" s="656">
        <v>438.1</v>
      </c>
      <c r="E55" s="657">
        <v>1103.3</v>
      </c>
      <c r="F55" s="658">
        <v>1540.2</v>
      </c>
      <c r="G55" s="185">
        <f t="shared" si="5"/>
        <v>1490.75</v>
      </c>
      <c r="H55" s="185">
        <f t="shared" si="6"/>
        <v>392.32499999999993</v>
      </c>
      <c r="I55" s="185">
        <f t="shared" si="7"/>
        <v>1098.7249999999999</v>
      </c>
    </row>
    <row r="56" spans="1:14" ht="15">
      <c r="A56" s="177">
        <f t="shared" si="0"/>
        <v>2015</v>
      </c>
      <c r="B56" s="178" t="str">
        <f t="shared" si="1"/>
        <v>3</v>
      </c>
      <c r="C56" s="16">
        <v>42248</v>
      </c>
      <c r="D56" s="653">
        <v>341.1</v>
      </c>
      <c r="E56" s="654">
        <v>1232.7</v>
      </c>
      <c r="F56" s="655">
        <v>1573.5</v>
      </c>
      <c r="G56" s="185">
        <f t="shared" si="5"/>
        <v>1587.9250000000002</v>
      </c>
      <c r="H56" s="185">
        <f t="shared" si="6"/>
        <v>377.07499999999999</v>
      </c>
      <c r="I56" s="185">
        <f t="shared" si="7"/>
        <v>1211.0250000000001</v>
      </c>
    </row>
    <row r="57" spans="1:14" ht="15">
      <c r="A57" s="177">
        <f t="shared" si="0"/>
        <v>2015</v>
      </c>
      <c r="B57" s="178" t="str">
        <f t="shared" si="1"/>
        <v>4</v>
      </c>
      <c r="C57" s="16">
        <v>42339</v>
      </c>
      <c r="D57" s="656">
        <v>442.4</v>
      </c>
      <c r="E57" s="657">
        <v>1240.2</v>
      </c>
      <c r="F57" s="658">
        <v>1682.3</v>
      </c>
      <c r="G57" s="185">
        <f t="shared" si="5"/>
        <v>1587.9250000000002</v>
      </c>
      <c r="H57" s="185">
        <f t="shared" si="6"/>
        <v>377.07499999999999</v>
      </c>
      <c r="I57" s="185">
        <f t="shared" si="7"/>
        <v>1211.0250000000001</v>
      </c>
    </row>
    <row r="58" spans="1:14" ht="15">
      <c r="A58" s="177">
        <f t="shared" si="0"/>
        <v>2016</v>
      </c>
      <c r="B58" s="178" t="str">
        <f t="shared" si="1"/>
        <v>1</v>
      </c>
      <c r="C58" s="16">
        <v>42430</v>
      </c>
      <c r="D58" s="653">
        <v>306.60000000000002</v>
      </c>
      <c r="E58" s="654">
        <v>994.8</v>
      </c>
      <c r="F58" s="655">
        <v>1301.3</v>
      </c>
      <c r="G58" s="185">
        <f t="shared" si="5"/>
        <v>1587.9250000000002</v>
      </c>
      <c r="H58" s="185">
        <f t="shared" si="6"/>
        <v>377.07499999999999</v>
      </c>
      <c r="I58" s="185">
        <f t="shared" si="7"/>
        <v>1211.0250000000001</v>
      </c>
    </row>
    <row r="59" spans="1:14" ht="15">
      <c r="A59" s="177">
        <f t="shared" ref="A59:A75" si="8">YEAR(C59)</f>
        <v>2016</v>
      </c>
      <c r="B59" s="178" t="str">
        <f t="shared" ref="B59:B75" si="9">IF(MONTH(C59)&lt;4,"1",IF(MONTH(C59)&lt;7,"2",IF(MONTH(C59)&lt;10,"3","4")))</f>
        <v>2</v>
      </c>
      <c r="C59" s="16">
        <v>42522</v>
      </c>
      <c r="D59" s="656">
        <v>418.2</v>
      </c>
      <c r="E59" s="657">
        <v>1376.4</v>
      </c>
      <c r="F59" s="658">
        <v>1794.6</v>
      </c>
      <c r="G59" s="185">
        <f t="shared" si="5"/>
        <v>1587.9250000000002</v>
      </c>
      <c r="H59" s="185">
        <f t="shared" si="6"/>
        <v>377.07499999999999</v>
      </c>
      <c r="I59" s="185">
        <f t="shared" si="7"/>
        <v>1211.0250000000001</v>
      </c>
    </row>
    <row r="60" spans="1:14" ht="15">
      <c r="A60" s="177">
        <f t="shared" si="8"/>
        <v>2016</v>
      </c>
      <c r="B60" s="178" t="str">
        <f t="shared" si="9"/>
        <v>3</v>
      </c>
      <c r="C60" s="16">
        <v>42614</v>
      </c>
      <c r="D60" s="653">
        <v>539.1</v>
      </c>
      <c r="E60" s="654">
        <v>1257.9000000000001</v>
      </c>
      <c r="F60" s="655">
        <v>1796.9</v>
      </c>
      <c r="G60" s="185">
        <f t="shared" si="5"/>
        <v>1882.35</v>
      </c>
      <c r="H60" s="185">
        <f t="shared" si="6"/>
        <v>591.1</v>
      </c>
      <c r="I60" s="185">
        <f t="shared" si="7"/>
        <v>1293.875</v>
      </c>
    </row>
    <row r="61" spans="1:14" ht="15">
      <c r="A61" s="177">
        <f t="shared" si="8"/>
        <v>2016</v>
      </c>
      <c r="B61" s="178" t="str">
        <f t="shared" si="9"/>
        <v>4</v>
      </c>
      <c r="C61" s="16">
        <v>42705</v>
      </c>
      <c r="D61" s="656">
        <v>658.7</v>
      </c>
      <c r="E61" s="657">
        <v>1183.9000000000001</v>
      </c>
      <c r="F61" s="658">
        <v>1842.6</v>
      </c>
      <c r="G61" s="185">
        <f t="shared" si="5"/>
        <v>1882.35</v>
      </c>
      <c r="H61" s="185">
        <f t="shared" si="6"/>
        <v>591.1</v>
      </c>
      <c r="I61" s="185">
        <f t="shared" si="7"/>
        <v>1293.875</v>
      </c>
    </row>
    <row r="62" spans="1:14" ht="15">
      <c r="A62" s="177">
        <f t="shared" si="8"/>
        <v>2017</v>
      </c>
      <c r="B62" s="178" t="str">
        <f t="shared" si="9"/>
        <v>1</v>
      </c>
      <c r="C62" s="16">
        <v>42795</v>
      </c>
      <c r="D62" s="653">
        <v>484</v>
      </c>
      <c r="E62" s="654">
        <v>1117.5</v>
      </c>
      <c r="F62" s="655">
        <v>1591.2</v>
      </c>
      <c r="G62" s="185">
        <f t="shared" si="5"/>
        <v>1882.35</v>
      </c>
      <c r="H62" s="185">
        <f t="shared" si="6"/>
        <v>591.1</v>
      </c>
      <c r="I62" s="185">
        <f t="shared" si="7"/>
        <v>1293.875</v>
      </c>
    </row>
    <row r="63" spans="1:14" ht="15">
      <c r="A63" s="177">
        <f t="shared" si="8"/>
        <v>2017</v>
      </c>
      <c r="B63" s="178" t="str">
        <f t="shared" si="9"/>
        <v>2</v>
      </c>
      <c r="C63" s="16">
        <v>42887</v>
      </c>
      <c r="D63" s="656">
        <v>682.6</v>
      </c>
      <c r="E63" s="657">
        <v>1616.2</v>
      </c>
      <c r="F63" s="658">
        <v>2298.6999999999998</v>
      </c>
      <c r="G63" s="185">
        <f t="shared" si="5"/>
        <v>1882.35</v>
      </c>
      <c r="H63" s="185">
        <f t="shared" si="6"/>
        <v>591.1</v>
      </c>
      <c r="I63" s="185">
        <f t="shared" si="7"/>
        <v>1293.875</v>
      </c>
    </row>
    <row r="64" spans="1:14" ht="15">
      <c r="A64" s="177">
        <f t="shared" si="8"/>
        <v>2017</v>
      </c>
      <c r="B64" s="178" t="str">
        <f t="shared" si="9"/>
        <v>3</v>
      </c>
      <c r="C64" s="16">
        <v>42979</v>
      </c>
      <c r="D64" s="653">
        <v>841.6</v>
      </c>
      <c r="E64" s="654">
        <v>1452.4</v>
      </c>
      <c r="F64" s="655">
        <v>2294</v>
      </c>
      <c r="G64" s="185">
        <f t="shared" si="5"/>
        <v>2249.0749999999998</v>
      </c>
      <c r="H64" s="185">
        <f t="shared" si="6"/>
        <v>802.8</v>
      </c>
      <c r="I64" s="185">
        <f t="shared" si="7"/>
        <v>1446.2750000000001</v>
      </c>
    </row>
    <row r="65" spans="1:9" ht="15">
      <c r="A65" s="177">
        <f t="shared" si="8"/>
        <v>2017</v>
      </c>
      <c r="B65" s="178" t="str">
        <f t="shared" si="9"/>
        <v>4</v>
      </c>
      <c r="C65" s="16">
        <v>43070</v>
      </c>
      <c r="D65" s="656">
        <v>766.1</v>
      </c>
      <c r="E65" s="657">
        <v>1409.8</v>
      </c>
      <c r="F65" s="658">
        <v>2175.9</v>
      </c>
      <c r="G65" s="185">
        <f t="shared" si="5"/>
        <v>2249.0749999999998</v>
      </c>
      <c r="H65" s="185">
        <f t="shared" si="6"/>
        <v>802.8</v>
      </c>
      <c r="I65" s="185">
        <f t="shared" si="7"/>
        <v>1446.2750000000001</v>
      </c>
    </row>
    <row r="66" spans="1:9" ht="15">
      <c r="A66" s="177">
        <f t="shared" si="8"/>
        <v>2018</v>
      </c>
      <c r="B66" s="178" t="str">
        <f t="shared" si="9"/>
        <v>1</v>
      </c>
      <c r="C66" s="16">
        <v>43160</v>
      </c>
      <c r="D66" s="653">
        <v>631.70000000000005</v>
      </c>
      <c r="E66" s="654">
        <v>1221.9000000000001</v>
      </c>
      <c r="F66" s="655">
        <v>1853.6</v>
      </c>
      <c r="G66" s="185">
        <f t="shared" si="5"/>
        <v>2249.0749999999998</v>
      </c>
      <c r="H66" s="185">
        <f t="shared" si="6"/>
        <v>802.8</v>
      </c>
      <c r="I66" s="185">
        <f t="shared" si="7"/>
        <v>1446.2750000000001</v>
      </c>
    </row>
    <row r="67" spans="1:9" ht="15">
      <c r="A67" s="177">
        <f t="shared" si="8"/>
        <v>2018</v>
      </c>
      <c r="B67" s="178" t="str">
        <f t="shared" si="9"/>
        <v>2</v>
      </c>
      <c r="C67" s="16">
        <v>43252</v>
      </c>
      <c r="D67" s="656">
        <v>971.8</v>
      </c>
      <c r="E67" s="657">
        <v>1701</v>
      </c>
      <c r="F67" s="658">
        <v>2672.8</v>
      </c>
      <c r="G67" s="185">
        <f t="shared" si="5"/>
        <v>2249.0749999999998</v>
      </c>
      <c r="H67" s="185">
        <f t="shared" si="6"/>
        <v>802.8</v>
      </c>
      <c r="I67" s="185">
        <f t="shared" si="7"/>
        <v>1446.2750000000001</v>
      </c>
    </row>
    <row r="68" spans="1:9" ht="15">
      <c r="A68" s="177">
        <f t="shared" si="8"/>
        <v>2018</v>
      </c>
      <c r="B68" s="178" t="str">
        <f t="shared" si="9"/>
        <v>3</v>
      </c>
      <c r="C68" s="16">
        <v>43344</v>
      </c>
      <c r="D68" s="653">
        <v>1041.7</v>
      </c>
      <c r="E68" s="654">
        <v>1778.6</v>
      </c>
      <c r="F68" s="655">
        <v>2811.6</v>
      </c>
      <c r="G68" s="185">
        <f t="shared" si="5"/>
        <v>2550.4</v>
      </c>
      <c r="H68" s="185">
        <f t="shared" si="6"/>
        <v>917.55</v>
      </c>
      <c r="I68" s="185">
        <f t="shared" si="7"/>
        <v>1635.0250000000001</v>
      </c>
    </row>
    <row r="69" spans="1:9" ht="15">
      <c r="A69" s="177">
        <f t="shared" si="8"/>
        <v>2018</v>
      </c>
      <c r="B69" s="178" t="str">
        <f t="shared" si="9"/>
        <v>4</v>
      </c>
      <c r="C69" s="16">
        <v>43435</v>
      </c>
      <c r="D69" s="656">
        <v>949.3</v>
      </c>
      <c r="E69" s="657">
        <v>1545.2</v>
      </c>
      <c r="F69" s="658">
        <v>2494.5</v>
      </c>
      <c r="G69" s="185">
        <f t="shared" si="5"/>
        <v>2550.4</v>
      </c>
      <c r="H69" s="185">
        <f t="shared" si="6"/>
        <v>917.55</v>
      </c>
      <c r="I69" s="185">
        <f t="shared" si="7"/>
        <v>1635.0250000000001</v>
      </c>
    </row>
    <row r="70" spans="1:9" ht="15">
      <c r="A70" s="177">
        <f t="shared" si="8"/>
        <v>2019</v>
      </c>
      <c r="B70" s="178" t="str">
        <f t="shared" si="9"/>
        <v>1</v>
      </c>
      <c r="C70" s="16">
        <v>43525</v>
      </c>
      <c r="D70" s="653">
        <v>755.4</v>
      </c>
      <c r="E70" s="654">
        <v>1460.4</v>
      </c>
      <c r="F70" s="655">
        <v>2215.8000000000002</v>
      </c>
      <c r="G70" s="185">
        <f t="shared" si="5"/>
        <v>2550.4</v>
      </c>
      <c r="H70" s="185">
        <f t="shared" si="6"/>
        <v>917.55</v>
      </c>
      <c r="I70" s="185">
        <f t="shared" si="7"/>
        <v>1635.0250000000001</v>
      </c>
    </row>
    <row r="71" spans="1:9" ht="15">
      <c r="A71" s="177">
        <f t="shared" si="8"/>
        <v>2019</v>
      </c>
      <c r="B71" s="178" t="str">
        <f t="shared" si="9"/>
        <v>2</v>
      </c>
      <c r="C71" s="16">
        <v>43617</v>
      </c>
      <c r="D71" s="656">
        <v>923.8</v>
      </c>
      <c r="E71" s="657">
        <v>1755.9</v>
      </c>
      <c r="F71" s="658">
        <v>2679.7</v>
      </c>
      <c r="G71" s="185">
        <f t="shared" si="5"/>
        <v>2550.4</v>
      </c>
      <c r="H71" s="185">
        <f t="shared" si="6"/>
        <v>917.55</v>
      </c>
      <c r="I71" s="185">
        <f t="shared" si="7"/>
        <v>1635.0250000000001</v>
      </c>
    </row>
    <row r="72" spans="1:9" ht="15">
      <c r="A72" s="177">
        <f t="shared" si="8"/>
        <v>2019</v>
      </c>
      <c r="B72" s="178" t="str">
        <f t="shared" si="9"/>
        <v>3</v>
      </c>
      <c r="C72" s="16">
        <v>43709</v>
      </c>
      <c r="D72" s="653">
        <v>1115.8</v>
      </c>
      <c r="E72" s="654">
        <v>1664.5</v>
      </c>
      <c r="F72" s="655">
        <v>2780.3</v>
      </c>
      <c r="G72" s="185">
        <f t="shared" si="5"/>
        <v>2560.9</v>
      </c>
      <c r="H72" s="185">
        <f t="shared" si="6"/>
        <v>922.32499999999993</v>
      </c>
      <c r="I72" s="185">
        <f t="shared" si="7"/>
        <v>1638.575</v>
      </c>
    </row>
    <row r="73" spans="1:9" ht="15">
      <c r="A73" s="177">
        <f t="shared" si="8"/>
        <v>2019</v>
      </c>
      <c r="B73" s="178" t="str">
        <f t="shared" si="9"/>
        <v>4</v>
      </c>
      <c r="C73" s="16">
        <v>43800</v>
      </c>
      <c r="D73" s="656">
        <v>917.2</v>
      </c>
      <c r="E73" s="657">
        <v>1798</v>
      </c>
      <c r="F73" s="658">
        <v>2715.2</v>
      </c>
      <c r="G73" s="185">
        <f>IF($G$7=$R$11,IF(B73="3",AVERAGE(F73:F78),IF(B73="4",AVERAGE(F72:F75),IF(B73="1",AVERAGE(F71:F74),AVERAGE(F70:F73)))),AVERAGEIF($A$8:$A$149,A73,$F$8:$F$151))</f>
        <v>2560.9</v>
      </c>
      <c r="H73" s="185">
        <f>IF($H$7=$R$11,IF(B73="3",AVERAGE(D73:D78),IF(B73="4",AVERAGE(D72:D75),IF(B73="1",AVERAGE(D71:D74),AVERAGE(D70:D73)))),AVERAGEIF($A$8:$A$149,A73,$D$8:$D$151))</f>
        <v>922.32499999999993</v>
      </c>
      <c r="I73" s="185">
        <f>IF($I$7=$R$11,IF(B73="3",AVERAGE(E73:E78),IF(B73="4",AVERAGE(E72:E75),IF(B73="1",AVERAGE(E71:E74),AVERAGE(E70:E73)))),AVERAGEIF($A$8:$A$149,A73,$E$8:$E$151))</f>
        <v>1638.575</v>
      </c>
    </row>
    <row r="74" spans="1:9" ht="15">
      <c r="A74" s="177">
        <f t="shared" si="8"/>
        <v>2020</v>
      </c>
      <c r="B74" s="178" t="str">
        <f t="shared" si="9"/>
        <v>1</v>
      </c>
      <c r="C74" s="16">
        <v>43891</v>
      </c>
      <c r="D74" s="653">
        <v>805.7</v>
      </c>
      <c r="E74" s="654">
        <v>1447</v>
      </c>
      <c r="F74" s="655">
        <v>2252.6999999999998</v>
      </c>
      <c r="G74" s="185">
        <f>IF($G$7=$R$11,IF(B74="3",AVERAGE(F74:F79),IF(B74="4",AVERAGE(F73:F78),IF(B74="1",AVERAGE(F72:F75),AVERAGE(F71:F74)))),AVERAGEIF($A$8:$A$149,A74,$F$8:$F$151))</f>
        <v>2560.9</v>
      </c>
      <c r="H74" s="185">
        <f>IF($H$7=$R$11,IF(B74="3",AVERAGE(D74:D79),IF(B74="4",AVERAGE(D73:D78),IF(B74="1",AVERAGE(D72:D75),AVERAGE(D71:D74)))),AVERAGEIF($A$8:$A$149,A74,$D$8:$D$151))</f>
        <v>922.32499999999993</v>
      </c>
      <c r="I74" s="185">
        <f>IF($I$7=$R$11,IF(B74="3",AVERAGE(E74:E79),IF(B74="4",AVERAGE(E73:E78),IF(B74="1",AVERAGE(E72:E75),AVERAGE(E71:E74)))),AVERAGEIF($A$8:$A$149,A74,$E$8:$E$151))</f>
        <v>1638.575</v>
      </c>
    </row>
    <row r="75" spans="1:9" ht="15">
      <c r="A75" s="177">
        <f t="shared" si="8"/>
        <v>2020</v>
      </c>
      <c r="B75" s="178" t="str">
        <f t="shared" si="9"/>
        <v>2</v>
      </c>
      <c r="C75" s="16">
        <v>43983</v>
      </c>
      <c r="D75" s="656">
        <v>850.6</v>
      </c>
      <c r="E75" s="657">
        <v>1644.8</v>
      </c>
      <c r="F75" s="658">
        <v>2495.4</v>
      </c>
      <c r="G75" s="185">
        <f>IF($G$7=$R$11,IF(B75="3",AVERAGE(F75:F80),IF(B75="4",AVERAGE(F74:F79),IF(B75="1",AVERAGE(F73:F78),AVERAGE(F72:F75)))),AVERAGEIF($A$8:$A$149,A75,$F$8:$F$151))</f>
        <v>2560.9</v>
      </c>
      <c r="H75" s="185">
        <f>IF($H$7=$R$11,IF(B75="3",AVERAGE(D75:D80),IF(B75="4",AVERAGE(D74:D79),IF(B75="1",AVERAGE(D73:D78),AVERAGE(D72:D75)))),AVERAGEIF($A$8:$A$149,A75,$D$8:$D$151))</f>
        <v>922.32499999999993</v>
      </c>
      <c r="I75" s="185">
        <f>IF($I$7=$R$11,IF(B75="3",AVERAGE(E75:E80),IF(B75="4",AVERAGE(E74:E79),IF(B75="1",AVERAGE(E73:E78),AVERAGE(E72:E75)))),AVERAGEIF($A$8:$A$149,A75,$E$8:$E$151))</f>
        <v>1638.575</v>
      </c>
    </row>
    <row r="76" spans="1:9" ht="15">
      <c r="A76" s="177">
        <f>YEAR(C78)</f>
        <v>2021</v>
      </c>
      <c r="B76" s="178" t="str">
        <f>IF(MONTH(C78)&lt;4,"1",IF(MONTH(C78)&lt;7,"2",IF(MONTH(C78)&lt;10,"3","4")))</f>
        <v>1</v>
      </c>
      <c r="C76" s="16">
        <v>44075</v>
      </c>
      <c r="D76" s="823">
        <v>1048.5</v>
      </c>
      <c r="E76" s="824">
        <v>1916.3</v>
      </c>
      <c r="F76" s="825">
        <v>2964.8</v>
      </c>
      <c r="G76" s="185">
        <f>IF($G$7=$R$11,IF(B76="3",AVERAGE(F78:F81),IF(B76="4",AVERAGE(F75:F80),IF(B76="1",AVERAGE(F74:F79),AVERAGE(F73:F78)))),AVERAGEIF($A$8:$A$149,A76,$F$8:$F$151))</f>
        <v>2856.8166666666671</v>
      </c>
      <c r="H76" s="185">
        <f>IF($H$7=$R$11,IF(B76="3",AVERAGE(D78:D81),IF(B76="4",AVERAGE(D75:D80),IF(B76="1",AVERAGE(D74:D79),AVERAGE(D73:D78)))),AVERAGEIF($A$8:$A$149,A76,$D$8:$D$151))</f>
        <v>953.71666666666658</v>
      </c>
      <c r="I76" s="185">
        <f>IF($I$7=$R$11,IF(B76="3",AVERAGE(E78:E81),IF(B76="4",AVERAGE(E75:E80),IF(B76="1",AVERAGE(E74:E79),AVERAGE(E73:E78)))),AVERAGEIF($A$8:$A$149,A76,$E$8:$E$151))</f>
        <v>1903.0666666666666</v>
      </c>
    </row>
    <row r="77" spans="1:9" ht="15">
      <c r="A77" s="177">
        <f>YEAR(C79)</f>
        <v>2021</v>
      </c>
      <c r="B77" s="178" t="str">
        <f>IF(MONTH(C79)&lt;4,"1",IF(MONTH(C79)&lt;7,"2",IF(MONTH(C79)&lt;10,"3","4")))</f>
        <v>2</v>
      </c>
      <c r="C77" s="16">
        <v>44166</v>
      </c>
      <c r="D77" s="656">
        <v>1031.7</v>
      </c>
      <c r="E77" s="657">
        <v>1958.4</v>
      </c>
      <c r="F77" s="658">
        <v>2990.2</v>
      </c>
      <c r="G77" s="185">
        <f>IF($G$7=$R$11,IF(B77="3",AVERAGE(F79:F82),IF(B77="4",AVERAGE(F78:F81),IF(B77="1",AVERAGE(F75:F80),AVERAGE(F74:F79)))),AVERAGEIF($A$8:$A$149,A77,$F$8:$F$151))</f>
        <v>2856.8166666666671</v>
      </c>
      <c r="H77" s="185">
        <f>IF($H$7=$R$11,IF(B77="3",AVERAGE(D79:D82),IF(B77="4",AVERAGE(D78:D81),IF(B77="1",AVERAGE(D75:D80),AVERAGE(D74:D79)))),AVERAGEIF($A$8:$A$149,A77,$D$8:$D$151))</f>
        <v>953.71666666666658</v>
      </c>
      <c r="I77" s="185">
        <f>IF($I$7=$R$11,IF(B77="3",AVERAGE(E79:E82),IF(B77="4",AVERAGE(E78:E81),IF(B77="1",AVERAGE(E75:E80),AVERAGE(E74:E79)))),AVERAGEIF($A$8:$A$149,A77,$E$8:$E$151))</f>
        <v>1903.0666666666666</v>
      </c>
    </row>
    <row r="78" spans="1:9" ht="15">
      <c r="A78" s="177">
        <f>YEAR(C80)</f>
        <v>1900</v>
      </c>
      <c r="B78" s="178" t="str">
        <f>IF(MONTH(C80)&lt;4,"1",IF(MONTH(C80)&lt;7,"2",IF(MONTH(C80)&lt;10,"3","4")))</f>
        <v>1</v>
      </c>
      <c r="C78" s="16">
        <v>44256</v>
      </c>
      <c r="D78" s="653">
        <v>878.4</v>
      </c>
      <c r="E78" s="654">
        <v>1915.4</v>
      </c>
      <c r="F78" s="655">
        <v>2793.8</v>
      </c>
      <c r="G78" s="185">
        <f>IF($G$7=$R$11,IF(B78="3",AVERAGE(F80:F83),IF(B78="4",AVERAGE(F79:F82),IF(B78="1",AVERAGE(F78:F81),AVERAGE(F75:F80)))),AVERAGEIF($A$8:$A$149,A78,$F$8:$F$151))</f>
        <v>3218.9</v>
      </c>
      <c r="H78" s="185">
        <f>IF($H$7=$R$11,IF(B78="3",AVERAGE(D80:D83),IF(B78="4",AVERAGE(D79:D82),IF(B78="1",AVERAGE(D78:D81),AVERAGE(D75:D80)))),AVERAGEIF($A$8:$A$149,A78,$D$8:$D$151))</f>
        <v>992.90000000000009</v>
      </c>
      <c r="I78" s="185">
        <f>IF($I$7=$R$11,IF(B78="3",AVERAGE(E80:E83),IF(B78="4",AVERAGE(E79:E82),IF(B78="1",AVERAGE(E78:E81),AVERAGE(E75:E80)))),AVERAGEIF($A$8:$A$149,A78,$E$8:$E$151))</f>
        <v>2225.9499999999998</v>
      </c>
    </row>
    <row r="79" spans="1:9" ht="15.75" thickBot="1">
      <c r="A79" s="177">
        <f t="shared" ref="A79:A142" si="10">YEAR(C81)</f>
        <v>1900</v>
      </c>
      <c r="B79" s="178" t="str">
        <f t="shared" ref="B79:B142" si="11">IF(MONTH(C81)&lt;4,"1",IF(MONTH(C81)&lt;7,"2",IF(MONTH(C81)&lt;10,"3","4")))</f>
        <v>1</v>
      </c>
      <c r="C79" s="759">
        <v>44348</v>
      </c>
      <c r="D79" s="826">
        <v>1107.4000000000001</v>
      </c>
      <c r="E79" s="827">
        <v>2536.5</v>
      </c>
      <c r="F79" s="828">
        <v>3644</v>
      </c>
      <c r="G79" s="185">
        <f t="shared" ref="G79:G110" si="12">IF($G$7=$R$11,IF(B79="3",AVERAGE(F81:F84),IF(B79="4",AVERAGE(F80:F83),IF(B79="1",AVERAGE(F79:F82),AVERAGE(F78:F81)))),AVERAGEIF($A$8:$A$149,A79,$F$8:$F$151))</f>
        <v>3644</v>
      </c>
      <c r="H79" s="185">
        <f t="shared" ref="H79:H110" si="13">IF($H$7=$R$11,IF(B79="3",AVERAGE(D81:D84),IF(B79="4",AVERAGE(D80:D83),IF(B79="1",AVERAGE(D79:D82),AVERAGE(D78:D81)))),AVERAGEIF($A$8:$A$149,A79,$D$8:$D$151))</f>
        <v>1107.4000000000001</v>
      </c>
      <c r="I79" s="185">
        <f t="shared" ref="I79:I110" si="14">IF($I$7=$R$11,IF(B79="3",AVERAGE(E81:E84),IF(B79="4",AVERAGE(E80:E83),IF(B79="1",AVERAGE(E79:E82),AVERAGE(E78:E81)))),AVERAGEIF($A$8:$A$149,A79,$E$8:$E$151))</f>
        <v>2536.5</v>
      </c>
    </row>
    <row r="80" spans="1:9" ht="15">
      <c r="A80" s="177">
        <f t="shared" si="10"/>
        <v>1900</v>
      </c>
      <c r="B80" s="178" t="str">
        <f t="shared" si="11"/>
        <v>1</v>
      </c>
      <c r="G80" s="185" t="e">
        <f t="shared" si="12"/>
        <v>#DIV/0!</v>
      </c>
      <c r="H80" s="185" t="e">
        <f t="shared" si="13"/>
        <v>#DIV/0!</v>
      </c>
      <c r="I80" s="185" t="e">
        <f t="shared" si="14"/>
        <v>#DIV/0!</v>
      </c>
    </row>
    <row r="81" spans="1:9" ht="15">
      <c r="A81" s="177">
        <f t="shared" si="10"/>
        <v>1900</v>
      </c>
      <c r="B81" s="178" t="str">
        <f t="shared" si="11"/>
        <v>1</v>
      </c>
      <c r="G81" s="185" t="e">
        <f t="shared" si="12"/>
        <v>#DIV/0!</v>
      </c>
      <c r="H81" s="185" t="e">
        <f t="shared" si="13"/>
        <v>#DIV/0!</v>
      </c>
      <c r="I81" s="185" t="e">
        <f t="shared" si="14"/>
        <v>#DIV/0!</v>
      </c>
    </row>
    <row r="82" spans="1:9" ht="15">
      <c r="A82" s="177">
        <f t="shared" si="10"/>
        <v>1900</v>
      </c>
      <c r="B82" s="178" t="str">
        <f t="shared" si="11"/>
        <v>1</v>
      </c>
      <c r="G82" s="185" t="e">
        <f t="shared" si="12"/>
        <v>#DIV/0!</v>
      </c>
      <c r="H82" s="185" t="e">
        <f t="shared" si="13"/>
        <v>#DIV/0!</v>
      </c>
      <c r="I82" s="185" t="e">
        <f t="shared" si="14"/>
        <v>#DIV/0!</v>
      </c>
    </row>
    <row r="83" spans="1:9" ht="15">
      <c r="A83" s="177">
        <f t="shared" si="10"/>
        <v>1900</v>
      </c>
      <c r="B83" s="178" t="str">
        <f t="shared" si="11"/>
        <v>1</v>
      </c>
      <c r="G83" s="185" t="e">
        <f t="shared" si="12"/>
        <v>#DIV/0!</v>
      </c>
      <c r="H83" s="185" t="e">
        <f t="shared" si="13"/>
        <v>#DIV/0!</v>
      </c>
      <c r="I83" s="185" t="e">
        <f t="shared" si="14"/>
        <v>#DIV/0!</v>
      </c>
    </row>
    <row r="84" spans="1:9" ht="15">
      <c r="A84" s="177">
        <f t="shared" si="10"/>
        <v>1900</v>
      </c>
      <c r="B84" s="178" t="str">
        <f t="shared" si="11"/>
        <v>1</v>
      </c>
      <c r="G84" s="185" t="e">
        <f t="shared" si="12"/>
        <v>#DIV/0!</v>
      </c>
      <c r="H84" s="185" t="e">
        <f t="shared" si="13"/>
        <v>#DIV/0!</v>
      </c>
      <c r="I84" s="185" t="e">
        <f t="shared" si="14"/>
        <v>#DIV/0!</v>
      </c>
    </row>
    <row r="85" spans="1:9" ht="15">
      <c r="A85" s="177">
        <f t="shared" si="10"/>
        <v>1900</v>
      </c>
      <c r="B85" s="178" t="str">
        <f t="shared" si="11"/>
        <v>1</v>
      </c>
      <c r="G85" s="185" t="e">
        <f t="shared" si="12"/>
        <v>#DIV/0!</v>
      </c>
      <c r="H85" s="185" t="e">
        <f t="shared" si="13"/>
        <v>#DIV/0!</v>
      </c>
      <c r="I85" s="185" t="e">
        <f t="shared" si="14"/>
        <v>#DIV/0!</v>
      </c>
    </row>
    <row r="86" spans="1:9" ht="15">
      <c r="A86" s="177">
        <f t="shared" si="10"/>
        <v>1900</v>
      </c>
      <c r="B86" s="178" t="str">
        <f t="shared" si="11"/>
        <v>1</v>
      </c>
      <c r="G86" s="185" t="e">
        <f t="shared" si="12"/>
        <v>#DIV/0!</v>
      </c>
      <c r="H86" s="185" t="e">
        <f t="shared" si="13"/>
        <v>#DIV/0!</v>
      </c>
      <c r="I86" s="185" t="e">
        <f t="shared" si="14"/>
        <v>#DIV/0!</v>
      </c>
    </row>
    <row r="87" spans="1:9" ht="15">
      <c r="A87" s="177">
        <f t="shared" si="10"/>
        <v>1900</v>
      </c>
      <c r="B87" s="178" t="str">
        <f t="shared" si="11"/>
        <v>1</v>
      </c>
      <c r="G87" s="185" t="e">
        <f t="shared" si="12"/>
        <v>#DIV/0!</v>
      </c>
      <c r="H87" s="185" t="e">
        <f t="shared" si="13"/>
        <v>#DIV/0!</v>
      </c>
      <c r="I87" s="185" t="e">
        <f t="shared" si="14"/>
        <v>#DIV/0!</v>
      </c>
    </row>
    <row r="88" spans="1:9" ht="15">
      <c r="A88" s="177">
        <f t="shared" si="10"/>
        <v>1900</v>
      </c>
      <c r="B88" s="178" t="str">
        <f t="shared" si="11"/>
        <v>1</v>
      </c>
      <c r="G88" s="185" t="e">
        <f t="shared" si="12"/>
        <v>#DIV/0!</v>
      </c>
      <c r="H88" s="185" t="e">
        <f t="shared" si="13"/>
        <v>#DIV/0!</v>
      </c>
      <c r="I88" s="185" t="e">
        <f t="shared" si="14"/>
        <v>#DIV/0!</v>
      </c>
    </row>
    <row r="89" spans="1:9" ht="15">
      <c r="A89" s="177">
        <f t="shared" si="10"/>
        <v>1900</v>
      </c>
      <c r="B89" s="178" t="str">
        <f t="shared" si="11"/>
        <v>1</v>
      </c>
      <c r="G89" s="185" t="e">
        <f t="shared" si="12"/>
        <v>#DIV/0!</v>
      </c>
      <c r="H89" s="185" t="e">
        <f t="shared" si="13"/>
        <v>#DIV/0!</v>
      </c>
      <c r="I89" s="185" t="e">
        <f t="shared" si="14"/>
        <v>#DIV/0!</v>
      </c>
    </row>
    <row r="90" spans="1:9" ht="15">
      <c r="A90" s="177">
        <f t="shared" si="10"/>
        <v>1900</v>
      </c>
      <c r="B90" s="178" t="str">
        <f t="shared" si="11"/>
        <v>1</v>
      </c>
      <c r="G90" s="185" t="e">
        <f t="shared" si="12"/>
        <v>#DIV/0!</v>
      </c>
      <c r="H90" s="185" t="e">
        <f t="shared" si="13"/>
        <v>#DIV/0!</v>
      </c>
      <c r="I90" s="185" t="e">
        <f t="shared" si="14"/>
        <v>#DIV/0!</v>
      </c>
    </row>
    <row r="91" spans="1:9" ht="15">
      <c r="A91" s="177">
        <f t="shared" si="10"/>
        <v>1900</v>
      </c>
      <c r="B91" s="178" t="str">
        <f t="shared" si="11"/>
        <v>1</v>
      </c>
      <c r="G91" s="185" t="e">
        <f t="shared" si="12"/>
        <v>#DIV/0!</v>
      </c>
      <c r="H91" s="185" t="e">
        <f t="shared" si="13"/>
        <v>#DIV/0!</v>
      </c>
      <c r="I91" s="185" t="e">
        <f t="shared" si="14"/>
        <v>#DIV/0!</v>
      </c>
    </row>
    <row r="92" spans="1:9" ht="15">
      <c r="A92" s="177">
        <f t="shared" si="10"/>
        <v>1900</v>
      </c>
      <c r="B92" s="178" t="str">
        <f t="shared" si="11"/>
        <v>1</v>
      </c>
      <c r="G92" s="185" t="e">
        <f t="shared" si="12"/>
        <v>#DIV/0!</v>
      </c>
      <c r="H92" s="185" t="e">
        <f t="shared" si="13"/>
        <v>#DIV/0!</v>
      </c>
      <c r="I92" s="185" t="e">
        <f t="shared" si="14"/>
        <v>#DIV/0!</v>
      </c>
    </row>
    <row r="93" spans="1:9" ht="15">
      <c r="A93" s="177">
        <f t="shared" si="10"/>
        <v>1900</v>
      </c>
      <c r="B93" s="178" t="str">
        <f t="shared" si="11"/>
        <v>1</v>
      </c>
      <c r="G93" s="185" t="e">
        <f t="shared" si="12"/>
        <v>#DIV/0!</v>
      </c>
      <c r="H93" s="185" t="e">
        <f t="shared" si="13"/>
        <v>#DIV/0!</v>
      </c>
      <c r="I93" s="185" t="e">
        <f t="shared" si="14"/>
        <v>#DIV/0!</v>
      </c>
    </row>
    <row r="94" spans="1:9" ht="15">
      <c r="A94" s="177">
        <f t="shared" si="10"/>
        <v>1900</v>
      </c>
      <c r="B94" s="178" t="str">
        <f t="shared" si="11"/>
        <v>1</v>
      </c>
      <c r="G94" s="185" t="e">
        <f t="shared" si="12"/>
        <v>#DIV/0!</v>
      </c>
      <c r="H94" s="185" t="e">
        <f t="shared" si="13"/>
        <v>#DIV/0!</v>
      </c>
      <c r="I94" s="185" t="e">
        <f t="shared" si="14"/>
        <v>#DIV/0!</v>
      </c>
    </row>
    <row r="95" spans="1:9" ht="15">
      <c r="A95" s="177">
        <f t="shared" si="10"/>
        <v>1900</v>
      </c>
      <c r="B95" s="178" t="str">
        <f t="shared" si="11"/>
        <v>1</v>
      </c>
      <c r="G95" s="185" t="e">
        <f t="shared" si="12"/>
        <v>#DIV/0!</v>
      </c>
      <c r="H95" s="185" t="e">
        <f t="shared" si="13"/>
        <v>#DIV/0!</v>
      </c>
      <c r="I95" s="185" t="e">
        <f t="shared" si="14"/>
        <v>#DIV/0!</v>
      </c>
    </row>
    <row r="96" spans="1:9" ht="15">
      <c r="A96" s="177">
        <f t="shared" si="10"/>
        <v>1900</v>
      </c>
      <c r="B96" s="178" t="str">
        <f t="shared" si="11"/>
        <v>1</v>
      </c>
      <c r="G96" s="185" t="e">
        <f t="shared" si="12"/>
        <v>#DIV/0!</v>
      </c>
      <c r="H96" s="185" t="e">
        <f t="shared" si="13"/>
        <v>#DIV/0!</v>
      </c>
      <c r="I96" s="185" t="e">
        <f t="shared" si="14"/>
        <v>#DIV/0!</v>
      </c>
    </row>
    <row r="97" spans="1:9" ht="15">
      <c r="A97" s="177">
        <f t="shared" si="10"/>
        <v>1900</v>
      </c>
      <c r="B97" s="178" t="str">
        <f t="shared" si="11"/>
        <v>1</v>
      </c>
      <c r="G97" s="185" t="e">
        <f t="shared" si="12"/>
        <v>#DIV/0!</v>
      </c>
      <c r="H97" s="185" t="e">
        <f t="shared" si="13"/>
        <v>#DIV/0!</v>
      </c>
      <c r="I97" s="185" t="e">
        <f t="shared" si="14"/>
        <v>#DIV/0!</v>
      </c>
    </row>
    <row r="98" spans="1:9" ht="15">
      <c r="A98" s="177">
        <f t="shared" si="10"/>
        <v>1900</v>
      </c>
      <c r="B98" s="178" t="str">
        <f t="shared" si="11"/>
        <v>1</v>
      </c>
      <c r="G98" s="185" t="e">
        <f t="shared" si="12"/>
        <v>#DIV/0!</v>
      </c>
      <c r="H98" s="185" t="e">
        <f t="shared" si="13"/>
        <v>#DIV/0!</v>
      </c>
      <c r="I98" s="185" t="e">
        <f t="shared" si="14"/>
        <v>#DIV/0!</v>
      </c>
    </row>
    <row r="99" spans="1:9" ht="15">
      <c r="A99" s="177">
        <f t="shared" si="10"/>
        <v>1900</v>
      </c>
      <c r="B99" s="178" t="str">
        <f t="shared" si="11"/>
        <v>1</v>
      </c>
      <c r="G99" s="185" t="e">
        <f t="shared" si="12"/>
        <v>#DIV/0!</v>
      </c>
      <c r="H99" s="185" t="e">
        <f t="shared" si="13"/>
        <v>#DIV/0!</v>
      </c>
      <c r="I99" s="185" t="e">
        <f t="shared" si="14"/>
        <v>#DIV/0!</v>
      </c>
    </row>
    <row r="100" spans="1:9" ht="15">
      <c r="A100" s="177">
        <f t="shared" si="10"/>
        <v>1900</v>
      </c>
      <c r="B100" s="178" t="str">
        <f t="shared" si="11"/>
        <v>1</v>
      </c>
      <c r="G100" s="185" t="e">
        <f t="shared" si="12"/>
        <v>#DIV/0!</v>
      </c>
      <c r="H100" s="185" t="e">
        <f t="shared" si="13"/>
        <v>#DIV/0!</v>
      </c>
      <c r="I100" s="185" t="e">
        <f t="shared" si="14"/>
        <v>#DIV/0!</v>
      </c>
    </row>
    <row r="101" spans="1:9" ht="15">
      <c r="A101" s="177">
        <f t="shared" si="10"/>
        <v>1900</v>
      </c>
      <c r="B101" s="178" t="str">
        <f t="shared" si="11"/>
        <v>1</v>
      </c>
      <c r="G101" s="185" t="e">
        <f t="shared" si="12"/>
        <v>#DIV/0!</v>
      </c>
      <c r="H101" s="185" t="e">
        <f t="shared" si="13"/>
        <v>#DIV/0!</v>
      </c>
      <c r="I101" s="185" t="e">
        <f t="shared" si="14"/>
        <v>#DIV/0!</v>
      </c>
    </row>
    <row r="102" spans="1:9" ht="15">
      <c r="A102" s="177">
        <f t="shared" si="10"/>
        <v>1900</v>
      </c>
      <c r="B102" s="178" t="str">
        <f t="shared" si="11"/>
        <v>1</v>
      </c>
      <c r="G102" s="185" t="e">
        <f t="shared" si="12"/>
        <v>#DIV/0!</v>
      </c>
      <c r="H102" s="185" t="e">
        <f t="shared" si="13"/>
        <v>#DIV/0!</v>
      </c>
      <c r="I102" s="185" t="e">
        <f t="shared" si="14"/>
        <v>#DIV/0!</v>
      </c>
    </row>
    <row r="103" spans="1:9" ht="15">
      <c r="A103" s="177">
        <f t="shared" si="10"/>
        <v>1900</v>
      </c>
      <c r="B103" s="178" t="str">
        <f t="shared" si="11"/>
        <v>1</v>
      </c>
      <c r="G103" s="185" t="e">
        <f t="shared" si="12"/>
        <v>#DIV/0!</v>
      </c>
      <c r="H103" s="185" t="e">
        <f t="shared" si="13"/>
        <v>#DIV/0!</v>
      </c>
      <c r="I103" s="185" t="e">
        <f t="shared" si="14"/>
        <v>#DIV/0!</v>
      </c>
    </row>
    <row r="104" spans="1:9" ht="15">
      <c r="A104" s="177">
        <f t="shared" si="10"/>
        <v>1900</v>
      </c>
      <c r="B104" s="178" t="str">
        <f t="shared" si="11"/>
        <v>1</v>
      </c>
      <c r="G104" s="185" t="e">
        <f t="shared" si="12"/>
        <v>#DIV/0!</v>
      </c>
      <c r="H104" s="185" t="e">
        <f t="shared" si="13"/>
        <v>#DIV/0!</v>
      </c>
      <c r="I104" s="185" t="e">
        <f t="shared" si="14"/>
        <v>#DIV/0!</v>
      </c>
    </row>
    <row r="105" spans="1:9" ht="15">
      <c r="A105" s="177">
        <f t="shared" si="10"/>
        <v>1900</v>
      </c>
      <c r="B105" s="178" t="str">
        <f t="shared" si="11"/>
        <v>1</v>
      </c>
      <c r="G105" s="185" t="e">
        <f t="shared" si="12"/>
        <v>#DIV/0!</v>
      </c>
      <c r="H105" s="185" t="e">
        <f t="shared" si="13"/>
        <v>#DIV/0!</v>
      </c>
      <c r="I105" s="185" t="e">
        <f t="shared" si="14"/>
        <v>#DIV/0!</v>
      </c>
    </row>
    <row r="106" spans="1:9" ht="15">
      <c r="A106" s="177">
        <f t="shared" si="10"/>
        <v>1900</v>
      </c>
      <c r="B106" s="178" t="str">
        <f t="shared" si="11"/>
        <v>1</v>
      </c>
      <c r="G106" s="185" t="e">
        <f t="shared" si="12"/>
        <v>#DIV/0!</v>
      </c>
      <c r="H106" s="185" t="e">
        <f t="shared" si="13"/>
        <v>#DIV/0!</v>
      </c>
      <c r="I106" s="185" t="e">
        <f t="shared" si="14"/>
        <v>#DIV/0!</v>
      </c>
    </row>
    <row r="107" spans="1:9" ht="15">
      <c r="A107" s="177">
        <f t="shared" si="10"/>
        <v>1900</v>
      </c>
      <c r="B107" s="178" t="str">
        <f t="shared" si="11"/>
        <v>1</v>
      </c>
      <c r="G107" s="185" t="e">
        <f t="shared" si="12"/>
        <v>#DIV/0!</v>
      </c>
      <c r="H107" s="185" t="e">
        <f t="shared" si="13"/>
        <v>#DIV/0!</v>
      </c>
      <c r="I107" s="185" t="e">
        <f t="shared" si="14"/>
        <v>#DIV/0!</v>
      </c>
    </row>
    <row r="108" spans="1:9" ht="15">
      <c r="A108" s="177">
        <f t="shared" si="10"/>
        <v>1900</v>
      </c>
      <c r="B108" s="178" t="str">
        <f t="shared" si="11"/>
        <v>1</v>
      </c>
      <c r="G108" s="185" t="e">
        <f t="shared" si="12"/>
        <v>#DIV/0!</v>
      </c>
      <c r="H108" s="185" t="e">
        <f t="shared" si="13"/>
        <v>#DIV/0!</v>
      </c>
      <c r="I108" s="185" t="e">
        <f t="shared" si="14"/>
        <v>#DIV/0!</v>
      </c>
    </row>
    <row r="109" spans="1:9" ht="15">
      <c r="A109" s="177">
        <f t="shared" si="10"/>
        <v>1900</v>
      </c>
      <c r="B109" s="178" t="str">
        <f t="shared" si="11"/>
        <v>1</v>
      </c>
      <c r="G109" s="185" t="e">
        <f t="shared" si="12"/>
        <v>#DIV/0!</v>
      </c>
      <c r="H109" s="185" t="e">
        <f t="shared" si="13"/>
        <v>#DIV/0!</v>
      </c>
      <c r="I109" s="185" t="e">
        <f t="shared" si="14"/>
        <v>#DIV/0!</v>
      </c>
    </row>
    <row r="110" spans="1:9" ht="15">
      <c r="A110" s="177">
        <f t="shared" si="10"/>
        <v>1900</v>
      </c>
      <c r="B110" s="178" t="str">
        <f t="shared" si="11"/>
        <v>1</v>
      </c>
      <c r="G110" s="185" t="e">
        <f t="shared" si="12"/>
        <v>#DIV/0!</v>
      </c>
      <c r="H110" s="185" t="e">
        <f t="shared" si="13"/>
        <v>#DIV/0!</v>
      </c>
      <c r="I110" s="185" t="e">
        <f t="shared" si="14"/>
        <v>#DIV/0!</v>
      </c>
    </row>
    <row r="111" spans="1:9" ht="15">
      <c r="A111" s="177">
        <f t="shared" si="10"/>
        <v>1900</v>
      </c>
      <c r="B111" s="178" t="str">
        <f t="shared" si="11"/>
        <v>1</v>
      </c>
      <c r="G111" s="185" t="e">
        <f t="shared" ref="G111:G142" si="15">IF($G$7=$R$11,IF(B111="3",AVERAGE(F113:F116),IF(B111="4",AVERAGE(F112:F115),IF(B111="1",AVERAGE(F111:F114),AVERAGE(F110:F113)))),AVERAGEIF($A$8:$A$149,A111,$F$8:$F$151))</f>
        <v>#DIV/0!</v>
      </c>
      <c r="H111" s="185" t="e">
        <f t="shared" ref="H111:H142" si="16">IF($H$7=$R$11,IF(B111="3",AVERAGE(D113:D116),IF(B111="4",AVERAGE(D112:D115),IF(B111="1",AVERAGE(D111:D114),AVERAGE(D110:D113)))),AVERAGEIF($A$8:$A$149,A111,$D$8:$D$151))</f>
        <v>#DIV/0!</v>
      </c>
      <c r="I111" s="185" t="e">
        <f t="shared" ref="I111:I142" si="17">IF($I$7=$R$11,IF(B111="3",AVERAGE(E113:E116),IF(B111="4",AVERAGE(E112:E115),IF(B111="1",AVERAGE(E111:E114),AVERAGE(E110:E113)))),AVERAGEIF($A$8:$A$149,A111,$E$8:$E$151))</f>
        <v>#DIV/0!</v>
      </c>
    </row>
    <row r="112" spans="1:9" ht="15">
      <c r="A112" s="177">
        <f t="shared" si="10"/>
        <v>1900</v>
      </c>
      <c r="B112" s="178" t="str">
        <f t="shared" si="11"/>
        <v>1</v>
      </c>
      <c r="G112" s="185" t="e">
        <f t="shared" si="15"/>
        <v>#DIV/0!</v>
      </c>
      <c r="H112" s="185" t="e">
        <f t="shared" si="16"/>
        <v>#DIV/0!</v>
      </c>
      <c r="I112" s="185" t="e">
        <f t="shared" si="17"/>
        <v>#DIV/0!</v>
      </c>
    </row>
    <row r="113" spans="1:9" ht="15">
      <c r="A113" s="177">
        <f t="shared" si="10"/>
        <v>1900</v>
      </c>
      <c r="B113" s="178" t="str">
        <f t="shared" si="11"/>
        <v>1</v>
      </c>
      <c r="G113" s="185" t="e">
        <f t="shared" si="15"/>
        <v>#DIV/0!</v>
      </c>
      <c r="H113" s="185" t="e">
        <f t="shared" si="16"/>
        <v>#DIV/0!</v>
      </c>
      <c r="I113" s="185" t="e">
        <f t="shared" si="17"/>
        <v>#DIV/0!</v>
      </c>
    </row>
    <row r="114" spans="1:9" ht="15">
      <c r="A114" s="177">
        <f t="shared" si="10"/>
        <v>1900</v>
      </c>
      <c r="B114" s="178" t="str">
        <f t="shared" si="11"/>
        <v>1</v>
      </c>
      <c r="G114" s="185" t="e">
        <f t="shared" si="15"/>
        <v>#DIV/0!</v>
      </c>
      <c r="H114" s="185" t="e">
        <f t="shared" si="16"/>
        <v>#DIV/0!</v>
      </c>
      <c r="I114" s="185" t="e">
        <f t="shared" si="17"/>
        <v>#DIV/0!</v>
      </c>
    </row>
    <row r="115" spans="1:9" ht="15">
      <c r="A115" s="177">
        <f t="shared" si="10"/>
        <v>1900</v>
      </c>
      <c r="B115" s="178" t="str">
        <f t="shared" si="11"/>
        <v>1</v>
      </c>
      <c r="G115" s="185" t="e">
        <f t="shared" si="15"/>
        <v>#DIV/0!</v>
      </c>
      <c r="H115" s="185" t="e">
        <f t="shared" si="16"/>
        <v>#DIV/0!</v>
      </c>
      <c r="I115" s="185" t="e">
        <f t="shared" si="17"/>
        <v>#DIV/0!</v>
      </c>
    </row>
    <row r="116" spans="1:9" ht="15">
      <c r="A116" s="177">
        <f t="shared" si="10"/>
        <v>1900</v>
      </c>
      <c r="B116" s="178" t="str">
        <f t="shared" si="11"/>
        <v>1</v>
      </c>
      <c r="G116" s="185" t="e">
        <f t="shared" si="15"/>
        <v>#DIV/0!</v>
      </c>
      <c r="H116" s="185" t="e">
        <f t="shared" si="16"/>
        <v>#DIV/0!</v>
      </c>
      <c r="I116" s="185" t="e">
        <f t="shared" si="17"/>
        <v>#DIV/0!</v>
      </c>
    </row>
    <row r="117" spans="1:9" ht="15">
      <c r="A117" s="177">
        <f t="shared" si="10"/>
        <v>1900</v>
      </c>
      <c r="B117" s="178" t="str">
        <f t="shared" si="11"/>
        <v>1</v>
      </c>
      <c r="G117" s="185" t="e">
        <f t="shared" si="15"/>
        <v>#DIV/0!</v>
      </c>
      <c r="H117" s="185" t="e">
        <f t="shared" si="16"/>
        <v>#DIV/0!</v>
      </c>
      <c r="I117" s="185" t="e">
        <f t="shared" si="17"/>
        <v>#DIV/0!</v>
      </c>
    </row>
    <row r="118" spans="1:9" ht="15">
      <c r="A118" s="177">
        <f t="shared" si="10"/>
        <v>1900</v>
      </c>
      <c r="B118" s="178" t="str">
        <f t="shared" si="11"/>
        <v>1</v>
      </c>
      <c r="G118" s="185" t="e">
        <f t="shared" si="15"/>
        <v>#DIV/0!</v>
      </c>
      <c r="H118" s="185" t="e">
        <f t="shared" si="16"/>
        <v>#DIV/0!</v>
      </c>
      <c r="I118" s="185" t="e">
        <f t="shared" si="17"/>
        <v>#DIV/0!</v>
      </c>
    </row>
    <row r="119" spans="1:9" ht="15">
      <c r="A119" s="177">
        <f t="shared" si="10"/>
        <v>1900</v>
      </c>
      <c r="B119" s="178" t="str">
        <f t="shared" si="11"/>
        <v>1</v>
      </c>
      <c r="G119" s="185" t="e">
        <f t="shared" si="15"/>
        <v>#DIV/0!</v>
      </c>
      <c r="H119" s="185" t="e">
        <f t="shared" si="16"/>
        <v>#DIV/0!</v>
      </c>
      <c r="I119" s="185" t="e">
        <f t="shared" si="17"/>
        <v>#DIV/0!</v>
      </c>
    </row>
    <row r="120" spans="1:9" ht="15">
      <c r="A120" s="177">
        <f t="shared" si="10"/>
        <v>1900</v>
      </c>
      <c r="B120" s="178" t="str">
        <f t="shared" si="11"/>
        <v>1</v>
      </c>
      <c r="G120" s="185" t="e">
        <f t="shared" si="15"/>
        <v>#DIV/0!</v>
      </c>
      <c r="H120" s="185" t="e">
        <f t="shared" si="16"/>
        <v>#DIV/0!</v>
      </c>
      <c r="I120" s="185" t="e">
        <f t="shared" si="17"/>
        <v>#DIV/0!</v>
      </c>
    </row>
    <row r="121" spans="1:9" ht="15">
      <c r="A121" s="177">
        <f t="shared" si="10"/>
        <v>1900</v>
      </c>
      <c r="B121" s="178" t="str">
        <f t="shared" si="11"/>
        <v>1</v>
      </c>
      <c r="G121" s="185" t="e">
        <f t="shared" si="15"/>
        <v>#DIV/0!</v>
      </c>
      <c r="H121" s="185" t="e">
        <f t="shared" si="16"/>
        <v>#DIV/0!</v>
      </c>
      <c r="I121" s="185" t="e">
        <f t="shared" si="17"/>
        <v>#DIV/0!</v>
      </c>
    </row>
    <row r="122" spans="1:9" ht="15">
      <c r="A122" s="177">
        <f t="shared" si="10"/>
        <v>1900</v>
      </c>
      <c r="B122" s="178" t="str">
        <f t="shared" si="11"/>
        <v>1</v>
      </c>
      <c r="G122" s="185" t="e">
        <f t="shared" si="15"/>
        <v>#DIV/0!</v>
      </c>
      <c r="H122" s="185" t="e">
        <f t="shared" si="16"/>
        <v>#DIV/0!</v>
      </c>
      <c r="I122" s="185" t="e">
        <f t="shared" si="17"/>
        <v>#DIV/0!</v>
      </c>
    </row>
    <row r="123" spans="1:9" ht="15">
      <c r="A123" s="177">
        <f t="shared" si="10"/>
        <v>1900</v>
      </c>
      <c r="B123" s="178" t="str">
        <f t="shared" si="11"/>
        <v>1</v>
      </c>
      <c r="G123" s="185" t="e">
        <f t="shared" si="15"/>
        <v>#DIV/0!</v>
      </c>
      <c r="H123" s="185" t="e">
        <f t="shared" si="16"/>
        <v>#DIV/0!</v>
      </c>
      <c r="I123" s="185" t="e">
        <f t="shared" si="17"/>
        <v>#DIV/0!</v>
      </c>
    </row>
    <row r="124" spans="1:9" ht="15">
      <c r="A124" s="177">
        <f t="shared" si="10"/>
        <v>1900</v>
      </c>
      <c r="B124" s="178" t="str">
        <f t="shared" si="11"/>
        <v>1</v>
      </c>
      <c r="G124" s="185" t="e">
        <f t="shared" si="15"/>
        <v>#DIV/0!</v>
      </c>
      <c r="H124" s="185" t="e">
        <f t="shared" si="16"/>
        <v>#DIV/0!</v>
      </c>
      <c r="I124" s="185" t="e">
        <f t="shared" si="17"/>
        <v>#DIV/0!</v>
      </c>
    </row>
    <row r="125" spans="1:9" ht="15">
      <c r="A125" s="177">
        <f t="shared" si="10"/>
        <v>1900</v>
      </c>
      <c r="B125" s="178" t="str">
        <f t="shared" si="11"/>
        <v>1</v>
      </c>
      <c r="G125" s="185" t="e">
        <f t="shared" si="15"/>
        <v>#DIV/0!</v>
      </c>
      <c r="H125" s="185" t="e">
        <f t="shared" si="16"/>
        <v>#DIV/0!</v>
      </c>
      <c r="I125" s="185" t="e">
        <f t="shared" si="17"/>
        <v>#DIV/0!</v>
      </c>
    </row>
    <row r="126" spans="1:9" ht="15">
      <c r="A126" s="177">
        <f t="shared" si="10"/>
        <v>1900</v>
      </c>
      <c r="B126" s="178" t="str">
        <f t="shared" si="11"/>
        <v>1</v>
      </c>
      <c r="G126" s="185" t="e">
        <f t="shared" si="15"/>
        <v>#DIV/0!</v>
      </c>
      <c r="H126" s="185" t="e">
        <f t="shared" si="16"/>
        <v>#DIV/0!</v>
      </c>
      <c r="I126" s="185" t="e">
        <f t="shared" si="17"/>
        <v>#DIV/0!</v>
      </c>
    </row>
    <row r="127" spans="1:9" ht="15">
      <c r="A127" s="177">
        <f t="shared" si="10"/>
        <v>1900</v>
      </c>
      <c r="B127" s="178" t="str">
        <f t="shared" si="11"/>
        <v>1</v>
      </c>
      <c r="G127" s="185" t="e">
        <f t="shared" si="15"/>
        <v>#DIV/0!</v>
      </c>
      <c r="H127" s="185" t="e">
        <f t="shared" si="16"/>
        <v>#DIV/0!</v>
      </c>
      <c r="I127" s="185" t="e">
        <f t="shared" si="17"/>
        <v>#DIV/0!</v>
      </c>
    </row>
    <row r="128" spans="1:9" ht="15">
      <c r="A128" s="177">
        <f t="shared" si="10"/>
        <v>1900</v>
      </c>
      <c r="B128" s="178" t="str">
        <f t="shared" si="11"/>
        <v>1</v>
      </c>
      <c r="G128" s="185" t="e">
        <f t="shared" si="15"/>
        <v>#DIV/0!</v>
      </c>
      <c r="H128" s="185" t="e">
        <f t="shared" si="16"/>
        <v>#DIV/0!</v>
      </c>
      <c r="I128" s="185" t="e">
        <f t="shared" si="17"/>
        <v>#DIV/0!</v>
      </c>
    </row>
    <row r="129" spans="1:9" ht="15">
      <c r="A129" s="177">
        <f t="shared" si="10"/>
        <v>1900</v>
      </c>
      <c r="B129" s="178" t="str">
        <f t="shared" si="11"/>
        <v>1</v>
      </c>
      <c r="G129" s="185" t="e">
        <f t="shared" si="15"/>
        <v>#DIV/0!</v>
      </c>
      <c r="H129" s="185" t="e">
        <f t="shared" si="16"/>
        <v>#DIV/0!</v>
      </c>
      <c r="I129" s="185" t="e">
        <f t="shared" si="17"/>
        <v>#DIV/0!</v>
      </c>
    </row>
    <row r="130" spans="1:9" ht="15">
      <c r="A130" s="177">
        <f t="shared" si="10"/>
        <v>1900</v>
      </c>
      <c r="B130" s="178" t="str">
        <f t="shared" si="11"/>
        <v>1</v>
      </c>
      <c r="G130" s="185" t="e">
        <f t="shared" si="15"/>
        <v>#DIV/0!</v>
      </c>
      <c r="H130" s="185" t="e">
        <f t="shared" si="16"/>
        <v>#DIV/0!</v>
      </c>
      <c r="I130" s="185" t="e">
        <f t="shared" si="17"/>
        <v>#DIV/0!</v>
      </c>
    </row>
    <row r="131" spans="1:9" ht="15">
      <c r="A131" s="177">
        <f t="shared" si="10"/>
        <v>1900</v>
      </c>
      <c r="B131" s="178" t="str">
        <f t="shared" si="11"/>
        <v>1</v>
      </c>
      <c r="G131" s="185" t="e">
        <f t="shared" si="15"/>
        <v>#DIV/0!</v>
      </c>
      <c r="H131" s="185" t="e">
        <f t="shared" si="16"/>
        <v>#DIV/0!</v>
      </c>
      <c r="I131" s="185" t="e">
        <f t="shared" si="17"/>
        <v>#DIV/0!</v>
      </c>
    </row>
    <row r="132" spans="1:9" ht="15">
      <c r="A132" s="177">
        <f t="shared" si="10"/>
        <v>1900</v>
      </c>
      <c r="B132" s="178" t="str">
        <f t="shared" si="11"/>
        <v>1</v>
      </c>
      <c r="G132" s="185" t="e">
        <f t="shared" si="15"/>
        <v>#DIV/0!</v>
      </c>
      <c r="H132" s="185" t="e">
        <f t="shared" si="16"/>
        <v>#DIV/0!</v>
      </c>
      <c r="I132" s="185" t="e">
        <f t="shared" si="17"/>
        <v>#DIV/0!</v>
      </c>
    </row>
    <row r="133" spans="1:9" ht="15">
      <c r="A133" s="177">
        <f t="shared" si="10"/>
        <v>1900</v>
      </c>
      <c r="B133" s="178" t="str">
        <f t="shared" si="11"/>
        <v>1</v>
      </c>
      <c r="G133" s="185" t="e">
        <f t="shared" si="15"/>
        <v>#DIV/0!</v>
      </c>
      <c r="H133" s="185" t="e">
        <f t="shared" si="16"/>
        <v>#DIV/0!</v>
      </c>
      <c r="I133" s="185" t="e">
        <f t="shared" si="17"/>
        <v>#DIV/0!</v>
      </c>
    </row>
    <row r="134" spans="1:9" ht="15">
      <c r="A134" s="177">
        <f t="shared" si="10"/>
        <v>1900</v>
      </c>
      <c r="B134" s="178" t="str">
        <f t="shared" si="11"/>
        <v>1</v>
      </c>
      <c r="G134" s="185" t="e">
        <f t="shared" si="15"/>
        <v>#DIV/0!</v>
      </c>
      <c r="H134" s="185" t="e">
        <f t="shared" si="16"/>
        <v>#DIV/0!</v>
      </c>
      <c r="I134" s="185" t="e">
        <f t="shared" si="17"/>
        <v>#DIV/0!</v>
      </c>
    </row>
    <row r="135" spans="1:9" ht="15">
      <c r="A135" s="177">
        <f t="shared" si="10"/>
        <v>1900</v>
      </c>
      <c r="B135" s="178" t="str">
        <f t="shared" si="11"/>
        <v>1</v>
      </c>
      <c r="G135" s="185" t="e">
        <f t="shared" si="15"/>
        <v>#DIV/0!</v>
      </c>
      <c r="H135" s="185" t="e">
        <f t="shared" si="16"/>
        <v>#DIV/0!</v>
      </c>
      <c r="I135" s="185" t="e">
        <f t="shared" si="17"/>
        <v>#DIV/0!</v>
      </c>
    </row>
    <row r="136" spans="1:9" ht="15">
      <c r="A136" s="177">
        <f t="shared" si="10"/>
        <v>1900</v>
      </c>
      <c r="B136" s="178" t="str">
        <f t="shared" si="11"/>
        <v>1</v>
      </c>
      <c r="G136" s="185" t="e">
        <f t="shared" si="15"/>
        <v>#DIV/0!</v>
      </c>
      <c r="H136" s="185" t="e">
        <f t="shared" si="16"/>
        <v>#DIV/0!</v>
      </c>
      <c r="I136" s="185" t="e">
        <f t="shared" si="17"/>
        <v>#DIV/0!</v>
      </c>
    </row>
    <row r="137" spans="1:9" ht="15">
      <c r="A137" s="177">
        <f t="shared" si="10"/>
        <v>1900</v>
      </c>
      <c r="B137" s="178" t="str">
        <f t="shared" si="11"/>
        <v>1</v>
      </c>
      <c r="G137" s="185" t="e">
        <f t="shared" si="15"/>
        <v>#DIV/0!</v>
      </c>
      <c r="H137" s="185" t="e">
        <f t="shared" si="16"/>
        <v>#DIV/0!</v>
      </c>
      <c r="I137" s="185" t="e">
        <f t="shared" si="17"/>
        <v>#DIV/0!</v>
      </c>
    </row>
    <row r="138" spans="1:9" ht="15">
      <c r="A138" s="177">
        <f t="shared" si="10"/>
        <v>1900</v>
      </c>
      <c r="B138" s="178" t="str">
        <f t="shared" si="11"/>
        <v>1</v>
      </c>
      <c r="G138" s="185" t="e">
        <f t="shared" si="15"/>
        <v>#DIV/0!</v>
      </c>
      <c r="H138" s="185" t="e">
        <f t="shared" si="16"/>
        <v>#DIV/0!</v>
      </c>
      <c r="I138" s="185" t="e">
        <f t="shared" si="17"/>
        <v>#DIV/0!</v>
      </c>
    </row>
    <row r="139" spans="1:9" ht="15">
      <c r="A139" s="177">
        <f t="shared" si="10"/>
        <v>1900</v>
      </c>
      <c r="B139" s="178" t="str">
        <f t="shared" si="11"/>
        <v>1</v>
      </c>
      <c r="G139" s="185" t="e">
        <f t="shared" si="15"/>
        <v>#DIV/0!</v>
      </c>
      <c r="H139" s="185" t="e">
        <f t="shared" si="16"/>
        <v>#DIV/0!</v>
      </c>
      <c r="I139" s="185" t="e">
        <f t="shared" si="17"/>
        <v>#DIV/0!</v>
      </c>
    </row>
    <row r="140" spans="1:9" ht="15">
      <c r="A140" s="177">
        <f t="shared" si="10"/>
        <v>1900</v>
      </c>
      <c r="B140" s="178" t="str">
        <f t="shared" si="11"/>
        <v>1</v>
      </c>
      <c r="G140" s="185" t="e">
        <f t="shared" si="15"/>
        <v>#DIV/0!</v>
      </c>
      <c r="H140" s="185" t="e">
        <f t="shared" si="16"/>
        <v>#DIV/0!</v>
      </c>
      <c r="I140" s="185" t="e">
        <f t="shared" si="17"/>
        <v>#DIV/0!</v>
      </c>
    </row>
    <row r="141" spans="1:9" ht="15">
      <c r="A141" s="177">
        <f t="shared" si="10"/>
        <v>1900</v>
      </c>
      <c r="B141" s="178" t="str">
        <f t="shared" si="11"/>
        <v>1</v>
      </c>
      <c r="G141" s="185" t="e">
        <f t="shared" si="15"/>
        <v>#DIV/0!</v>
      </c>
      <c r="H141" s="185" t="e">
        <f t="shared" si="16"/>
        <v>#DIV/0!</v>
      </c>
      <c r="I141" s="185" t="e">
        <f t="shared" si="17"/>
        <v>#DIV/0!</v>
      </c>
    </row>
    <row r="142" spans="1:9" ht="15">
      <c r="A142" s="177">
        <f t="shared" si="10"/>
        <v>1900</v>
      </c>
      <c r="B142" s="178" t="str">
        <f t="shared" si="11"/>
        <v>1</v>
      </c>
      <c r="G142" s="185" t="e">
        <f t="shared" si="15"/>
        <v>#DIV/0!</v>
      </c>
      <c r="H142" s="185" t="e">
        <f t="shared" si="16"/>
        <v>#DIV/0!</v>
      </c>
      <c r="I142" s="185" t="e">
        <f t="shared" si="17"/>
        <v>#DIV/0!</v>
      </c>
    </row>
    <row r="143" spans="1:9" ht="15">
      <c r="A143" s="177">
        <f t="shared" ref="A143:A149" si="18">YEAR(C145)</f>
        <v>1900</v>
      </c>
      <c r="B143" s="178" t="str">
        <f t="shared" ref="B143:B149" si="19">IF(MONTH(C145)&lt;4,"1",IF(MONTH(C145)&lt;7,"2",IF(MONTH(C145)&lt;10,"3","4")))</f>
        <v>1</v>
      </c>
      <c r="G143" s="185" t="e">
        <f t="shared" ref="G143:G149" si="20">IF($G$7=$R$11,IF(B143="3",AVERAGE(F145:F148),IF(B143="4",AVERAGE(F144:F147),IF(B143="1",AVERAGE(F143:F146),AVERAGE(F142:F145)))),AVERAGEIF($A$8:$A$149,A143,$F$8:$F$151))</f>
        <v>#DIV/0!</v>
      </c>
      <c r="H143" s="185" t="e">
        <f t="shared" ref="H143:H149" si="21">IF($H$7=$R$11,IF(B143="3",AVERAGE(D145:D148),IF(B143="4",AVERAGE(D144:D147),IF(B143="1",AVERAGE(D143:D146),AVERAGE(D142:D145)))),AVERAGEIF($A$8:$A$149,A143,$D$8:$D$151))</f>
        <v>#DIV/0!</v>
      </c>
      <c r="I143" s="185" t="e">
        <f t="shared" ref="I143:I149" si="22">IF($I$7=$R$11,IF(B143="3",AVERAGE(E145:E148),IF(B143="4",AVERAGE(E144:E147),IF(B143="1",AVERAGE(E143:E146),AVERAGE(E142:E145)))),AVERAGEIF($A$8:$A$149,A143,$E$8:$E$151))</f>
        <v>#DIV/0!</v>
      </c>
    </row>
    <row r="144" spans="1:9" ht="15">
      <c r="A144" s="177">
        <f t="shared" si="18"/>
        <v>1900</v>
      </c>
      <c r="B144" s="178" t="str">
        <f t="shared" si="19"/>
        <v>1</v>
      </c>
      <c r="G144" s="185" t="e">
        <f t="shared" si="20"/>
        <v>#DIV/0!</v>
      </c>
      <c r="H144" s="185" t="e">
        <f t="shared" si="21"/>
        <v>#DIV/0!</v>
      </c>
      <c r="I144" s="185" t="e">
        <f t="shared" si="22"/>
        <v>#DIV/0!</v>
      </c>
    </row>
    <row r="145" spans="1:9" ht="15">
      <c r="A145" s="177">
        <f t="shared" si="18"/>
        <v>1900</v>
      </c>
      <c r="B145" s="178" t="str">
        <f t="shared" si="19"/>
        <v>1</v>
      </c>
      <c r="G145" s="185" t="e">
        <f t="shared" si="20"/>
        <v>#DIV/0!</v>
      </c>
      <c r="H145" s="185" t="e">
        <f t="shared" si="21"/>
        <v>#DIV/0!</v>
      </c>
      <c r="I145" s="185" t="e">
        <f t="shared" si="22"/>
        <v>#DIV/0!</v>
      </c>
    </row>
    <row r="146" spans="1:9" ht="15">
      <c r="A146" s="177">
        <f t="shared" si="18"/>
        <v>1900</v>
      </c>
      <c r="B146" s="178" t="str">
        <f t="shared" si="19"/>
        <v>1</v>
      </c>
      <c r="G146" s="185" t="e">
        <f t="shared" si="20"/>
        <v>#DIV/0!</v>
      </c>
      <c r="H146" s="185" t="e">
        <f t="shared" si="21"/>
        <v>#DIV/0!</v>
      </c>
      <c r="I146" s="185" t="e">
        <f t="shared" si="22"/>
        <v>#DIV/0!</v>
      </c>
    </row>
    <row r="147" spans="1:9" ht="15">
      <c r="A147" s="177">
        <f t="shared" si="18"/>
        <v>1900</v>
      </c>
      <c r="B147" s="178" t="str">
        <f t="shared" si="19"/>
        <v>1</v>
      </c>
      <c r="G147" s="185" t="e">
        <f t="shared" si="20"/>
        <v>#DIV/0!</v>
      </c>
      <c r="H147" s="185" t="e">
        <f t="shared" si="21"/>
        <v>#DIV/0!</v>
      </c>
      <c r="I147" s="185" t="e">
        <f t="shared" si="22"/>
        <v>#DIV/0!</v>
      </c>
    </row>
    <row r="148" spans="1:9" ht="15">
      <c r="A148" s="177">
        <f t="shared" si="18"/>
        <v>1900</v>
      </c>
      <c r="B148" s="178" t="str">
        <f t="shared" si="19"/>
        <v>1</v>
      </c>
      <c r="G148" s="185" t="e">
        <f t="shared" si="20"/>
        <v>#DIV/0!</v>
      </c>
      <c r="H148" s="185" t="e">
        <f t="shared" si="21"/>
        <v>#DIV/0!</v>
      </c>
      <c r="I148" s="185" t="e">
        <f t="shared" si="22"/>
        <v>#DIV/0!</v>
      </c>
    </row>
    <row r="149" spans="1:9" ht="15">
      <c r="A149" s="177">
        <f t="shared" si="18"/>
        <v>1900</v>
      </c>
      <c r="B149" s="178" t="str">
        <f t="shared" si="19"/>
        <v>1</v>
      </c>
      <c r="G149" s="185" t="e">
        <f t="shared" si="20"/>
        <v>#DIV/0!</v>
      </c>
      <c r="H149" s="185" t="e">
        <f t="shared" si="21"/>
        <v>#DIV/0!</v>
      </c>
      <c r="I149" s="185" t="e">
        <f t="shared" si="22"/>
        <v>#DIV/0!</v>
      </c>
    </row>
    <row r="150" spans="1:9" ht="15">
      <c r="G150" s="185"/>
      <c r="H150" s="185"/>
      <c r="I150" s="185"/>
    </row>
    <row r="151" spans="1:9" ht="15">
      <c r="G151" s="185"/>
      <c r="H151" s="185"/>
      <c r="I151" s="185"/>
    </row>
    <row r="152" spans="1:9" ht="15">
      <c r="G152" s="185"/>
      <c r="H152" s="185"/>
      <c r="I152" s="185"/>
    </row>
    <row r="153" spans="1:9" ht="15">
      <c r="G153" s="185"/>
      <c r="H153" s="185"/>
      <c r="I153" s="185"/>
    </row>
    <row r="154" spans="1:9" ht="15">
      <c r="G154" s="185"/>
      <c r="H154" s="185"/>
      <c r="I154" s="185"/>
    </row>
    <row r="155" spans="1:9" ht="15">
      <c r="G155" s="185"/>
      <c r="H155" s="185"/>
      <c r="I155" s="185"/>
    </row>
    <row r="156" spans="1:9" ht="15">
      <c r="G156" s="185"/>
      <c r="H156" s="185"/>
      <c r="I156" s="185"/>
    </row>
    <row r="157" spans="1:9" ht="15">
      <c r="G157" s="185"/>
      <c r="H157" s="185"/>
      <c r="I157" s="185"/>
    </row>
    <row r="158" spans="1:9" ht="15">
      <c r="G158" s="185"/>
      <c r="H158" s="185"/>
      <c r="I158" s="185"/>
    </row>
    <row r="159" spans="1:9" ht="15">
      <c r="G159" s="185"/>
      <c r="H159" s="185"/>
      <c r="I159" s="185"/>
    </row>
    <row r="160" spans="1:9" ht="15">
      <c r="G160" s="185"/>
      <c r="H160" s="185"/>
      <c r="I160" s="185"/>
    </row>
    <row r="161" spans="7:9" ht="15">
      <c r="G161" s="185"/>
      <c r="H161" s="185"/>
      <c r="I161" s="185"/>
    </row>
    <row r="162" spans="7:9" ht="15">
      <c r="G162" s="185"/>
      <c r="H162" s="185"/>
      <c r="I162" s="185"/>
    </row>
    <row r="163" spans="7:9" ht="15">
      <c r="G163" s="185"/>
      <c r="H163" s="185"/>
      <c r="I163" s="185"/>
    </row>
    <row r="164" spans="7:9" ht="15">
      <c r="G164" s="185"/>
      <c r="H164" s="185"/>
      <c r="I164" s="185"/>
    </row>
    <row r="165" spans="7:9" ht="15">
      <c r="G165" s="185"/>
      <c r="H165" s="185"/>
      <c r="I165" s="185"/>
    </row>
    <row r="166" spans="7:9" ht="15">
      <c r="G166" s="185"/>
      <c r="H166" s="185"/>
      <c r="I166" s="185"/>
    </row>
    <row r="167" spans="7:9" ht="15">
      <c r="G167" s="185"/>
      <c r="H167" s="185"/>
      <c r="I167" s="185"/>
    </row>
    <row r="235" spans="2:2">
      <c r="B235" s="173">
        <v>63.54</v>
      </c>
    </row>
    <row r="236" spans="2:2">
      <c r="B236" s="173">
        <v>63.86</v>
      </c>
    </row>
    <row r="237" spans="2:2">
      <c r="B237" s="173">
        <v>63.7</v>
      </c>
    </row>
    <row r="238" spans="2:2">
      <c r="B238" s="173">
        <v>64.67</v>
      </c>
    </row>
    <row r="239" spans="2:2">
      <c r="B239" s="173">
        <v>65.03</v>
      </c>
    </row>
    <row r="240" spans="2:2">
      <c r="B240" s="173">
        <v>64.67</v>
      </c>
    </row>
    <row r="241" spans="2:2">
      <c r="B241" s="173">
        <v>65.260000000000005</v>
      </c>
    </row>
    <row r="242" spans="2:2">
      <c r="B242" s="173">
        <v>66.599999999999994</v>
      </c>
    </row>
    <row r="243" spans="2:2">
      <c r="B243" s="173">
        <v>66.28</v>
      </c>
    </row>
    <row r="244" spans="2:2">
      <c r="B244" s="173">
        <v>65.11</v>
      </c>
    </row>
    <row r="245" spans="2:2">
      <c r="B245" s="173">
        <v>64.040000000000006</v>
      </c>
    </row>
    <row r="246" spans="2:2">
      <c r="B246" s="173">
        <v>64.569999999999993</v>
      </c>
    </row>
  </sheetData>
  <mergeCells count="3">
    <mergeCell ref="M37:O37"/>
    <mergeCell ref="M38:O38"/>
    <mergeCell ref="C6:F6"/>
  </mergeCells>
  <dataValidations xWindow="1003" yWindow="940" count="1">
    <dataValidation type="list" allowBlank="1" showInputMessage="1" showErrorMessage="1" promptTitle="Select a Period" prompt="Click to select Calendar or Financial Year" sqref="M38:O38">
      <formula1>$R$11:$R$12</formula1>
    </dataValidation>
  </dataValidation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08"/>
  <sheetViews>
    <sheetView showGridLines="0" topLeftCell="B1" zoomScaleNormal="100" workbookViewId="0">
      <pane ySplit="7" topLeftCell="A8" activePane="bottomLeft" state="frozen"/>
      <selection activeCell="B1" sqref="B1"/>
      <selection pane="bottomLeft" activeCell="D153" sqref="D153"/>
    </sheetView>
  </sheetViews>
  <sheetFormatPr defaultColWidth="9.140625" defaultRowHeight="15"/>
  <cols>
    <col min="1" max="1" width="9.140625" style="19" hidden="1" customWidth="1"/>
    <col min="2" max="2" width="9.28515625" style="165" customWidth="1"/>
    <col min="3" max="3" width="15" style="89" customWidth="1"/>
    <col min="4" max="4" width="14.140625" style="89" customWidth="1"/>
    <col min="5" max="5" width="13.7109375" style="89" customWidth="1"/>
    <col min="6" max="6" width="13.85546875" style="165" customWidth="1"/>
    <col min="7" max="7" width="4.42578125" style="165" customWidth="1"/>
    <col min="8" max="8" width="9.140625" style="165"/>
    <col min="9" max="9" width="17.28515625" style="165" bestFit="1" customWidth="1"/>
    <col min="10" max="10" width="15.42578125" style="165" bestFit="1" customWidth="1"/>
    <col min="11" max="11" width="17.85546875" style="165" customWidth="1"/>
    <col min="12" max="12" width="20.28515625" style="165" customWidth="1"/>
    <col min="13" max="13" width="2.7109375" style="165" customWidth="1"/>
    <col min="14" max="14" width="14.85546875" style="298" customWidth="1"/>
    <col min="15" max="15" width="17.28515625" style="298" bestFit="1" customWidth="1"/>
    <col min="16" max="16" width="15.42578125" style="298" bestFit="1" customWidth="1"/>
    <col min="17" max="17" width="17.85546875" style="298" customWidth="1"/>
    <col min="18" max="18" width="14.5703125" style="298" customWidth="1"/>
    <col min="19" max="16384" width="9.140625" style="165"/>
  </cols>
  <sheetData>
    <row r="1" spans="1:106">
      <c r="H1" s="137">
        <f>(LARGE(B8:B489,1))</f>
        <v>44348</v>
      </c>
      <c r="I1" s="168"/>
    </row>
    <row r="2" spans="1:106">
      <c r="H2" s="137">
        <f>MATCH(H1,B8:B489,0)+8</f>
        <v>116</v>
      </c>
      <c r="I2" s="168"/>
    </row>
    <row r="3" spans="1:106">
      <c r="H3" s="163" t="str">
        <f ca="1">IF(MONTH(INDIRECT(CONCATENATE("B",H2)))=12, "Calendar Year", "Financial year")</f>
        <v>Financial year</v>
      </c>
      <c r="I3" s="168"/>
    </row>
    <row r="4" spans="1:106">
      <c r="H4" s="168"/>
      <c r="I4" s="168"/>
    </row>
    <row r="5" spans="1:106">
      <c r="A5" s="30"/>
      <c r="C5" s="29"/>
      <c r="D5" s="29"/>
      <c r="E5" s="29"/>
      <c r="F5" s="30"/>
      <c r="G5" s="30"/>
      <c r="H5" s="30"/>
      <c r="I5" s="30"/>
      <c r="J5" s="30"/>
      <c r="K5" s="30"/>
      <c r="L5" s="30"/>
      <c r="M5" s="30"/>
      <c r="N5" s="30"/>
      <c r="O5" s="30"/>
      <c r="P5" s="30"/>
      <c r="Q5" s="30"/>
      <c r="R5" s="30"/>
      <c r="S5" s="30"/>
      <c r="T5" s="30"/>
      <c r="U5" s="30"/>
      <c r="V5" s="30"/>
      <c r="W5" s="30"/>
      <c r="X5" s="30"/>
      <c r="Y5" s="30"/>
      <c r="Z5" s="30"/>
      <c r="AA5" s="30"/>
      <c r="AB5" s="30"/>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40"/>
      <c r="CD5" s="31"/>
      <c r="CE5" s="31"/>
      <c r="CF5" s="31"/>
      <c r="CG5" s="31"/>
      <c r="CH5" s="31"/>
      <c r="CI5" s="31"/>
      <c r="CJ5" s="31"/>
      <c r="CK5" s="31"/>
      <c r="CL5" s="31"/>
      <c r="CM5" s="31"/>
      <c r="CN5" s="31"/>
      <c r="CO5" s="31"/>
      <c r="CP5" s="31"/>
      <c r="CQ5" s="31"/>
      <c r="CR5" s="31"/>
      <c r="CS5" s="31"/>
      <c r="CT5" s="31"/>
      <c r="CU5" s="31"/>
      <c r="CV5" s="31"/>
      <c r="CW5" s="31"/>
      <c r="CX5" s="31"/>
      <c r="CY5" s="31"/>
      <c r="CZ5" s="31"/>
      <c r="DA5" s="31"/>
      <c r="DB5" s="31"/>
    </row>
    <row r="6" spans="1:106" ht="15.75" thickBot="1">
      <c r="B6" s="1019" t="s">
        <v>40</v>
      </c>
      <c r="C6" s="1019"/>
      <c r="D6" s="1019"/>
      <c r="E6" s="1019"/>
      <c r="F6" s="1019"/>
      <c r="H6" s="1019" t="s">
        <v>1118</v>
      </c>
      <c r="I6" s="1019"/>
      <c r="J6" s="1019"/>
      <c r="K6" s="1019"/>
      <c r="L6" s="1019"/>
      <c r="M6" s="26"/>
      <c r="N6" s="1019" t="s">
        <v>1117</v>
      </c>
      <c r="O6" s="1050"/>
      <c r="P6" s="1019"/>
      <c r="Q6" s="1019"/>
      <c r="R6" s="1019"/>
    </row>
    <row r="7" spans="1:106" ht="60">
      <c r="B7" s="408" t="s">
        <v>24</v>
      </c>
      <c r="C7" s="325" t="s">
        <v>36</v>
      </c>
      <c r="D7" s="345" t="s">
        <v>1131</v>
      </c>
      <c r="E7" s="345" t="s">
        <v>1040</v>
      </c>
      <c r="F7" s="326" t="s">
        <v>1128</v>
      </c>
      <c r="G7" s="167"/>
      <c r="H7" s="327" t="s">
        <v>1063</v>
      </c>
      <c r="I7" s="345" t="s">
        <v>36</v>
      </c>
      <c r="J7" s="345" t="s">
        <v>1131</v>
      </c>
      <c r="K7" s="345" t="s">
        <v>1040</v>
      </c>
      <c r="L7" s="326" t="s">
        <v>1128</v>
      </c>
      <c r="M7" s="28"/>
      <c r="N7" s="409" t="s">
        <v>1063</v>
      </c>
      <c r="O7" s="345" t="s">
        <v>36</v>
      </c>
      <c r="P7" s="325" t="s">
        <v>1131</v>
      </c>
      <c r="Q7" s="345" t="s">
        <v>1040</v>
      </c>
      <c r="R7" s="326" t="s">
        <v>1128</v>
      </c>
      <c r="S7" s="167"/>
      <c r="T7" s="167"/>
      <c r="U7" s="167"/>
      <c r="V7" s="167"/>
      <c r="W7" s="167"/>
      <c r="X7" s="167"/>
      <c r="Y7" s="167"/>
      <c r="Z7" s="167"/>
      <c r="AA7" s="167"/>
      <c r="AB7" s="167"/>
      <c r="AC7" s="167"/>
      <c r="AD7" s="167"/>
      <c r="AE7" s="167"/>
      <c r="AF7" s="167"/>
    </row>
    <row r="8" spans="1:106">
      <c r="A8" s="19">
        <f t="shared" ref="A8:A71" si="0">YEAR(B8)</f>
        <v>1994</v>
      </c>
      <c r="B8" s="16">
        <v>34578</v>
      </c>
      <c r="C8" s="529">
        <v>99.1</v>
      </c>
      <c r="D8" s="528">
        <f t="shared" ref="D8:D39" si="1">E8-C8</f>
        <v>81.400000000000006</v>
      </c>
      <c r="E8" s="529">
        <v>180.5</v>
      </c>
      <c r="F8" s="356">
        <f t="shared" ref="F8:F39" si="2">C8/E8</f>
        <v>0.54903047091412738</v>
      </c>
      <c r="H8" s="375">
        <v>2011</v>
      </c>
      <c r="I8" s="346">
        <f t="shared" ref="I8:I17" si="3">SUMIF($A$8:$A$508,$H8,C$8:C$510)</f>
        <v>2345.8000000000002</v>
      </c>
      <c r="J8" s="328">
        <f t="shared" ref="J8:J16" si="4">K8-I8</f>
        <v>946.80000000000018</v>
      </c>
      <c r="K8" s="346">
        <f t="shared" ref="K8:K17" si="5">SUMIF($A$8:$A$508,$H8,E$8:E$510)</f>
        <v>3292.6000000000004</v>
      </c>
      <c r="L8" s="332">
        <f t="shared" ref="L8:L16" si="6">I8/K8</f>
        <v>0.71244609123489033</v>
      </c>
      <c r="M8" s="27"/>
      <c r="N8" s="375" t="str">
        <f ca="1">IF($H$3="Calendar Year",CONCATENATE(H8-1,"-",H8),CONCATENATE(H8,"-",H8+1))</f>
        <v>2011-2012</v>
      </c>
      <c r="O8" s="346">
        <f ca="1">IF($H$3="Calendar Year",SUMIF($B$8:$B$508,LARGE($B$8:$B$508,39),C$8:C$508)+SUMIF($B$8:$B$508,LARGE($B$8:$B$508,40),C$8:C$508)+SUMIF($B$8:$B$508,LARGE($B$8:$B$508,41),C$8:C$508)+SUMIF($B$8:$B$508,LARGE($B$8:$B$508,42),C$8:C$508),SUMIF($B$8:$B$508,LARGE($B$8:$B$508,37),C$8:C$508)+SUMIF($B$8:$B$508,LARGE($B$8:$B$508,38),C$8:C$508)+SUMIF($B$8:$B$508,LARGE($B$8:$B$508,39),C$8:C$508)+SUMIF($B$8:$B$508,LARGE($B$8:$B$508,40),C$8:C$508))</f>
        <v>2117.2000000000003</v>
      </c>
      <c r="P8" s="328">
        <f t="shared" ref="P8:P17" ca="1" si="7">Q8-O8</f>
        <v>1079.7999999999997</v>
      </c>
      <c r="Q8" s="346">
        <f ca="1">IF($H$3="Calendar Year",SUMIF($B$8:$B$508,LARGE($B$8:$B$508,39),E$8:E$508)+SUMIF($B$8:$B$508,LARGE($B$8:$B$508,40),E$8:E$508)+SUMIF($B$8:$B$508,LARGE($B$8:$B$508,41),E$8:E$508)+SUMIF($B$8:$B$508,LARGE($B$8:$B$508,42),E$8:E$508),SUMIF($B$8:$B$508,LARGE($B$8:$B$508,37),E$8:E$508)+SUMIF($B$8:$B$508,LARGE($B$8:$B$508,38),E$8:E$508)+SUMIF($B$8:$B$508,LARGE($B$8:$B$508,39),E$8:E$508)+SUMIF($B$8:$B$508,LARGE($B$8:$B$508,40),E$8:E$508))</f>
        <v>3197</v>
      </c>
      <c r="R8" s="332">
        <v>0.66224585548952142</v>
      </c>
    </row>
    <row r="9" spans="1:106">
      <c r="A9" s="19">
        <f t="shared" si="0"/>
        <v>1994</v>
      </c>
      <c r="B9" s="16">
        <v>34669</v>
      </c>
      <c r="C9" s="527">
        <v>91</v>
      </c>
      <c r="D9" s="526">
        <f t="shared" si="1"/>
        <v>86.4</v>
      </c>
      <c r="E9" s="527">
        <v>177.4</v>
      </c>
      <c r="F9" s="357">
        <f t="shared" si="2"/>
        <v>0.51296505073280718</v>
      </c>
      <c r="H9" s="317">
        <v>2012</v>
      </c>
      <c r="I9" s="347">
        <f t="shared" si="3"/>
        <v>2756.6000000000004</v>
      </c>
      <c r="J9" s="329">
        <f t="shared" si="4"/>
        <v>1245.7999999999997</v>
      </c>
      <c r="K9" s="347">
        <f t="shared" si="5"/>
        <v>4002.4</v>
      </c>
      <c r="L9" s="333">
        <f t="shared" si="6"/>
        <v>0.68873675794523292</v>
      </c>
      <c r="M9" s="27"/>
      <c r="N9" s="317" t="str">
        <f t="shared" ref="N9:N17" ca="1" si="8">IF($H$3="Calendar Year",CONCATENATE(H9-1,"-",H9),CONCATENATE(H9,"-",H9+1))</f>
        <v>2012-2013</v>
      </c>
      <c r="O9" s="719">
        <f ca="1">IF($H$3="Calendar Year",SUMIF($B$8:$B$508,LARGE($B$8:$B$508,35),C$8:C$508)+SUMIF($B$8:$B$508,LARGE($B$8:$B$508,36),C$8:C$508)+SUMIF($B$8:$B$508,LARGE($B$8:$B$508,37),C$8:C$508)+SUMIF($B$8:$B$508,LARGE($B$8:$B$508,38),C$8:C$508),SUMIF($B$8:$B$508,LARGE($B$8:$B$508,33),C$8:C$508)+SUMIF($B$8:$B$508,LARGE($B$8:$B$508,34),C$8:C$508)+SUMIF($B$8:$B$508,LARGE($B$8:$B$508,35),C$8:C$508)+SUMIF($B$8:$B$508,LARGE($B$8:$B$508,36),C$8:C$508))</f>
        <v>3293.7999999999997</v>
      </c>
      <c r="P9" s="329">
        <f t="shared" ca="1" si="7"/>
        <v>1499.6</v>
      </c>
      <c r="Q9" s="719">
        <f ca="1">IF($H$3="Calendar Year",SUMIF($B$8:$B$508,LARGE($B$8:$B$508,35),E$8:E$508)+SUMIF($B$8:$B$508,LARGE($B$8:$B$508,36),E$8:E$508)+SUMIF($B$8:$B$508,LARGE($B$8:$B$508,37),E$8:E$508)+SUMIF($B$8:$B$508,LARGE($B$8:$B$508,38),E$8:E$508),SUMIF($B$8:$B$508,LARGE($B$8:$B$508,33),E$8:E$508)+SUMIF($B$8:$B$508,LARGE($B$8:$B$508,34),E$8:E$508)+SUMIF($B$8:$B$508,LARGE($B$8:$B$508,35),E$8:E$508)+SUMIF($B$8:$B$508,LARGE($B$8:$B$508,36),E$8:E$508))</f>
        <v>4793.3999999999996</v>
      </c>
      <c r="R9" s="333">
        <v>0.68715316894062684</v>
      </c>
    </row>
    <row r="10" spans="1:106">
      <c r="A10" s="19">
        <f t="shared" si="0"/>
        <v>1995</v>
      </c>
      <c r="B10" s="16">
        <v>34759</v>
      </c>
      <c r="C10" s="529">
        <v>65.599999999999994</v>
      </c>
      <c r="D10" s="528">
        <f t="shared" si="1"/>
        <v>53.800000000000011</v>
      </c>
      <c r="E10" s="529">
        <v>119.4</v>
      </c>
      <c r="F10" s="356">
        <f t="shared" si="2"/>
        <v>0.54941373534338356</v>
      </c>
      <c r="H10" s="375">
        <v>2013</v>
      </c>
      <c r="I10" s="346">
        <f t="shared" si="3"/>
        <v>2984.2000000000003</v>
      </c>
      <c r="J10" s="328">
        <f t="shared" si="4"/>
        <v>1545.2000000000003</v>
      </c>
      <c r="K10" s="346">
        <f t="shared" si="5"/>
        <v>4529.4000000000005</v>
      </c>
      <c r="L10" s="332">
        <f t="shared" si="6"/>
        <v>0.65885106195081022</v>
      </c>
      <c r="M10" s="27"/>
      <c r="N10" s="375" t="str">
        <f t="shared" ca="1" si="8"/>
        <v>2013-2014</v>
      </c>
      <c r="O10" s="346">
        <f ca="1">IF($H$3="Calendar Year",SUMIF($B$8:$B$508,LARGE($B$8:$B$508,31),C$8:C$508)+SUMIF($B$8:$B$508,LARGE($B$8:$B$508,32),C$8:C$508)+SUMIF($B$8:$B$508,LARGE($B$8:$B$508,33),C$8:C$508)+SUMIF($B$8:$B$508,LARGE($B$8:$B$508,34),C$8:C$508),SUMIF($B$8:$B$508,LARGE($B$8:$B$508,29),C$8:C$508)+SUMIF($B$8:$B$508,LARGE($B$8:$B$508,30),C$8:C$508)+SUMIF($B$8:$B$508,LARGE($B$8:$B$508,31),C$8:C$508)+SUMIF($B$8:$B$508,LARGE($B$8:$B$508,32),C$8:C$508))</f>
        <v>2990.6000000000004</v>
      </c>
      <c r="P10" s="328">
        <f t="shared" ca="1" si="7"/>
        <v>1833.8999999999996</v>
      </c>
      <c r="Q10" s="346">
        <f ca="1">IF($H$3="Calendar Year",SUMIF($B$8:$B$508,LARGE($B$8:$B$508,31),E$8:E$508)+SUMIF($B$8:$B$508,LARGE($B$8:$B$508,32),E$8:E$508)+SUMIF($B$8:$B$508,LARGE($B$8:$B$508,33),E$8:E$508)+SUMIF($B$8:$B$508,LARGE($B$8:$B$508,34),E$8:E$508),SUMIF($B$8:$B$508,LARGE($B$8:$B$508,29),E$8:E$508)+SUMIF($B$8:$B$508,LARGE($B$8:$B$508,30),E$8:E$508)+SUMIF($B$8:$B$508,LARGE($B$8:$B$508,31),E$8:E$508)+SUMIF($B$8:$B$508,LARGE($B$8:$B$508,32),E$8:E$508))</f>
        <v>4824.5</v>
      </c>
      <c r="R10" s="332">
        <v>0.61987770753445948</v>
      </c>
    </row>
    <row r="11" spans="1:106">
      <c r="A11" s="19">
        <f t="shared" si="0"/>
        <v>1995</v>
      </c>
      <c r="B11" s="16">
        <v>34851</v>
      </c>
      <c r="C11" s="527">
        <v>89.2</v>
      </c>
      <c r="D11" s="526">
        <f t="shared" si="1"/>
        <v>106.2</v>
      </c>
      <c r="E11" s="527">
        <v>195.4</v>
      </c>
      <c r="F11" s="357">
        <f t="shared" si="2"/>
        <v>0.45649948822927328</v>
      </c>
      <c r="H11" s="317">
        <v>2014</v>
      </c>
      <c r="I11" s="347">
        <f t="shared" si="3"/>
        <v>2757.9</v>
      </c>
      <c r="J11" s="329">
        <f t="shared" si="4"/>
        <v>1980.9999999999995</v>
      </c>
      <c r="K11" s="347">
        <f t="shared" si="5"/>
        <v>4738.8999999999996</v>
      </c>
      <c r="L11" s="333">
        <f t="shared" si="6"/>
        <v>0.5819704994830025</v>
      </c>
      <c r="M11" s="27"/>
      <c r="N11" s="317" t="str">
        <f t="shared" ca="1" si="8"/>
        <v>2014-2015</v>
      </c>
      <c r="O11" s="719">
        <f ca="1">IF($H$3="Calendar Year",SUMIF($B$8:$B$508,LARGE($B$8:$B$508,27),C$8:C$508)+SUMIF($B$8:$B$508,LARGE($B$8:$B$508,28),C$8:C$508)+SUMIF($B$8:$B$508,LARGE($B$8:$B$508,29),C$8:C$508)+SUMIF($B$8:$B$508,LARGE($B$8:$B$508,30),C$8:C$508),SUMIF($B$8:$B$508,LARGE($B$8:$B$508,25),C$8:C$508)+SUMIF($B$8:$B$508,LARGE($B$8:$B$508,26),C$8:C$508)+SUMIF($B$8:$B$508,LARGE($B$8:$B$508,27),C$8:C$508)+SUMIF($B$8:$B$508,LARGE($B$8:$B$508,28),C$8:C$508))</f>
        <v>2068.9</v>
      </c>
      <c r="P11" s="329">
        <f t="shared" ca="1" si="7"/>
        <v>1722.5</v>
      </c>
      <c r="Q11" s="719">
        <f ca="1">IF($H$3="Calendar Year",SUMIF($B$8:$B$508,LARGE($B$8:$B$508,27),E$8:E$508)+SUMIF($B$8:$B$508,LARGE($B$8:$B$508,28),E$8:E$508)+SUMIF($B$8:$B$508,LARGE($B$8:$B$508,29),E$8:E$508)+SUMIF($B$8:$B$508,LARGE($B$8:$B$508,30),E$8:E$508),SUMIF($B$8:$B$508,LARGE($B$8:$B$508,25),E$8:E$508)+SUMIF($B$8:$B$508,LARGE($B$8:$B$508,26),E$8:E$508)+SUMIF($B$8:$B$508,LARGE($B$8:$B$508,27),E$8:E$508)+SUMIF($B$8:$B$508,LARGE($B$8:$B$508,28),E$8:E$508))</f>
        <v>3791.4</v>
      </c>
      <c r="R11" s="333">
        <v>0.54568233370259012</v>
      </c>
    </row>
    <row r="12" spans="1:106">
      <c r="A12" s="19">
        <f t="shared" si="0"/>
        <v>1995</v>
      </c>
      <c r="B12" s="16">
        <v>34943</v>
      </c>
      <c r="C12" s="529">
        <v>88.5</v>
      </c>
      <c r="D12" s="528">
        <f t="shared" si="1"/>
        <v>104.6</v>
      </c>
      <c r="E12" s="529">
        <v>193.1</v>
      </c>
      <c r="F12" s="356">
        <f t="shared" si="2"/>
        <v>0.45831175556706372</v>
      </c>
      <c r="H12" s="375">
        <v>2015</v>
      </c>
      <c r="I12" s="346">
        <f t="shared" si="3"/>
        <v>1617.1</v>
      </c>
      <c r="J12" s="328">
        <f t="shared" si="4"/>
        <v>1106.2000000000003</v>
      </c>
      <c r="K12" s="346">
        <f t="shared" si="5"/>
        <v>2723.3</v>
      </c>
      <c r="L12" s="332">
        <f t="shared" si="6"/>
        <v>0.5938016377189439</v>
      </c>
      <c r="M12" s="27"/>
      <c r="N12" s="375" t="str">
        <f t="shared" ca="1" si="8"/>
        <v>2015-2016</v>
      </c>
      <c r="O12" s="346">
        <f ca="1">IF($H$3="Calendar Year",SUMIF($B$8:$B$508,LARGE($B$8:$B$508,23),C$8:C$508)+SUMIF($B$8:$B$508,LARGE($B$8:$B$508,24),C$8:C$508)+SUMIF($B$8:$B$508,LARGE($B$8:$B$508,25),C$8:C$508)+SUMIF($B$8:$B$508,LARGE($B$8:$B$508,26),C$8:C$508),SUMIF($B$8:$B$508,LARGE($B$8:$B$508,21),C$8:C$508)+SUMIF($B$8:$B$508,LARGE($B$8:$B$508,22),C$8:C$508)+SUMIF($B$8:$B$508,LARGE($B$8:$B$508,23),C$8:C$508)+SUMIF($B$8:$B$508,LARGE($B$8:$B$508,24),C$8:C$508))</f>
        <v>1297.4000000000001</v>
      </c>
      <c r="P12" s="328">
        <f t="shared" ca="1" si="7"/>
        <v>478.79999999999973</v>
      </c>
      <c r="Q12" s="346">
        <f ca="1">IF($H$3="Calendar Year",SUMIF($B$8:$B$508,LARGE($B$8:$B$508,23),E$8:E$508)+SUMIF($B$8:$B$508,LARGE($B$8:$B$508,24),E$8:E$508)+SUMIF($B$8:$B$508,LARGE($B$8:$B$508,25),E$8:E$508)+SUMIF($B$8:$B$508,LARGE($B$8:$B$508,26),E$8:E$508),SUMIF($B$8:$B$508,LARGE($B$8:$B$508,21),E$8:E$508)+SUMIF($B$8:$B$508,LARGE($B$8:$B$508,22),E$8:E$508)+SUMIF($B$8:$B$508,LARGE($B$8:$B$508,23),E$8:E$508)+SUMIF($B$8:$B$508,LARGE($B$8:$B$508,24),E$8:E$508))</f>
        <v>1776.1999999999998</v>
      </c>
      <c r="R12" s="332">
        <v>0.73043576173854285</v>
      </c>
    </row>
    <row r="13" spans="1:106">
      <c r="A13" s="19">
        <f t="shared" si="0"/>
        <v>1995</v>
      </c>
      <c r="B13" s="16">
        <v>35034</v>
      </c>
      <c r="C13" s="527">
        <v>75.7</v>
      </c>
      <c r="D13" s="526">
        <f t="shared" si="1"/>
        <v>115.89999999999999</v>
      </c>
      <c r="E13" s="527">
        <v>191.6</v>
      </c>
      <c r="F13" s="357">
        <f t="shared" si="2"/>
        <v>0.39509394572025053</v>
      </c>
      <c r="H13" s="317">
        <v>2016</v>
      </c>
      <c r="I13" s="347">
        <f t="shared" si="3"/>
        <v>995.99999999999989</v>
      </c>
      <c r="J13" s="329">
        <f t="shared" si="4"/>
        <v>405.70000000000016</v>
      </c>
      <c r="K13" s="347">
        <f t="shared" si="5"/>
        <v>1401.7</v>
      </c>
      <c r="L13" s="333">
        <f t="shared" si="6"/>
        <v>0.71056574159948627</v>
      </c>
      <c r="M13" s="27"/>
      <c r="N13" s="317" t="str">
        <f t="shared" ca="1" si="8"/>
        <v>2016-2017</v>
      </c>
      <c r="O13" s="719">
        <f ca="1">IF($H$3="Calendar Year",SUMIF($B$8:$B$508,LARGE($B$8:$B$508,19),C$8:C$508)+SUMIF($B$8:$B$508,LARGE($B$8:$B$508,20),C$8:C$508)+SUMIF($B$8:$B$508,LARGE($B$8:$B$508,21),C$8:C$508)+SUMIF($B$8:$B$508,LARGE($B$8:$B$508,22),C$8:C$508),SUMIF($B$8:$B$508,LARGE($B$8:$B$508,17),C$8:C$508)+SUMIF($B$8:$B$508,LARGE($B$8:$B$508,18),C$8:C$508)+SUMIF($B$8:$B$508,LARGE($B$8:$B$508,19),C$8:C$508)+SUMIF($B$8:$B$508,LARGE($B$8:$B$508,20),C$8:C$508))</f>
        <v>651.5</v>
      </c>
      <c r="P13" s="329">
        <f t="shared" ca="1" si="7"/>
        <v>724.5</v>
      </c>
      <c r="Q13" s="719">
        <f ca="1">IF($H$3="Calendar Year",SUMIF($B$8:$B$508,LARGE($B$8:$B$508,19),E$8:E$508)+SUMIF($B$8:$B$508,LARGE($B$8:$B$508,20),E$8:E$508)+SUMIF($B$8:$B$508,LARGE($B$8:$B$508,21),E$8:E$508)+SUMIF($B$8:$B$508,LARGE($B$8:$B$508,22),E$8:E$508),SUMIF($B$8:$B$508,LARGE($B$8:$B$508,17),E$8:E$508)+SUMIF($B$8:$B$508,LARGE($B$8:$B$508,18),E$8:E$508)+SUMIF($B$8:$B$508,LARGE($B$8:$B$508,19),E$8:E$508)+SUMIF($B$8:$B$508,LARGE($B$8:$B$508,20),E$8:E$508))</f>
        <v>1376</v>
      </c>
      <c r="R13" s="333">
        <v>0.47347383720930231</v>
      </c>
    </row>
    <row r="14" spans="1:106">
      <c r="A14" s="19">
        <f t="shared" si="0"/>
        <v>1996</v>
      </c>
      <c r="B14" s="16">
        <v>35125</v>
      </c>
      <c r="C14" s="529">
        <v>74.599999999999994</v>
      </c>
      <c r="D14" s="528">
        <f t="shared" si="1"/>
        <v>64.400000000000006</v>
      </c>
      <c r="E14" s="529">
        <v>139</v>
      </c>
      <c r="F14" s="356">
        <f t="shared" si="2"/>
        <v>0.53669064748201434</v>
      </c>
      <c r="H14" s="375">
        <v>2017</v>
      </c>
      <c r="I14" s="346">
        <f t="shared" si="3"/>
        <v>492.5</v>
      </c>
      <c r="J14" s="328">
        <f t="shared" si="4"/>
        <v>721.7</v>
      </c>
      <c r="K14" s="346">
        <f t="shared" si="5"/>
        <v>1214.2</v>
      </c>
      <c r="L14" s="332">
        <f t="shared" si="6"/>
        <v>0.40561686707296984</v>
      </c>
      <c r="M14" s="27"/>
      <c r="N14" s="375" t="str">
        <f t="shared" ca="1" si="8"/>
        <v>2017-2018</v>
      </c>
      <c r="O14" s="346">
        <f ca="1">IF($H$3="Calendar Year",SUMIF($B$8:$B$508,LARGE($B$8:$B$508,15),C$8:C$508)+SUMIF($B$8:$B$508,LARGE($B$8:$B$508,16),C$8:C$508)+SUMIF($B$8:$B$508,LARGE($B$8:$B$508,17),C$8:C$508)+SUMIF($B$8:$B$508,LARGE($B$8:$B$508,18),C$8:C$508),SUMIF($B$8:$B$508,LARGE($B$8:$B$508,13),C$8:C$508)+SUMIF($B$8:$B$508,LARGE($B$8:$B$508,14),C$8:C$508)+SUMIF($B$8:$B$508,LARGE($B$8:$B$508,15),C$8:C$508)+SUMIF($B$8:$B$508,LARGE($B$8:$B$508,16),C$8:C$508))</f>
        <v>562.29999999999995</v>
      </c>
      <c r="P14" s="328">
        <f t="shared" ca="1" si="7"/>
        <v>465.70000000000005</v>
      </c>
      <c r="Q14" s="346">
        <f ca="1">IF($H$3="Calendar Year",SUMIF($B$8:$B$508,LARGE($B$8:$B$508,15),E$8:E$508)+SUMIF($B$8:$B$508,LARGE($B$8:$B$508,16),E$8:E$508)+SUMIF($B$8:$B$508,LARGE($B$8:$B$508,17),E$8:E$508)+SUMIF($B$8:$B$508,LARGE($B$8:$B$508,18),E$8:E$508),SUMIF($B$8:$B$508,LARGE($B$8:$B$508,13),E$8:E$508)+SUMIF($B$8:$B$508,LARGE($B$8:$B$508,14),E$8:E$508)+SUMIF($B$8:$B$508,LARGE($B$8:$B$508,15),E$8:E$508)+SUMIF($B$8:$B$508,LARGE($B$8:$B$508,16),E$8:E$508))</f>
        <v>1028</v>
      </c>
      <c r="R14" s="332">
        <v>0.54698443579766531</v>
      </c>
    </row>
    <row r="15" spans="1:106">
      <c r="A15" s="19">
        <f t="shared" si="0"/>
        <v>1996</v>
      </c>
      <c r="B15" s="16">
        <v>35217</v>
      </c>
      <c r="C15" s="527">
        <v>80.3</v>
      </c>
      <c r="D15" s="526">
        <f t="shared" si="1"/>
        <v>84.600000000000009</v>
      </c>
      <c r="E15" s="527">
        <v>164.9</v>
      </c>
      <c r="F15" s="357">
        <f t="shared" si="2"/>
        <v>0.48696179502728926</v>
      </c>
      <c r="H15" s="317">
        <v>2018</v>
      </c>
      <c r="I15" s="347">
        <f t="shared" si="3"/>
        <v>672.30000000000007</v>
      </c>
      <c r="J15" s="329">
        <f t="shared" si="4"/>
        <v>487.39999999999975</v>
      </c>
      <c r="K15" s="347">
        <f t="shared" si="5"/>
        <v>1159.6999999999998</v>
      </c>
      <c r="L15" s="333">
        <f t="shared" si="6"/>
        <v>0.57971889281710798</v>
      </c>
      <c r="M15" s="27"/>
      <c r="N15" s="317" t="str">
        <f t="shared" ca="1" si="8"/>
        <v>2018-2019</v>
      </c>
      <c r="O15" s="719">
        <f ca="1">IF($H$3="Calendar Year",SUMIF($B$8:$B$508,LARGE($B$8:$B$508,11),C$8:C$508)+SUMIF($B$8:$B$508,LARGE($B$8:$B$508,12),C$8:C$508)+SUMIF($B$8:$B$508,LARGE($B$8:$B$508,13),C$8:C$508)+SUMIF($B$8:$B$508,LARGE($B$8:$B$508,14),C$8:C$508),SUMIF($B$8:$B$508,LARGE($B$8:$B$508,9),C$8:C$508)+SUMIF($B$8:$B$508,LARGE($B$8:$B$508,10),C$8:C$508)+SUMIF($B$8:$B$508,LARGE($B$8:$B$508,11),C$8:C$508)+SUMIF($B$8:$B$508,LARGE($B$8:$B$508,12),C$8:C$508))</f>
        <v>734.30000000000007</v>
      </c>
      <c r="P15" s="329">
        <f t="shared" ca="1" si="7"/>
        <v>526.19999999999993</v>
      </c>
      <c r="Q15" s="719">
        <f ca="1">IF($H$3="Calendar Year",SUMIF($B$8:$B$508,LARGE($B$8:$B$508,11),E$8:E$508)+SUMIF($B$8:$B$508,LARGE($B$8:$B$508,12),E$8:E$508)+SUMIF($B$8:$B$508,LARGE($B$8:$B$508,13),E$8:E$508)+SUMIF($B$8:$B$508,LARGE($B$8:$B$508,14),E$8:E$508),SUMIF($B$8:$B$508,LARGE($B$8:$B$508,9),E$8:E$508)+SUMIF($B$8:$B$508,LARGE($B$8:$B$508,10),E$8:E$508)+SUMIF($B$8:$B$508,LARGE($B$8:$B$508,11),E$8:E$508)+SUMIF($B$8:$B$508,LARGE($B$8:$B$508,12),E$8:E$508))</f>
        <v>1260.5</v>
      </c>
      <c r="R15" s="333">
        <v>0.58254660848869488</v>
      </c>
    </row>
    <row r="16" spans="1:106">
      <c r="A16" s="19">
        <f t="shared" si="0"/>
        <v>1996</v>
      </c>
      <c r="B16" s="16">
        <v>35309</v>
      </c>
      <c r="C16" s="529">
        <v>130.69999999999999</v>
      </c>
      <c r="D16" s="528">
        <f t="shared" si="1"/>
        <v>72.100000000000023</v>
      </c>
      <c r="E16" s="529">
        <v>202.8</v>
      </c>
      <c r="F16" s="356">
        <f t="shared" si="2"/>
        <v>0.64447731755424054</v>
      </c>
      <c r="H16" s="375">
        <v>2019</v>
      </c>
      <c r="I16" s="346">
        <f t="shared" si="3"/>
        <v>749.30000000000007</v>
      </c>
      <c r="J16" s="328">
        <f t="shared" si="4"/>
        <v>635.4</v>
      </c>
      <c r="K16" s="346">
        <f t="shared" si="5"/>
        <v>1384.7</v>
      </c>
      <c r="L16" s="332">
        <f t="shared" si="6"/>
        <v>0.54112804217520039</v>
      </c>
      <c r="M16" s="27"/>
      <c r="N16" s="375" t="str">
        <f t="shared" ca="1" si="8"/>
        <v>2019-2020</v>
      </c>
      <c r="O16" s="346">
        <f ca="1">IF($H$3="Calendar Year",SUMIF($B$8:$B$508,LARGE($B$8:$B$508,7),C$8:C$508)+SUMIF($B$8:$B$508,LARGE($B$8:$B$508,8),C$8:C$508)+SUMIF($B$8:$B$508,LARGE($B$8:$B$508,9),C$8:C$508)+SUMIF($B$8:$B$508,LARGE($B$8:$B$508,10),C$8:C$508),SUMIF($B$8:$B$508,LARGE($B$8:$B$508,5),C$8:C$508)+SUMIF($B$8:$B$508,LARGE($B$8:$B$508,6),C$8:C$508)+SUMIF($B$8:$B$508,LARGE($B$8:$B$508,7),C$8:C$508)+SUMIF($B$8:$B$508,LARGE($B$8:$B$508,8),C$8:C$508))</f>
        <v>595.5</v>
      </c>
      <c r="P16" s="328">
        <f t="shared" ca="1" si="7"/>
        <v>667.3</v>
      </c>
      <c r="Q16" s="346">
        <f ca="1">IF($H$3="Calendar Year",SUMIF($B$8:$B$508,LARGE($B$8:$B$508,7),E$8:E$508)+SUMIF($B$8:$B$508,LARGE($B$8:$B$508,8),E$8:E$508)+SUMIF($B$8:$B$508,LARGE($B$8:$B$508,9),E$8:E$508)+SUMIF($B$8:$B$508,LARGE($B$8:$B$508,10),E$8:E$508),SUMIF($B$8:$B$508,LARGE($B$8:$B$508,5),E$8:E$508)+SUMIF($B$8:$B$508,LARGE($B$8:$B$508,6),E$8:E$508)+SUMIF($B$8:$B$508,LARGE($B$8:$B$508,7),E$8:E$508)+SUMIF($B$8:$B$508,LARGE($B$8:$B$508,8),E$8:E$508))</f>
        <v>1262.8</v>
      </c>
      <c r="R16" s="332">
        <v>0.47157111181501421</v>
      </c>
    </row>
    <row r="17" spans="1:18" ht="15.75" thickBot="1">
      <c r="A17" s="19">
        <f t="shared" si="0"/>
        <v>1996</v>
      </c>
      <c r="B17" s="16">
        <v>35400</v>
      </c>
      <c r="C17" s="527">
        <v>132.6</v>
      </c>
      <c r="D17" s="526">
        <f t="shared" si="1"/>
        <v>108.6</v>
      </c>
      <c r="E17" s="527">
        <v>241.2</v>
      </c>
      <c r="F17" s="357">
        <f t="shared" si="2"/>
        <v>0.54975124378109452</v>
      </c>
      <c r="H17" s="330">
        <v>2020</v>
      </c>
      <c r="I17" s="350">
        <f t="shared" si="3"/>
        <v>185.8</v>
      </c>
      <c r="J17" s="331">
        <f t="shared" ref="J17" si="9">K17-I17</f>
        <v>292.5</v>
      </c>
      <c r="K17" s="350">
        <f t="shared" si="5"/>
        <v>478.3</v>
      </c>
      <c r="L17" s="334">
        <f t="shared" ref="L17" si="10">I17/K17</f>
        <v>0.38845912607150324</v>
      </c>
      <c r="M17" s="27"/>
      <c r="N17" s="795" t="str">
        <f t="shared" ca="1" si="8"/>
        <v>2020-2021</v>
      </c>
      <c r="O17" s="796">
        <f ca="1">IF($H$3="Calendar Year",SUMIF($B$8:$B$508,LARGE($B$8:$B$508,3),C$8:C$508)+SUMIF($B$8:$B$508,LARGE($B$8:$B$508,4),C$8:C$508)+SUMIF($B$8:$B$508,LARGE($B$8:$B$508,5),C$8:C$508)+SUMIF($B$8:$B$508,LARGE($B$8:$B$508,6),C$8:C$508),SUMIF($B$8:$B$508,LARGE($B$8:$B$508,1),C$8:C$508)+SUMIF($B$8:$B$508,LARGE($B$8:$B$508,2),C$8:C$508)+SUMIF($B$8:$B$508,LARGE($B$8:$B$508,3),C$8:C$508)+SUMIF($B$8:$B$508,LARGE($B$8:$B$508,4),C$8:C$508))</f>
        <v>441.9</v>
      </c>
      <c r="P17" s="797">
        <f t="shared" ca="1" si="7"/>
        <v>557.70000000000005</v>
      </c>
      <c r="Q17" s="796">
        <f ca="1">IF($H$3="Calendar Year",SUMIF($B$8:$B$508,LARGE($B$8:$B$508,3),E$8:E$508)+SUMIF($B$8:$B$508,LARGE($B$8:$B$508,4),E$8:E$508)+SUMIF($B$8:$B$508,LARGE($B$8:$B$508,5),E$8:E$508)+SUMIF($B$8:$B$508,LARGE($B$8:$B$508,6),E$8:E$508),SUMIF($B$8:$B$508,LARGE($B$8:$B$508,1),E$8:E$508)+SUMIF($B$8:$B$508,LARGE($B$8:$B$508,2),E$8:E$508)+SUMIF($B$8:$B$508,LARGE($B$8:$B$508,3),E$8:E$508)+SUMIF($B$8:$B$508,LARGE($B$8:$B$508,4),E$8:E$508))</f>
        <v>999.6</v>
      </c>
      <c r="R17" s="798">
        <v>0.442</v>
      </c>
    </row>
    <row r="18" spans="1:18">
      <c r="A18" s="19">
        <f t="shared" si="0"/>
        <v>1997</v>
      </c>
      <c r="B18" s="16">
        <v>35490</v>
      </c>
      <c r="C18" s="529">
        <v>78.599999999999994</v>
      </c>
      <c r="D18" s="528">
        <f t="shared" si="1"/>
        <v>83.6</v>
      </c>
      <c r="E18" s="529">
        <v>162.19999999999999</v>
      </c>
      <c r="F18" s="356">
        <f t="shared" si="2"/>
        <v>0.48458692971639949</v>
      </c>
    </row>
    <row r="19" spans="1:18">
      <c r="A19" s="19">
        <f t="shared" si="0"/>
        <v>1997</v>
      </c>
      <c r="B19" s="16">
        <v>35582</v>
      </c>
      <c r="C19" s="527">
        <v>97.2</v>
      </c>
      <c r="D19" s="526">
        <f t="shared" si="1"/>
        <v>105.2</v>
      </c>
      <c r="E19" s="527">
        <v>202.4</v>
      </c>
      <c r="F19" s="357">
        <f t="shared" si="2"/>
        <v>0.48023715415019763</v>
      </c>
    </row>
    <row r="20" spans="1:18">
      <c r="A20" s="19">
        <f t="shared" si="0"/>
        <v>1997</v>
      </c>
      <c r="B20" s="16">
        <v>35674</v>
      </c>
      <c r="C20" s="529">
        <v>46.8</v>
      </c>
      <c r="D20" s="528">
        <f t="shared" si="1"/>
        <v>77.400000000000006</v>
      </c>
      <c r="E20" s="529">
        <v>124.2</v>
      </c>
      <c r="F20" s="356">
        <f t="shared" si="2"/>
        <v>0.3768115942028985</v>
      </c>
    </row>
    <row r="21" spans="1:18">
      <c r="A21" s="19">
        <f t="shared" si="0"/>
        <v>1997</v>
      </c>
      <c r="B21" s="16">
        <v>35765</v>
      </c>
      <c r="C21" s="527">
        <v>106.9</v>
      </c>
      <c r="D21" s="526">
        <f t="shared" si="1"/>
        <v>108.79999999999998</v>
      </c>
      <c r="E21" s="527">
        <v>215.7</v>
      </c>
      <c r="F21" s="357">
        <f t="shared" si="2"/>
        <v>0.49559573481687536</v>
      </c>
    </row>
    <row r="22" spans="1:18">
      <c r="A22" s="19">
        <f t="shared" si="0"/>
        <v>1998</v>
      </c>
      <c r="B22" s="16">
        <v>35855</v>
      </c>
      <c r="C22" s="529">
        <v>165</v>
      </c>
      <c r="D22" s="528">
        <f t="shared" si="1"/>
        <v>91</v>
      </c>
      <c r="E22" s="529">
        <v>256</v>
      </c>
      <c r="F22" s="356">
        <f t="shared" si="2"/>
        <v>0.64453125</v>
      </c>
    </row>
    <row r="23" spans="1:18">
      <c r="A23" s="19">
        <f t="shared" si="0"/>
        <v>1998</v>
      </c>
      <c r="B23" s="16">
        <v>35947</v>
      </c>
      <c r="C23" s="527">
        <v>145.19999999999999</v>
      </c>
      <c r="D23" s="526">
        <f t="shared" si="1"/>
        <v>177.10000000000002</v>
      </c>
      <c r="E23" s="527">
        <v>322.3</v>
      </c>
      <c r="F23" s="357">
        <f t="shared" si="2"/>
        <v>0.4505119453924914</v>
      </c>
    </row>
    <row r="24" spans="1:18">
      <c r="A24" s="19">
        <f t="shared" si="0"/>
        <v>1998</v>
      </c>
      <c r="B24" s="16">
        <v>36039</v>
      </c>
      <c r="C24" s="529">
        <v>90.8</v>
      </c>
      <c r="D24" s="528">
        <f t="shared" si="1"/>
        <v>94.899999999999991</v>
      </c>
      <c r="E24" s="529">
        <v>185.7</v>
      </c>
      <c r="F24" s="356">
        <f t="shared" si="2"/>
        <v>0.48896068928379105</v>
      </c>
    </row>
    <row r="25" spans="1:18">
      <c r="A25" s="19">
        <f t="shared" si="0"/>
        <v>1998</v>
      </c>
      <c r="B25" s="16">
        <v>36130</v>
      </c>
      <c r="C25" s="527">
        <v>148.5</v>
      </c>
      <c r="D25" s="526">
        <f t="shared" si="1"/>
        <v>100.30000000000001</v>
      </c>
      <c r="E25" s="527">
        <v>248.8</v>
      </c>
      <c r="F25" s="357">
        <f t="shared" si="2"/>
        <v>0.59686495176848875</v>
      </c>
    </row>
    <row r="26" spans="1:18">
      <c r="A26" s="19">
        <f t="shared" si="0"/>
        <v>1999</v>
      </c>
      <c r="B26" s="16">
        <v>36220</v>
      </c>
      <c r="C26" s="529">
        <v>164.1</v>
      </c>
      <c r="D26" s="528">
        <f t="shared" si="1"/>
        <v>62.300000000000011</v>
      </c>
      <c r="E26" s="529">
        <v>226.4</v>
      </c>
      <c r="F26" s="356">
        <f t="shared" si="2"/>
        <v>0.72482332155477025</v>
      </c>
      <c r="I26" s="19"/>
    </row>
    <row r="27" spans="1:18">
      <c r="A27" s="19">
        <f t="shared" si="0"/>
        <v>1999</v>
      </c>
      <c r="B27" s="16">
        <v>36312</v>
      </c>
      <c r="C27" s="527">
        <v>127.2</v>
      </c>
      <c r="D27" s="526">
        <f t="shared" si="1"/>
        <v>63.600000000000009</v>
      </c>
      <c r="E27" s="527">
        <v>190.8</v>
      </c>
      <c r="F27" s="357">
        <f t="shared" si="2"/>
        <v>0.66666666666666663</v>
      </c>
    </row>
    <row r="28" spans="1:18">
      <c r="A28" s="19">
        <f t="shared" si="0"/>
        <v>1999</v>
      </c>
      <c r="B28" s="16">
        <v>36404</v>
      </c>
      <c r="C28" s="529">
        <v>112</v>
      </c>
      <c r="D28" s="528">
        <f t="shared" si="1"/>
        <v>85.199999999999989</v>
      </c>
      <c r="E28" s="529">
        <v>197.2</v>
      </c>
      <c r="F28" s="356">
        <f t="shared" si="2"/>
        <v>0.56795131845841784</v>
      </c>
    </row>
    <row r="29" spans="1:18">
      <c r="A29" s="19">
        <f t="shared" si="0"/>
        <v>1999</v>
      </c>
      <c r="B29" s="16">
        <v>36495</v>
      </c>
      <c r="C29" s="527">
        <v>96.9</v>
      </c>
      <c r="D29" s="526">
        <f t="shared" si="1"/>
        <v>82.299999999999983</v>
      </c>
      <c r="E29" s="527">
        <v>179.2</v>
      </c>
      <c r="F29" s="357">
        <f t="shared" si="2"/>
        <v>0.54073660714285721</v>
      </c>
    </row>
    <row r="30" spans="1:18">
      <c r="A30" s="19">
        <f t="shared" si="0"/>
        <v>2000</v>
      </c>
      <c r="B30" s="16">
        <v>36586</v>
      </c>
      <c r="C30" s="529">
        <v>121.2</v>
      </c>
      <c r="D30" s="528">
        <f t="shared" si="1"/>
        <v>38.799999999999997</v>
      </c>
      <c r="E30" s="529">
        <v>160</v>
      </c>
      <c r="F30" s="356">
        <f t="shared" si="2"/>
        <v>0.75750000000000006</v>
      </c>
    </row>
    <row r="31" spans="1:18">
      <c r="A31" s="19">
        <f t="shared" si="0"/>
        <v>2000</v>
      </c>
      <c r="B31" s="16">
        <v>36678</v>
      </c>
      <c r="C31" s="527">
        <v>113.9</v>
      </c>
      <c r="D31" s="526">
        <f t="shared" si="1"/>
        <v>50.400000000000006</v>
      </c>
      <c r="E31" s="527">
        <v>164.3</v>
      </c>
      <c r="F31" s="357">
        <f t="shared" si="2"/>
        <v>0.69324406573341446</v>
      </c>
    </row>
    <row r="32" spans="1:18">
      <c r="A32" s="19">
        <f t="shared" si="0"/>
        <v>2000</v>
      </c>
      <c r="B32" s="16">
        <v>36770</v>
      </c>
      <c r="C32" s="529">
        <v>148.80000000000001</v>
      </c>
      <c r="D32" s="528">
        <f t="shared" si="1"/>
        <v>69.5</v>
      </c>
      <c r="E32" s="529">
        <v>218.3</v>
      </c>
      <c r="F32" s="356">
        <f t="shared" si="2"/>
        <v>0.6816307833256986</v>
      </c>
    </row>
    <row r="33" spans="1:6">
      <c r="A33" s="19">
        <f t="shared" si="0"/>
        <v>2000</v>
      </c>
      <c r="B33" s="16">
        <v>36861</v>
      </c>
      <c r="C33" s="527">
        <v>166.3</v>
      </c>
      <c r="D33" s="526">
        <f t="shared" si="1"/>
        <v>75.399999999999977</v>
      </c>
      <c r="E33" s="527">
        <v>241.7</v>
      </c>
      <c r="F33" s="357">
        <f t="shared" si="2"/>
        <v>0.68804302854778654</v>
      </c>
    </row>
    <row r="34" spans="1:6">
      <c r="A34" s="19">
        <f t="shared" si="0"/>
        <v>2001</v>
      </c>
      <c r="B34" s="16">
        <v>36951</v>
      </c>
      <c r="C34" s="529">
        <v>216.4</v>
      </c>
      <c r="D34" s="528">
        <f t="shared" si="1"/>
        <v>82.4</v>
      </c>
      <c r="E34" s="529">
        <v>298.8</v>
      </c>
      <c r="F34" s="356">
        <f t="shared" si="2"/>
        <v>0.72423025435073629</v>
      </c>
    </row>
    <row r="35" spans="1:6">
      <c r="A35" s="19">
        <f t="shared" si="0"/>
        <v>2001</v>
      </c>
      <c r="B35" s="16">
        <v>37043</v>
      </c>
      <c r="C35" s="527">
        <v>156</v>
      </c>
      <c r="D35" s="526">
        <f t="shared" si="1"/>
        <v>110</v>
      </c>
      <c r="E35" s="527">
        <v>266</v>
      </c>
      <c r="F35" s="357">
        <f t="shared" si="2"/>
        <v>0.5864661654135338</v>
      </c>
    </row>
    <row r="36" spans="1:6">
      <c r="A36" s="19">
        <f t="shared" si="0"/>
        <v>2001</v>
      </c>
      <c r="B36" s="16">
        <v>37135</v>
      </c>
      <c r="C36" s="529">
        <v>136.30000000000001</v>
      </c>
      <c r="D36" s="528">
        <f t="shared" si="1"/>
        <v>95.399999999999977</v>
      </c>
      <c r="E36" s="529">
        <v>231.7</v>
      </c>
      <c r="F36" s="356">
        <f t="shared" si="2"/>
        <v>0.58826068191627112</v>
      </c>
    </row>
    <row r="37" spans="1:6">
      <c r="A37" s="19">
        <f t="shared" si="0"/>
        <v>2001</v>
      </c>
      <c r="B37" s="16">
        <v>37226</v>
      </c>
      <c r="C37" s="527">
        <v>141.69999999999999</v>
      </c>
      <c r="D37" s="526">
        <f t="shared" si="1"/>
        <v>125.69999999999999</v>
      </c>
      <c r="E37" s="527">
        <v>267.39999999999998</v>
      </c>
      <c r="F37" s="357">
        <f t="shared" si="2"/>
        <v>0.52991772625280475</v>
      </c>
    </row>
    <row r="38" spans="1:6">
      <c r="A38" s="19">
        <f t="shared" si="0"/>
        <v>2002</v>
      </c>
      <c r="B38" s="16">
        <v>37316</v>
      </c>
      <c r="C38" s="529">
        <v>119.7</v>
      </c>
      <c r="D38" s="528">
        <f t="shared" si="1"/>
        <v>83.3</v>
      </c>
      <c r="E38" s="529">
        <v>203</v>
      </c>
      <c r="F38" s="356">
        <f t="shared" si="2"/>
        <v>0.58965517241379317</v>
      </c>
    </row>
    <row r="39" spans="1:6">
      <c r="A39" s="19">
        <f t="shared" si="0"/>
        <v>2002</v>
      </c>
      <c r="B39" s="16">
        <v>37408</v>
      </c>
      <c r="C39" s="527">
        <v>82</v>
      </c>
      <c r="D39" s="526">
        <f t="shared" si="1"/>
        <v>98.5</v>
      </c>
      <c r="E39" s="527">
        <v>180.5</v>
      </c>
      <c r="F39" s="357">
        <f t="shared" si="2"/>
        <v>0.45429362880886426</v>
      </c>
    </row>
    <row r="40" spans="1:6">
      <c r="A40" s="19">
        <f t="shared" si="0"/>
        <v>2002</v>
      </c>
      <c r="B40" s="16">
        <v>37500</v>
      </c>
      <c r="C40" s="529">
        <v>85.3</v>
      </c>
      <c r="D40" s="528">
        <f t="shared" ref="D40:D71" si="11">E40-C40</f>
        <v>132.69999999999999</v>
      </c>
      <c r="E40" s="529">
        <v>218</v>
      </c>
      <c r="F40" s="356">
        <f t="shared" ref="F40:F71" si="12">C40/E40</f>
        <v>0.39128440366972478</v>
      </c>
    </row>
    <row r="41" spans="1:6">
      <c r="A41" s="19">
        <f t="shared" si="0"/>
        <v>2002</v>
      </c>
      <c r="B41" s="16">
        <v>37591</v>
      </c>
      <c r="C41" s="527">
        <v>170.2</v>
      </c>
      <c r="D41" s="526">
        <f t="shared" si="11"/>
        <v>100.19999999999999</v>
      </c>
      <c r="E41" s="527">
        <v>270.39999999999998</v>
      </c>
      <c r="F41" s="357">
        <f t="shared" si="12"/>
        <v>0.62943786982248517</v>
      </c>
    </row>
    <row r="42" spans="1:6">
      <c r="A42" s="19">
        <f t="shared" si="0"/>
        <v>2003</v>
      </c>
      <c r="B42" s="16">
        <v>37681</v>
      </c>
      <c r="C42" s="529">
        <v>191.5</v>
      </c>
      <c r="D42" s="528">
        <f t="shared" si="11"/>
        <v>75</v>
      </c>
      <c r="E42" s="529">
        <v>266.5</v>
      </c>
      <c r="F42" s="356">
        <f t="shared" si="12"/>
        <v>0.7185741088180112</v>
      </c>
    </row>
    <row r="43" spans="1:6">
      <c r="A43" s="19">
        <f t="shared" si="0"/>
        <v>2003</v>
      </c>
      <c r="B43" s="16">
        <v>37773</v>
      </c>
      <c r="C43" s="527">
        <v>151.30000000000001</v>
      </c>
      <c r="D43" s="526">
        <f t="shared" si="11"/>
        <v>88.799999999999983</v>
      </c>
      <c r="E43" s="527">
        <v>240.1</v>
      </c>
      <c r="F43" s="357">
        <f t="shared" si="12"/>
        <v>0.63015410245730952</v>
      </c>
    </row>
    <row r="44" spans="1:6">
      <c r="A44" s="19">
        <f t="shared" si="0"/>
        <v>2003</v>
      </c>
      <c r="B44" s="16">
        <v>37865</v>
      </c>
      <c r="C44" s="529">
        <v>177.9</v>
      </c>
      <c r="D44" s="528">
        <f t="shared" si="11"/>
        <v>52.799999999999983</v>
      </c>
      <c r="E44" s="529">
        <v>230.7</v>
      </c>
      <c r="F44" s="356">
        <f t="shared" si="12"/>
        <v>0.77113133940182066</v>
      </c>
    </row>
    <row r="45" spans="1:6">
      <c r="A45" s="19">
        <f t="shared" si="0"/>
        <v>2003</v>
      </c>
      <c r="B45" s="16">
        <v>37956</v>
      </c>
      <c r="C45" s="527">
        <v>188.2</v>
      </c>
      <c r="D45" s="526">
        <f t="shared" si="11"/>
        <v>99.900000000000034</v>
      </c>
      <c r="E45" s="527">
        <v>288.10000000000002</v>
      </c>
      <c r="F45" s="357">
        <f t="shared" si="12"/>
        <v>0.6532454009024643</v>
      </c>
    </row>
    <row r="46" spans="1:6">
      <c r="A46" s="19">
        <f t="shared" si="0"/>
        <v>2004</v>
      </c>
      <c r="B46" s="16">
        <v>38047</v>
      </c>
      <c r="C46" s="529">
        <v>106.9</v>
      </c>
      <c r="D46" s="528">
        <f t="shared" si="11"/>
        <v>61.900000000000006</v>
      </c>
      <c r="E46" s="529">
        <v>168.8</v>
      </c>
      <c r="F46" s="356">
        <f t="shared" si="12"/>
        <v>0.63329383886255919</v>
      </c>
    </row>
    <row r="47" spans="1:6">
      <c r="A47" s="19">
        <f t="shared" si="0"/>
        <v>2004</v>
      </c>
      <c r="B47" s="16">
        <v>38139</v>
      </c>
      <c r="C47" s="527">
        <v>197.5</v>
      </c>
      <c r="D47" s="526">
        <f t="shared" si="11"/>
        <v>58.899999999999977</v>
      </c>
      <c r="E47" s="527">
        <v>256.39999999999998</v>
      </c>
      <c r="F47" s="357">
        <f t="shared" si="12"/>
        <v>0.7702808112324494</v>
      </c>
    </row>
    <row r="48" spans="1:6">
      <c r="A48" s="19">
        <f t="shared" si="0"/>
        <v>2004</v>
      </c>
      <c r="B48" s="16">
        <v>38231</v>
      </c>
      <c r="C48" s="529">
        <v>129.69999999999999</v>
      </c>
      <c r="D48" s="528">
        <f t="shared" si="11"/>
        <v>80.800000000000011</v>
      </c>
      <c r="E48" s="529">
        <v>210.5</v>
      </c>
      <c r="F48" s="356">
        <f t="shared" si="12"/>
        <v>0.61615201900237526</v>
      </c>
    </row>
    <row r="49" spans="1:6">
      <c r="A49" s="19">
        <f t="shared" si="0"/>
        <v>2004</v>
      </c>
      <c r="B49" s="16">
        <v>38322</v>
      </c>
      <c r="C49" s="527">
        <v>113.1</v>
      </c>
      <c r="D49" s="526">
        <f t="shared" si="11"/>
        <v>173.50000000000003</v>
      </c>
      <c r="E49" s="527">
        <v>286.60000000000002</v>
      </c>
      <c r="F49" s="357">
        <f t="shared" si="12"/>
        <v>0.39462665736217722</v>
      </c>
    </row>
    <row r="50" spans="1:6">
      <c r="A50" s="19">
        <f t="shared" si="0"/>
        <v>2005</v>
      </c>
      <c r="B50" s="16">
        <v>38412</v>
      </c>
      <c r="C50" s="529">
        <v>154.30000000000001</v>
      </c>
      <c r="D50" s="528">
        <f t="shared" si="11"/>
        <v>114.89999999999998</v>
      </c>
      <c r="E50" s="529">
        <v>269.2</v>
      </c>
      <c r="F50" s="356">
        <f t="shared" si="12"/>
        <v>0.57317979197622593</v>
      </c>
    </row>
    <row r="51" spans="1:6">
      <c r="A51" s="19">
        <f t="shared" si="0"/>
        <v>2005</v>
      </c>
      <c r="B51" s="16">
        <v>38504</v>
      </c>
      <c r="C51" s="527">
        <v>129.4</v>
      </c>
      <c r="D51" s="526">
        <f t="shared" si="11"/>
        <v>149.1</v>
      </c>
      <c r="E51" s="527">
        <v>278.5</v>
      </c>
      <c r="F51" s="357">
        <f t="shared" si="12"/>
        <v>0.46463195691202874</v>
      </c>
    </row>
    <row r="52" spans="1:6">
      <c r="A52" s="19">
        <f t="shared" si="0"/>
        <v>2005</v>
      </c>
      <c r="B52" s="16">
        <v>38596</v>
      </c>
      <c r="C52" s="529">
        <v>135.1</v>
      </c>
      <c r="D52" s="528">
        <f t="shared" si="11"/>
        <v>146.9</v>
      </c>
      <c r="E52" s="529">
        <v>282</v>
      </c>
      <c r="F52" s="356">
        <f t="shared" si="12"/>
        <v>0.47907801418439716</v>
      </c>
    </row>
    <row r="53" spans="1:6">
      <c r="A53" s="19">
        <f t="shared" si="0"/>
        <v>2005</v>
      </c>
      <c r="B53" s="16">
        <v>38687</v>
      </c>
      <c r="C53" s="527">
        <v>152.80000000000001</v>
      </c>
      <c r="D53" s="526">
        <f t="shared" si="11"/>
        <v>173.7</v>
      </c>
      <c r="E53" s="527">
        <v>326.5</v>
      </c>
      <c r="F53" s="357">
        <f t="shared" si="12"/>
        <v>0.46799387442572743</v>
      </c>
    </row>
    <row r="54" spans="1:6">
      <c r="A54" s="19">
        <f t="shared" si="0"/>
        <v>2006</v>
      </c>
      <c r="B54" s="16">
        <v>38777</v>
      </c>
      <c r="C54" s="529">
        <v>137</v>
      </c>
      <c r="D54" s="528">
        <f t="shared" si="11"/>
        <v>136.60000000000002</v>
      </c>
      <c r="E54" s="529">
        <v>273.60000000000002</v>
      </c>
      <c r="F54" s="356">
        <f t="shared" si="12"/>
        <v>0.50073099415204669</v>
      </c>
    </row>
    <row r="55" spans="1:6">
      <c r="A55" s="19">
        <f t="shared" si="0"/>
        <v>2006</v>
      </c>
      <c r="B55" s="16">
        <v>38869</v>
      </c>
      <c r="C55" s="527">
        <v>168.7</v>
      </c>
      <c r="D55" s="526">
        <f t="shared" si="11"/>
        <v>211.2</v>
      </c>
      <c r="E55" s="527">
        <v>379.9</v>
      </c>
      <c r="F55" s="357">
        <f t="shared" si="12"/>
        <v>0.44406422742827062</v>
      </c>
    </row>
    <row r="56" spans="1:6">
      <c r="A56" s="19">
        <f t="shared" si="0"/>
        <v>2006</v>
      </c>
      <c r="B56" s="16">
        <v>38961</v>
      </c>
      <c r="C56" s="529">
        <v>289.89999999999998</v>
      </c>
      <c r="D56" s="528">
        <f t="shared" si="11"/>
        <v>198.70000000000005</v>
      </c>
      <c r="E56" s="529">
        <v>488.6</v>
      </c>
      <c r="F56" s="356">
        <f t="shared" si="12"/>
        <v>0.59332787556283251</v>
      </c>
    </row>
    <row r="57" spans="1:6">
      <c r="A57" s="19">
        <f t="shared" si="0"/>
        <v>2006</v>
      </c>
      <c r="B57" s="16">
        <v>39052</v>
      </c>
      <c r="C57" s="527">
        <v>346.1</v>
      </c>
      <c r="D57" s="526">
        <f t="shared" si="11"/>
        <v>198.39999999999998</v>
      </c>
      <c r="E57" s="527">
        <v>544.5</v>
      </c>
      <c r="F57" s="357">
        <f t="shared" si="12"/>
        <v>0.63562901744719935</v>
      </c>
    </row>
    <row r="58" spans="1:6">
      <c r="A58" s="19">
        <f t="shared" si="0"/>
        <v>2007</v>
      </c>
      <c r="B58" s="16">
        <v>39142</v>
      </c>
      <c r="C58" s="529">
        <v>319.5</v>
      </c>
      <c r="D58" s="528">
        <f t="shared" si="11"/>
        <v>140.80000000000001</v>
      </c>
      <c r="E58" s="529">
        <v>460.3</v>
      </c>
      <c r="F58" s="356">
        <f t="shared" si="12"/>
        <v>0.69411253530306316</v>
      </c>
    </row>
    <row r="59" spans="1:6">
      <c r="A59" s="19">
        <f t="shared" si="0"/>
        <v>2007</v>
      </c>
      <c r="B59" s="16">
        <v>39234</v>
      </c>
      <c r="C59" s="527">
        <v>525.4</v>
      </c>
      <c r="D59" s="526">
        <f t="shared" si="11"/>
        <v>206.70000000000005</v>
      </c>
      <c r="E59" s="527">
        <v>732.1</v>
      </c>
      <c r="F59" s="357">
        <f t="shared" si="12"/>
        <v>0.71766152165004771</v>
      </c>
    </row>
    <row r="60" spans="1:6">
      <c r="A60" s="19">
        <f t="shared" si="0"/>
        <v>2007</v>
      </c>
      <c r="B60" s="16">
        <v>39326</v>
      </c>
      <c r="C60" s="529">
        <v>546.5</v>
      </c>
      <c r="D60" s="528">
        <f t="shared" si="11"/>
        <v>151.79999999999995</v>
      </c>
      <c r="E60" s="529">
        <v>698.3</v>
      </c>
      <c r="F60" s="356">
        <f t="shared" si="12"/>
        <v>0.78261492195331528</v>
      </c>
    </row>
    <row r="61" spans="1:6">
      <c r="A61" s="19">
        <f t="shared" si="0"/>
        <v>2007</v>
      </c>
      <c r="B61" s="16">
        <v>39417</v>
      </c>
      <c r="C61" s="527">
        <v>512.70000000000005</v>
      </c>
      <c r="D61" s="526">
        <f t="shared" si="11"/>
        <v>257.29999999999995</v>
      </c>
      <c r="E61" s="527">
        <v>770</v>
      </c>
      <c r="F61" s="357">
        <f t="shared" si="12"/>
        <v>0.6658441558441559</v>
      </c>
    </row>
    <row r="62" spans="1:6">
      <c r="A62" s="19">
        <f t="shared" si="0"/>
        <v>2008</v>
      </c>
      <c r="B62" s="16">
        <v>39508</v>
      </c>
      <c r="C62" s="529">
        <v>498.7</v>
      </c>
      <c r="D62" s="528">
        <f t="shared" si="11"/>
        <v>210.7</v>
      </c>
      <c r="E62" s="529">
        <v>709.4</v>
      </c>
      <c r="F62" s="356">
        <f t="shared" si="12"/>
        <v>0.70298844093600221</v>
      </c>
    </row>
    <row r="63" spans="1:6">
      <c r="A63" s="19">
        <f t="shared" si="0"/>
        <v>2008</v>
      </c>
      <c r="B63" s="16">
        <v>39600</v>
      </c>
      <c r="C63" s="527">
        <v>616.9</v>
      </c>
      <c r="D63" s="526">
        <f t="shared" si="11"/>
        <v>240.30000000000007</v>
      </c>
      <c r="E63" s="527">
        <v>857.2</v>
      </c>
      <c r="F63" s="357">
        <f t="shared" si="12"/>
        <v>0.71966868875408296</v>
      </c>
    </row>
    <row r="64" spans="1:6">
      <c r="A64" s="19">
        <f t="shared" si="0"/>
        <v>2008</v>
      </c>
      <c r="B64" s="16">
        <v>39692</v>
      </c>
      <c r="C64" s="529">
        <v>539.5</v>
      </c>
      <c r="D64" s="528">
        <f t="shared" si="11"/>
        <v>241.79999999999995</v>
      </c>
      <c r="E64" s="529">
        <v>781.3</v>
      </c>
      <c r="F64" s="356">
        <f t="shared" si="12"/>
        <v>0.6905158069883528</v>
      </c>
    </row>
    <row r="65" spans="1:6">
      <c r="A65" s="19">
        <f t="shared" si="0"/>
        <v>2008</v>
      </c>
      <c r="B65" s="16">
        <v>39783</v>
      </c>
      <c r="C65" s="527">
        <v>798.9</v>
      </c>
      <c r="D65" s="526">
        <f t="shared" si="11"/>
        <v>214.5</v>
      </c>
      <c r="E65" s="527">
        <v>1013.4</v>
      </c>
      <c r="F65" s="357">
        <f t="shared" si="12"/>
        <v>0.78833629366489044</v>
      </c>
    </row>
    <row r="66" spans="1:6">
      <c r="A66" s="19">
        <f t="shared" si="0"/>
        <v>2009</v>
      </c>
      <c r="B66" s="16">
        <v>39873</v>
      </c>
      <c r="C66" s="529">
        <v>789.4</v>
      </c>
      <c r="D66" s="528">
        <f t="shared" si="11"/>
        <v>209.20000000000005</v>
      </c>
      <c r="E66" s="529">
        <v>998.6</v>
      </c>
      <c r="F66" s="356">
        <f t="shared" si="12"/>
        <v>0.79050670939315038</v>
      </c>
    </row>
    <row r="67" spans="1:6">
      <c r="A67" s="19">
        <f t="shared" si="0"/>
        <v>2009</v>
      </c>
      <c r="B67" s="16">
        <v>39965</v>
      </c>
      <c r="C67" s="527">
        <v>817.4</v>
      </c>
      <c r="D67" s="526">
        <f t="shared" si="11"/>
        <v>200</v>
      </c>
      <c r="E67" s="527">
        <v>1017.4</v>
      </c>
      <c r="F67" s="357">
        <f t="shared" si="12"/>
        <v>0.80342048358561036</v>
      </c>
    </row>
    <row r="68" spans="1:6">
      <c r="A68" s="19">
        <f t="shared" si="0"/>
        <v>2009</v>
      </c>
      <c r="B68" s="16">
        <v>40057</v>
      </c>
      <c r="C68" s="529">
        <v>603.9</v>
      </c>
      <c r="D68" s="528">
        <f t="shared" si="11"/>
        <v>193.80000000000007</v>
      </c>
      <c r="E68" s="529">
        <v>797.7</v>
      </c>
      <c r="F68" s="356">
        <f t="shared" si="12"/>
        <v>0.75705152312899582</v>
      </c>
    </row>
    <row r="69" spans="1:6">
      <c r="A69" s="19">
        <f t="shared" si="0"/>
        <v>2009</v>
      </c>
      <c r="B69" s="16">
        <v>40148</v>
      </c>
      <c r="C69" s="527">
        <v>541.70000000000005</v>
      </c>
      <c r="D69" s="526">
        <f t="shared" si="11"/>
        <v>285.29999999999995</v>
      </c>
      <c r="E69" s="527">
        <v>827</v>
      </c>
      <c r="F69" s="357">
        <f t="shared" si="12"/>
        <v>0.65501813784764218</v>
      </c>
    </row>
    <row r="70" spans="1:6">
      <c r="A70" s="19">
        <f t="shared" si="0"/>
        <v>2010</v>
      </c>
      <c r="B70" s="16">
        <v>40238</v>
      </c>
      <c r="C70" s="529">
        <v>646.70000000000005</v>
      </c>
      <c r="D70" s="528">
        <f t="shared" si="11"/>
        <v>216.79999999999995</v>
      </c>
      <c r="E70" s="529">
        <v>863.5</v>
      </c>
      <c r="F70" s="356">
        <f t="shared" si="12"/>
        <v>0.7489287782281413</v>
      </c>
    </row>
    <row r="71" spans="1:6">
      <c r="A71" s="19">
        <f t="shared" si="0"/>
        <v>2010</v>
      </c>
      <c r="B71" s="16">
        <v>40330</v>
      </c>
      <c r="C71" s="527">
        <v>692.3</v>
      </c>
      <c r="D71" s="526">
        <f t="shared" si="11"/>
        <v>313.60000000000002</v>
      </c>
      <c r="E71" s="527">
        <v>1005.9</v>
      </c>
      <c r="F71" s="357">
        <f t="shared" si="12"/>
        <v>0.68823938761308279</v>
      </c>
    </row>
    <row r="72" spans="1:6">
      <c r="A72" s="19">
        <f t="shared" ref="A72:A111" si="13">YEAR(B72)</f>
        <v>2010</v>
      </c>
      <c r="B72" s="16">
        <v>40422</v>
      </c>
      <c r="C72" s="529">
        <v>597.1</v>
      </c>
      <c r="D72" s="528">
        <f t="shared" ref="D72:D103" si="14">E72-C72</f>
        <v>253.29999999999995</v>
      </c>
      <c r="E72" s="529">
        <v>850.4</v>
      </c>
      <c r="F72" s="356">
        <f t="shared" ref="F72:F103" si="15">C72/E72</f>
        <v>0.70214016933207912</v>
      </c>
    </row>
    <row r="73" spans="1:6">
      <c r="A73" s="19">
        <f t="shared" si="13"/>
        <v>2010</v>
      </c>
      <c r="B73" s="16">
        <v>40513</v>
      </c>
      <c r="C73" s="527">
        <v>559.20000000000005</v>
      </c>
      <c r="D73" s="526">
        <f t="shared" si="14"/>
        <v>290.39999999999998</v>
      </c>
      <c r="E73" s="527">
        <v>849.6</v>
      </c>
      <c r="F73" s="357">
        <f t="shared" si="15"/>
        <v>0.65819209039548021</v>
      </c>
    </row>
    <row r="74" spans="1:6">
      <c r="A74" s="19">
        <f t="shared" si="13"/>
        <v>2011</v>
      </c>
      <c r="B74" s="16">
        <v>40603</v>
      </c>
      <c r="C74" s="529">
        <v>607</v>
      </c>
      <c r="D74" s="528">
        <f t="shared" si="14"/>
        <v>159.10000000000002</v>
      </c>
      <c r="E74" s="529">
        <v>766.1</v>
      </c>
      <c r="F74" s="356">
        <f t="shared" si="15"/>
        <v>0.79232476178044642</v>
      </c>
    </row>
    <row r="75" spans="1:6">
      <c r="A75" s="19">
        <f t="shared" si="13"/>
        <v>2011</v>
      </c>
      <c r="B75" s="16">
        <v>40695</v>
      </c>
      <c r="C75" s="527">
        <v>639</v>
      </c>
      <c r="D75" s="526">
        <f t="shared" si="14"/>
        <v>210.29999999999995</v>
      </c>
      <c r="E75" s="527">
        <v>849.3</v>
      </c>
      <c r="F75" s="357">
        <f t="shared" si="15"/>
        <v>0.75238431649593784</v>
      </c>
    </row>
    <row r="76" spans="1:6">
      <c r="A76" s="19">
        <f t="shared" si="13"/>
        <v>2011</v>
      </c>
      <c r="B76" s="16">
        <v>40787</v>
      </c>
      <c r="C76" s="529">
        <v>487.9</v>
      </c>
      <c r="D76" s="528">
        <f t="shared" si="14"/>
        <v>292.30000000000007</v>
      </c>
      <c r="E76" s="529">
        <v>780.2</v>
      </c>
      <c r="F76" s="356">
        <f t="shared" si="15"/>
        <v>0.62535247372468594</v>
      </c>
    </row>
    <row r="77" spans="1:6">
      <c r="A77" s="19">
        <f t="shared" si="13"/>
        <v>2011</v>
      </c>
      <c r="B77" s="16">
        <v>40878</v>
      </c>
      <c r="C77" s="527">
        <v>611.9</v>
      </c>
      <c r="D77" s="526">
        <f t="shared" si="14"/>
        <v>285.10000000000002</v>
      </c>
      <c r="E77" s="527">
        <v>897</v>
      </c>
      <c r="F77" s="357">
        <f t="shared" si="15"/>
        <v>0.68216276477146043</v>
      </c>
    </row>
    <row r="78" spans="1:6">
      <c r="A78" s="19">
        <f t="shared" si="13"/>
        <v>2012</v>
      </c>
      <c r="B78" s="16">
        <v>40969</v>
      </c>
      <c r="C78" s="529">
        <v>393.2</v>
      </c>
      <c r="D78" s="528">
        <f t="shared" si="14"/>
        <v>202.8</v>
      </c>
      <c r="E78" s="529">
        <v>596</v>
      </c>
      <c r="F78" s="356">
        <f t="shared" si="15"/>
        <v>0.65973154362416109</v>
      </c>
    </row>
    <row r="79" spans="1:6">
      <c r="A79" s="19">
        <f t="shared" si="13"/>
        <v>2012</v>
      </c>
      <c r="B79" s="16">
        <v>41061</v>
      </c>
      <c r="C79" s="527">
        <v>624.20000000000005</v>
      </c>
      <c r="D79" s="526">
        <f t="shared" si="14"/>
        <v>299.59999999999991</v>
      </c>
      <c r="E79" s="527">
        <v>923.8</v>
      </c>
      <c r="F79" s="357">
        <f t="shared" si="15"/>
        <v>0.67568737822039415</v>
      </c>
    </row>
    <row r="80" spans="1:6">
      <c r="A80" s="19">
        <f t="shared" si="13"/>
        <v>2012</v>
      </c>
      <c r="B80" s="16">
        <v>41153</v>
      </c>
      <c r="C80" s="529">
        <v>753.9</v>
      </c>
      <c r="D80" s="528">
        <f t="shared" si="14"/>
        <v>330.1</v>
      </c>
      <c r="E80" s="529">
        <v>1084</v>
      </c>
      <c r="F80" s="356">
        <f t="shared" si="15"/>
        <v>0.6954797047970479</v>
      </c>
    </row>
    <row r="81" spans="1:6">
      <c r="A81" s="19">
        <f t="shared" si="13"/>
        <v>2012</v>
      </c>
      <c r="B81" s="16">
        <v>41244</v>
      </c>
      <c r="C81" s="527">
        <v>985.3</v>
      </c>
      <c r="D81" s="526">
        <f t="shared" si="14"/>
        <v>413.29999999999995</v>
      </c>
      <c r="E81" s="527">
        <v>1398.6</v>
      </c>
      <c r="F81" s="357">
        <f t="shared" si="15"/>
        <v>0.7044902044902045</v>
      </c>
    </row>
    <row r="82" spans="1:6">
      <c r="A82" s="19">
        <f t="shared" si="13"/>
        <v>2013</v>
      </c>
      <c r="B82" s="16">
        <v>41334</v>
      </c>
      <c r="C82" s="529">
        <v>713.4</v>
      </c>
      <c r="D82" s="528">
        <f t="shared" si="14"/>
        <v>296.30000000000007</v>
      </c>
      <c r="E82" s="529">
        <v>1009.7</v>
      </c>
      <c r="F82" s="356">
        <f t="shared" si="15"/>
        <v>0.70654649896008714</v>
      </c>
    </row>
    <row r="83" spans="1:6">
      <c r="A83" s="19">
        <f t="shared" si="13"/>
        <v>2013</v>
      </c>
      <c r="B83" s="16">
        <v>41426</v>
      </c>
      <c r="C83" s="527">
        <v>841.2</v>
      </c>
      <c r="D83" s="526">
        <f t="shared" si="14"/>
        <v>459.89999999999986</v>
      </c>
      <c r="E83" s="527">
        <v>1301.0999999999999</v>
      </c>
      <c r="F83" s="357">
        <f t="shared" si="15"/>
        <v>0.64652985934978102</v>
      </c>
    </row>
    <row r="84" spans="1:6">
      <c r="A84" s="19">
        <f t="shared" si="13"/>
        <v>2013</v>
      </c>
      <c r="B84" s="16">
        <v>41518</v>
      </c>
      <c r="C84" s="529">
        <v>752.2</v>
      </c>
      <c r="D84" s="528">
        <f t="shared" si="14"/>
        <v>363.09999999999991</v>
      </c>
      <c r="E84" s="529">
        <v>1115.3</v>
      </c>
      <c r="F84" s="356">
        <f t="shared" si="15"/>
        <v>0.67443737111091195</v>
      </c>
    </row>
    <row r="85" spans="1:6">
      <c r="A85" s="19">
        <f t="shared" si="13"/>
        <v>2013</v>
      </c>
      <c r="B85" s="16">
        <v>41609</v>
      </c>
      <c r="C85" s="527">
        <v>677.4</v>
      </c>
      <c r="D85" s="526">
        <f t="shared" si="14"/>
        <v>425.9</v>
      </c>
      <c r="E85" s="527">
        <v>1103.3</v>
      </c>
      <c r="F85" s="357">
        <f t="shared" si="15"/>
        <v>0.61397625305900483</v>
      </c>
    </row>
    <row r="86" spans="1:6">
      <c r="A86" s="19">
        <f t="shared" si="13"/>
        <v>2014</v>
      </c>
      <c r="B86" s="16">
        <v>41699</v>
      </c>
      <c r="C86" s="529">
        <v>737.1</v>
      </c>
      <c r="D86" s="528">
        <f t="shared" si="14"/>
        <v>334.99999999999989</v>
      </c>
      <c r="E86" s="529">
        <v>1072.0999999999999</v>
      </c>
      <c r="F86" s="356">
        <f t="shared" si="15"/>
        <v>0.68752914840033585</v>
      </c>
    </row>
    <row r="87" spans="1:6">
      <c r="A87" s="19">
        <f t="shared" si="13"/>
        <v>2014</v>
      </c>
      <c r="B87" s="16">
        <v>41791</v>
      </c>
      <c r="C87" s="527">
        <v>823.9</v>
      </c>
      <c r="D87" s="526">
        <f t="shared" si="14"/>
        <v>709.9</v>
      </c>
      <c r="E87" s="527">
        <v>1533.8</v>
      </c>
      <c r="F87" s="357">
        <f t="shared" si="15"/>
        <v>0.53716260268613902</v>
      </c>
    </row>
    <row r="88" spans="1:6">
      <c r="A88" s="19">
        <f t="shared" si="13"/>
        <v>2014</v>
      </c>
      <c r="B88" s="16">
        <v>41883</v>
      </c>
      <c r="C88" s="529">
        <v>591.5</v>
      </c>
      <c r="D88" s="528">
        <f t="shared" si="14"/>
        <v>388.4</v>
      </c>
      <c r="E88" s="529">
        <v>979.9</v>
      </c>
      <c r="F88" s="356">
        <f t="shared" si="15"/>
        <v>0.60363302377793648</v>
      </c>
    </row>
    <row r="89" spans="1:6">
      <c r="A89" s="19">
        <f t="shared" si="13"/>
        <v>2014</v>
      </c>
      <c r="B89" s="16">
        <v>41974</v>
      </c>
      <c r="C89" s="527">
        <v>605.4</v>
      </c>
      <c r="D89" s="526">
        <f t="shared" si="14"/>
        <v>547.69999999999993</v>
      </c>
      <c r="E89" s="527">
        <v>1153.0999999999999</v>
      </c>
      <c r="F89" s="357">
        <f t="shared" si="15"/>
        <v>0.52501951261815971</v>
      </c>
    </row>
    <row r="90" spans="1:6">
      <c r="A90" s="19">
        <f t="shared" si="13"/>
        <v>2015</v>
      </c>
      <c r="B90" s="16">
        <v>42064</v>
      </c>
      <c r="C90" s="529">
        <v>439.3</v>
      </c>
      <c r="D90" s="528">
        <f t="shared" si="14"/>
        <v>521.29999999999995</v>
      </c>
      <c r="E90" s="529">
        <v>960.6</v>
      </c>
      <c r="F90" s="356">
        <f t="shared" si="15"/>
        <v>0.45731834270247762</v>
      </c>
    </row>
    <row r="91" spans="1:6">
      <c r="A91" s="19">
        <f t="shared" si="13"/>
        <v>2015</v>
      </c>
      <c r="B91" s="16">
        <v>42156</v>
      </c>
      <c r="C91" s="527">
        <v>432.7</v>
      </c>
      <c r="D91" s="526">
        <f t="shared" si="14"/>
        <v>265.09999999999997</v>
      </c>
      <c r="E91" s="527">
        <v>697.8</v>
      </c>
      <c r="F91" s="357">
        <f t="shared" si="15"/>
        <v>0.62009171682430497</v>
      </c>
    </row>
    <row r="92" spans="1:6">
      <c r="A92" s="19">
        <f t="shared" si="13"/>
        <v>2015</v>
      </c>
      <c r="B92" s="16">
        <v>42248</v>
      </c>
      <c r="C92" s="529">
        <v>407.5</v>
      </c>
      <c r="D92" s="528">
        <f t="shared" si="14"/>
        <v>175.39999999999998</v>
      </c>
      <c r="E92" s="529">
        <v>582.9</v>
      </c>
      <c r="F92" s="356">
        <f t="shared" si="15"/>
        <v>0.6990907531308973</v>
      </c>
    </row>
    <row r="93" spans="1:6">
      <c r="A93" s="19">
        <f t="shared" si="13"/>
        <v>2015</v>
      </c>
      <c r="B93" s="16">
        <v>42339</v>
      </c>
      <c r="C93" s="527">
        <v>337.6</v>
      </c>
      <c r="D93" s="526">
        <f t="shared" si="14"/>
        <v>144.39999999999998</v>
      </c>
      <c r="E93" s="527">
        <v>482</v>
      </c>
      <c r="F93" s="357">
        <f t="shared" si="15"/>
        <v>0.70041493775933616</v>
      </c>
    </row>
    <row r="94" spans="1:6">
      <c r="A94" s="19">
        <f t="shared" si="13"/>
        <v>2016</v>
      </c>
      <c r="B94" s="16">
        <v>42430</v>
      </c>
      <c r="C94" s="529">
        <v>340.1</v>
      </c>
      <c r="D94" s="528">
        <f t="shared" si="14"/>
        <v>87.799999999999955</v>
      </c>
      <c r="E94" s="529">
        <v>427.9</v>
      </c>
      <c r="F94" s="356">
        <f t="shared" si="15"/>
        <v>0.79481187193269465</v>
      </c>
    </row>
    <row r="95" spans="1:6">
      <c r="A95" s="19">
        <f t="shared" si="13"/>
        <v>2016</v>
      </c>
      <c r="B95" s="16">
        <v>42522</v>
      </c>
      <c r="C95" s="527">
        <v>212.2</v>
      </c>
      <c r="D95" s="526">
        <f t="shared" si="14"/>
        <v>71.199999999999989</v>
      </c>
      <c r="E95" s="527">
        <v>283.39999999999998</v>
      </c>
      <c r="F95" s="357">
        <f t="shared" si="15"/>
        <v>0.74876499647141848</v>
      </c>
    </row>
    <row r="96" spans="1:6">
      <c r="A96" s="19">
        <f t="shared" si="13"/>
        <v>2016</v>
      </c>
      <c r="B96" s="16">
        <v>42614</v>
      </c>
      <c r="C96" s="531">
        <v>229.8</v>
      </c>
      <c r="D96" s="530">
        <f t="shared" si="14"/>
        <v>125.39999999999998</v>
      </c>
      <c r="E96" s="531">
        <v>355.2</v>
      </c>
      <c r="F96" s="358">
        <f t="shared" si="15"/>
        <v>0.64695945945945954</v>
      </c>
    </row>
    <row r="97" spans="1:7">
      <c r="A97" s="19">
        <f t="shared" si="13"/>
        <v>2016</v>
      </c>
      <c r="B97" s="16">
        <v>42705</v>
      </c>
      <c r="C97" s="527">
        <v>213.9</v>
      </c>
      <c r="D97" s="526">
        <f t="shared" si="14"/>
        <v>121.29999999999998</v>
      </c>
      <c r="E97" s="527">
        <v>335.2</v>
      </c>
      <c r="F97" s="357">
        <f t="shared" si="15"/>
        <v>0.63812649164677804</v>
      </c>
      <c r="G97" s="205"/>
    </row>
    <row r="98" spans="1:7">
      <c r="A98" s="19">
        <f t="shared" si="13"/>
        <v>2017</v>
      </c>
      <c r="B98" s="16">
        <v>42795</v>
      </c>
      <c r="C98" s="531">
        <v>100</v>
      </c>
      <c r="D98" s="530">
        <f t="shared" si="14"/>
        <v>250</v>
      </c>
      <c r="E98" s="531">
        <v>350</v>
      </c>
      <c r="F98" s="358">
        <f t="shared" si="15"/>
        <v>0.2857142857142857</v>
      </c>
      <c r="G98" s="205"/>
    </row>
    <row r="99" spans="1:7">
      <c r="A99" s="19">
        <f t="shared" si="13"/>
        <v>2017</v>
      </c>
      <c r="B99" s="16">
        <v>42887</v>
      </c>
      <c r="C99" s="527">
        <v>107.8</v>
      </c>
      <c r="D99" s="526">
        <f t="shared" si="14"/>
        <v>227.8</v>
      </c>
      <c r="E99" s="527">
        <v>335.6</v>
      </c>
      <c r="F99" s="357">
        <f t="shared" si="15"/>
        <v>0.32121573301549461</v>
      </c>
      <c r="G99" s="205"/>
    </row>
    <row r="100" spans="1:7">
      <c r="A100" s="19">
        <f t="shared" si="13"/>
        <v>2017</v>
      </c>
      <c r="B100" s="16">
        <v>42979</v>
      </c>
      <c r="C100" s="531">
        <v>157.19999999999999</v>
      </c>
      <c r="D100" s="530">
        <f t="shared" si="14"/>
        <v>126.30000000000001</v>
      </c>
      <c r="E100" s="531">
        <v>283.5</v>
      </c>
      <c r="F100" s="358">
        <f t="shared" si="15"/>
        <v>0.55449735449735449</v>
      </c>
    </row>
    <row r="101" spans="1:7">
      <c r="A101" s="19">
        <f t="shared" si="13"/>
        <v>2017</v>
      </c>
      <c r="B101" s="16">
        <v>43070</v>
      </c>
      <c r="C101" s="527">
        <v>127.5</v>
      </c>
      <c r="D101" s="526">
        <f t="shared" si="14"/>
        <v>117.6</v>
      </c>
      <c r="E101" s="527">
        <v>245.1</v>
      </c>
      <c r="F101" s="357">
        <f t="shared" si="15"/>
        <v>0.52019583843329253</v>
      </c>
    </row>
    <row r="102" spans="1:7">
      <c r="A102" s="19">
        <f t="shared" si="13"/>
        <v>2018</v>
      </c>
      <c r="B102" s="16">
        <v>43160</v>
      </c>
      <c r="C102" s="531">
        <v>75.2</v>
      </c>
      <c r="D102" s="530">
        <f t="shared" si="14"/>
        <v>108.10000000000001</v>
      </c>
      <c r="E102" s="531">
        <v>183.3</v>
      </c>
      <c r="F102" s="358">
        <f t="shared" si="15"/>
        <v>0.41025641025641024</v>
      </c>
    </row>
    <row r="103" spans="1:7">
      <c r="A103" s="19">
        <f t="shared" si="13"/>
        <v>2018</v>
      </c>
      <c r="B103" s="16">
        <v>43252</v>
      </c>
      <c r="C103" s="527">
        <v>202.4</v>
      </c>
      <c r="D103" s="526">
        <f t="shared" si="14"/>
        <v>113.70000000000002</v>
      </c>
      <c r="E103" s="527">
        <v>316.10000000000002</v>
      </c>
      <c r="F103" s="357">
        <f t="shared" si="15"/>
        <v>0.64030370136032899</v>
      </c>
    </row>
    <row r="104" spans="1:7">
      <c r="A104" s="19">
        <f t="shared" si="13"/>
        <v>2018</v>
      </c>
      <c r="B104" s="16">
        <v>43344</v>
      </c>
      <c r="C104" s="531">
        <v>193.1</v>
      </c>
      <c r="D104" s="530">
        <f t="shared" ref="D104:D115" si="16">E104-C104</f>
        <v>114.79999999999998</v>
      </c>
      <c r="E104" s="531">
        <v>307.89999999999998</v>
      </c>
      <c r="F104" s="358">
        <f t="shared" ref="F104:F115" si="17">C104/E104</f>
        <v>0.62715167262098082</v>
      </c>
    </row>
    <row r="105" spans="1:7">
      <c r="A105" s="19">
        <f t="shared" si="13"/>
        <v>2018</v>
      </c>
      <c r="B105" s="16">
        <v>43435</v>
      </c>
      <c r="C105" s="527">
        <v>201.6</v>
      </c>
      <c r="D105" s="526">
        <f t="shared" si="16"/>
        <v>150.79999999999998</v>
      </c>
      <c r="E105" s="527">
        <v>352.4</v>
      </c>
      <c r="F105" s="357">
        <f t="shared" si="17"/>
        <v>0.57207718501702609</v>
      </c>
    </row>
    <row r="106" spans="1:7">
      <c r="A106" s="19">
        <f t="shared" si="13"/>
        <v>2019</v>
      </c>
      <c r="B106" s="16">
        <v>43525</v>
      </c>
      <c r="C106" s="531">
        <v>82</v>
      </c>
      <c r="D106" s="530">
        <f t="shared" si="16"/>
        <v>140.5</v>
      </c>
      <c r="E106" s="531">
        <v>222.5</v>
      </c>
      <c r="F106" s="358">
        <f t="shared" si="17"/>
        <v>0.36853932584269661</v>
      </c>
    </row>
    <row r="107" spans="1:7">
      <c r="A107" s="19">
        <f t="shared" si="13"/>
        <v>2019</v>
      </c>
      <c r="B107" s="16">
        <v>43617</v>
      </c>
      <c r="C107" s="527">
        <v>257.60000000000002</v>
      </c>
      <c r="D107" s="526">
        <f t="shared" si="16"/>
        <v>120.09999999999997</v>
      </c>
      <c r="E107" s="527">
        <v>377.7</v>
      </c>
      <c r="F107" s="357">
        <f t="shared" si="17"/>
        <v>0.68202276939369877</v>
      </c>
    </row>
    <row r="108" spans="1:7">
      <c r="A108" s="19">
        <f t="shared" si="13"/>
        <v>2019</v>
      </c>
      <c r="B108" s="16">
        <v>43709</v>
      </c>
      <c r="C108" s="594">
        <v>219.6</v>
      </c>
      <c r="D108" s="595">
        <f t="shared" si="16"/>
        <v>150.70000000000002</v>
      </c>
      <c r="E108" s="648">
        <v>370.3</v>
      </c>
      <c r="F108" s="374">
        <f t="shared" si="17"/>
        <v>0.59303267620847955</v>
      </c>
    </row>
    <row r="109" spans="1:7">
      <c r="A109" s="19">
        <f t="shared" si="13"/>
        <v>2019</v>
      </c>
      <c r="B109" s="16">
        <v>43800</v>
      </c>
      <c r="C109" s="527">
        <v>190.1</v>
      </c>
      <c r="D109" s="526">
        <f t="shared" si="16"/>
        <v>224.1</v>
      </c>
      <c r="E109" s="527">
        <v>414.2</v>
      </c>
      <c r="F109" s="357">
        <f t="shared" si="17"/>
        <v>0.4589570255915017</v>
      </c>
    </row>
    <row r="110" spans="1:7">
      <c r="A110" s="19">
        <f t="shared" si="13"/>
        <v>2020</v>
      </c>
      <c r="B110" s="16">
        <v>43891</v>
      </c>
      <c r="C110" s="531">
        <v>104.5</v>
      </c>
      <c r="D110" s="530">
        <f t="shared" si="16"/>
        <v>136.9</v>
      </c>
      <c r="E110" s="531">
        <v>241.4</v>
      </c>
      <c r="F110" s="358">
        <f t="shared" si="17"/>
        <v>0.43289146644573323</v>
      </c>
    </row>
    <row r="111" spans="1:7">
      <c r="A111" s="19">
        <f t="shared" si="13"/>
        <v>2020</v>
      </c>
      <c r="B111" s="16">
        <v>43983</v>
      </c>
      <c r="C111" s="527">
        <v>81.3</v>
      </c>
      <c r="D111" s="526">
        <f t="shared" si="16"/>
        <v>155.60000000000002</v>
      </c>
      <c r="E111" s="527">
        <v>236.9</v>
      </c>
      <c r="F111" s="357">
        <f t="shared" si="17"/>
        <v>0.3431827775432672</v>
      </c>
    </row>
    <row r="112" spans="1:7">
      <c r="A112" s="19">
        <f t="shared" ref="A112:A135" si="18">YEAR(B114)</f>
        <v>2021</v>
      </c>
      <c r="B112" s="16">
        <v>44075</v>
      </c>
      <c r="C112" s="594">
        <v>78.5</v>
      </c>
      <c r="D112" s="530">
        <v>145.5</v>
      </c>
      <c r="E112" s="813">
        <v>224</v>
      </c>
      <c r="F112" s="358">
        <v>0.35044642857142855</v>
      </c>
    </row>
    <row r="113" spans="1:6">
      <c r="A113" s="19">
        <f t="shared" si="18"/>
        <v>2021</v>
      </c>
      <c r="B113" s="16">
        <v>44166</v>
      </c>
      <c r="C113" s="527">
        <v>152.4</v>
      </c>
      <c r="D113" s="526">
        <v>139.9</v>
      </c>
      <c r="E113" s="527">
        <v>292.39999999999998</v>
      </c>
      <c r="F113" s="357">
        <v>0.4509419152276295</v>
      </c>
    </row>
    <row r="114" spans="1:6">
      <c r="A114" s="19">
        <f t="shared" si="18"/>
        <v>1900</v>
      </c>
      <c r="B114" s="16">
        <v>44256</v>
      </c>
      <c r="C114" s="594">
        <v>85.7</v>
      </c>
      <c r="D114" s="530">
        <f t="shared" si="16"/>
        <v>116.89999999999999</v>
      </c>
      <c r="E114" s="531">
        <v>202.6</v>
      </c>
      <c r="F114" s="358">
        <f t="shared" si="17"/>
        <v>0.42300098716683121</v>
      </c>
    </row>
    <row r="115" spans="1:6" ht="15.75" thickBot="1">
      <c r="A115" s="19">
        <f t="shared" si="18"/>
        <v>1900</v>
      </c>
      <c r="B115" s="757">
        <v>44348</v>
      </c>
      <c r="C115" s="803">
        <v>125.3</v>
      </c>
      <c r="D115" s="804">
        <f t="shared" si="16"/>
        <v>155.30000000000001</v>
      </c>
      <c r="E115" s="803">
        <v>280.60000000000002</v>
      </c>
      <c r="F115" s="806">
        <f t="shared" si="17"/>
        <v>0.44654312188168205</v>
      </c>
    </row>
    <row r="116" spans="1:6">
      <c r="A116" s="19">
        <f t="shared" si="18"/>
        <v>1900</v>
      </c>
      <c r="C116"/>
      <c r="D116" s="165"/>
      <c r="E116"/>
    </row>
    <row r="117" spans="1:6">
      <c r="A117" s="19">
        <f t="shared" si="18"/>
        <v>1900</v>
      </c>
      <c r="C117"/>
      <c r="D117" s="165"/>
      <c r="E117"/>
    </row>
    <row r="118" spans="1:6">
      <c r="A118" s="19">
        <f t="shared" si="18"/>
        <v>1900</v>
      </c>
      <c r="C118"/>
      <c r="D118" s="165"/>
      <c r="E118"/>
    </row>
    <row r="119" spans="1:6">
      <c r="A119" s="19">
        <f t="shared" si="18"/>
        <v>1900</v>
      </c>
      <c r="C119" s="165"/>
      <c r="D119" s="165"/>
      <c r="E119" s="165"/>
    </row>
    <row r="120" spans="1:6">
      <c r="A120" s="19">
        <f t="shared" si="18"/>
        <v>1900</v>
      </c>
      <c r="C120" s="165"/>
      <c r="D120" s="165"/>
      <c r="E120" s="165"/>
    </row>
    <row r="121" spans="1:6">
      <c r="A121" s="19">
        <f t="shared" si="18"/>
        <v>1900</v>
      </c>
      <c r="C121" s="165"/>
      <c r="D121" s="165"/>
      <c r="E121" s="165"/>
    </row>
    <row r="122" spans="1:6">
      <c r="A122" s="19">
        <f t="shared" si="18"/>
        <v>1900</v>
      </c>
      <c r="C122" s="165"/>
      <c r="D122" s="165"/>
      <c r="E122" s="165"/>
    </row>
    <row r="123" spans="1:6">
      <c r="A123" s="19">
        <f t="shared" si="18"/>
        <v>1900</v>
      </c>
      <c r="C123" s="165"/>
      <c r="D123" s="165"/>
      <c r="E123" s="165"/>
    </row>
    <row r="124" spans="1:6">
      <c r="A124" s="19">
        <f t="shared" si="18"/>
        <v>1900</v>
      </c>
      <c r="C124" s="165"/>
      <c r="D124" s="165"/>
      <c r="E124" s="165"/>
    </row>
    <row r="125" spans="1:6">
      <c r="A125" s="19">
        <f t="shared" si="18"/>
        <v>1900</v>
      </c>
      <c r="C125" s="165"/>
      <c r="D125" s="165"/>
      <c r="E125" s="165"/>
    </row>
    <row r="126" spans="1:6">
      <c r="A126" s="19">
        <f t="shared" si="18"/>
        <v>1900</v>
      </c>
      <c r="C126" s="165"/>
      <c r="D126" s="165"/>
      <c r="E126" s="165"/>
    </row>
    <row r="127" spans="1:6">
      <c r="A127" s="19">
        <f t="shared" si="18"/>
        <v>1900</v>
      </c>
      <c r="C127" s="165"/>
      <c r="D127" s="165"/>
      <c r="E127" s="165"/>
    </row>
    <row r="128" spans="1:6">
      <c r="A128" s="19">
        <f t="shared" si="18"/>
        <v>1900</v>
      </c>
      <c r="C128" s="165"/>
      <c r="D128" s="165"/>
      <c r="E128" s="165"/>
    </row>
    <row r="129" spans="1:5">
      <c r="A129" s="19">
        <f t="shared" si="18"/>
        <v>1900</v>
      </c>
      <c r="C129" s="165"/>
      <c r="D129" s="165"/>
      <c r="E129" s="165"/>
    </row>
    <row r="130" spans="1:5">
      <c r="A130" s="19">
        <f t="shared" si="18"/>
        <v>1900</v>
      </c>
      <c r="C130" s="165"/>
      <c r="D130" s="165"/>
      <c r="E130" s="165"/>
    </row>
    <row r="131" spans="1:5">
      <c r="A131" s="19">
        <f t="shared" si="18"/>
        <v>1900</v>
      </c>
      <c r="C131" s="165"/>
      <c r="D131" s="165"/>
      <c r="E131" s="165"/>
    </row>
    <row r="132" spans="1:5">
      <c r="A132" s="19">
        <f t="shared" si="18"/>
        <v>1900</v>
      </c>
      <c r="C132" s="165"/>
      <c r="D132" s="165"/>
      <c r="E132" s="165"/>
    </row>
    <row r="133" spans="1:5">
      <c r="A133" s="19">
        <f t="shared" si="18"/>
        <v>1900</v>
      </c>
      <c r="C133" s="165"/>
      <c r="D133" s="165"/>
      <c r="E133" s="165"/>
    </row>
    <row r="134" spans="1:5">
      <c r="A134" s="19">
        <f t="shared" si="18"/>
        <v>1900</v>
      </c>
      <c r="C134" s="165"/>
      <c r="D134" s="165"/>
      <c r="E134" s="165"/>
    </row>
    <row r="135" spans="1:5">
      <c r="A135" s="19">
        <f t="shared" si="18"/>
        <v>1900</v>
      </c>
      <c r="C135" s="165"/>
      <c r="D135" s="165"/>
      <c r="E135" s="165"/>
    </row>
    <row r="136" spans="1:5">
      <c r="A136" s="19">
        <f t="shared" ref="A136:A199" si="19">YEAR(B138)</f>
        <v>1900</v>
      </c>
      <c r="C136" s="165"/>
      <c r="D136" s="165"/>
      <c r="E136" s="165"/>
    </row>
    <row r="137" spans="1:5">
      <c r="A137" s="19">
        <f t="shared" si="19"/>
        <v>1900</v>
      </c>
      <c r="C137" s="165"/>
      <c r="D137" s="165"/>
      <c r="E137" s="165"/>
    </row>
    <row r="138" spans="1:5">
      <c r="A138" s="19">
        <f t="shared" si="19"/>
        <v>1900</v>
      </c>
      <c r="C138" s="165"/>
      <c r="D138" s="165"/>
      <c r="E138" s="165"/>
    </row>
    <row r="139" spans="1:5">
      <c r="A139" s="19">
        <f t="shared" si="19"/>
        <v>1900</v>
      </c>
      <c r="C139" s="165"/>
      <c r="D139" s="165"/>
      <c r="E139" s="165"/>
    </row>
    <row r="140" spans="1:5">
      <c r="A140" s="19">
        <f t="shared" si="19"/>
        <v>1900</v>
      </c>
      <c r="C140" s="165"/>
      <c r="D140" s="165"/>
      <c r="E140" s="165"/>
    </row>
    <row r="141" spans="1:5">
      <c r="A141" s="19">
        <f t="shared" si="19"/>
        <v>1900</v>
      </c>
      <c r="C141" s="165"/>
      <c r="D141" s="165"/>
      <c r="E141" s="165"/>
    </row>
    <row r="142" spans="1:5">
      <c r="A142" s="19">
        <f t="shared" si="19"/>
        <v>1900</v>
      </c>
      <c r="C142" s="165"/>
      <c r="D142" s="165"/>
      <c r="E142" s="165"/>
    </row>
    <row r="143" spans="1:5">
      <c r="A143" s="19">
        <f t="shared" si="19"/>
        <v>1900</v>
      </c>
      <c r="C143" s="165"/>
      <c r="D143" s="165"/>
      <c r="E143" s="165"/>
    </row>
    <row r="144" spans="1:5">
      <c r="A144" s="19">
        <f t="shared" si="19"/>
        <v>1900</v>
      </c>
      <c r="C144" s="165"/>
      <c r="D144" s="165"/>
      <c r="E144" s="165"/>
    </row>
    <row r="145" spans="1:5">
      <c r="A145" s="19">
        <f t="shared" si="19"/>
        <v>1900</v>
      </c>
      <c r="C145" s="165"/>
      <c r="D145" s="165"/>
      <c r="E145" s="165"/>
    </row>
    <row r="146" spans="1:5">
      <c r="A146" s="19">
        <f t="shared" si="19"/>
        <v>1900</v>
      </c>
      <c r="C146" s="165"/>
      <c r="D146" s="165"/>
      <c r="E146" s="165"/>
    </row>
    <row r="147" spans="1:5">
      <c r="A147" s="19">
        <f t="shared" si="19"/>
        <v>1900</v>
      </c>
      <c r="C147" s="165"/>
      <c r="D147" s="165"/>
      <c r="E147" s="165"/>
    </row>
    <row r="148" spans="1:5">
      <c r="A148" s="19">
        <f t="shared" si="19"/>
        <v>1900</v>
      </c>
      <c r="C148" s="165"/>
      <c r="D148" s="165"/>
      <c r="E148" s="165"/>
    </row>
    <row r="149" spans="1:5">
      <c r="A149" s="19">
        <f t="shared" si="19"/>
        <v>1900</v>
      </c>
      <c r="C149" s="165"/>
      <c r="D149" s="165"/>
      <c r="E149" s="165"/>
    </row>
    <row r="150" spans="1:5">
      <c r="A150" s="19">
        <f t="shared" si="19"/>
        <v>1900</v>
      </c>
      <c r="C150" s="165"/>
      <c r="D150" s="165"/>
      <c r="E150" s="165"/>
    </row>
    <row r="151" spans="1:5">
      <c r="A151" s="19">
        <f t="shared" si="19"/>
        <v>1900</v>
      </c>
      <c r="C151" s="165"/>
      <c r="D151" s="165"/>
      <c r="E151" s="165"/>
    </row>
    <row r="152" spans="1:5">
      <c r="A152" s="19">
        <f t="shared" si="19"/>
        <v>1900</v>
      </c>
      <c r="C152" s="165"/>
      <c r="D152" s="165"/>
      <c r="E152" s="165"/>
    </row>
    <row r="153" spans="1:5">
      <c r="A153" s="19">
        <f t="shared" si="19"/>
        <v>1900</v>
      </c>
      <c r="C153" s="165"/>
      <c r="D153" s="165"/>
      <c r="E153" s="165"/>
    </row>
    <row r="154" spans="1:5">
      <c r="A154" s="19">
        <f t="shared" si="19"/>
        <v>1900</v>
      </c>
      <c r="C154" s="165"/>
      <c r="D154" s="165"/>
      <c r="E154" s="165"/>
    </row>
    <row r="155" spans="1:5">
      <c r="A155" s="19">
        <f t="shared" si="19"/>
        <v>1900</v>
      </c>
      <c r="C155" s="165"/>
      <c r="D155" s="165"/>
      <c r="E155" s="165"/>
    </row>
    <row r="156" spans="1:5">
      <c r="A156" s="19">
        <f t="shared" si="19"/>
        <v>1900</v>
      </c>
      <c r="C156" s="165"/>
      <c r="D156" s="165"/>
      <c r="E156" s="165"/>
    </row>
    <row r="157" spans="1:5">
      <c r="A157" s="19">
        <f t="shared" si="19"/>
        <v>1900</v>
      </c>
      <c r="C157" s="165"/>
      <c r="D157" s="165"/>
      <c r="E157" s="165"/>
    </row>
    <row r="158" spans="1:5">
      <c r="A158" s="19">
        <f t="shared" si="19"/>
        <v>1900</v>
      </c>
      <c r="C158" s="165"/>
      <c r="D158" s="165"/>
      <c r="E158" s="165"/>
    </row>
    <row r="159" spans="1:5">
      <c r="A159" s="19">
        <f t="shared" si="19"/>
        <v>1900</v>
      </c>
      <c r="C159" s="165"/>
      <c r="D159" s="165"/>
      <c r="E159" s="165"/>
    </row>
    <row r="160" spans="1:5">
      <c r="A160" s="19">
        <f t="shared" si="19"/>
        <v>1900</v>
      </c>
      <c r="C160" s="165"/>
      <c r="D160" s="165"/>
      <c r="E160" s="165"/>
    </row>
    <row r="161" spans="1:5">
      <c r="A161" s="19">
        <f t="shared" si="19"/>
        <v>1900</v>
      </c>
      <c r="C161" s="165"/>
      <c r="D161" s="165"/>
      <c r="E161" s="165"/>
    </row>
    <row r="162" spans="1:5">
      <c r="A162" s="19">
        <f t="shared" si="19"/>
        <v>1900</v>
      </c>
      <c r="C162" s="165"/>
      <c r="D162" s="165"/>
      <c r="E162" s="165"/>
    </row>
    <row r="163" spans="1:5">
      <c r="A163" s="19">
        <f t="shared" si="19"/>
        <v>1900</v>
      </c>
      <c r="C163" s="165"/>
      <c r="D163" s="165"/>
      <c r="E163" s="165"/>
    </row>
    <row r="164" spans="1:5">
      <c r="A164" s="19">
        <f t="shared" si="19"/>
        <v>1900</v>
      </c>
      <c r="C164" s="165"/>
      <c r="D164" s="165"/>
      <c r="E164" s="165"/>
    </row>
    <row r="165" spans="1:5">
      <c r="A165" s="19">
        <f t="shared" si="19"/>
        <v>1900</v>
      </c>
      <c r="C165" s="165"/>
      <c r="D165" s="165"/>
      <c r="E165" s="165"/>
    </row>
    <row r="166" spans="1:5">
      <c r="A166" s="19">
        <f t="shared" si="19"/>
        <v>1900</v>
      </c>
      <c r="C166" s="165"/>
      <c r="D166" s="165"/>
      <c r="E166" s="165"/>
    </row>
    <row r="167" spans="1:5">
      <c r="A167" s="19">
        <f t="shared" si="19"/>
        <v>1900</v>
      </c>
      <c r="C167" s="165"/>
      <c r="D167" s="165"/>
      <c r="E167" s="165"/>
    </row>
    <row r="168" spans="1:5">
      <c r="A168" s="19">
        <f t="shared" si="19"/>
        <v>1900</v>
      </c>
      <c r="C168" s="165"/>
      <c r="D168" s="165"/>
      <c r="E168" s="165"/>
    </row>
    <row r="169" spans="1:5">
      <c r="A169" s="19">
        <f t="shared" si="19"/>
        <v>1900</v>
      </c>
      <c r="C169" s="165"/>
      <c r="D169" s="165"/>
      <c r="E169" s="165"/>
    </row>
    <row r="170" spans="1:5">
      <c r="A170" s="19">
        <f t="shared" si="19"/>
        <v>1900</v>
      </c>
      <c r="C170" s="165"/>
      <c r="D170" s="165"/>
      <c r="E170" s="165"/>
    </row>
    <row r="171" spans="1:5">
      <c r="A171" s="19">
        <f t="shared" si="19"/>
        <v>1900</v>
      </c>
      <c r="C171" s="165"/>
      <c r="D171" s="165"/>
      <c r="E171" s="165"/>
    </row>
    <row r="172" spans="1:5">
      <c r="A172" s="19">
        <f t="shared" si="19"/>
        <v>1900</v>
      </c>
      <c r="C172" s="165"/>
      <c r="D172" s="165"/>
      <c r="E172" s="165"/>
    </row>
    <row r="173" spans="1:5">
      <c r="A173" s="19">
        <f t="shared" si="19"/>
        <v>1900</v>
      </c>
      <c r="C173" s="165"/>
      <c r="D173" s="165"/>
      <c r="E173" s="165"/>
    </row>
    <row r="174" spans="1:5">
      <c r="A174" s="19">
        <f t="shared" si="19"/>
        <v>1900</v>
      </c>
      <c r="C174" s="165"/>
      <c r="D174" s="165"/>
      <c r="E174" s="165"/>
    </row>
    <row r="175" spans="1:5">
      <c r="A175" s="19">
        <f t="shared" si="19"/>
        <v>1900</v>
      </c>
      <c r="C175" s="165"/>
      <c r="D175" s="165"/>
      <c r="E175" s="165"/>
    </row>
    <row r="176" spans="1:5">
      <c r="A176" s="19">
        <f t="shared" si="19"/>
        <v>1900</v>
      </c>
      <c r="C176" s="165"/>
      <c r="D176" s="165"/>
      <c r="E176" s="165"/>
    </row>
    <row r="177" spans="1:5">
      <c r="A177" s="19">
        <f t="shared" si="19"/>
        <v>1900</v>
      </c>
      <c r="C177" s="165"/>
      <c r="D177" s="165"/>
      <c r="E177" s="165"/>
    </row>
    <row r="178" spans="1:5">
      <c r="A178" s="19">
        <f t="shared" si="19"/>
        <v>1900</v>
      </c>
      <c r="C178" s="165"/>
      <c r="D178" s="165"/>
      <c r="E178" s="165"/>
    </row>
    <row r="179" spans="1:5">
      <c r="A179" s="19">
        <f t="shared" si="19"/>
        <v>1900</v>
      </c>
      <c r="C179" s="165"/>
      <c r="D179" s="165"/>
      <c r="E179" s="165"/>
    </row>
    <row r="180" spans="1:5">
      <c r="A180" s="19">
        <f t="shared" si="19"/>
        <v>1900</v>
      </c>
      <c r="C180" s="165"/>
      <c r="D180" s="165"/>
      <c r="E180" s="165"/>
    </row>
    <row r="181" spans="1:5">
      <c r="A181" s="19">
        <f t="shared" si="19"/>
        <v>1900</v>
      </c>
      <c r="C181" s="165"/>
      <c r="D181" s="165"/>
      <c r="E181" s="165"/>
    </row>
    <row r="182" spans="1:5">
      <c r="A182" s="19">
        <f t="shared" si="19"/>
        <v>1900</v>
      </c>
      <c r="C182" s="165"/>
      <c r="D182" s="165"/>
      <c r="E182" s="165"/>
    </row>
    <row r="183" spans="1:5">
      <c r="A183" s="19">
        <f t="shared" si="19"/>
        <v>1900</v>
      </c>
      <c r="C183" s="165"/>
      <c r="D183" s="165"/>
      <c r="E183" s="165"/>
    </row>
    <row r="184" spans="1:5">
      <c r="A184" s="19">
        <f t="shared" si="19"/>
        <v>1900</v>
      </c>
      <c r="C184" s="165"/>
      <c r="D184" s="165"/>
      <c r="E184" s="165"/>
    </row>
    <row r="185" spans="1:5">
      <c r="A185" s="19">
        <f t="shared" si="19"/>
        <v>1900</v>
      </c>
      <c r="C185" s="165"/>
      <c r="D185" s="165"/>
      <c r="E185" s="165"/>
    </row>
    <row r="186" spans="1:5">
      <c r="A186" s="19">
        <f t="shared" si="19"/>
        <v>1900</v>
      </c>
      <c r="C186" s="165"/>
      <c r="D186" s="165"/>
      <c r="E186" s="165"/>
    </row>
    <row r="187" spans="1:5">
      <c r="A187" s="19">
        <f t="shared" si="19"/>
        <v>1900</v>
      </c>
      <c r="C187" s="165"/>
      <c r="D187" s="165"/>
      <c r="E187" s="165"/>
    </row>
    <row r="188" spans="1:5">
      <c r="A188" s="19">
        <f t="shared" si="19"/>
        <v>1900</v>
      </c>
      <c r="C188" s="165"/>
      <c r="D188" s="165"/>
      <c r="E188" s="165"/>
    </row>
    <row r="189" spans="1:5">
      <c r="A189" s="19">
        <f t="shared" si="19"/>
        <v>1900</v>
      </c>
      <c r="C189" s="165"/>
      <c r="D189" s="165"/>
      <c r="E189" s="165"/>
    </row>
    <row r="190" spans="1:5">
      <c r="A190" s="19">
        <f t="shared" si="19"/>
        <v>1900</v>
      </c>
      <c r="C190" s="165"/>
      <c r="D190" s="165"/>
      <c r="E190" s="165"/>
    </row>
    <row r="191" spans="1:5">
      <c r="A191" s="19">
        <f t="shared" si="19"/>
        <v>1900</v>
      </c>
      <c r="C191" s="165"/>
      <c r="D191" s="165"/>
      <c r="E191" s="165"/>
    </row>
    <row r="192" spans="1:5">
      <c r="A192" s="19">
        <f t="shared" si="19"/>
        <v>1900</v>
      </c>
      <c r="C192" s="165"/>
      <c r="D192" s="165"/>
      <c r="E192" s="165"/>
    </row>
    <row r="193" spans="1:5">
      <c r="A193" s="19">
        <f t="shared" si="19"/>
        <v>1900</v>
      </c>
      <c r="C193" s="165"/>
      <c r="D193" s="165"/>
      <c r="E193" s="165"/>
    </row>
    <row r="194" spans="1:5">
      <c r="A194" s="19">
        <f t="shared" si="19"/>
        <v>1900</v>
      </c>
      <c r="C194" s="165"/>
      <c r="D194" s="165"/>
      <c r="E194" s="165"/>
    </row>
    <row r="195" spans="1:5">
      <c r="A195" s="19">
        <f t="shared" si="19"/>
        <v>1900</v>
      </c>
      <c r="C195" s="165"/>
      <c r="D195" s="165"/>
      <c r="E195" s="165"/>
    </row>
    <row r="196" spans="1:5">
      <c r="A196" s="19">
        <f t="shared" si="19"/>
        <v>1900</v>
      </c>
      <c r="C196" s="165"/>
      <c r="D196" s="165"/>
      <c r="E196" s="165"/>
    </row>
    <row r="197" spans="1:5">
      <c r="A197" s="19">
        <f t="shared" si="19"/>
        <v>1900</v>
      </c>
      <c r="C197" s="165"/>
      <c r="D197" s="165"/>
      <c r="E197" s="165"/>
    </row>
    <row r="198" spans="1:5">
      <c r="A198" s="19">
        <f t="shared" si="19"/>
        <v>1900</v>
      </c>
      <c r="C198" s="165"/>
      <c r="D198" s="165"/>
      <c r="E198" s="165"/>
    </row>
    <row r="199" spans="1:5">
      <c r="A199" s="19">
        <f t="shared" si="19"/>
        <v>1900</v>
      </c>
      <c r="C199" s="165"/>
      <c r="D199" s="165"/>
      <c r="E199" s="165"/>
    </row>
    <row r="200" spans="1:5">
      <c r="A200" s="19">
        <f t="shared" ref="A200:A263" si="20">YEAR(B202)</f>
        <v>1900</v>
      </c>
      <c r="C200" s="165"/>
      <c r="D200" s="165"/>
      <c r="E200" s="165"/>
    </row>
    <row r="201" spans="1:5">
      <c r="A201" s="19">
        <f t="shared" si="20"/>
        <v>1900</v>
      </c>
      <c r="C201" s="165"/>
      <c r="D201" s="165"/>
      <c r="E201" s="165"/>
    </row>
    <row r="202" spans="1:5">
      <c r="A202" s="19">
        <f t="shared" si="20"/>
        <v>1900</v>
      </c>
      <c r="C202" s="165"/>
      <c r="D202" s="165"/>
      <c r="E202" s="165"/>
    </row>
    <row r="203" spans="1:5">
      <c r="A203" s="19">
        <f t="shared" si="20"/>
        <v>1900</v>
      </c>
      <c r="C203" s="165"/>
      <c r="D203" s="165"/>
      <c r="E203" s="165"/>
    </row>
    <row r="204" spans="1:5">
      <c r="A204" s="19">
        <f t="shared" si="20"/>
        <v>1900</v>
      </c>
      <c r="C204" s="165"/>
      <c r="D204" s="165"/>
      <c r="E204" s="165"/>
    </row>
    <row r="205" spans="1:5">
      <c r="A205" s="19">
        <f t="shared" si="20"/>
        <v>1900</v>
      </c>
      <c r="C205" s="165"/>
      <c r="D205" s="165"/>
      <c r="E205" s="165"/>
    </row>
    <row r="206" spans="1:5">
      <c r="A206" s="19">
        <f t="shared" si="20"/>
        <v>1900</v>
      </c>
      <c r="C206" s="165"/>
      <c r="D206" s="165"/>
      <c r="E206" s="165"/>
    </row>
    <row r="207" spans="1:5">
      <c r="A207" s="19">
        <f t="shared" si="20"/>
        <v>1900</v>
      </c>
      <c r="C207" s="165"/>
      <c r="D207" s="165"/>
      <c r="E207" s="165"/>
    </row>
    <row r="208" spans="1:5">
      <c r="A208" s="19">
        <f t="shared" si="20"/>
        <v>1900</v>
      </c>
      <c r="C208" s="165"/>
      <c r="D208" s="165"/>
      <c r="E208" s="165"/>
    </row>
    <row r="209" spans="1:5">
      <c r="A209" s="19">
        <f t="shared" si="20"/>
        <v>1900</v>
      </c>
      <c r="C209" s="165"/>
      <c r="D209" s="165"/>
      <c r="E209" s="165"/>
    </row>
    <row r="210" spans="1:5">
      <c r="A210" s="19">
        <f t="shared" si="20"/>
        <v>1900</v>
      </c>
      <c r="C210" s="165"/>
      <c r="D210" s="165"/>
      <c r="E210" s="165"/>
    </row>
    <row r="211" spans="1:5">
      <c r="A211" s="19">
        <f t="shared" si="20"/>
        <v>1900</v>
      </c>
      <c r="C211" s="165"/>
      <c r="D211" s="165"/>
      <c r="E211" s="165"/>
    </row>
    <row r="212" spans="1:5">
      <c r="A212" s="19">
        <f t="shared" si="20"/>
        <v>1900</v>
      </c>
      <c r="C212" s="165"/>
      <c r="D212" s="165"/>
      <c r="E212" s="165"/>
    </row>
    <row r="213" spans="1:5">
      <c r="A213" s="19">
        <f t="shared" si="20"/>
        <v>1900</v>
      </c>
      <c r="C213" s="165"/>
      <c r="D213" s="165"/>
      <c r="E213" s="165"/>
    </row>
    <row r="214" spans="1:5">
      <c r="A214" s="19">
        <f t="shared" si="20"/>
        <v>1900</v>
      </c>
      <c r="C214" s="165"/>
      <c r="D214" s="165"/>
      <c r="E214" s="165"/>
    </row>
    <row r="215" spans="1:5">
      <c r="A215" s="19">
        <f t="shared" si="20"/>
        <v>1900</v>
      </c>
      <c r="C215" s="165"/>
      <c r="D215" s="165"/>
      <c r="E215" s="165"/>
    </row>
    <row r="216" spans="1:5">
      <c r="A216" s="19">
        <f t="shared" si="20"/>
        <v>1900</v>
      </c>
      <c r="C216" s="165"/>
      <c r="D216" s="165"/>
      <c r="E216" s="165"/>
    </row>
    <row r="217" spans="1:5">
      <c r="A217" s="19">
        <f t="shared" si="20"/>
        <v>1900</v>
      </c>
      <c r="C217" s="165"/>
      <c r="D217" s="165"/>
      <c r="E217" s="165"/>
    </row>
    <row r="218" spans="1:5">
      <c r="A218" s="19">
        <f t="shared" si="20"/>
        <v>1900</v>
      </c>
      <c r="C218" s="165"/>
      <c r="D218" s="165"/>
      <c r="E218" s="165"/>
    </row>
    <row r="219" spans="1:5">
      <c r="A219" s="19">
        <f t="shared" si="20"/>
        <v>1900</v>
      </c>
      <c r="C219" s="165"/>
      <c r="D219" s="165"/>
      <c r="E219" s="165"/>
    </row>
    <row r="220" spans="1:5">
      <c r="A220" s="19">
        <f t="shared" si="20"/>
        <v>1900</v>
      </c>
      <c r="C220" s="165"/>
      <c r="D220" s="165"/>
      <c r="E220" s="165"/>
    </row>
    <row r="221" spans="1:5">
      <c r="A221" s="19">
        <f t="shared" si="20"/>
        <v>1900</v>
      </c>
      <c r="C221" s="165"/>
      <c r="D221" s="165"/>
      <c r="E221" s="165"/>
    </row>
    <row r="222" spans="1:5">
      <c r="A222" s="19">
        <f t="shared" si="20"/>
        <v>1900</v>
      </c>
      <c r="C222" s="165"/>
      <c r="D222" s="165"/>
      <c r="E222" s="165"/>
    </row>
    <row r="223" spans="1:5">
      <c r="A223" s="19">
        <f t="shared" si="20"/>
        <v>1900</v>
      </c>
      <c r="C223" s="165"/>
      <c r="D223" s="165"/>
      <c r="E223" s="165"/>
    </row>
    <row r="224" spans="1:5">
      <c r="A224" s="19">
        <f t="shared" si="20"/>
        <v>1900</v>
      </c>
      <c r="C224" s="165"/>
      <c r="D224" s="165"/>
      <c r="E224" s="165"/>
    </row>
    <row r="225" spans="1:5">
      <c r="A225" s="19">
        <f t="shared" si="20"/>
        <v>1900</v>
      </c>
      <c r="C225" s="165"/>
      <c r="D225" s="165"/>
      <c r="E225" s="165"/>
    </row>
    <row r="226" spans="1:5">
      <c r="A226" s="19">
        <f t="shared" si="20"/>
        <v>1900</v>
      </c>
      <c r="C226" s="165"/>
      <c r="D226" s="165"/>
      <c r="E226" s="165"/>
    </row>
    <row r="227" spans="1:5">
      <c r="A227" s="19">
        <f t="shared" si="20"/>
        <v>1900</v>
      </c>
      <c r="C227" s="165"/>
      <c r="D227" s="165"/>
      <c r="E227" s="165"/>
    </row>
    <row r="228" spans="1:5">
      <c r="A228" s="19">
        <f t="shared" si="20"/>
        <v>1900</v>
      </c>
      <c r="C228" s="165"/>
      <c r="D228" s="165"/>
      <c r="E228" s="165"/>
    </row>
    <row r="229" spans="1:5">
      <c r="A229" s="19">
        <f t="shared" si="20"/>
        <v>1900</v>
      </c>
      <c r="C229" s="165"/>
      <c r="D229" s="165"/>
      <c r="E229" s="165"/>
    </row>
    <row r="230" spans="1:5">
      <c r="A230" s="19">
        <f t="shared" si="20"/>
        <v>1900</v>
      </c>
      <c r="C230" s="165"/>
      <c r="D230" s="165"/>
      <c r="E230" s="165"/>
    </row>
    <row r="231" spans="1:5">
      <c r="A231" s="19">
        <f t="shared" si="20"/>
        <v>1900</v>
      </c>
      <c r="C231" s="165"/>
      <c r="D231" s="165"/>
      <c r="E231" s="165"/>
    </row>
    <row r="232" spans="1:5">
      <c r="A232" s="19">
        <f t="shared" si="20"/>
        <v>1900</v>
      </c>
      <c r="C232" s="165"/>
      <c r="D232" s="165"/>
      <c r="E232" s="165"/>
    </row>
    <row r="233" spans="1:5">
      <c r="A233" s="19">
        <f t="shared" si="20"/>
        <v>1900</v>
      </c>
      <c r="C233" s="165"/>
      <c r="D233" s="165"/>
      <c r="E233" s="165"/>
    </row>
    <row r="234" spans="1:5">
      <c r="A234" s="19">
        <f t="shared" si="20"/>
        <v>1900</v>
      </c>
      <c r="C234" s="165"/>
      <c r="D234" s="165"/>
      <c r="E234" s="165"/>
    </row>
    <row r="235" spans="1:5">
      <c r="A235" s="19">
        <f t="shared" si="20"/>
        <v>1900</v>
      </c>
      <c r="C235" s="165"/>
      <c r="D235" s="165"/>
      <c r="E235" s="165"/>
    </row>
    <row r="236" spans="1:5">
      <c r="A236" s="19">
        <f t="shared" si="20"/>
        <v>1900</v>
      </c>
      <c r="C236" s="165"/>
      <c r="D236" s="165"/>
      <c r="E236" s="165"/>
    </row>
    <row r="237" spans="1:5">
      <c r="A237" s="19">
        <f t="shared" si="20"/>
        <v>1900</v>
      </c>
      <c r="B237" s="202"/>
      <c r="C237" s="165"/>
      <c r="D237" s="165"/>
      <c r="E237" s="165"/>
    </row>
    <row r="238" spans="1:5">
      <c r="A238" s="19">
        <f t="shared" si="20"/>
        <v>1900</v>
      </c>
      <c r="B238" s="202"/>
      <c r="C238" s="165"/>
      <c r="D238" s="165"/>
      <c r="E238" s="165"/>
    </row>
    <row r="239" spans="1:5">
      <c r="A239" s="19">
        <f t="shared" si="20"/>
        <v>1900</v>
      </c>
      <c r="B239" s="202"/>
      <c r="C239" s="165"/>
      <c r="D239" s="165"/>
      <c r="E239" s="165"/>
    </row>
    <row r="240" spans="1:5">
      <c r="A240" s="19">
        <f t="shared" si="20"/>
        <v>1900</v>
      </c>
      <c r="B240" s="202"/>
      <c r="C240" s="165"/>
      <c r="D240" s="165"/>
      <c r="E240" s="165"/>
    </row>
    <row r="241" spans="1:5">
      <c r="A241" s="19">
        <f t="shared" si="20"/>
        <v>1900</v>
      </c>
      <c r="B241" s="202"/>
      <c r="C241" s="165"/>
      <c r="D241" s="165"/>
      <c r="E241" s="165"/>
    </row>
    <row r="242" spans="1:5">
      <c r="A242" s="19">
        <f t="shared" si="20"/>
        <v>1900</v>
      </c>
      <c r="B242" s="202"/>
      <c r="C242" s="165"/>
      <c r="D242" s="165"/>
      <c r="E242" s="165"/>
    </row>
    <row r="243" spans="1:5">
      <c r="A243" s="19">
        <f t="shared" si="20"/>
        <v>1900</v>
      </c>
      <c r="B243" s="202"/>
      <c r="C243" s="165"/>
      <c r="D243" s="165"/>
      <c r="E243" s="165"/>
    </row>
    <row r="244" spans="1:5">
      <c r="A244" s="19">
        <f t="shared" si="20"/>
        <v>1900</v>
      </c>
      <c r="B244" s="202"/>
      <c r="C244" s="165"/>
      <c r="D244" s="165"/>
      <c r="E244" s="165"/>
    </row>
    <row r="245" spans="1:5">
      <c r="A245" s="19">
        <f t="shared" si="20"/>
        <v>1900</v>
      </c>
      <c r="B245" s="202"/>
      <c r="C245" s="165"/>
      <c r="D245" s="165"/>
      <c r="E245" s="165"/>
    </row>
    <row r="246" spans="1:5">
      <c r="A246" s="19">
        <f t="shared" si="20"/>
        <v>1900</v>
      </c>
      <c r="B246" s="202"/>
      <c r="C246" s="165"/>
      <c r="D246" s="165"/>
      <c r="E246" s="165"/>
    </row>
    <row r="247" spans="1:5">
      <c r="A247" s="19">
        <f t="shared" si="20"/>
        <v>1900</v>
      </c>
      <c r="B247" s="202"/>
      <c r="C247" s="165"/>
      <c r="D247" s="165"/>
      <c r="E247" s="165"/>
    </row>
    <row r="248" spans="1:5">
      <c r="A248" s="19">
        <f t="shared" si="20"/>
        <v>1900</v>
      </c>
      <c r="B248" s="202"/>
      <c r="C248" s="165"/>
      <c r="D248" s="165"/>
      <c r="E248" s="165"/>
    </row>
    <row r="249" spans="1:5">
      <c r="A249" s="19">
        <f t="shared" si="20"/>
        <v>1900</v>
      </c>
      <c r="C249" s="165"/>
      <c r="D249" s="165"/>
      <c r="E249" s="165"/>
    </row>
    <row r="250" spans="1:5">
      <c r="A250" s="19">
        <f t="shared" si="20"/>
        <v>1900</v>
      </c>
      <c r="C250" s="165"/>
      <c r="D250" s="165"/>
      <c r="E250" s="165"/>
    </row>
    <row r="251" spans="1:5">
      <c r="A251" s="19">
        <f t="shared" si="20"/>
        <v>1900</v>
      </c>
      <c r="C251" s="165"/>
      <c r="D251" s="165"/>
      <c r="E251" s="165"/>
    </row>
    <row r="252" spans="1:5">
      <c r="A252" s="19">
        <f t="shared" si="20"/>
        <v>1900</v>
      </c>
      <c r="C252" s="165"/>
      <c r="D252" s="165"/>
      <c r="E252" s="165"/>
    </row>
    <row r="253" spans="1:5">
      <c r="A253" s="19">
        <f t="shared" si="20"/>
        <v>1900</v>
      </c>
      <c r="C253" s="165"/>
      <c r="D253" s="165"/>
      <c r="E253" s="165"/>
    </row>
    <row r="254" spans="1:5">
      <c r="A254" s="19">
        <f t="shared" si="20"/>
        <v>1900</v>
      </c>
      <c r="C254" s="165"/>
      <c r="D254" s="165"/>
      <c r="E254" s="165"/>
    </row>
    <row r="255" spans="1:5">
      <c r="A255" s="19">
        <f t="shared" si="20"/>
        <v>1900</v>
      </c>
      <c r="C255" s="165"/>
      <c r="D255" s="165"/>
      <c r="E255" s="165"/>
    </row>
    <row r="256" spans="1:5">
      <c r="A256" s="19">
        <f t="shared" si="20"/>
        <v>1900</v>
      </c>
      <c r="C256" s="165"/>
      <c r="D256" s="165"/>
      <c r="E256" s="165"/>
    </row>
    <row r="257" spans="1:5">
      <c r="A257" s="19">
        <f t="shared" si="20"/>
        <v>1900</v>
      </c>
      <c r="C257" s="165"/>
      <c r="D257" s="165"/>
      <c r="E257" s="165"/>
    </row>
    <row r="258" spans="1:5">
      <c r="A258" s="19">
        <f t="shared" si="20"/>
        <v>1900</v>
      </c>
      <c r="C258" s="165"/>
      <c r="D258" s="165"/>
      <c r="E258" s="165"/>
    </row>
    <row r="259" spans="1:5">
      <c r="A259" s="19">
        <f t="shared" si="20"/>
        <v>1900</v>
      </c>
      <c r="C259" s="165"/>
      <c r="D259" s="165"/>
      <c r="E259" s="165"/>
    </row>
    <row r="260" spans="1:5">
      <c r="A260" s="19">
        <f t="shared" si="20"/>
        <v>1900</v>
      </c>
      <c r="C260" s="165"/>
      <c r="D260" s="165"/>
      <c r="E260" s="165"/>
    </row>
    <row r="261" spans="1:5">
      <c r="A261" s="19">
        <f t="shared" si="20"/>
        <v>1900</v>
      </c>
      <c r="C261" s="165"/>
      <c r="D261" s="165"/>
      <c r="E261" s="165"/>
    </row>
    <row r="262" spans="1:5">
      <c r="A262" s="19">
        <f t="shared" si="20"/>
        <v>1900</v>
      </c>
      <c r="C262" s="165"/>
      <c r="D262" s="165"/>
      <c r="E262" s="165"/>
    </row>
    <row r="263" spans="1:5">
      <c r="A263" s="19">
        <f t="shared" si="20"/>
        <v>1900</v>
      </c>
      <c r="C263" s="165"/>
      <c r="D263" s="165"/>
      <c r="E263" s="165"/>
    </row>
    <row r="264" spans="1:5">
      <c r="A264" s="19">
        <f t="shared" ref="A264:A327" si="21">YEAR(B266)</f>
        <v>1900</v>
      </c>
      <c r="C264" s="165"/>
      <c r="D264" s="165"/>
      <c r="E264" s="165"/>
    </row>
    <row r="265" spans="1:5">
      <c r="A265" s="19">
        <f t="shared" si="21"/>
        <v>1900</v>
      </c>
      <c r="C265" s="165"/>
      <c r="D265" s="165"/>
      <c r="E265" s="165"/>
    </row>
    <row r="266" spans="1:5">
      <c r="A266" s="19">
        <f t="shared" si="21"/>
        <v>1900</v>
      </c>
      <c r="C266" s="165"/>
      <c r="D266" s="165"/>
      <c r="E266" s="165"/>
    </row>
    <row r="267" spans="1:5">
      <c r="A267" s="19">
        <f t="shared" si="21"/>
        <v>1900</v>
      </c>
      <c r="C267" s="165"/>
      <c r="D267" s="165"/>
      <c r="E267" s="165"/>
    </row>
    <row r="268" spans="1:5">
      <c r="A268" s="19">
        <f t="shared" si="21"/>
        <v>1900</v>
      </c>
      <c r="C268" s="165"/>
      <c r="D268" s="165"/>
      <c r="E268" s="165"/>
    </row>
    <row r="269" spans="1:5">
      <c r="A269" s="19">
        <f t="shared" si="21"/>
        <v>1900</v>
      </c>
      <c r="C269" s="165"/>
      <c r="D269" s="165"/>
      <c r="E269" s="165"/>
    </row>
    <row r="270" spans="1:5">
      <c r="A270" s="19">
        <f t="shared" si="21"/>
        <v>1900</v>
      </c>
      <c r="C270" s="165"/>
      <c r="D270" s="165"/>
      <c r="E270" s="165"/>
    </row>
    <row r="271" spans="1:5">
      <c r="A271" s="19">
        <f t="shared" si="21"/>
        <v>1900</v>
      </c>
      <c r="C271" s="165"/>
      <c r="D271" s="165"/>
      <c r="E271" s="165"/>
    </row>
    <row r="272" spans="1:5">
      <c r="A272" s="19">
        <f t="shared" si="21"/>
        <v>1900</v>
      </c>
      <c r="C272" s="165"/>
      <c r="D272" s="165"/>
      <c r="E272" s="165"/>
    </row>
    <row r="273" spans="1:5">
      <c r="A273" s="19">
        <f t="shared" si="21"/>
        <v>1900</v>
      </c>
      <c r="C273" s="165"/>
      <c r="D273" s="165"/>
      <c r="E273" s="165"/>
    </row>
    <row r="274" spans="1:5">
      <c r="A274" s="19">
        <f t="shared" si="21"/>
        <v>1900</v>
      </c>
      <c r="C274" s="165"/>
      <c r="D274" s="165"/>
      <c r="E274" s="165"/>
    </row>
    <row r="275" spans="1:5">
      <c r="A275" s="19">
        <f t="shared" si="21"/>
        <v>1900</v>
      </c>
      <c r="C275" s="165"/>
      <c r="D275" s="165"/>
      <c r="E275" s="165"/>
    </row>
    <row r="276" spans="1:5">
      <c r="A276" s="19">
        <f t="shared" si="21"/>
        <v>1900</v>
      </c>
      <c r="C276" s="165"/>
      <c r="D276" s="165"/>
      <c r="E276" s="165"/>
    </row>
    <row r="277" spans="1:5">
      <c r="A277" s="19">
        <f t="shared" si="21"/>
        <v>1900</v>
      </c>
      <c r="C277" s="165"/>
      <c r="D277" s="165"/>
      <c r="E277" s="165"/>
    </row>
    <row r="278" spans="1:5">
      <c r="A278" s="19">
        <f t="shared" si="21"/>
        <v>1900</v>
      </c>
      <c r="C278" s="165"/>
      <c r="D278" s="165"/>
      <c r="E278" s="165"/>
    </row>
    <row r="279" spans="1:5">
      <c r="A279" s="19">
        <f t="shared" si="21"/>
        <v>1900</v>
      </c>
      <c r="C279" s="165"/>
      <c r="D279" s="165"/>
      <c r="E279" s="165"/>
    </row>
    <row r="280" spans="1:5">
      <c r="A280" s="19">
        <f t="shared" si="21"/>
        <v>1900</v>
      </c>
      <c r="C280" s="165"/>
      <c r="D280" s="165"/>
      <c r="E280" s="165"/>
    </row>
    <row r="281" spans="1:5">
      <c r="A281" s="19">
        <f t="shared" si="21"/>
        <v>1900</v>
      </c>
      <c r="C281" s="165"/>
      <c r="D281" s="165"/>
      <c r="E281" s="165"/>
    </row>
    <row r="282" spans="1:5">
      <c r="A282" s="19">
        <f t="shared" si="21"/>
        <v>1900</v>
      </c>
      <c r="C282" s="165"/>
      <c r="D282" s="165"/>
      <c r="E282" s="165"/>
    </row>
    <row r="283" spans="1:5">
      <c r="A283" s="19">
        <f t="shared" si="21"/>
        <v>1900</v>
      </c>
      <c r="C283" s="165"/>
      <c r="D283" s="165"/>
      <c r="E283" s="165"/>
    </row>
    <row r="284" spans="1:5">
      <c r="A284" s="19">
        <f t="shared" si="21"/>
        <v>1900</v>
      </c>
      <c r="C284" s="165"/>
      <c r="D284" s="165"/>
      <c r="E284" s="165"/>
    </row>
    <row r="285" spans="1:5">
      <c r="A285" s="19">
        <f t="shared" si="21"/>
        <v>1900</v>
      </c>
      <c r="C285" s="165"/>
      <c r="D285" s="165"/>
      <c r="E285" s="165"/>
    </row>
    <row r="286" spans="1:5">
      <c r="A286" s="19">
        <f t="shared" si="21"/>
        <v>1900</v>
      </c>
      <c r="C286" s="165"/>
      <c r="D286" s="165"/>
      <c r="E286" s="165"/>
    </row>
    <row r="287" spans="1:5">
      <c r="A287" s="19">
        <f t="shared" si="21"/>
        <v>1900</v>
      </c>
      <c r="C287" s="165"/>
      <c r="D287" s="165"/>
      <c r="E287" s="165"/>
    </row>
    <row r="288" spans="1:5">
      <c r="A288" s="19">
        <f t="shared" si="21"/>
        <v>1900</v>
      </c>
      <c r="C288" s="165"/>
      <c r="D288" s="165"/>
      <c r="E288" s="165"/>
    </row>
    <row r="289" spans="1:5">
      <c r="A289" s="19">
        <f t="shared" si="21"/>
        <v>1900</v>
      </c>
      <c r="C289" s="165"/>
      <c r="D289" s="165"/>
      <c r="E289" s="165"/>
    </row>
    <row r="290" spans="1:5">
      <c r="A290" s="19">
        <f t="shared" si="21"/>
        <v>1900</v>
      </c>
      <c r="C290" s="165"/>
      <c r="D290" s="165"/>
      <c r="E290" s="165"/>
    </row>
    <row r="291" spans="1:5">
      <c r="A291" s="19">
        <f t="shared" si="21"/>
        <v>1900</v>
      </c>
      <c r="C291" s="165"/>
      <c r="D291" s="165"/>
      <c r="E291" s="165"/>
    </row>
    <row r="292" spans="1:5">
      <c r="A292" s="19">
        <f t="shared" si="21"/>
        <v>1900</v>
      </c>
      <c r="C292" s="165"/>
      <c r="D292" s="165"/>
      <c r="E292" s="165"/>
    </row>
    <row r="293" spans="1:5">
      <c r="A293" s="19">
        <f t="shared" si="21"/>
        <v>1900</v>
      </c>
      <c r="C293" s="165"/>
      <c r="D293" s="165"/>
      <c r="E293" s="165"/>
    </row>
    <row r="294" spans="1:5">
      <c r="A294" s="19">
        <f t="shared" si="21"/>
        <v>1900</v>
      </c>
      <c r="C294" s="165"/>
      <c r="D294" s="165"/>
      <c r="E294" s="165"/>
    </row>
    <row r="295" spans="1:5">
      <c r="A295" s="19">
        <f t="shared" si="21"/>
        <v>1900</v>
      </c>
      <c r="C295" s="165"/>
      <c r="D295" s="165"/>
      <c r="E295" s="165"/>
    </row>
    <row r="296" spans="1:5">
      <c r="A296" s="19">
        <f t="shared" si="21"/>
        <v>1900</v>
      </c>
      <c r="C296" s="165"/>
      <c r="D296" s="165"/>
      <c r="E296" s="165"/>
    </row>
    <row r="297" spans="1:5">
      <c r="A297" s="19">
        <f t="shared" si="21"/>
        <v>1900</v>
      </c>
      <c r="C297" s="165"/>
      <c r="D297" s="165"/>
      <c r="E297" s="165"/>
    </row>
    <row r="298" spans="1:5">
      <c r="A298" s="19">
        <f t="shared" si="21"/>
        <v>1900</v>
      </c>
      <c r="C298" s="165"/>
      <c r="D298" s="165"/>
      <c r="E298" s="165"/>
    </row>
    <row r="299" spans="1:5">
      <c r="A299" s="19">
        <f t="shared" si="21"/>
        <v>1900</v>
      </c>
      <c r="C299" s="165"/>
      <c r="D299" s="165"/>
      <c r="E299" s="165"/>
    </row>
    <row r="300" spans="1:5">
      <c r="A300" s="19">
        <f t="shared" si="21"/>
        <v>1900</v>
      </c>
      <c r="C300" s="165"/>
      <c r="D300" s="165"/>
      <c r="E300" s="165"/>
    </row>
    <row r="301" spans="1:5">
      <c r="A301" s="19">
        <f t="shared" si="21"/>
        <v>1900</v>
      </c>
      <c r="C301" s="165"/>
      <c r="D301" s="165"/>
      <c r="E301" s="165"/>
    </row>
    <row r="302" spans="1:5">
      <c r="A302" s="19">
        <f t="shared" si="21"/>
        <v>1900</v>
      </c>
      <c r="C302" s="165"/>
      <c r="D302" s="165"/>
      <c r="E302" s="165"/>
    </row>
    <row r="303" spans="1:5">
      <c r="A303" s="19">
        <f t="shared" si="21"/>
        <v>1900</v>
      </c>
      <c r="C303" s="165"/>
      <c r="D303" s="165"/>
      <c r="E303" s="165"/>
    </row>
    <row r="304" spans="1:5">
      <c r="A304" s="19">
        <f t="shared" si="21"/>
        <v>1900</v>
      </c>
      <c r="C304" s="165"/>
      <c r="D304" s="165"/>
      <c r="E304" s="165"/>
    </row>
    <row r="305" spans="1:5">
      <c r="A305" s="19">
        <f t="shared" si="21"/>
        <v>1900</v>
      </c>
      <c r="C305" s="165"/>
      <c r="D305" s="165"/>
      <c r="E305" s="165"/>
    </row>
    <row r="306" spans="1:5">
      <c r="A306" s="19">
        <f t="shared" si="21"/>
        <v>1900</v>
      </c>
      <c r="C306" s="165"/>
      <c r="D306" s="165"/>
      <c r="E306" s="165"/>
    </row>
    <row r="307" spans="1:5">
      <c r="A307" s="19">
        <f t="shared" si="21"/>
        <v>1900</v>
      </c>
      <c r="C307" s="165"/>
      <c r="D307" s="165"/>
      <c r="E307" s="165"/>
    </row>
    <row r="308" spans="1:5">
      <c r="A308" s="19">
        <f t="shared" si="21"/>
        <v>1900</v>
      </c>
      <c r="C308" s="165"/>
      <c r="D308" s="165"/>
      <c r="E308" s="165"/>
    </row>
    <row r="309" spans="1:5">
      <c r="A309" s="19">
        <f t="shared" si="21"/>
        <v>1900</v>
      </c>
      <c r="C309" s="165"/>
      <c r="D309" s="165"/>
      <c r="E309" s="165"/>
    </row>
    <row r="310" spans="1:5">
      <c r="A310" s="19">
        <f t="shared" si="21"/>
        <v>1900</v>
      </c>
      <c r="C310" s="165"/>
      <c r="D310" s="165"/>
      <c r="E310" s="165"/>
    </row>
    <row r="311" spans="1:5">
      <c r="A311" s="19">
        <f t="shared" si="21"/>
        <v>1900</v>
      </c>
      <c r="C311" s="165"/>
      <c r="D311" s="165"/>
      <c r="E311" s="165"/>
    </row>
    <row r="312" spans="1:5">
      <c r="A312" s="19">
        <f t="shared" si="21"/>
        <v>1900</v>
      </c>
      <c r="C312" s="165"/>
      <c r="D312" s="165"/>
      <c r="E312" s="165"/>
    </row>
    <row r="313" spans="1:5">
      <c r="A313" s="19">
        <f t="shared" si="21"/>
        <v>1900</v>
      </c>
      <c r="C313" s="165"/>
      <c r="D313" s="165"/>
      <c r="E313" s="165"/>
    </row>
    <row r="314" spans="1:5">
      <c r="A314" s="19">
        <f t="shared" si="21"/>
        <v>1900</v>
      </c>
      <c r="C314" s="165"/>
      <c r="D314" s="165"/>
      <c r="E314" s="165"/>
    </row>
    <row r="315" spans="1:5">
      <c r="A315" s="19">
        <f t="shared" si="21"/>
        <v>1900</v>
      </c>
      <c r="C315" s="165"/>
      <c r="D315" s="165"/>
      <c r="E315" s="165"/>
    </row>
    <row r="316" spans="1:5">
      <c r="A316" s="19">
        <f t="shared" si="21"/>
        <v>1900</v>
      </c>
      <c r="C316" s="165"/>
      <c r="D316" s="165"/>
      <c r="E316" s="165"/>
    </row>
    <row r="317" spans="1:5">
      <c r="A317" s="19">
        <f t="shared" si="21"/>
        <v>1900</v>
      </c>
      <c r="C317" s="165"/>
      <c r="D317" s="165"/>
      <c r="E317" s="165"/>
    </row>
    <row r="318" spans="1:5">
      <c r="A318" s="19">
        <f t="shared" si="21"/>
        <v>1900</v>
      </c>
      <c r="C318" s="165"/>
      <c r="D318" s="165"/>
      <c r="E318" s="165"/>
    </row>
    <row r="319" spans="1:5">
      <c r="A319" s="19">
        <f t="shared" si="21"/>
        <v>1900</v>
      </c>
      <c r="C319" s="165"/>
      <c r="D319" s="165"/>
      <c r="E319" s="165"/>
    </row>
    <row r="320" spans="1:5">
      <c r="A320" s="19">
        <f t="shared" si="21"/>
        <v>1900</v>
      </c>
      <c r="C320" s="165"/>
      <c r="D320" s="165"/>
      <c r="E320" s="165"/>
    </row>
    <row r="321" spans="1:5">
      <c r="A321" s="19">
        <f t="shared" si="21"/>
        <v>1900</v>
      </c>
      <c r="C321" s="165"/>
      <c r="D321" s="165"/>
      <c r="E321" s="165"/>
    </row>
    <row r="322" spans="1:5">
      <c r="A322" s="19">
        <f t="shared" si="21"/>
        <v>1900</v>
      </c>
      <c r="C322" s="165"/>
      <c r="D322" s="165"/>
      <c r="E322" s="165"/>
    </row>
    <row r="323" spans="1:5">
      <c r="A323" s="19">
        <f t="shared" si="21"/>
        <v>1900</v>
      </c>
      <c r="C323" s="165"/>
      <c r="D323" s="165"/>
      <c r="E323" s="165"/>
    </row>
    <row r="324" spans="1:5">
      <c r="A324" s="19">
        <f t="shared" si="21"/>
        <v>1900</v>
      </c>
      <c r="C324" s="165"/>
      <c r="D324" s="165"/>
      <c r="E324" s="165"/>
    </row>
    <row r="325" spans="1:5">
      <c r="A325" s="19">
        <f t="shared" si="21"/>
        <v>1900</v>
      </c>
      <c r="C325" s="165"/>
      <c r="D325" s="165"/>
      <c r="E325" s="165"/>
    </row>
    <row r="326" spans="1:5">
      <c r="A326" s="19">
        <f t="shared" si="21"/>
        <v>1900</v>
      </c>
      <c r="C326" s="165"/>
      <c r="D326" s="165"/>
      <c r="E326" s="165"/>
    </row>
    <row r="327" spans="1:5">
      <c r="A327" s="19">
        <f t="shared" si="21"/>
        <v>1900</v>
      </c>
      <c r="C327" s="165"/>
      <c r="D327" s="165"/>
      <c r="E327" s="165"/>
    </row>
    <row r="328" spans="1:5">
      <c r="A328" s="19">
        <f t="shared" ref="A328:A391" si="22">YEAR(B330)</f>
        <v>1900</v>
      </c>
      <c r="C328" s="165"/>
      <c r="D328" s="165"/>
      <c r="E328" s="165"/>
    </row>
    <row r="329" spans="1:5">
      <c r="A329" s="19">
        <f t="shared" si="22"/>
        <v>1900</v>
      </c>
      <c r="C329" s="165"/>
      <c r="D329" s="165"/>
      <c r="E329" s="165"/>
    </row>
    <row r="330" spans="1:5">
      <c r="A330" s="19">
        <f t="shared" si="22"/>
        <v>1900</v>
      </c>
      <c r="C330" s="165"/>
      <c r="D330" s="165"/>
      <c r="E330" s="165"/>
    </row>
    <row r="331" spans="1:5">
      <c r="A331" s="19">
        <f t="shared" si="22"/>
        <v>1900</v>
      </c>
      <c r="C331" s="165"/>
      <c r="D331" s="165"/>
      <c r="E331" s="165"/>
    </row>
    <row r="332" spans="1:5">
      <c r="A332" s="19">
        <f t="shared" si="22"/>
        <v>1900</v>
      </c>
      <c r="C332" s="165"/>
      <c r="D332" s="165"/>
      <c r="E332" s="165"/>
    </row>
    <row r="333" spans="1:5">
      <c r="A333" s="19">
        <f t="shared" si="22"/>
        <v>1900</v>
      </c>
      <c r="C333" s="165"/>
      <c r="D333" s="165"/>
      <c r="E333" s="165"/>
    </row>
    <row r="334" spans="1:5">
      <c r="A334" s="19">
        <f t="shared" si="22"/>
        <v>1900</v>
      </c>
      <c r="C334" s="165"/>
      <c r="D334" s="165"/>
      <c r="E334" s="165"/>
    </row>
    <row r="335" spans="1:5">
      <c r="A335" s="19">
        <f t="shared" si="22"/>
        <v>1900</v>
      </c>
      <c r="C335" s="165"/>
      <c r="D335" s="165"/>
      <c r="E335" s="165"/>
    </row>
    <row r="336" spans="1:5">
      <c r="A336" s="19">
        <f t="shared" si="22"/>
        <v>1900</v>
      </c>
      <c r="C336" s="165"/>
      <c r="D336" s="165"/>
      <c r="E336" s="165"/>
    </row>
    <row r="337" spans="1:5">
      <c r="A337" s="19">
        <f t="shared" si="22"/>
        <v>1900</v>
      </c>
      <c r="C337" s="165"/>
      <c r="D337" s="165"/>
      <c r="E337" s="165"/>
    </row>
    <row r="338" spans="1:5">
      <c r="A338" s="19">
        <f t="shared" si="22"/>
        <v>1900</v>
      </c>
      <c r="C338" s="165"/>
      <c r="D338" s="165"/>
      <c r="E338" s="165"/>
    </row>
    <row r="339" spans="1:5">
      <c r="A339" s="19">
        <f t="shared" si="22"/>
        <v>1900</v>
      </c>
      <c r="C339" s="165"/>
      <c r="D339" s="165"/>
      <c r="E339" s="165"/>
    </row>
    <row r="340" spans="1:5">
      <c r="A340" s="19">
        <f t="shared" si="22"/>
        <v>1900</v>
      </c>
      <c r="C340" s="165"/>
      <c r="D340" s="165"/>
      <c r="E340" s="165"/>
    </row>
    <row r="341" spans="1:5">
      <c r="A341" s="19">
        <f t="shared" si="22"/>
        <v>1900</v>
      </c>
      <c r="C341" s="165"/>
      <c r="D341" s="165"/>
      <c r="E341" s="165"/>
    </row>
    <row r="342" spans="1:5">
      <c r="A342" s="19">
        <f t="shared" si="22"/>
        <v>1900</v>
      </c>
      <c r="C342" s="165"/>
      <c r="D342" s="165"/>
      <c r="E342" s="165"/>
    </row>
    <row r="343" spans="1:5">
      <c r="A343" s="19">
        <f t="shared" si="22"/>
        <v>1900</v>
      </c>
      <c r="C343" s="165"/>
      <c r="D343" s="165"/>
      <c r="E343" s="165"/>
    </row>
    <row r="344" spans="1:5">
      <c r="A344" s="19">
        <f t="shared" si="22"/>
        <v>1900</v>
      </c>
      <c r="C344" s="165"/>
      <c r="D344" s="165"/>
      <c r="E344" s="165"/>
    </row>
    <row r="345" spans="1:5">
      <c r="A345" s="19">
        <f t="shared" si="22"/>
        <v>1900</v>
      </c>
      <c r="C345" s="165"/>
      <c r="D345" s="165"/>
      <c r="E345" s="165"/>
    </row>
    <row r="346" spans="1:5">
      <c r="A346" s="19">
        <f t="shared" si="22"/>
        <v>1900</v>
      </c>
      <c r="C346" s="165"/>
      <c r="D346" s="165"/>
      <c r="E346" s="165"/>
    </row>
    <row r="347" spans="1:5">
      <c r="A347" s="19">
        <f t="shared" si="22"/>
        <v>1900</v>
      </c>
      <c r="C347" s="165"/>
      <c r="D347" s="165"/>
      <c r="E347" s="165"/>
    </row>
    <row r="348" spans="1:5">
      <c r="A348" s="19">
        <f t="shared" si="22"/>
        <v>1900</v>
      </c>
      <c r="C348" s="165"/>
      <c r="D348" s="165"/>
      <c r="E348" s="165"/>
    </row>
    <row r="349" spans="1:5">
      <c r="A349" s="19">
        <f t="shared" si="22"/>
        <v>1900</v>
      </c>
      <c r="C349" s="165"/>
      <c r="D349" s="165"/>
      <c r="E349" s="165"/>
    </row>
    <row r="350" spans="1:5">
      <c r="A350" s="19">
        <f t="shared" si="22"/>
        <v>1900</v>
      </c>
      <c r="C350" s="165"/>
      <c r="D350" s="165"/>
      <c r="E350" s="165"/>
    </row>
    <row r="351" spans="1:5">
      <c r="A351" s="19">
        <f t="shared" si="22"/>
        <v>1900</v>
      </c>
      <c r="C351" s="165"/>
      <c r="D351" s="165"/>
      <c r="E351" s="165"/>
    </row>
    <row r="352" spans="1:5">
      <c r="A352" s="19">
        <f t="shared" si="22"/>
        <v>1900</v>
      </c>
      <c r="C352" s="165"/>
      <c r="D352" s="165"/>
      <c r="E352" s="165"/>
    </row>
    <row r="353" spans="1:5">
      <c r="A353" s="19">
        <f t="shared" si="22"/>
        <v>1900</v>
      </c>
      <c r="C353" s="165"/>
      <c r="D353" s="165"/>
      <c r="E353" s="165"/>
    </row>
    <row r="354" spans="1:5">
      <c r="A354" s="19">
        <f t="shared" si="22"/>
        <v>1900</v>
      </c>
      <c r="C354" s="165"/>
      <c r="D354" s="165"/>
      <c r="E354" s="165"/>
    </row>
    <row r="355" spans="1:5">
      <c r="A355" s="19">
        <f t="shared" si="22"/>
        <v>1900</v>
      </c>
      <c r="C355" s="165"/>
      <c r="D355" s="165"/>
      <c r="E355" s="165"/>
    </row>
    <row r="356" spans="1:5">
      <c r="A356" s="19">
        <f t="shared" si="22"/>
        <v>1900</v>
      </c>
      <c r="C356" s="165"/>
      <c r="D356" s="165"/>
      <c r="E356" s="165"/>
    </row>
    <row r="357" spans="1:5">
      <c r="A357" s="19">
        <f t="shared" si="22"/>
        <v>1900</v>
      </c>
      <c r="C357" s="165"/>
      <c r="D357" s="165"/>
      <c r="E357" s="165"/>
    </row>
    <row r="358" spans="1:5">
      <c r="A358" s="19">
        <f t="shared" si="22"/>
        <v>1900</v>
      </c>
      <c r="C358" s="165"/>
      <c r="D358" s="165"/>
      <c r="E358" s="165"/>
    </row>
    <row r="359" spans="1:5">
      <c r="A359" s="19">
        <f t="shared" si="22"/>
        <v>1900</v>
      </c>
      <c r="C359" s="165"/>
      <c r="D359" s="165"/>
      <c r="E359" s="165"/>
    </row>
    <row r="360" spans="1:5">
      <c r="A360" s="19">
        <f t="shared" si="22"/>
        <v>1900</v>
      </c>
      <c r="C360" s="165"/>
      <c r="D360" s="165"/>
      <c r="E360" s="165"/>
    </row>
    <row r="361" spans="1:5">
      <c r="A361" s="19">
        <f t="shared" si="22"/>
        <v>1900</v>
      </c>
      <c r="C361" s="165"/>
      <c r="D361" s="165"/>
      <c r="E361" s="165"/>
    </row>
    <row r="362" spans="1:5">
      <c r="A362" s="19">
        <f t="shared" si="22"/>
        <v>1900</v>
      </c>
      <c r="C362" s="165"/>
      <c r="D362" s="165"/>
      <c r="E362" s="165"/>
    </row>
    <row r="363" spans="1:5">
      <c r="A363" s="19">
        <f t="shared" si="22"/>
        <v>1900</v>
      </c>
      <c r="C363" s="165"/>
      <c r="D363" s="165"/>
      <c r="E363" s="165"/>
    </row>
    <row r="364" spans="1:5">
      <c r="A364" s="19">
        <f t="shared" si="22"/>
        <v>1900</v>
      </c>
      <c r="C364" s="165"/>
      <c r="D364" s="165"/>
      <c r="E364" s="165"/>
    </row>
    <row r="365" spans="1:5">
      <c r="A365" s="19">
        <f t="shared" si="22"/>
        <v>1900</v>
      </c>
      <c r="C365" s="165"/>
      <c r="D365" s="165"/>
      <c r="E365" s="165"/>
    </row>
    <row r="366" spans="1:5">
      <c r="A366" s="19">
        <f t="shared" si="22"/>
        <v>1900</v>
      </c>
      <c r="C366" s="165"/>
      <c r="D366" s="165"/>
      <c r="E366" s="165"/>
    </row>
    <row r="367" spans="1:5">
      <c r="A367" s="19">
        <f t="shared" si="22"/>
        <v>1900</v>
      </c>
      <c r="C367" s="165"/>
      <c r="D367" s="165"/>
      <c r="E367" s="165"/>
    </row>
    <row r="368" spans="1:5">
      <c r="A368" s="19">
        <f t="shared" si="22"/>
        <v>1900</v>
      </c>
      <c r="C368" s="165"/>
      <c r="D368" s="165"/>
      <c r="E368" s="165"/>
    </row>
    <row r="369" spans="1:5">
      <c r="A369" s="19">
        <f t="shared" si="22"/>
        <v>1900</v>
      </c>
      <c r="C369" s="165"/>
      <c r="D369" s="165"/>
      <c r="E369" s="165"/>
    </row>
    <row r="370" spans="1:5">
      <c r="A370" s="19">
        <f t="shared" si="22"/>
        <v>1900</v>
      </c>
      <c r="C370" s="165"/>
      <c r="D370" s="165"/>
      <c r="E370" s="165"/>
    </row>
    <row r="371" spans="1:5">
      <c r="A371" s="19">
        <f t="shared" si="22"/>
        <v>1900</v>
      </c>
      <c r="C371" s="165"/>
      <c r="D371" s="165"/>
      <c r="E371" s="165"/>
    </row>
    <row r="372" spans="1:5">
      <c r="A372" s="19">
        <f t="shared" si="22"/>
        <v>1900</v>
      </c>
      <c r="C372" s="165"/>
      <c r="D372" s="165"/>
      <c r="E372" s="165"/>
    </row>
    <row r="373" spans="1:5">
      <c r="A373" s="19">
        <f t="shared" si="22"/>
        <v>1900</v>
      </c>
      <c r="C373" s="165"/>
      <c r="D373" s="165"/>
      <c r="E373" s="165"/>
    </row>
    <row r="374" spans="1:5">
      <c r="A374" s="19">
        <f t="shared" si="22"/>
        <v>1900</v>
      </c>
      <c r="C374" s="165"/>
      <c r="D374" s="165"/>
      <c r="E374" s="165"/>
    </row>
    <row r="375" spans="1:5">
      <c r="A375" s="19">
        <f t="shared" si="22"/>
        <v>1900</v>
      </c>
      <c r="C375" s="165"/>
      <c r="D375" s="165"/>
      <c r="E375" s="165"/>
    </row>
    <row r="376" spans="1:5">
      <c r="A376" s="19">
        <f t="shared" si="22"/>
        <v>1900</v>
      </c>
      <c r="C376" s="165"/>
      <c r="D376" s="165"/>
      <c r="E376" s="165"/>
    </row>
    <row r="377" spans="1:5">
      <c r="A377" s="19">
        <f t="shared" si="22"/>
        <v>1900</v>
      </c>
      <c r="C377" s="165"/>
      <c r="D377" s="165"/>
      <c r="E377" s="165"/>
    </row>
    <row r="378" spans="1:5">
      <c r="A378" s="19">
        <f t="shared" si="22"/>
        <v>1900</v>
      </c>
      <c r="C378" s="165"/>
      <c r="D378" s="165"/>
      <c r="E378" s="165"/>
    </row>
    <row r="379" spans="1:5">
      <c r="A379" s="19">
        <f t="shared" si="22"/>
        <v>1900</v>
      </c>
      <c r="C379" s="165"/>
      <c r="D379" s="165"/>
      <c r="E379" s="165"/>
    </row>
    <row r="380" spans="1:5">
      <c r="A380" s="19">
        <f t="shared" si="22"/>
        <v>1900</v>
      </c>
      <c r="C380" s="165"/>
      <c r="D380" s="165"/>
      <c r="E380" s="165"/>
    </row>
    <row r="381" spans="1:5">
      <c r="A381" s="19">
        <f t="shared" si="22"/>
        <v>1900</v>
      </c>
      <c r="C381" s="165"/>
      <c r="D381" s="165"/>
      <c r="E381" s="165"/>
    </row>
    <row r="382" spans="1:5">
      <c r="A382" s="19">
        <f t="shared" si="22"/>
        <v>1900</v>
      </c>
      <c r="C382" s="165"/>
      <c r="D382" s="165"/>
      <c r="E382" s="165"/>
    </row>
    <row r="383" spans="1:5">
      <c r="A383" s="19">
        <f t="shared" si="22"/>
        <v>1900</v>
      </c>
      <c r="C383" s="165"/>
      <c r="D383" s="165"/>
      <c r="E383" s="165"/>
    </row>
    <row r="384" spans="1:5">
      <c r="A384" s="19">
        <f t="shared" si="22"/>
        <v>1900</v>
      </c>
      <c r="C384" s="165"/>
      <c r="D384" s="165"/>
      <c r="E384" s="165"/>
    </row>
    <row r="385" spans="1:5">
      <c r="A385" s="19">
        <f t="shared" si="22"/>
        <v>1900</v>
      </c>
      <c r="C385" s="165"/>
      <c r="D385" s="165"/>
      <c r="E385" s="165"/>
    </row>
    <row r="386" spans="1:5">
      <c r="A386" s="19">
        <f t="shared" si="22"/>
        <v>1900</v>
      </c>
      <c r="C386" s="165"/>
      <c r="D386" s="165"/>
      <c r="E386" s="165"/>
    </row>
    <row r="387" spans="1:5">
      <c r="A387" s="19">
        <f t="shared" si="22"/>
        <v>1900</v>
      </c>
      <c r="C387" s="165"/>
      <c r="D387" s="165"/>
      <c r="E387" s="165"/>
    </row>
    <row r="388" spans="1:5">
      <c r="A388" s="19">
        <f t="shared" si="22"/>
        <v>1900</v>
      </c>
      <c r="C388" s="165"/>
      <c r="D388" s="165"/>
      <c r="E388" s="165"/>
    </row>
    <row r="389" spans="1:5">
      <c r="A389" s="19">
        <f t="shared" si="22"/>
        <v>1900</v>
      </c>
      <c r="C389" s="165"/>
      <c r="D389" s="165"/>
      <c r="E389" s="165"/>
    </row>
    <row r="390" spans="1:5">
      <c r="A390" s="19">
        <f t="shared" si="22"/>
        <v>1900</v>
      </c>
      <c r="C390" s="165"/>
      <c r="D390" s="165"/>
      <c r="E390" s="165"/>
    </row>
    <row r="391" spans="1:5">
      <c r="A391" s="19">
        <f t="shared" si="22"/>
        <v>1900</v>
      </c>
      <c r="C391" s="165"/>
      <c r="D391" s="165"/>
      <c r="E391" s="165"/>
    </row>
    <row r="392" spans="1:5">
      <c r="A392" s="19">
        <f t="shared" ref="A392:A455" si="23">YEAR(B394)</f>
        <v>1900</v>
      </c>
      <c r="C392" s="165"/>
      <c r="D392" s="165"/>
      <c r="E392" s="165"/>
    </row>
    <row r="393" spans="1:5">
      <c r="A393" s="19">
        <f t="shared" si="23"/>
        <v>1900</v>
      </c>
      <c r="C393" s="165"/>
      <c r="D393" s="165"/>
      <c r="E393" s="165"/>
    </row>
    <row r="394" spans="1:5">
      <c r="A394" s="19">
        <f t="shared" si="23"/>
        <v>1900</v>
      </c>
      <c r="C394" s="165"/>
      <c r="D394" s="165"/>
      <c r="E394" s="165"/>
    </row>
    <row r="395" spans="1:5">
      <c r="A395" s="19">
        <f t="shared" si="23"/>
        <v>1900</v>
      </c>
      <c r="C395" s="165"/>
      <c r="D395" s="165"/>
      <c r="E395" s="165"/>
    </row>
    <row r="396" spans="1:5">
      <c r="A396" s="19">
        <f t="shared" si="23"/>
        <v>1900</v>
      </c>
      <c r="C396" s="165"/>
      <c r="D396" s="165"/>
      <c r="E396" s="165"/>
    </row>
    <row r="397" spans="1:5">
      <c r="A397" s="19">
        <f t="shared" si="23"/>
        <v>1900</v>
      </c>
      <c r="C397" s="165"/>
      <c r="D397" s="165"/>
      <c r="E397" s="165"/>
    </row>
    <row r="398" spans="1:5">
      <c r="A398" s="19">
        <f t="shared" si="23"/>
        <v>1900</v>
      </c>
      <c r="C398" s="165"/>
      <c r="D398" s="165"/>
      <c r="E398" s="165"/>
    </row>
    <row r="399" spans="1:5">
      <c r="A399" s="19">
        <f t="shared" si="23"/>
        <v>1900</v>
      </c>
      <c r="C399" s="165"/>
      <c r="D399" s="165"/>
      <c r="E399" s="165"/>
    </row>
    <row r="400" spans="1:5">
      <c r="A400" s="19">
        <f t="shared" si="23"/>
        <v>1900</v>
      </c>
      <c r="C400" s="165"/>
      <c r="D400" s="165"/>
      <c r="E400" s="165"/>
    </row>
    <row r="401" spans="1:5">
      <c r="A401" s="19">
        <f t="shared" si="23"/>
        <v>1900</v>
      </c>
      <c r="C401" s="165"/>
      <c r="D401" s="165"/>
      <c r="E401" s="165"/>
    </row>
    <row r="402" spans="1:5">
      <c r="A402" s="19">
        <f t="shared" si="23"/>
        <v>1900</v>
      </c>
      <c r="C402" s="165"/>
      <c r="D402" s="165"/>
      <c r="E402" s="165"/>
    </row>
    <row r="403" spans="1:5">
      <c r="A403" s="19">
        <f t="shared" si="23"/>
        <v>1900</v>
      </c>
      <c r="C403" s="165"/>
      <c r="D403" s="165"/>
      <c r="E403" s="165"/>
    </row>
    <row r="404" spans="1:5">
      <c r="A404" s="19">
        <f t="shared" si="23"/>
        <v>1900</v>
      </c>
      <c r="C404" s="165"/>
      <c r="D404" s="165"/>
      <c r="E404" s="165"/>
    </row>
    <row r="405" spans="1:5">
      <c r="A405" s="19">
        <f t="shared" si="23"/>
        <v>1900</v>
      </c>
      <c r="C405" s="165"/>
      <c r="D405" s="165"/>
      <c r="E405" s="165"/>
    </row>
    <row r="406" spans="1:5">
      <c r="A406" s="19">
        <f t="shared" si="23"/>
        <v>1900</v>
      </c>
      <c r="C406" s="165"/>
      <c r="D406" s="165"/>
      <c r="E406" s="165"/>
    </row>
    <row r="407" spans="1:5">
      <c r="A407" s="19">
        <f t="shared" si="23"/>
        <v>1900</v>
      </c>
      <c r="C407" s="165"/>
      <c r="D407" s="165"/>
      <c r="E407" s="165"/>
    </row>
    <row r="408" spans="1:5">
      <c r="A408" s="19">
        <f t="shared" si="23"/>
        <v>1900</v>
      </c>
      <c r="C408" s="165"/>
      <c r="D408" s="165"/>
      <c r="E408" s="165"/>
    </row>
    <row r="409" spans="1:5">
      <c r="A409" s="19">
        <f t="shared" si="23"/>
        <v>1900</v>
      </c>
      <c r="C409" s="165"/>
      <c r="D409" s="165"/>
      <c r="E409" s="165"/>
    </row>
    <row r="410" spans="1:5">
      <c r="A410" s="19">
        <f t="shared" si="23"/>
        <v>1900</v>
      </c>
      <c r="C410" s="165"/>
      <c r="D410" s="165"/>
      <c r="E410" s="165"/>
    </row>
    <row r="411" spans="1:5">
      <c r="A411" s="19">
        <f t="shared" si="23"/>
        <v>1900</v>
      </c>
      <c r="C411" s="165"/>
      <c r="D411" s="165"/>
      <c r="E411" s="165"/>
    </row>
    <row r="412" spans="1:5">
      <c r="A412" s="19">
        <f t="shared" si="23"/>
        <v>1900</v>
      </c>
      <c r="C412" s="165"/>
      <c r="D412" s="165"/>
      <c r="E412" s="165"/>
    </row>
    <row r="413" spans="1:5">
      <c r="A413" s="19">
        <f t="shared" si="23"/>
        <v>1900</v>
      </c>
      <c r="C413" s="165"/>
      <c r="D413" s="165"/>
      <c r="E413" s="165"/>
    </row>
    <row r="414" spans="1:5">
      <c r="A414" s="19">
        <f t="shared" si="23"/>
        <v>1900</v>
      </c>
      <c r="C414" s="165"/>
      <c r="D414" s="165"/>
      <c r="E414" s="165"/>
    </row>
    <row r="415" spans="1:5">
      <c r="A415" s="19">
        <f t="shared" si="23"/>
        <v>1900</v>
      </c>
      <c r="C415" s="165"/>
      <c r="D415" s="165"/>
      <c r="E415" s="165"/>
    </row>
    <row r="416" spans="1:5">
      <c r="A416" s="19">
        <f t="shared" si="23"/>
        <v>1900</v>
      </c>
      <c r="C416" s="165"/>
      <c r="D416" s="165"/>
      <c r="E416" s="165"/>
    </row>
    <row r="417" spans="1:5">
      <c r="A417" s="19">
        <f t="shared" si="23"/>
        <v>1900</v>
      </c>
      <c r="C417" s="165"/>
      <c r="D417" s="165"/>
      <c r="E417" s="165"/>
    </row>
    <row r="418" spans="1:5">
      <c r="A418" s="19">
        <f t="shared" si="23"/>
        <v>1900</v>
      </c>
      <c r="C418" s="165"/>
      <c r="D418" s="165"/>
      <c r="E418" s="165"/>
    </row>
    <row r="419" spans="1:5">
      <c r="A419" s="19">
        <f t="shared" si="23"/>
        <v>1900</v>
      </c>
      <c r="C419" s="165"/>
      <c r="D419" s="165"/>
      <c r="E419" s="165"/>
    </row>
    <row r="420" spans="1:5">
      <c r="A420" s="19">
        <f t="shared" si="23"/>
        <v>1900</v>
      </c>
      <c r="C420" s="165"/>
      <c r="D420" s="165"/>
      <c r="E420" s="165"/>
    </row>
    <row r="421" spans="1:5">
      <c r="A421" s="19">
        <f t="shared" si="23"/>
        <v>1900</v>
      </c>
      <c r="C421" s="165"/>
      <c r="D421" s="165"/>
      <c r="E421" s="165"/>
    </row>
    <row r="422" spans="1:5">
      <c r="A422" s="19">
        <f t="shared" si="23"/>
        <v>1900</v>
      </c>
      <c r="C422" s="165"/>
      <c r="D422" s="165"/>
      <c r="E422" s="165"/>
    </row>
    <row r="423" spans="1:5">
      <c r="A423" s="19">
        <f t="shared" si="23"/>
        <v>1900</v>
      </c>
      <c r="C423" s="165"/>
      <c r="D423" s="165"/>
      <c r="E423" s="165"/>
    </row>
    <row r="424" spans="1:5">
      <c r="A424" s="19">
        <f t="shared" si="23"/>
        <v>1900</v>
      </c>
      <c r="C424" s="165"/>
      <c r="D424" s="165"/>
      <c r="E424" s="165"/>
    </row>
    <row r="425" spans="1:5">
      <c r="A425" s="19">
        <f t="shared" si="23"/>
        <v>1900</v>
      </c>
      <c r="C425" s="165"/>
      <c r="D425" s="165"/>
      <c r="E425" s="165"/>
    </row>
    <row r="426" spans="1:5">
      <c r="A426" s="19">
        <f t="shared" si="23"/>
        <v>1900</v>
      </c>
      <c r="C426" s="165"/>
      <c r="D426" s="165"/>
      <c r="E426" s="165"/>
    </row>
    <row r="427" spans="1:5">
      <c r="A427" s="19">
        <f t="shared" si="23"/>
        <v>1900</v>
      </c>
      <c r="C427" s="165"/>
      <c r="D427" s="165"/>
      <c r="E427" s="165"/>
    </row>
    <row r="428" spans="1:5">
      <c r="A428" s="19">
        <f t="shared" si="23"/>
        <v>1900</v>
      </c>
      <c r="C428" s="165"/>
      <c r="D428" s="165"/>
      <c r="E428" s="165"/>
    </row>
    <row r="429" spans="1:5">
      <c r="A429" s="19">
        <f t="shared" si="23"/>
        <v>1900</v>
      </c>
      <c r="C429" s="165"/>
      <c r="D429" s="165"/>
      <c r="E429" s="165"/>
    </row>
    <row r="430" spans="1:5">
      <c r="A430" s="19">
        <f t="shared" si="23"/>
        <v>1900</v>
      </c>
      <c r="C430" s="165"/>
      <c r="D430" s="165"/>
      <c r="E430" s="165"/>
    </row>
    <row r="431" spans="1:5">
      <c r="A431" s="19">
        <f t="shared" si="23"/>
        <v>1900</v>
      </c>
      <c r="C431" s="165"/>
      <c r="D431" s="165"/>
      <c r="E431" s="165"/>
    </row>
    <row r="432" spans="1:5">
      <c r="A432" s="19">
        <f t="shared" si="23"/>
        <v>1900</v>
      </c>
      <c r="C432" s="165"/>
      <c r="D432" s="165"/>
      <c r="E432" s="165"/>
    </row>
    <row r="433" spans="1:5">
      <c r="A433" s="19">
        <f t="shared" si="23"/>
        <v>1900</v>
      </c>
      <c r="C433" s="165"/>
      <c r="D433" s="165"/>
      <c r="E433" s="165"/>
    </row>
    <row r="434" spans="1:5">
      <c r="A434" s="19">
        <f t="shared" si="23"/>
        <v>1900</v>
      </c>
      <c r="C434" s="165"/>
      <c r="D434" s="165"/>
      <c r="E434" s="165"/>
    </row>
    <row r="435" spans="1:5">
      <c r="A435" s="19">
        <f t="shared" si="23"/>
        <v>1900</v>
      </c>
      <c r="C435" s="165"/>
      <c r="D435" s="165"/>
      <c r="E435" s="165"/>
    </row>
    <row r="436" spans="1:5">
      <c r="A436" s="19">
        <f t="shared" si="23"/>
        <v>1900</v>
      </c>
      <c r="C436" s="165"/>
      <c r="D436" s="165"/>
      <c r="E436" s="165"/>
    </row>
    <row r="437" spans="1:5">
      <c r="A437" s="19">
        <f t="shared" si="23"/>
        <v>1900</v>
      </c>
      <c r="C437" s="165"/>
      <c r="D437" s="165"/>
      <c r="E437" s="165"/>
    </row>
    <row r="438" spans="1:5">
      <c r="A438" s="19">
        <f t="shared" si="23"/>
        <v>1900</v>
      </c>
      <c r="C438" s="165"/>
      <c r="D438" s="165"/>
      <c r="E438" s="165"/>
    </row>
    <row r="439" spans="1:5">
      <c r="A439" s="19">
        <f t="shared" si="23"/>
        <v>1900</v>
      </c>
      <c r="C439" s="165"/>
      <c r="D439" s="165"/>
      <c r="E439" s="165"/>
    </row>
    <row r="440" spans="1:5">
      <c r="A440" s="19">
        <f t="shared" si="23"/>
        <v>1900</v>
      </c>
      <c r="C440" s="165"/>
      <c r="D440" s="165"/>
      <c r="E440" s="165"/>
    </row>
    <row r="441" spans="1:5">
      <c r="A441" s="19">
        <f t="shared" si="23"/>
        <v>1900</v>
      </c>
      <c r="C441" s="165"/>
      <c r="D441" s="165"/>
      <c r="E441" s="165"/>
    </row>
    <row r="442" spans="1:5">
      <c r="A442" s="19">
        <f t="shared" si="23"/>
        <v>1900</v>
      </c>
      <c r="C442" s="165"/>
      <c r="D442" s="165"/>
      <c r="E442" s="165"/>
    </row>
    <row r="443" spans="1:5">
      <c r="A443" s="19">
        <f t="shared" si="23"/>
        <v>1900</v>
      </c>
      <c r="C443" s="165"/>
      <c r="D443" s="165"/>
      <c r="E443" s="165"/>
    </row>
    <row r="444" spans="1:5">
      <c r="A444" s="19">
        <f t="shared" si="23"/>
        <v>1900</v>
      </c>
      <c r="C444" s="165"/>
      <c r="D444" s="165"/>
      <c r="E444" s="165"/>
    </row>
    <row r="445" spans="1:5">
      <c r="A445" s="19">
        <f t="shared" si="23"/>
        <v>1900</v>
      </c>
      <c r="C445" s="165"/>
      <c r="D445" s="165"/>
      <c r="E445" s="165"/>
    </row>
    <row r="446" spans="1:5">
      <c r="A446" s="19">
        <f t="shared" si="23"/>
        <v>1900</v>
      </c>
      <c r="C446" s="165"/>
      <c r="D446" s="165"/>
      <c r="E446" s="165"/>
    </row>
    <row r="447" spans="1:5">
      <c r="A447" s="19">
        <f t="shared" si="23"/>
        <v>1900</v>
      </c>
      <c r="C447" s="165"/>
      <c r="D447" s="165"/>
      <c r="E447" s="165"/>
    </row>
    <row r="448" spans="1:5">
      <c r="A448" s="19">
        <f t="shared" si="23"/>
        <v>1900</v>
      </c>
      <c r="C448" s="165"/>
      <c r="D448" s="165"/>
      <c r="E448" s="165"/>
    </row>
    <row r="449" spans="1:5">
      <c r="A449" s="19">
        <f t="shared" si="23"/>
        <v>1900</v>
      </c>
      <c r="C449" s="165"/>
      <c r="D449" s="165"/>
      <c r="E449" s="165"/>
    </row>
    <row r="450" spans="1:5">
      <c r="A450" s="19">
        <f t="shared" si="23"/>
        <v>1900</v>
      </c>
      <c r="C450" s="165"/>
      <c r="D450" s="165"/>
      <c r="E450" s="165"/>
    </row>
    <row r="451" spans="1:5">
      <c r="A451" s="19">
        <f t="shared" si="23"/>
        <v>1900</v>
      </c>
      <c r="C451" s="165"/>
      <c r="D451" s="165"/>
      <c r="E451" s="165"/>
    </row>
    <row r="452" spans="1:5">
      <c r="A452" s="19">
        <f t="shared" si="23"/>
        <v>1900</v>
      </c>
      <c r="C452" s="165"/>
      <c r="D452" s="165"/>
      <c r="E452" s="165"/>
    </row>
    <row r="453" spans="1:5">
      <c r="A453" s="19">
        <f t="shared" si="23"/>
        <v>1900</v>
      </c>
      <c r="C453" s="165"/>
      <c r="D453" s="165"/>
      <c r="E453" s="165"/>
    </row>
    <row r="454" spans="1:5">
      <c r="A454" s="19">
        <f t="shared" si="23"/>
        <v>1900</v>
      </c>
      <c r="C454" s="165"/>
      <c r="D454" s="165"/>
      <c r="E454" s="165"/>
    </row>
    <row r="455" spans="1:5">
      <c r="A455" s="19">
        <f t="shared" si="23"/>
        <v>1900</v>
      </c>
      <c r="C455" s="165"/>
      <c r="D455" s="165"/>
      <c r="E455" s="165"/>
    </row>
    <row r="456" spans="1:5">
      <c r="A456" s="19">
        <f t="shared" ref="A456:A508" si="24">YEAR(B458)</f>
        <v>1900</v>
      </c>
      <c r="C456" s="165"/>
      <c r="D456" s="165"/>
      <c r="E456" s="165"/>
    </row>
    <row r="457" spans="1:5">
      <c r="A457" s="19">
        <f t="shared" si="24"/>
        <v>1900</v>
      </c>
      <c r="C457" s="165"/>
      <c r="D457" s="165"/>
      <c r="E457" s="165"/>
    </row>
    <row r="458" spans="1:5">
      <c r="A458" s="19">
        <f t="shared" si="24"/>
        <v>1900</v>
      </c>
      <c r="C458" s="165"/>
      <c r="D458" s="165"/>
      <c r="E458" s="165"/>
    </row>
    <row r="459" spans="1:5">
      <c r="A459" s="19">
        <f t="shared" si="24"/>
        <v>1900</v>
      </c>
      <c r="C459" s="165"/>
      <c r="D459" s="165"/>
      <c r="E459" s="165"/>
    </row>
    <row r="460" spans="1:5">
      <c r="A460" s="19">
        <f t="shared" si="24"/>
        <v>1900</v>
      </c>
      <c r="C460" s="165"/>
      <c r="D460" s="165"/>
      <c r="E460" s="165"/>
    </row>
    <row r="461" spans="1:5">
      <c r="A461" s="19">
        <f t="shared" si="24"/>
        <v>1900</v>
      </c>
      <c r="C461" s="165"/>
      <c r="D461" s="165"/>
      <c r="E461" s="165"/>
    </row>
    <row r="462" spans="1:5">
      <c r="A462" s="19">
        <f t="shared" si="24"/>
        <v>1900</v>
      </c>
      <c r="C462" s="165"/>
      <c r="D462" s="165"/>
      <c r="E462" s="165"/>
    </row>
    <row r="463" spans="1:5">
      <c r="A463" s="19">
        <f t="shared" si="24"/>
        <v>1900</v>
      </c>
      <c r="C463" s="165"/>
      <c r="D463" s="165"/>
      <c r="E463" s="165"/>
    </row>
    <row r="464" spans="1:5">
      <c r="A464" s="19">
        <f t="shared" si="24"/>
        <v>1900</v>
      </c>
      <c r="C464" s="165"/>
      <c r="D464" s="165"/>
      <c r="E464" s="165"/>
    </row>
    <row r="465" spans="1:5">
      <c r="A465" s="19">
        <f t="shared" si="24"/>
        <v>1900</v>
      </c>
      <c r="C465" s="165"/>
      <c r="D465" s="165"/>
      <c r="E465" s="165"/>
    </row>
    <row r="466" spans="1:5">
      <c r="A466" s="19">
        <f t="shared" si="24"/>
        <v>1900</v>
      </c>
      <c r="C466" s="165"/>
      <c r="D466" s="165"/>
      <c r="E466" s="165"/>
    </row>
    <row r="467" spans="1:5">
      <c r="A467" s="19">
        <f t="shared" si="24"/>
        <v>1900</v>
      </c>
      <c r="C467" s="165"/>
      <c r="D467" s="165"/>
      <c r="E467" s="165"/>
    </row>
    <row r="468" spans="1:5">
      <c r="A468" s="19">
        <f t="shared" si="24"/>
        <v>1900</v>
      </c>
      <c r="C468" s="165"/>
      <c r="D468" s="165"/>
      <c r="E468" s="165"/>
    </row>
    <row r="469" spans="1:5">
      <c r="A469" s="19">
        <f t="shared" si="24"/>
        <v>1900</v>
      </c>
      <c r="C469" s="165"/>
      <c r="D469" s="165"/>
      <c r="E469" s="165"/>
    </row>
    <row r="470" spans="1:5">
      <c r="A470" s="19">
        <f t="shared" si="24"/>
        <v>1900</v>
      </c>
      <c r="C470" s="165"/>
      <c r="D470" s="165"/>
      <c r="E470" s="165"/>
    </row>
    <row r="471" spans="1:5">
      <c r="A471" s="19">
        <f t="shared" si="24"/>
        <v>1900</v>
      </c>
      <c r="C471" s="165"/>
      <c r="D471" s="165"/>
      <c r="E471" s="165"/>
    </row>
    <row r="472" spans="1:5">
      <c r="A472" s="19">
        <f t="shared" si="24"/>
        <v>1900</v>
      </c>
      <c r="C472" s="165"/>
      <c r="D472" s="165"/>
      <c r="E472" s="165"/>
    </row>
    <row r="473" spans="1:5">
      <c r="A473" s="19">
        <f t="shared" si="24"/>
        <v>1900</v>
      </c>
      <c r="C473" s="165"/>
      <c r="D473" s="165"/>
      <c r="E473" s="165"/>
    </row>
    <row r="474" spans="1:5">
      <c r="A474" s="19">
        <f t="shared" si="24"/>
        <v>1900</v>
      </c>
      <c r="C474" s="165"/>
      <c r="D474" s="165"/>
      <c r="E474" s="165"/>
    </row>
    <row r="475" spans="1:5">
      <c r="A475" s="19">
        <f t="shared" si="24"/>
        <v>1900</v>
      </c>
      <c r="C475" s="165"/>
      <c r="D475" s="165"/>
      <c r="E475" s="165"/>
    </row>
    <row r="476" spans="1:5">
      <c r="A476" s="19">
        <f t="shared" si="24"/>
        <v>1900</v>
      </c>
      <c r="C476" s="165"/>
      <c r="D476" s="165"/>
      <c r="E476" s="165"/>
    </row>
    <row r="477" spans="1:5">
      <c r="A477" s="19">
        <f t="shared" si="24"/>
        <v>1900</v>
      </c>
      <c r="C477" s="165"/>
      <c r="D477" s="165"/>
      <c r="E477" s="165"/>
    </row>
    <row r="478" spans="1:5">
      <c r="A478" s="19">
        <f t="shared" si="24"/>
        <v>1900</v>
      </c>
      <c r="C478" s="165"/>
      <c r="D478" s="165"/>
      <c r="E478" s="165"/>
    </row>
    <row r="479" spans="1:5">
      <c r="A479" s="19">
        <f t="shared" si="24"/>
        <v>1900</v>
      </c>
      <c r="C479" s="165"/>
      <c r="D479" s="165"/>
      <c r="E479" s="165"/>
    </row>
    <row r="480" spans="1:5">
      <c r="A480" s="19">
        <f t="shared" si="24"/>
        <v>1900</v>
      </c>
      <c r="C480" s="165"/>
      <c r="D480" s="165"/>
      <c r="E480" s="165"/>
    </row>
    <row r="481" spans="1:5">
      <c r="A481" s="19">
        <f t="shared" si="24"/>
        <v>1900</v>
      </c>
      <c r="C481" s="165"/>
      <c r="D481" s="165"/>
      <c r="E481" s="165"/>
    </row>
    <row r="482" spans="1:5">
      <c r="A482" s="19">
        <f t="shared" si="24"/>
        <v>1900</v>
      </c>
      <c r="C482" s="165"/>
      <c r="D482" s="165"/>
      <c r="E482" s="165"/>
    </row>
    <row r="483" spans="1:5">
      <c r="A483" s="19">
        <f t="shared" si="24"/>
        <v>1900</v>
      </c>
      <c r="C483" s="165"/>
      <c r="D483" s="165"/>
      <c r="E483" s="165"/>
    </row>
    <row r="484" spans="1:5">
      <c r="A484" s="19">
        <f t="shared" si="24"/>
        <v>1900</v>
      </c>
      <c r="C484" s="165"/>
      <c r="D484" s="165"/>
      <c r="E484" s="165"/>
    </row>
    <row r="485" spans="1:5">
      <c r="A485" s="19">
        <f t="shared" si="24"/>
        <v>1900</v>
      </c>
      <c r="C485" s="165"/>
      <c r="D485" s="165"/>
      <c r="E485" s="165"/>
    </row>
    <row r="486" spans="1:5">
      <c r="A486" s="19">
        <f t="shared" si="24"/>
        <v>1900</v>
      </c>
      <c r="C486" s="165"/>
      <c r="D486" s="165"/>
      <c r="E486" s="165"/>
    </row>
    <row r="487" spans="1:5">
      <c r="A487" s="19">
        <f t="shared" si="24"/>
        <v>1900</v>
      </c>
    </row>
    <row r="488" spans="1:5">
      <c r="A488" s="19">
        <f t="shared" si="24"/>
        <v>1900</v>
      </c>
    </row>
    <row r="489" spans="1:5">
      <c r="A489" s="19">
        <f t="shared" si="24"/>
        <v>1900</v>
      </c>
    </row>
    <row r="490" spans="1:5">
      <c r="A490" s="19">
        <f t="shared" si="24"/>
        <v>1900</v>
      </c>
    </row>
    <row r="491" spans="1:5">
      <c r="A491" s="19">
        <f t="shared" si="24"/>
        <v>1900</v>
      </c>
    </row>
    <row r="492" spans="1:5">
      <c r="A492" s="19">
        <f t="shared" si="24"/>
        <v>1900</v>
      </c>
    </row>
    <row r="493" spans="1:5">
      <c r="A493" s="19">
        <f t="shared" si="24"/>
        <v>1900</v>
      </c>
    </row>
    <row r="494" spans="1:5">
      <c r="A494" s="19">
        <f t="shared" si="24"/>
        <v>1900</v>
      </c>
    </row>
    <row r="495" spans="1:5">
      <c r="A495" s="19">
        <f t="shared" si="24"/>
        <v>1900</v>
      </c>
    </row>
    <row r="496" spans="1:5">
      <c r="A496" s="19">
        <f t="shared" si="24"/>
        <v>1900</v>
      </c>
    </row>
    <row r="497" spans="1:1">
      <c r="A497" s="19">
        <f t="shared" si="24"/>
        <v>1900</v>
      </c>
    </row>
    <row r="498" spans="1:1">
      <c r="A498" s="19">
        <f t="shared" si="24"/>
        <v>1900</v>
      </c>
    </row>
    <row r="499" spans="1:1">
      <c r="A499" s="19">
        <f t="shared" si="24"/>
        <v>1900</v>
      </c>
    </row>
    <row r="500" spans="1:1">
      <c r="A500" s="19">
        <f t="shared" si="24"/>
        <v>1900</v>
      </c>
    </row>
    <row r="501" spans="1:1">
      <c r="A501" s="19">
        <f t="shared" si="24"/>
        <v>1900</v>
      </c>
    </row>
    <row r="502" spans="1:1">
      <c r="A502" s="19">
        <f t="shared" si="24"/>
        <v>1900</v>
      </c>
    </row>
    <row r="503" spans="1:1">
      <c r="A503" s="19">
        <f t="shared" si="24"/>
        <v>1900</v>
      </c>
    </row>
    <row r="504" spans="1:1">
      <c r="A504" s="19">
        <f t="shared" si="24"/>
        <v>1900</v>
      </c>
    </row>
    <row r="505" spans="1:1">
      <c r="A505" s="19">
        <f t="shared" si="24"/>
        <v>1900</v>
      </c>
    </row>
    <row r="506" spans="1:1">
      <c r="A506" s="19">
        <f t="shared" si="24"/>
        <v>1900</v>
      </c>
    </row>
    <row r="507" spans="1:1">
      <c r="A507" s="19">
        <f t="shared" si="24"/>
        <v>1900</v>
      </c>
    </row>
    <row r="508" spans="1:1">
      <c r="A508" s="19">
        <f t="shared" si="24"/>
        <v>1900</v>
      </c>
    </row>
  </sheetData>
  <mergeCells count="3">
    <mergeCell ref="B6:F6"/>
    <mergeCell ref="H6:L6"/>
    <mergeCell ref="N6:R6"/>
  </mergeCells>
  <pageMargins left="0.7" right="0.7" top="0.75" bottom="0.75" header="0.3" footer="0.3"/>
  <pageSetup paperSize="9" orientation="portrait" r:id="rId1"/>
  <ignoredErrors>
    <ignoredError sqref="J8:J17 P8:P17"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9"/>
  <sheetViews>
    <sheetView showGridLines="0" topLeftCell="D1" zoomScaleNormal="100" workbookViewId="0">
      <pane ySplit="7" topLeftCell="A8" activePane="bottomLeft" state="frozen"/>
      <selection activeCell="D1" sqref="D1"/>
      <selection pane="bottomLeft" activeCell="J461" sqref="J461"/>
    </sheetView>
  </sheetViews>
  <sheetFormatPr defaultColWidth="14.7109375" defaultRowHeight="11.25"/>
  <cols>
    <col min="1" max="3" width="14.7109375" style="173" hidden="1" customWidth="1"/>
    <col min="4" max="4" width="13.140625" style="173" bestFit="1" customWidth="1"/>
    <col min="5" max="5" width="18.28515625" style="173" customWidth="1"/>
    <col min="6" max="6" width="19" style="173" customWidth="1"/>
    <col min="7" max="7" width="20.28515625" style="173" customWidth="1"/>
    <col min="8" max="8" width="19.5703125" style="173" customWidth="1"/>
    <col min="9" max="9" width="17.5703125" style="173" customWidth="1"/>
    <col min="10" max="10" width="17" style="173" customWidth="1"/>
    <col min="11" max="11" width="17.28515625" style="173" customWidth="1"/>
    <col min="12" max="12" width="16.7109375" style="173" customWidth="1"/>
    <col min="13" max="13" width="3.85546875" style="174" customWidth="1"/>
    <col min="14" max="14" width="11.5703125" style="173" customWidth="1"/>
    <col min="15" max="15" width="18.7109375" style="173" customWidth="1"/>
    <col min="16" max="16" width="19.42578125" style="173" customWidth="1"/>
    <col min="17" max="17" width="17.7109375" style="173" customWidth="1"/>
    <col min="18" max="18" width="19.140625" style="173" customWidth="1"/>
    <col min="19" max="19" width="18" style="173" customWidth="1"/>
    <col min="20" max="20" width="18.42578125" style="173" customWidth="1"/>
    <col min="21" max="21" width="14.42578125" style="173" customWidth="1"/>
    <col min="22" max="22" width="2.7109375" style="173" customWidth="1"/>
    <col min="23" max="23" width="12.140625" style="173" bestFit="1" customWidth="1"/>
    <col min="24" max="24" width="18.5703125" style="173" customWidth="1"/>
    <col min="25" max="25" width="21.140625" style="173" customWidth="1"/>
    <col min="26" max="26" width="18.42578125" style="173" customWidth="1"/>
    <col min="27" max="27" width="19.42578125" style="173" customWidth="1"/>
    <col min="28" max="28" width="18.140625" style="173" customWidth="1"/>
    <col min="29" max="29" width="18.7109375" style="173" customWidth="1"/>
    <col min="30" max="16384" width="14.7109375" style="173"/>
  </cols>
  <sheetData>
    <row r="1" spans="1:31" ht="18">
      <c r="H1" s="454"/>
      <c r="M1" s="173"/>
      <c r="N1" s="163">
        <f>(LARGE(A187:A690,1))</f>
        <v>2060</v>
      </c>
      <c r="O1" s="205"/>
      <c r="P1" s="205"/>
      <c r="Q1" s="205"/>
      <c r="R1" s="205"/>
      <c r="S1" s="116"/>
      <c r="T1" s="205"/>
      <c r="U1" s="298"/>
      <c r="V1" s="205"/>
      <c r="W1" s="205"/>
      <c r="X1" s="205"/>
      <c r="Y1" s="205"/>
    </row>
    <row r="2" spans="1:31" ht="15.75">
      <c r="H2" s="455"/>
      <c r="I2" s="453"/>
      <c r="M2" s="173"/>
      <c r="N2" s="163">
        <f>COUNTIF($A$187:$A$429,N1)</f>
        <v>4</v>
      </c>
      <c r="O2" s="205"/>
      <c r="P2" s="205"/>
      <c r="Q2" s="205"/>
      <c r="R2" s="205"/>
      <c r="S2" s="205"/>
      <c r="T2" s="205"/>
      <c r="U2" s="298"/>
      <c r="V2" s="205"/>
      <c r="W2" s="205"/>
      <c r="X2" s="205"/>
      <c r="Y2" s="205"/>
    </row>
    <row r="3" spans="1:31" ht="15.75">
      <c r="H3" s="455"/>
      <c r="M3" s="173"/>
      <c r="N3" s="163" t="str">
        <f>IF(N2=2,"Financial Year","Calendar Year")</f>
        <v>Calendar Year</v>
      </c>
      <c r="O3" s="205"/>
      <c r="P3" s="205"/>
      <c r="Q3" s="205"/>
      <c r="R3" s="205"/>
      <c r="S3" s="205"/>
      <c r="T3" s="205"/>
      <c r="U3" s="298"/>
      <c r="V3" s="205"/>
      <c r="W3" s="205"/>
      <c r="X3" s="205"/>
      <c r="Y3" s="205"/>
    </row>
    <row r="4" spans="1:31" ht="15">
      <c r="M4" s="173"/>
      <c r="N4" s="8"/>
      <c r="O4" s="205"/>
      <c r="P4" s="205"/>
      <c r="Q4" s="205"/>
      <c r="R4" s="205"/>
      <c r="S4" s="205"/>
      <c r="T4" s="205"/>
      <c r="U4" s="298"/>
      <c r="V4" s="205"/>
      <c r="W4" s="205"/>
      <c r="X4" s="205"/>
      <c r="Y4" s="205"/>
    </row>
    <row r="5" spans="1:31" ht="15">
      <c r="M5" s="173"/>
      <c r="N5" s="8"/>
      <c r="O5" s="298"/>
      <c r="P5" s="298"/>
      <c r="Q5" s="298"/>
      <c r="R5" s="298"/>
      <c r="S5" s="298"/>
      <c r="T5" s="298"/>
      <c r="U5" s="298"/>
      <c r="V5" s="298"/>
      <c r="W5" s="298"/>
      <c r="X5" s="298"/>
      <c r="Y5" s="298"/>
    </row>
    <row r="6" spans="1:31" ht="15.75" thickBot="1">
      <c r="D6" s="1049" t="s">
        <v>1119</v>
      </c>
      <c r="E6" s="1049"/>
      <c r="F6" s="1049"/>
      <c r="G6" s="1049"/>
      <c r="H6" s="1049"/>
      <c r="I6" s="1049"/>
      <c r="J6" s="1049"/>
      <c r="K6" s="1049"/>
      <c r="L6" s="1049"/>
      <c r="M6" s="173"/>
      <c r="N6" s="1019" t="s">
        <v>1118</v>
      </c>
      <c r="O6" s="1019"/>
      <c r="P6" s="1019"/>
      <c r="Q6" s="1019"/>
      <c r="R6" s="1019"/>
      <c r="S6" s="1019"/>
      <c r="T6" s="1019"/>
      <c r="U6" s="1019"/>
      <c r="V6" s="30"/>
      <c r="W6" s="1019" t="s">
        <v>1117</v>
      </c>
      <c r="X6" s="1019"/>
      <c r="Y6" s="1019"/>
      <c r="Z6" s="1019"/>
      <c r="AA6" s="1019"/>
      <c r="AB6" s="1019"/>
      <c r="AC6" s="1019"/>
      <c r="AD6" s="1019"/>
    </row>
    <row r="7" spans="1:31" ht="38.25" customHeight="1">
      <c r="A7" s="176"/>
      <c r="B7" s="176"/>
      <c r="C7" s="176"/>
      <c r="D7" s="355" t="s">
        <v>24</v>
      </c>
      <c r="E7" s="20" t="s">
        <v>1145</v>
      </c>
      <c r="F7" s="20" t="s">
        <v>1146</v>
      </c>
      <c r="G7" s="20" t="s">
        <v>1147</v>
      </c>
      <c r="H7" s="20" t="s">
        <v>1148</v>
      </c>
      <c r="I7" s="20" t="s">
        <v>1149</v>
      </c>
      <c r="J7" s="20" t="s">
        <v>1150</v>
      </c>
      <c r="K7" s="20" t="s">
        <v>1151</v>
      </c>
      <c r="L7" s="289" t="s">
        <v>1152</v>
      </c>
      <c r="M7" s="173"/>
      <c r="N7" s="602" t="s">
        <v>1063</v>
      </c>
      <c r="O7" s="20" t="s">
        <v>1145</v>
      </c>
      <c r="P7" s="20" t="s">
        <v>1146</v>
      </c>
      <c r="Q7" s="20" t="s">
        <v>1147</v>
      </c>
      <c r="R7" s="20" t="s">
        <v>1148</v>
      </c>
      <c r="S7" s="20" t="s">
        <v>1149</v>
      </c>
      <c r="T7" s="20" t="s">
        <v>1150</v>
      </c>
      <c r="U7" s="289" t="s">
        <v>1153</v>
      </c>
      <c r="V7" s="28" t="s">
        <v>1041</v>
      </c>
      <c r="W7" s="354" t="s">
        <v>1063</v>
      </c>
      <c r="X7" s="20" t="s">
        <v>1145</v>
      </c>
      <c r="Y7" s="20" t="s">
        <v>1146</v>
      </c>
      <c r="Z7" s="20" t="s">
        <v>1147</v>
      </c>
      <c r="AA7" s="20" t="s">
        <v>1148</v>
      </c>
      <c r="AB7" s="20" t="s">
        <v>1149</v>
      </c>
      <c r="AC7" s="20" t="s">
        <v>1150</v>
      </c>
      <c r="AD7" s="289" t="s">
        <v>1153</v>
      </c>
    </row>
    <row r="8" spans="1:31" ht="15">
      <c r="A8" s="177">
        <f t="shared" ref="A8:A71" si="0">YEAR(D8)</f>
        <v>1978</v>
      </c>
      <c r="B8" s="178" t="str">
        <f t="shared" ref="B8:B71" si="1">IF(MONTH(D8)&lt;4,"1",IF(MONTH(D8)&lt;7,"2",IF(MONTH(D8)&lt;10,"3","4")))</f>
        <v>2</v>
      </c>
      <c r="C8" s="231">
        <f>_xlfn.NUMBERVALUE(CONCATENATE(A8,B8))</f>
        <v>19782</v>
      </c>
      <c r="D8" s="16">
        <v>28642</v>
      </c>
      <c r="E8" s="649">
        <v>2.2000000000000002</v>
      </c>
      <c r="F8" s="650">
        <v>3.8</v>
      </c>
      <c r="G8" s="650">
        <v>6</v>
      </c>
      <c r="H8" s="650">
        <v>15</v>
      </c>
      <c r="I8" s="650">
        <v>5.2</v>
      </c>
      <c r="J8" s="650">
        <v>20.9</v>
      </c>
      <c r="K8" s="650">
        <f>SUM(J8,G8)</f>
        <v>26.9</v>
      </c>
      <c r="L8" s="376">
        <f>G8/K8</f>
        <v>0.22304832713754649</v>
      </c>
      <c r="M8" s="173"/>
      <c r="N8" s="603">
        <f t="shared" ref="N8:N14" si="2">N9-1</f>
        <v>2011</v>
      </c>
      <c r="O8" s="604">
        <f t="shared" ref="O8:T8" si="3">SUM(E139:E142)</f>
        <v>648.9</v>
      </c>
      <c r="P8" s="604">
        <f t="shared" si="3"/>
        <v>211.1</v>
      </c>
      <c r="Q8" s="377">
        <f t="shared" si="3"/>
        <v>860</v>
      </c>
      <c r="R8" s="377">
        <f t="shared" si="3"/>
        <v>1913.2000000000003</v>
      </c>
      <c r="S8" s="377">
        <f t="shared" si="3"/>
        <v>511.7</v>
      </c>
      <c r="T8" s="377">
        <f t="shared" si="3"/>
        <v>2424.9</v>
      </c>
      <c r="U8" s="605">
        <f t="shared" ref="U8:U16" si="4">Q8/(T8+Q8)</f>
        <v>0.2618040122987001</v>
      </c>
      <c r="V8" s="27"/>
      <c r="W8" s="603" t="s">
        <v>865</v>
      </c>
      <c r="X8" s="604">
        <f>SUM(E141,E142,E143,E144)</f>
        <v>628.79999999999995</v>
      </c>
      <c r="Y8" s="604">
        <f t="shared" ref="Y8:AC8" si="5">SUM(F141,F142,F143,F144)</f>
        <v>286</v>
      </c>
      <c r="Z8" s="604">
        <f t="shared" si="5"/>
        <v>914.69999999999993</v>
      </c>
      <c r="AA8" s="604">
        <f t="shared" si="5"/>
        <v>1655.7</v>
      </c>
      <c r="AB8" s="604">
        <f t="shared" si="5"/>
        <v>621.29999999999995</v>
      </c>
      <c r="AC8" s="604">
        <f t="shared" si="5"/>
        <v>2276.9</v>
      </c>
      <c r="AD8" s="421">
        <f t="shared" ref="AD8:AD11" si="6">Z8/(AC8+Z8)</f>
        <v>0.28659606466975812</v>
      </c>
    </row>
    <row r="9" spans="1:31" ht="15">
      <c r="A9" s="177">
        <f t="shared" si="0"/>
        <v>1978</v>
      </c>
      <c r="B9" s="178" t="str">
        <f t="shared" si="1"/>
        <v>3</v>
      </c>
      <c r="C9" s="231">
        <f t="shared" ref="C9:C72" si="7">_xlfn.NUMBERVALUE(CONCATENATE(A9,B9))</f>
        <v>19783</v>
      </c>
      <c r="D9" s="16">
        <v>28734</v>
      </c>
      <c r="E9" s="651">
        <v>2.2000000000000002</v>
      </c>
      <c r="F9" s="652">
        <v>4.3</v>
      </c>
      <c r="G9" s="652">
        <v>6.7</v>
      </c>
      <c r="H9" s="652">
        <v>18</v>
      </c>
      <c r="I9" s="652">
        <v>5.5</v>
      </c>
      <c r="J9" s="652">
        <v>23.1</v>
      </c>
      <c r="K9" s="652">
        <f t="shared" ref="K9:K72" si="8">SUM(J9,G9)</f>
        <v>29.8</v>
      </c>
      <c r="L9" s="369">
        <f t="shared" ref="L9:L72" si="9">G9/K9</f>
        <v>0.22483221476510068</v>
      </c>
      <c r="M9" s="173"/>
      <c r="N9" s="317">
        <f t="shared" si="2"/>
        <v>2012</v>
      </c>
      <c r="O9" s="380">
        <f t="shared" ref="O9:T9" si="10">SUM(E143:E146)</f>
        <v>658.6</v>
      </c>
      <c r="P9" s="380">
        <f t="shared" si="10"/>
        <v>345.9</v>
      </c>
      <c r="Q9" s="378">
        <f t="shared" si="10"/>
        <v>1004.3999999999999</v>
      </c>
      <c r="R9" s="380">
        <f t="shared" si="10"/>
        <v>2170.1999999999998</v>
      </c>
      <c r="S9" s="380">
        <f t="shared" si="10"/>
        <v>790.9</v>
      </c>
      <c r="T9" s="380">
        <f t="shared" si="10"/>
        <v>2961</v>
      </c>
      <c r="U9" s="606">
        <f t="shared" si="4"/>
        <v>0.25329096686336811</v>
      </c>
      <c r="V9" s="27"/>
      <c r="W9" s="317" t="s">
        <v>866</v>
      </c>
      <c r="X9" s="380">
        <f>SUM(E145,E146,E147,E148)</f>
        <v>943.59999999999991</v>
      </c>
      <c r="Y9" s="380">
        <f t="shared" ref="Y9:AC9" si="11">SUM(F145,F146,F147,F148)</f>
        <v>421</v>
      </c>
      <c r="Z9" s="380">
        <f t="shared" si="11"/>
        <v>1364.6</v>
      </c>
      <c r="AA9" s="380">
        <f t="shared" si="11"/>
        <v>2630.1000000000004</v>
      </c>
      <c r="AB9" s="380">
        <f t="shared" si="11"/>
        <v>795.1</v>
      </c>
      <c r="AC9" s="380">
        <f t="shared" si="11"/>
        <v>3425.2000000000003</v>
      </c>
      <c r="AD9" s="766">
        <f t="shared" si="6"/>
        <v>0.28489707294667832</v>
      </c>
    </row>
    <row r="10" spans="1:31" ht="15">
      <c r="A10" s="177">
        <f t="shared" si="0"/>
        <v>1978</v>
      </c>
      <c r="B10" s="178" t="str">
        <f t="shared" si="1"/>
        <v>4</v>
      </c>
      <c r="C10" s="231">
        <f t="shared" si="7"/>
        <v>19784</v>
      </c>
      <c r="D10" s="16">
        <v>28825</v>
      </c>
      <c r="E10" s="649">
        <v>2.9</v>
      </c>
      <c r="F10" s="650">
        <v>5.5</v>
      </c>
      <c r="G10" s="650">
        <v>8.5</v>
      </c>
      <c r="H10" s="650">
        <v>13.3</v>
      </c>
      <c r="I10" s="650">
        <v>10.6</v>
      </c>
      <c r="J10" s="650">
        <v>25.4</v>
      </c>
      <c r="K10" s="650">
        <f t="shared" si="8"/>
        <v>33.9</v>
      </c>
      <c r="L10" s="376">
        <f t="shared" si="9"/>
        <v>0.2507374631268437</v>
      </c>
      <c r="M10" s="173"/>
      <c r="N10" s="603">
        <f t="shared" si="2"/>
        <v>2013</v>
      </c>
      <c r="O10" s="604">
        <f t="shared" ref="O10:T10" si="12">SUM(E147:E150)</f>
        <v>931.2</v>
      </c>
      <c r="P10" s="604">
        <f t="shared" si="12"/>
        <v>420.7</v>
      </c>
      <c r="Q10" s="377">
        <f t="shared" si="12"/>
        <v>1351.8000000000002</v>
      </c>
      <c r="R10" s="377">
        <f t="shared" si="12"/>
        <v>2553.6</v>
      </c>
      <c r="S10" s="377">
        <f t="shared" si="12"/>
        <v>623.90000000000009</v>
      </c>
      <c r="T10" s="377">
        <f t="shared" si="12"/>
        <v>3177.4</v>
      </c>
      <c r="U10" s="605">
        <f t="shared" si="4"/>
        <v>0.29846330477788569</v>
      </c>
      <c r="V10" s="27"/>
      <c r="W10" s="603" t="s">
        <v>867</v>
      </c>
      <c r="X10" s="604">
        <f>SUM(E149,E150,E151,E152)</f>
        <v>721</v>
      </c>
      <c r="Y10" s="604">
        <f t="shared" ref="Y10:AC10" si="13">SUM(F149,F150,F151,F152)</f>
        <v>595.4</v>
      </c>
      <c r="Z10" s="604">
        <f t="shared" si="13"/>
        <v>1316.3000000000002</v>
      </c>
      <c r="AA10" s="604">
        <f t="shared" si="13"/>
        <v>2787.1000000000004</v>
      </c>
      <c r="AB10" s="604">
        <f t="shared" si="13"/>
        <v>736.8</v>
      </c>
      <c r="AC10" s="604">
        <f t="shared" si="13"/>
        <v>3523.7999999999997</v>
      </c>
      <c r="AD10" s="421">
        <f t="shared" si="6"/>
        <v>0.27195719096712878</v>
      </c>
    </row>
    <row r="11" spans="1:31" ht="15">
      <c r="A11" s="177">
        <f t="shared" si="0"/>
        <v>1979</v>
      </c>
      <c r="B11" s="178" t="str">
        <f t="shared" si="1"/>
        <v>1</v>
      </c>
      <c r="C11" s="231">
        <f t="shared" si="7"/>
        <v>19791</v>
      </c>
      <c r="D11" s="16">
        <v>28915</v>
      </c>
      <c r="E11" s="651">
        <v>1.6</v>
      </c>
      <c r="F11" s="652">
        <v>5</v>
      </c>
      <c r="G11" s="652">
        <v>6.5</v>
      </c>
      <c r="H11" s="652">
        <v>30.3</v>
      </c>
      <c r="I11" s="652">
        <v>10.199999999999999</v>
      </c>
      <c r="J11" s="652">
        <v>38.700000000000003</v>
      </c>
      <c r="K11" s="652">
        <f t="shared" si="8"/>
        <v>45.2</v>
      </c>
      <c r="L11" s="369">
        <f t="shared" si="9"/>
        <v>0.14380530973451328</v>
      </c>
      <c r="M11" s="173"/>
      <c r="N11" s="317">
        <f t="shared" si="2"/>
        <v>2014</v>
      </c>
      <c r="O11" s="380">
        <f t="shared" ref="O11:T11" si="14">SUM(E151:E154)</f>
        <v>764.50000000000011</v>
      </c>
      <c r="P11" s="380">
        <f t="shared" si="14"/>
        <v>662.4</v>
      </c>
      <c r="Q11" s="378">
        <f t="shared" si="14"/>
        <v>1426.8999999999999</v>
      </c>
      <c r="R11" s="380">
        <f t="shared" si="14"/>
        <v>2617</v>
      </c>
      <c r="S11" s="380">
        <f t="shared" si="14"/>
        <v>696.7</v>
      </c>
      <c r="T11" s="380">
        <f t="shared" si="14"/>
        <v>3313.7</v>
      </c>
      <c r="U11" s="606">
        <f t="shared" si="4"/>
        <v>0.3009956545584947</v>
      </c>
      <c r="V11" s="27"/>
      <c r="W11" s="317" t="s">
        <v>868</v>
      </c>
      <c r="X11" s="380">
        <f>SUM(E153,E154,E155,E156)</f>
        <v>761.80000000000007</v>
      </c>
      <c r="Y11" s="380">
        <f t="shared" ref="Y11:AC11" si="15">SUM(F153,F154,F155,F156)</f>
        <v>478.79999999999995</v>
      </c>
      <c r="Z11" s="380">
        <f t="shared" si="15"/>
        <v>1240.5999999999999</v>
      </c>
      <c r="AA11" s="380">
        <f t="shared" si="15"/>
        <v>1968.8000000000002</v>
      </c>
      <c r="AB11" s="380">
        <f t="shared" si="15"/>
        <v>581.09999999999991</v>
      </c>
      <c r="AC11" s="380">
        <f t="shared" si="15"/>
        <v>2549.8999999999996</v>
      </c>
      <c r="AD11" s="766">
        <f t="shared" si="6"/>
        <v>0.3272919139955151</v>
      </c>
    </row>
    <row r="12" spans="1:31" ht="15">
      <c r="A12" s="177">
        <f t="shared" si="0"/>
        <v>1979</v>
      </c>
      <c r="B12" s="178" t="str">
        <f t="shared" si="1"/>
        <v>2</v>
      </c>
      <c r="C12" s="231">
        <f t="shared" si="7"/>
        <v>19792</v>
      </c>
      <c r="D12" s="16">
        <v>29007</v>
      </c>
      <c r="E12" s="649">
        <v>2.4</v>
      </c>
      <c r="F12" s="650">
        <v>6.1</v>
      </c>
      <c r="G12" s="650">
        <v>8.3000000000000007</v>
      </c>
      <c r="H12" s="650">
        <v>35.1</v>
      </c>
      <c r="I12" s="650">
        <v>9.5</v>
      </c>
      <c r="J12" s="650">
        <v>45.5</v>
      </c>
      <c r="K12" s="650">
        <f t="shared" si="8"/>
        <v>53.8</v>
      </c>
      <c r="L12" s="376">
        <f t="shared" si="9"/>
        <v>0.154275092936803</v>
      </c>
      <c r="M12" s="173"/>
      <c r="N12" s="603">
        <f t="shared" si="2"/>
        <v>2015</v>
      </c>
      <c r="O12" s="604">
        <f t="shared" ref="O12:T12" si="16">SUM(E155:E158)</f>
        <v>521.9</v>
      </c>
      <c r="P12" s="604">
        <f t="shared" si="16"/>
        <v>382.1</v>
      </c>
      <c r="Q12" s="377">
        <f t="shared" si="16"/>
        <v>903.99999999999989</v>
      </c>
      <c r="R12" s="377">
        <f t="shared" si="16"/>
        <v>1268.8</v>
      </c>
      <c r="S12" s="377">
        <f t="shared" si="16"/>
        <v>575.59999999999991</v>
      </c>
      <c r="T12" s="377">
        <f t="shared" si="16"/>
        <v>1844.4</v>
      </c>
      <c r="U12" s="605">
        <f t="shared" si="4"/>
        <v>0.32891864357444328</v>
      </c>
      <c r="V12" s="27"/>
      <c r="W12" s="603" t="s">
        <v>869</v>
      </c>
      <c r="X12" s="604">
        <f>SUM(E157,E158,E159,E160)</f>
        <v>240.1</v>
      </c>
      <c r="Y12" s="604">
        <f t="shared" ref="Y12:AC12" si="17">SUM(F157,F158,F159,F160)</f>
        <v>248.79999999999998</v>
      </c>
      <c r="Z12" s="604">
        <f t="shared" si="17"/>
        <v>488.90000000000003</v>
      </c>
      <c r="AA12" s="604">
        <f t="shared" si="17"/>
        <v>892</v>
      </c>
      <c r="AB12" s="604">
        <f t="shared" si="17"/>
        <v>396.8</v>
      </c>
      <c r="AC12" s="604">
        <f t="shared" si="17"/>
        <v>1288.8</v>
      </c>
      <c r="AD12" s="421">
        <f t="shared" ref="AD12:AD16" si="18">Z12/(AC12+Z12)</f>
        <v>0.27501828204983969</v>
      </c>
    </row>
    <row r="13" spans="1:31" ht="15">
      <c r="A13" s="177">
        <f t="shared" si="0"/>
        <v>1979</v>
      </c>
      <c r="B13" s="178" t="str">
        <f t="shared" si="1"/>
        <v>3</v>
      </c>
      <c r="C13" s="231">
        <f t="shared" si="7"/>
        <v>19793</v>
      </c>
      <c r="D13" s="16">
        <v>29099</v>
      </c>
      <c r="E13" s="651">
        <v>4.7</v>
      </c>
      <c r="F13" s="652">
        <v>7.3</v>
      </c>
      <c r="G13" s="652">
        <v>12.5</v>
      </c>
      <c r="H13" s="652">
        <v>39.700000000000003</v>
      </c>
      <c r="I13" s="652">
        <v>8.6999999999999993</v>
      </c>
      <c r="J13" s="652">
        <v>47.9</v>
      </c>
      <c r="K13" s="652">
        <f t="shared" si="8"/>
        <v>60.4</v>
      </c>
      <c r="L13" s="369">
        <f t="shared" si="9"/>
        <v>0.20695364238410596</v>
      </c>
      <c r="M13" s="173"/>
      <c r="N13" s="317">
        <f t="shared" si="2"/>
        <v>2016</v>
      </c>
      <c r="O13" s="380">
        <f t="shared" ref="O13:T13" si="19">SUM(E159:E162)</f>
        <v>156.69999999999999</v>
      </c>
      <c r="P13" s="380">
        <f t="shared" si="19"/>
        <v>164.6</v>
      </c>
      <c r="Q13" s="378">
        <f t="shared" si="19"/>
        <v>321.39999999999998</v>
      </c>
      <c r="R13" s="380">
        <f t="shared" si="19"/>
        <v>700.3</v>
      </c>
      <c r="S13" s="380">
        <f t="shared" si="19"/>
        <v>385.8</v>
      </c>
      <c r="T13" s="380">
        <f t="shared" si="19"/>
        <v>1086</v>
      </c>
      <c r="U13" s="606">
        <f t="shared" si="4"/>
        <v>0.22836435981242004</v>
      </c>
      <c r="V13" s="27"/>
      <c r="W13" s="715" t="s">
        <v>864</v>
      </c>
      <c r="X13" s="814">
        <f>SUM(E161,E162,E163,E164)</f>
        <v>245.7</v>
      </c>
      <c r="Y13" s="814">
        <f t="shared" ref="Y13:AC13" si="20">SUM(F161,F162,F163,F164)</f>
        <v>190.9</v>
      </c>
      <c r="Z13" s="814">
        <f t="shared" si="20"/>
        <v>436.59999999999997</v>
      </c>
      <c r="AA13" s="814">
        <f t="shared" si="20"/>
        <v>542.6</v>
      </c>
      <c r="AB13" s="814">
        <f t="shared" si="20"/>
        <v>404.8</v>
      </c>
      <c r="AC13" s="814">
        <f t="shared" si="20"/>
        <v>947.30000000000007</v>
      </c>
      <c r="AD13" s="766">
        <f t="shared" si="18"/>
        <v>0.31548522292073122</v>
      </c>
      <c r="AE13" s="765"/>
    </row>
    <row r="14" spans="1:31" ht="15">
      <c r="A14" s="177">
        <f t="shared" si="0"/>
        <v>1979</v>
      </c>
      <c r="B14" s="178" t="str">
        <f t="shared" si="1"/>
        <v>4</v>
      </c>
      <c r="C14" s="231">
        <f t="shared" si="7"/>
        <v>19794</v>
      </c>
      <c r="D14" s="16">
        <v>29190</v>
      </c>
      <c r="E14" s="649">
        <v>7.3</v>
      </c>
      <c r="F14" s="650">
        <v>10.5</v>
      </c>
      <c r="G14" s="650">
        <v>18</v>
      </c>
      <c r="H14" s="650">
        <v>35</v>
      </c>
      <c r="I14" s="650">
        <v>11.3</v>
      </c>
      <c r="J14" s="650">
        <v>47.3</v>
      </c>
      <c r="K14" s="650">
        <f t="shared" si="8"/>
        <v>65.3</v>
      </c>
      <c r="L14" s="376">
        <f t="shared" si="9"/>
        <v>0.27565084226646247</v>
      </c>
      <c r="M14" s="173"/>
      <c r="N14" s="603">
        <f t="shared" si="2"/>
        <v>2017</v>
      </c>
      <c r="O14" s="604">
        <f t="shared" ref="O14:T14" si="21">SUM(E163:E166)</f>
        <v>245.8</v>
      </c>
      <c r="P14" s="604">
        <f t="shared" si="21"/>
        <v>188.60000000000002</v>
      </c>
      <c r="Q14" s="377">
        <f t="shared" si="21"/>
        <v>434.2</v>
      </c>
      <c r="R14" s="377">
        <f t="shared" si="21"/>
        <v>425.3</v>
      </c>
      <c r="S14" s="377">
        <f t="shared" si="21"/>
        <v>365.3</v>
      </c>
      <c r="T14" s="377">
        <f t="shared" si="21"/>
        <v>790.6</v>
      </c>
      <c r="U14" s="605">
        <f t="shared" si="4"/>
        <v>0.3545068582625735</v>
      </c>
      <c r="V14" s="27"/>
      <c r="W14" s="815" t="s">
        <v>863</v>
      </c>
      <c r="X14" s="816">
        <f>SUM(E165,E166,E167,E168)</f>
        <v>205.7</v>
      </c>
      <c r="Y14" s="816">
        <f t="shared" ref="Y14:AC14" si="22">SUM(F165,F166,F167,F168)</f>
        <v>143.6</v>
      </c>
      <c r="Z14" s="816">
        <f t="shared" si="22"/>
        <v>349.20000000000005</v>
      </c>
      <c r="AA14" s="816">
        <f t="shared" si="22"/>
        <v>308</v>
      </c>
      <c r="AB14" s="816">
        <f t="shared" si="22"/>
        <v>362.5</v>
      </c>
      <c r="AC14" s="816">
        <f t="shared" si="22"/>
        <v>670.4</v>
      </c>
      <c r="AD14" s="421">
        <f t="shared" si="18"/>
        <v>0.34248724990192236</v>
      </c>
      <c r="AE14" s="765"/>
    </row>
    <row r="15" spans="1:31" ht="15">
      <c r="A15" s="177">
        <f t="shared" si="0"/>
        <v>1980</v>
      </c>
      <c r="B15" s="178" t="str">
        <f t="shared" si="1"/>
        <v>1</v>
      </c>
      <c r="C15" s="231">
        <f t="shared" si="7"/>
        <v>19801</v>
      </c>
      <c r="D15" s="16">
        <v>29281</v>
      </c>
      <c r="E15" s="651">
        <v>10.8</v>
      </c>
      <c r="F15" s="652">
        <v>10.9</v>
      </c>
      <c r="G15" s="652">
        <v>21.4</v>
      </c>
      <c r="H15" s="652">
        <v>44</v>
      </c>
      <c r="I15" s="652">
        <v>7</v>
      </c>
      <c r="J15" s="652">
        <v>50.2</v>
      </c>
      <c r="K15" s="652">
        <f t="shared" si="8"/>
        <v>71.599999999999994</v>
      </c>
      <c r="L15" s="369">
        <f t="shared" si="9"/>
        <v>0.2988826815642458</v>
      </c>
      <c r="M15" s="173"/>
      <c r="N15" s="317">
        <v>2018</v>
      </c>
      <c r="O15" s="380">
        <f t="shared" ref="O15:T15" si="23">SUM(E167:E170)</f>
        <v>279.89999999999998</v>
      </c>
      <c r="P15" s="380">
        <f t="shared" si="23"/>
        <v>115.69999999999999</v>
      </c>
      <c r="Q15" s="378">
        <f t="shared" si="23"/>
        <v>395.6</v>
      </c>
      <c r="R15" s="380">
        <f t="shared" si="23"/>
        <v>369.4</v>
      </c>
      <c r="S15" s="380">
        <f t="shared" si="23"/>
        <v>373.70000000000005</v>
      </c>
      <c r="T15" s="380">
        <f t="shared" si="23"/>
        <v>743</v>
      </c>
      <c r="U15" s="606">
        <f t="shared" si="4"/>
        <v>0.34744422975584055</v>
      </c>
      <c r="V15" s="27"/>
      <c r="W15" s="715" t="s">
        <v>871</v>
      </c>
      <c r="X15" s="814">
        <f>SUM(E169,E170,E171,E172)</f>
        <v>299.10000000000002</v>
      </c>
      <c r="Y15" s="814">
        <f t="shared" ref="Y15:AC15" si="24">SUM(F169,F170,F171,F172)</f>
        <v>140</v>
      </c>
      <c r="Z15" s="814">
        <f t="shared" si="24"/>
        <v>439.1</v>
      </c>
      <c r="AA15" s="814">
        <f t="shared" si="24"/>
        <v>398.59999999999997</v>
      </c>
      <c r="AB15" s="814">
        <f t="shared" si="24"/>
        <v>410.9</v>
      </c>
      <c r="AC15" s="814">
        <f t="shared" si="24"/>
        <v>809.6</v>
      </c>
      <c r="AD15" s="766">
        <f t="shared" si="18"/>
        <v>0.35164571154000163</v>
      </c>
      <c r="AE15" s="765"/>
    </row>
    <row r="16" spans="1:31" ht="15">
      <c r="A16" s="177">
        <f t="shared" si="0"/>
        <v>1980</v>
      </c>
      <c r="B16" s="178" t="str">
        <f t="shared" si="1"/>
        <v>2</v>
      </c>
      <c r="C16" s="231">
        <f t="shared" si="7"/>
        <v>19802</v>
      </c>
      <c r="D16" s="16">
        <v>29373</v>
      </c>
      <c r="E16" s="649">
        <v>13.3</v>
      </c>
      <c r="F16" s="650">
        <v>21.3</v>
      </c>
      <c r="G16" s="650">
        <v>32.799999999999997</v>
      </c>
      <c r="H16" s="650">
        <v>52.1</v>
      </c>
      <c r="I16" s="650">
        <v>12.1</v>
      </c>
      <c r="J16" s="650">
        <v>65</v>
      </c>
      <c r="K16" s="650">
        <f t="shared" si="8"/>
        <v>97.8</v>
      </c>
      <c r="L16" s="376">
        <f t="shared" si="9"/>
        <v>0.33537832310838445</v>
      </c>
      <c r="M16" s="173"/>
      <c r="N16" s="603">
        <v>2019</v>
      </c>
      <c r="O16" s="604">
        <f t="shared" ref="O16:T16" si="25">SUM(E171:E174)</f>
        <v>395.4</v>
      </c>
      <c r="P16" s="604">
        <f t="shared" si="25"/>
        <v>190.7</v>
      </c>
      <c r="Q16" s="377">
        <f t="shared" si="25"/>
        <v>586.20000000000005</v>
      </c>
      <c r="R16" s="377">
        <f t="shared" si="25"/>
        <v>383.9</v>
      </c>
      <c r="S16" s="377">
        <f t="shared" si="25"/>
        <v>393.20000000000005</v>
      </c>
      <c r="T16" s="379">
        <f t="shared" si="25"/>
        <v>777.1</v>
      </c>
      <c r="U16" s="605">
        <f t="shared" si="4"/>
        <v>0.42998606322892979</v>
      </c>
      <c r="V16" s="27"/>
      <c r="W16" s="815" t="s">
        <v>1089</v>
      </c>
      <c r="X16" s="816">
        <f>SUM(E173,E174,E175,E176)</f>
        <v>478.5</v>
      </c>
      <c r="Y16" s="816">
        <f t="shared" ref="Y16:AC16" si="26">SUM(F173,F174,F175,F176)</f>
        <v>193.7</v>
      </c>
      <c r="Z16" s="816">
        <f t="shared" si="26"/>
        <v>672.19999999999993</v>
      </c>
      <c r="AA16" s="816">
        <f t="shared" si="26"/>
        <v>238.9</v>
      </c>
      <c r="AB16" s="816">
        <f t="shared" si="26"/>
        <v>356.6</v>
      </c>
      <c r="AC16" s="816">
        <f t="shared" si="26"/>
        <v>595.40000000000009</v>
      </c>
      <c r="AD16" s="421">
        <f t="shared" si="18"/>
        <v>0.53029346797096877</v>
      </c>
      <c r="AE16" s="765"/>
    </row>
    <row r="17" spans="1:30" ht="15.75" thickBot="1">
      <c r="A17" s="177">
        <f t="shared" si="0"/>
        <v>1980</v>
      </c>
      <c r="B17" s="178" t="str">
        <f t="shared" si="1"/>
        <v>3</v>
      </c>
      <c r="C17" s="231">
        <f t="shared" si="7"/>
        <v>19803</v>
      </c>
      <c r="D17" s="16">
        <v>29465</v>
      </c>
      <c r="E17" s="651">
        <v>13.9</v>
      </c>
      <c r="F17" s="652">
        <v>16.5</v>
      </c>
      <c r="G17" s="652">
        <v>32</v>
      </c>
      <c r="H17" s="652">
        <v>51.7</v>
      </c>
      <c r="I17" s="652">
        <v>15.6</v>
      </c>
      <c r="J17" s="652">
        <v>67.3</v>
      </c>
      <c r="K17" s="652">
        <f t="shared" si="8"/>
        <v>99.3</v>
      </c>
      <c r="L17" s="369">
        <f t="shared" si="9"/>
        <v>0.32225579053373615</v>
      </c>
      <c r="M17" s="173"/>
      <c r="N17" s="607">
        <v>2020</v>
      </c>
      <c r="O17" s="608">
        <f t="shared" ref="O17:T17" si="27">SUM(E175:E178)</f>
        <v>386.5</v>
      </c>
      <c r="P17" s="608">
        <f t="shared" si="27"/>
        <v>217.10000000000002</v>
      </c>
      <c r="Q17" s="608">
        <f t="shared" si="27"/>
        <v>603.5</v>
      </c>
      <c r="R17" s="608">
        <f t="shared" si="27"/>
        <v>91.7</v>
      </c>
      <c r="S17" s="608">
        <f t="shared" si="27"/>
        <v>316.5</v>
      </c>
      <c r="T17" s="609">
        <f t="shared" si="27"/>
        <v>408.29999999999995</v>
      </c>
      <c r="U17" s="610">
        <f t="shared" ref="U17" si="28">Q17/(T17+Q17)</f>
        <v>0.59646175133425583</v>
      </c>
      <c r="V17" s="27"/>
      <c r="W17" s="817" t="s">
        <v>1318</v>
      </c>
      <c r="X17" s="608">
        <f>SUM(E177,E178,E179,E180)</f>
        <v>385.8</v>
      </c>
      <c r="Y17" s="608">
        <f t="shared" ref="Y17:AC17" si="29">SUM(F177,F178,F179,F180)</f>
        <v>240.4</v>
      </c>
      <c r="Z17" s="608">
        <f t="shared" si="29"/>
        <v>626.20000000000005</v>
      </c>
      <c r="AA17" s="608">
        <f t="shared" si="29"/>
        <v>80.8</v>
      </c>
      <c r="AB17" s="608">
        <f t="shared" si="29"/>
        <v>296.5</v>
      </c>
      <c r="AC17" s="608">
        <f t="shared" si="29"/>
        <v>377.40000000000003</v>
      </c>
      <c r="AD17" s="818">
        <f>Z17/(AC17+Z17)</f>
        <v>0.62395376644081302</v>
      </c>
    </row>
    <row r="18" spans="1:30" ht="15">
      <c r="A18" s="177">
        <f t="shared" si="0"/>
        <v>1980</v>
      </c>
      <c r="B18" s="178" t="str">
        <f t="shared" si="1"/>
        <v>4</v>
      </c>
      <c r="C18" s="231">
        <f t="shared" si="7"/>
        <v>19804</v>
      </c>
      <c r="D18" s="16">
        <v>29556</v>
      </c>
      <c r="E18" s="649">
        <v>14.1</v>
      </c>
      <c r="F18" s="650">
        <v>21.2</v>
      </c>
      <c r="G18" s="650">
        <v>35.1</v>
      </c>
      <c r="H18" s="650">
        <v>40.6</v>
      </c>
      <c r="I18" s="650">
        <v>12.5</v>
      </c>
      <c r="J18" s="650">
        <v>53.4</v>
      </c>
      <c r="K18" s="650">
        <f t="shared" si="8"/>
        <v>88.5</v>
      </c>
      <c r="L18" s="376">
        <f t="shared" si="9"/>
        <v>0.39661016949152544</v>
      </c>
      <c r="M18" s="173"/>
      <c r="S18" s="175"/>
    </row>
    <row r="19" spans="1:30" ht="15">
      <c r="A19" s="177">
        <f t="shared" si="0"/>
        <v>1981</v>
      </c>
      <c r="B19" s="178" t="str">
        <f t="shared" si="1"/>
        <v>1</v>
      </c>
      <c r="C19" s="231">
        <f t="shared" si="7"/>
        <v>19811</v>
      </c>
      <c r="D19" s="16">
        <v>29646</v>
      </c>
      <c r="E19" s="651">
        <v>19.899999999999999</v>
      </c>
      <c r="F19" s="652">
        <v>26.1</v>
      </c>
      <c r="G19" s="652">
        <v>46.6</v>
      </c>
      <c r="H19" s="652">
        <v>23.2</v>
      </c>
      <c r="I19" s="652">
        <v>17.399999999999999</v>
      </c>
      <c r="J19" s="652">
        <v>39.1</v>
      </c>
      <c r="K19" s="652">
        <f t="shared" si="8"/>
        <v>85.7</v>
      </c>
      <c r="L19" s="369">
        <f t="shared" si="9"/>
        <v>0.54375729288214703</v>
      </c>
      <c r="V19" s="175"/>
    </row>
    <row r="20" spans="1:30" ht="15">
      <c r="A20" s="177">
        <f t="shared" si="0"/>
        <v>1981</v>
      </c>
      <c r="B20" s="178" t="str">
        <f t="shared" si="1"/>
        <v>2</v>
      </c>
      <c r="C20" s="231">
        <f t="shared" si="7"/>
        <v>19812</v>
      </c>
      <c r="D20" s="16">
        <v>29738</v>
      </c>
      <c r="E20" s="649">
        <v>30.6</v>
      </c>
      <c r="F20" s="650">
        <v>32.6</v>
      </c>
      <c r="G20" s="650">
        <v>58.8</v>
      </c>
      <c r="H20" s="650">
        <v>24.2</v>
      </c>
      <c r="I20" s="650">
        <v>14.6</v>
      </c>
      <c r="J20" s="650">
        <v>38.9</v>
      </c>
      <c r="K20" s="650">
        <f t="shared" si="8"/>
        <v>97.699999999999989</v>
      </c>
      <c r="L20" s="376">
        <f t="shared" si="9"/>
        <v>0.60184237461617196</v>
      </c>
      <c r="V20" s="175"/>
    </row>
    <row r="21" spans="1:30" ht="15">
      <c r="A21" s="177">
        <f t="shared" si="0"/>
        <v>1981</v>
      </c>
      <c r="B21" s="178" t="str">
        <f t="shared" si="1"/>
        <v>3</v>
      </c>
      <c r="C21" s="231">
        <f t="shared" si="7"/>
        <v>19813</v>
      </c>
      <c r="D21" s="16">
        <v>29830</v>
      </c>
      <c r="E21" s="651">
        <v>21.4</v>
      </c>
      <c r="F21" s="652">
        <v>40.6</v>
      </c>
      <c r="G21" s="652">
        <v>66.099999999999994</v>
      </c>
      <c r="H21" s="652">
        <v>32.5</v>
      </c>
      <c r="I21" s="652">
        <v>17.7</v>
      </c>
      <c r="J21" s="652">
        <v>50.9</v>
      </c>
      <c r="K21" s="652">
        <f t="shared" si="8"/>
        <v>117</v>
      </c>
      <c r="L21" s="369">
        <f t="shared" si="9"/>
        <v>0.56495726495726495</v>
      </c>
      <c r="V21" s="175"/>
    </row>
    <row r="22" spans="1:30" ht="15">
      <c r="A22" s="177">
        <f t="shared" si="0"/>
        <v>1981</v>
      </c>
      <c r="B22" s="178" t="str">
        <f t="shared" si="1"/>
        <v>4</v>
      </c>
      <c r="C22" s="231">
        <f t="shared" si="7"/>
        <v>19814</v>
      </c>
      <c r="D22" s="16">
        <v>29921</v>
      </c>
      <c r="E22" s="649">
        <v>42.5</v>
      </c>
      <c r="F22" s="650">
        <v>46.5</v>
      </c>
      <c r="G22" s="650">
        <v>88.3</v>
      </c>
      <c r="H22" s="650">
        <v>73.2</v>
      </c>
      <c r="I22" s="650">
        <v>26.8</v>
      </c>
      <c r="J22" s="650">
        <v>99.8</v>
      </c>
      <c r="K22" s="650">
        <f t="shared" si="8"/>
        <v>188.1</v>
      </c>
      <c r="L22" s="376">
        <f t="shared" si="9"/>
        <v>0.46943115364167998</v>
      </c>
      <c r="V22" s="175"/>
    </row>
    <row r="23" spans="1:30" ht="15">
      <c r="A23" s="177">
        <f t="shared" si="0"/>
        <v>1982</v>
      </c>
      <c r="B23" s="178" t="str">
        <f t="shared" si="1"/>
        <v>1</v>
      </c>
      <c r="C23" s="231">
        <f t="shared" si="7"/>
        <v>19821</v>
      </c>
      <c r="D23" s="16">
        <v>30011</v>
      </c>
      <c r="E23" s="651">
        <v>61</v>
      </c>
      <c r="F23" s="652">
        <v>61.2</v>
      </c>
      <c r="G23" s="652">
        <v>124</v>
      </c>
      <c r="H23" s="652">
        <v>113.5</v>
      </c>
      <c r="I23" s="652">
        <v>22.9</v>
      </c>
      <c r="J23" s="652">
        <v>135.30000000000001</v>
      </c>
      <c r="K23" s="652">
        <f t="shared" si="8"/>
        <v>259.3</v>
      </c>
      <c r="L23" s="369">
        <f t="shared" si="9"/>
        <v>0.47821056691091396</v>
      </c>
      <c r="V23" s="175"/>
    </row>
    <row r="24" spans="1:30" ht="15">
      <c r="A24" s="177">
        <f t="shared" si="0"/>
        <v>1982</v>
      </c>
      <c r="B24" s="178" t="str">
        <f t="shared" si="1"/>
        <v>2</v>
      </c>
      <c r="C24" s="231">
        <f t="shared" si="7"/>
        <v>19822</v>
      </c>
      <c r="D24" s="16">
        <v>30103</v>
      </c>
      <c r="E24" s="649">
        <v>59.7</v>
      </c>
      <c r="F24" s="650">
        <v>56.3</v>
      </c>
      <c r="G24" s="650">
        <v>108.8</v>
      </c>
      <c r="H24" s="650">
        <v>113.4</v>
      </c>
      <c r="I24" s="650">
        <v>23.5</v>
      </c>
      <c r="J24" s="650">
        <v>138.19999999999999</v>
      </c>
      <c r="K24" s="650">
        <f t="shared" si="8"/>
        <v>247</v>
      </c>
      <c r="L24" s="376">
        <f t="shared" si="9"/>
        <v>0.44048582995951419</v>
      </c>
      <c r="V24" s="175"/>
    </row>
    <row r="25" spans="1:30" ht="15">
      <c r="A25" s="177">
        <f t="shared" si="0"/>
        <v>1982</v>
      </c>
      <c r="B25" s="178" t="str">
        <f t="shared" si="1"/>
        <v>3</v>
      </c>
      <c r="C25" s="231">
        <f t="shared" si="7"/>
        <v>19823</v>
      </c>
      <c r="D25" s="16">
        <v>30195</v>
      </c>
      <c r="E25" s="651">
        <v>63.4</v>
      </c>
      <c r="F25" s="652">
        <v>63.2</v>
      </c>
      <c r="G25" s="652">
        <v>133.19999999999999</v>
      </c>
      <c r="H25" s="652">
        <v>95.1</v>
      </c>
      <c r="I25" s="652">
        <v>26.8</v>
      </c>
      <c r="J25" s="652">
        <v>122.6</v>
      </c>
      <c r="K25" s="652">
        <f t="shared" si="8"/>
        <v>255.79999999999998</v>
      </c>
      <c r="L25" s="369">
        <f t="shared" si="9"/>
        <v>0.52071931196247068</v>
      </c>
      <c r="V25" s="175"/>
    </row>
    <row r="26" spans="1:30" ht="15">
      <c r="A26" s="177">
        <f t="shared" si="0"/>
        <v>1982</v>
      </c>
      <c r="B26" s="178" t="str">
        <f t="shared" si="1"/>
        <v>4</v>
      </c>
      <c r="C26" s="231">
        <f t="shared" si="7"/>
        <v>19824</v>
      </c>
      <c r="D26" s="16">
        <v>30286</v>
      </c>
      <c r="E26" s="649">
        <v>44.3</v>
      </c>
      <c r="F26" s="650">
        <v>43.3</v>
      </c>
      <c r="G26" s="650">
        <v>87.2</v>
      </c>
      <c r="H26" s="650">
        <v>149.80000000000001</v>
      </c>
      <c r="I26" s="650">
        <v>15.5</v>
      </c>
      <c r="J26" s="650">
        <v>164.1</v>
      </c>
      <c r="K26" s="650">
        <f t="shared" si="8"/>
        <v>251.3</v>
      </c>
      <c r="L26" s="376">
        <f t="shared" si="9"/>
        <v>0.34699562276163948</v>
      </c>
      <c r="V26" s="175"/>
    </row>
    <row r="27" spans="1:30" ht="15">
      <c r="A27" s="177">
        <f t="shared" si="0"/>
        <v>1983</v>
      </c>
      <c r="B27" s="178" t="str">
        <f t="shared" si="1"/>
        <v>1</v>
      </c>
      <c r="C27" s="231">
        <f t="shared" si="7"/>
        <v>19831</v>
      </c>
      <c r="D27" s="16">
        <v>30376</v>
      </c>
      <c r="E27" s="651">
        <v>33</v>
      </c>
      <c r="F27" s="652">
        <v>31.2</v>
      </c>
      <c r="G27" s="652">
        <v>64.400000000000006</v>
      </c>
      <c r="H27" s="652">
        <v>144.1</v>
      </c>
      <c r="I27" s="652">
        <v>14.5</v>
      </c>
      <c r="J27" s="652">
        <v>158.80000000000001</v>
      </c>
      <c r="K27" s="652">
        <f t="shared" si="8"/>
        <v>223.20000000000002</v>
      </c>
      <c r="L27" s="369">
        <f t="shared" si="9"/>
        <v>0.28853046594982079</v>
      </c>
      <c r="V27" s="175"/>
    </row>
    <row r="28" spans="1:30" ht="15">
      <c r="A28" s="177">
        <f t="shared" si="0"/>
        <v>1983</v>
      </c>
      <c r="B28" s="178" t="str">
        <f t="shared" si="1"/>
        <v>2</v>
      </c>
      <c r="C28" s="231">
        <f t="shared" si="7"/>
        <v>19832</v>
      </c>
      <c r="D28" s="16">
        <v>30468</v>
      </c>
      <c r="E28" s="649">
        <v>28.9</v>
      </c>
      <c r="F28" s="650">
        <v>24.6</v>
      </c>
      <c r="G28" s="650">
        <v>51.2</v>
      </c>
      <c r="H28" s="650">
        <v>122</v>
      </c>
      <c r="I28" s="650">
        <v>15.1</v>
      </c>
      <c r="J28" s="650">
        <v>136.6</v>
      </c>
      <c r="K28" s="650">
        <f t="shared" si="8"/>
        <v>187.8</v>
      </c>
      <c r="L28" s="376">
        <f t="shared" si="9"/>
        <v>0.27263045793397234</v>
      </c>
    </row>
    <row r="29" spans="1:30" ht="15">
      <c r="A29" s="177">
        <f t="shared" si="0"/>
        <v>1983</v>
      </c>
      <c r="B29" s="178" t="str">
        <f t="shared" si="1"/>
        <v>3</v>
      </c>
      <c r="C29" s="231">
        <f t="shared" si="7"/>
        <v>19833</v>
      </c>
      <c r="D29" s="16">
        <v>30560</v>
      </c>
      <c r="E29" s="651">
        <v>26.4</v>
      </c>
      <c r="F29" s="652">
        <v>27.8</v>
      </c>
      <c r="G29" s="652">
        <v>56.5</v>
      </c>
      <c r="H29" s="652">
        <v>142.69999999999999</v>
      </c>
      <c r="I29" s="652">
        <v>16.899999999999999</v>
      </c>
      <c r="J29" s="652">
        <v>161.6</v>
      </c>
      <c r="K29" s="652">
        <f t="shared" si="8"/>
        <v>218.1</v>
      </c>
      <c r="L29" s="369">
        <f t="shared" si="9"/>
        <v>0.25905547913801008</v>
      </c>
    </row>
    <row r="30" spans="1:30" ht="15">
      <c r="A30" s="177">
        <f t="shared" si="0"/>
        <v>1983</v>
      </c>
      <c r="B30" s="178" t="str">
        <f t="shared" si="1"/>
        <v>4</v>
      </c>
      <c r="C30" s="231">
        <f t="shared" si="7"/>
        <v>19834</v>
      </c>
      <c r="D30" s="16">
        <v>30651</v>
      </c>
      <c r="E30" s="649">
        <v>39.4</v>
      </c>
      <c r="F30" s="650">
        <v>30.4</v>
      </c>
      <c r="G30" s="650">
        <v>69.900000000000006</v>
      </c>
      <c r="H30" s="650">
        <v>117.4</v>
      </c>
      <c r="I30" s="650">
        <v>15.8</v>
      </c>
      <c r="J30" s="650">
        <v>131.9</v>
      </c>
      <c r="K30" s="650">
        <f t="shared" si="8"/>
        <v>201.8</v>
      </c>
      <c r="L30" s="376">
        <f t="shared" si="9"/>
        <v>0.34638255698711595</v>
      </c>
    </row>
    <row r="31" spans="1:30" ht="15">
      <c r="A31" s="177">
        <f t="shared" si="0"/>
        <v>1984</v>
      </c>
      <c r="B31" s="178" t="str">
        <f t="shared" si="1"/>
        <v>1</v>
      </c>
      <c r="C31" s="231">
        <f t="shared" si="7"/>
        <v>19841</v>
      </c>
      <c r="D31" s="16">
        <v>30742</v>
      </c>
      <c r="E31" s="651">
        <v>33.700000000000003</v>
      </c>
      <c r="F31" s="652">
        <v>38.299999999999997</v>
      </c>
      <c r="G31" s="652">
        <v>71.599999999999994</v>
      </c>
      <c r="H31" s="652">
        <v>94.2</v>
      </c>
      <c r="I31" s="652">
        <v>16.100000000000001</v>
      </c>
      <c r="J31" s="652">
        <v>111.3</v>
      </c>
      <c r="K31" s="652">
        <f t="shared" si="8"/>
        <v>182.89999999999998</v>
      </c>
      <c r="L31" s="369">
        <f t="shared" si="9"/>
        <v>0.39147074904319301</v>
      </c>
    </row>
    <row r="32" spans="1:30" ht="15">
      <c r="A32" s="177">
        <f t="shared" si="0"/>
        <v>1984</v>
      </c>
      <c r="B32" s="178" t="str">
        <f t="shared" si="1"/>
        <v>2</v>
      </c>
      <c r="C32" s="231">
        <f t="shared" si="7"/>
        <v>19842</v>
      </c>
      <c r="D32" s="16">
        <v>30834</v>
      </c>
      <c r="E32" s="649">
        <v>39.200000000000003</v>
      </c>
      <c r="F32" s="650">
        <v>47.6</v>
      </c>
      <c r="G32" s="650">
        <v>85.5</v>
      </c>
      <c r="H32" s="650">
        <v>117.8</v>
      </c>
      <c r="I32" s="650">
        <v>18.3</v>
      </c>
      <c r="J32" s="650">
        <v>134.4</v>
      </c>
      <c r="K32" s="650">
        <f t="shared" si="8"/>
        <v>219.9</v>
      </c>
      <c r="L32" s="376">
        <f t="shared" si="9"/>
        <v>0.38881309686221011</v>
      </c>
    </row>
    <row r="33" spans="1:12" ht="15">
      <c r="A33" s="177">
        <f t="shared" si="0"/>
        <v>1984</v>
      </c>
      <c r="B33" s="178" t="str">
        <f t="shared" si="1"/>
        <v>3</v>
      </c>
      <c r="C33" s="231">
        <f t="shared" si="7"/>
        <v>19843</v>
      </c>
      <c r="D33" s="16">
        <v>30926</v>
      </c>
      <c r="E33" s="651">
        <v>57.1</v>
      </c>
      <c r="F33" s="652">
        <v>43.4</v>
      </c>
      <c r="G33" s="652">
        <v>103.1</v>
      </c>
      <c r="H33" s="652">
        <v>85.3</v>
      </c>
      <c r="I33" s="652">
        <v>14</v>
      </c>
      <c r="J33" s="652">
        <v>101</v>
      </c>
      <c r="K33" s="652">
        <f t="shared" si="8"/>
        <v>204.1</v>
      </c>
      <c r="L33" s="369">
        <f t="shared" si="9"/>
        <v>0.50514453699167072</v>
      </c>
    </row>
    <row r="34" spans="1:12" ht="15">
      <c r="A34" s="177">
        <f t="shared" si="0"/>
        <v>1984</v>
      </c>
      <c r="B34" s="178" t="str">
        <f t="shared" si="1"/>
        <v>4</v>
      </c>
      <c r="C34" s="231">
        <f t="shared" si="7"/>
        <v>19844</v>
      </c>
      <c r="D34" s="16">
        <v>31017</v>
      </c>
      <c r="E34" s="649">
        <v>47.8</v>
      </c>
      <c r="F34" s="650">
        <v>46.5</v>
      </c>
      <c r="G34" s="650">
        <v>93.3</v>
      </c>
      <c r="H34" s="650">
        <v>58.9</v>
      </c>
      <c r="I34" s="650">
        <v>19.3</v>
      </c>
      <c r="J34" s="650">
        <v>76.900000000000006</v>
      </c>
      <c r="K34" s="650">
        <f t="shared" si="8"/>
        <v>170.2</v>
      </c>
      <c r="L34" s="376">
        <f t="shared" si="9"/>
        <v>0.54817861339600471</v>
      </c>
    </row>
    <row r="35" spans="1:12" ht="15">
      <c r="A35" s="177">
        <f t="shared" si="0"/>
        <v>1985</v>
      </c>
      <c r="B35" s="178" t="str">
        <f t="shared" si="1"/>
        <v>1</v>
      </c>
      <c r="C35" s="231">
        <f t="shared" si="7"/>
        <v>19851</v>
      </c>
      <c r="D35" s="16">
        <v>31107</v>
      </c>
      <c r="E35" s="651">
        <v>52.4</v>
      </c>
      <c r="F35" s="652">
        <v>49.6</v>
      </c>
      <c r="G35" s="652">
        <v>100.7</v>
      </c>
      <c r="H35" s="652">
        <v>60.4</v>
      </c>
      <c r="I35" s="652">
        <v>25.4</v>
      </c>
      <c r="J35" s="652">
        <v>89.2</v>
      </c>
      <c r="K35" s="652">
        <f t="shared" si="8"/>
        <v>189.9</v>
      </c>
      <c r="L35" s="369">
        <f t="shared" si="9"/>
        <v>0.53027909426013686</v>
      </c>
    </row>
    <row r="36" spans="1:12" ht="15">
      <c r="A36" s="177">
        <f t="shared" si="0"/>
        <v>1985</v>
      </c>
      <c r="B36" s="178" t="str">
        <f t="shared" si="1"/>
        <v>2</v>
      </c>
      <c r="C36" s="231">
        <f t="shared" si="7"/>
        <v>19852</v>
      </c>
      <c r="D36" s="16">
        <v>31199</v>
      </c>
      <c r="E36" s="649">
        <v>66.7</v>
      </c>
      <c r="F36" s="650">
        <v>55.2</v>
      </c>
      <c r="G36" s="650">
        <v>121.7</v>
      </c>
      <c r="H36" s="650">
        <v>79.3</v>
      </c>
      <c r="I36" s="650">
        <v>28.5</v>
      </c>
      <c r="J36" s="650">
        <v>106.1</v>
      </c>
      <c r="K36" s="650">
        <f t="shared" si="8"/>
        <v>227.8</v>
      </c>
      <c r="L36" s="376">
        <f t="shared" si="9"/>
        <v>0.53424056189640035</v>
      </c>
    </row>
    <row r="37" spans="1:12" ht="15">
      <c r="A37" s="177">
        <f t="shared" si="0"/>
        <v>1985</v>
      </c>
      <c r="B37" s="178" t="str">
        <f t="shared" si="1"/>
        <v>3</v>
      </c>
      <c r="C37" s="231">
        <f t="shared" si="7"/>
        <v>19853</v>
      </c>
      <c r="D37" s="16">
        <v>31291</v>
      </c>
      <c r="E37" s="651">
        <v>54</v>
      </c>
      <c r="F37" s="652">
        <v>61.6</v>
      </c>
      <c r="G37" s="652">
        <v>118.3</v>
      </c>
      <c r="H37" s="652">
        <v>92.7</v>
      </c>
      <c r="I37" s="652">
        <v>25.6</v>
      </c>
      <c r="J37" s="652">
        <v>119.4</v>
      </c>
      <c r="K37" s="652">
        <f t="shared" si="8"/>
        <v>237.7</v>
      </c>
      <c r="L37" s="369">
        <f t="shared" si="9"/>
        <v>0.49768615902397983</v>
      </c>
    </row>
    <row r="38" spans="1:12" ht="15">
      <c r="A38" s="177">
        <f t="shared" si="0"/>
        <v>1985</v>
      </c>
      <c r="B38" s="178" t="str">
        <f t="shared" si="1"/>
        <v>4</v>
      </c>
      <c r="C38" s="231">
        <f t="shared" si="7"/>
        <v>19854</v>
      </c>
      <c r="D38" s="16">
        <v>31382</v>
      </c>
      <c r="E38" s="649">
        <v>33.299999999999997</v>
      </c>
      <c r="F38" s="650">
        <v>60.5</v>
      </c>
      <c r="G38" s="650">
        <v>90.9</v>
      </c>
      <c r="H38" s="650">
        <v>51.1</v>
      </c>
      <c r="I38" s="650">
        <v>23.5</v>
      </c>
      <c r="J38" s="650">
        <v>73.3</v>
      </c>
      <c r="K38" s="650">
        <f t="shared" si="8"/>
        <v>164.2</v>
      </c>
      <c r="L38" s="376">
        <f t="shared" si="9"/>
        <v>0.55359317904993921</v>
      </c>
    </row>
    <row r="39" spans="1:12" ht="15">
      <c r="A39" s="177">
        <f t="shared" si="0"/>
        <v>1986</v>
      </c>
      <c r="B39" s="178" t="str">
        <f t="shared" si="1"/>
        <v>1</v>
      </c>
      <c r="C39" s="231">
        <f t="shared" si="7"/>
        <v>19861</v>
      </c>
      <c r="D39" s="16">
        <v>31472</v>
      </c>
      <c r="E39" s="651">
        <v>42.2</v>
      </c>
      <c r="F39" s="652">
        <v>53.8</v>
      </c>
      <c r="G39" s="652">
        <v>95</v>
      </c>
      <c r="H39" s="652">
        <v>96</v>
      </c>
      <c r="I39" s="652">
        <v>49.4</v>
      </c>
      <c r="J39" s="652">
        <v>153.69999999999999</v>
      </c>
      <c r="K39" s="652">
        <f t="shared" si="8"/>
        <v>248.7</v>
      </c>
      <c r="L39" s="369">
        <f t="shared" si="9"/>
        <v>0.38198632891033374</v>
      </c>
    </row>
    <row r="40" spans="1:12" ht="15">
      <c r="A40" s="177">
        <f t="shared" si="0"/>
        <v>1986</v>
      </c>
      <c r="B40" s="178" t="str">
        <f t="shared" si="1"/>
        <v>2</v>
      </c>
      <c r="C40" s="231">
        <f t="shared" si="7"/>
        <v>19862</v>
      </c>
      <c r="D40" s="16">
        <v>31564</v>
      </c>
      <c r="E40" s="649">
        <v>21.4</v>
      </c>
      <c r="F40" s="650">
        <v>41.2</v>
      </c>
      <c r="G40" s="650">
        <v>64.099999999999994</v>
      </c>
      <c r="H40" s="650">
        <v>44.5</v>
      </c>
      <c r="I40" s="650">
        <v>23</v>
      </c>
      <c r="J40" s="650">
        <v>66.599999999999994</v>
      </c>
      <c r="K40" s="650">
        <f t="shared" si="8"/>
        <v>130.69999999999999</v>
      </c>
      <c r="L40" s="376">
        <f t="shared" si="9"/>
        <v>0.49043611323641928</v>
      </c>
    </row>
    <row r="41" spans="1:12" ht="15">
      <c r="A41" s="177">
        <f t="shared" si="0"/>
        <v>1986</v>
      </c>
      <c r="B41" s="178" t="str">
        <f t="shared" si="1"/>
        <v>3</v>
      </c>
      <c r="C41" s="231">
        <f t="shared" si="7"/>
        <v>19863</v>
      </c>
      <c r="D41" s="16">
        <v>31656</v>
      </c>
      <c r="E41" s="651">
        <v>11.5</v>
      </c>
      <c r="F41" s="652">
        <v>25.1</v>
      </c>
      <c r="G41" s="652">
        <v>37.4</v>
      </c>
      <c r="H41" s="652">
        <v>26.7</v>
      </c>
      <c r="I41" s="652">
        <v>17.100000000000001</v>
      </c>
      <c r="J41" s="652">
        <v>42.9</v>
      </c>
      <c r="K41" s="652">
        <f t="shared" si="8"/>
        <v>80.3</v>
      </c>
      <c r="L41" s="369">
        <f t="shared" si="9"/>
        <v>0.46575342465753422</v>
      </c>
    </row>
    <row r="42" spans="1:12" ht="15">
      <c r="A42" s="177">
        <f t="shared" si="0"/>
        <v>1986</v>
      </c>
      <c r="B42" s="178" t="str">
        <f t="shared" si="1"/>
        <v>4</v>
      </c>
      <c r="C42" s="231">
        <f t="shared" si="7"/>
        <v>19864</v>
      </c>
      <c r="D42" s="16">
        <v>31747</v>
      </c>
      <c r="E42" s="649">
        <v>12.3</v>
      </c>
      <c r="F42" s="650">
        <v>25.4</v>
      </c>
      <c r="G42" s="650">
        <v>36.4</v>
      </c>
      <c r="H42" s="650">
        <v>16.7</v>
      </c>
      <c r="I42" s="650">
        <v>14.5</v>
      </c>
      <c r="J42" s="650">
        <v>30.5</v>
      </c>
      <c r="K42" s="650">
        <f t="shared" si="8"/>
        <v>66.900000000000006</v>
      </c>
      <c r="L42" s="376">
        <f t="shared" si="9"/>
        <v>0.54409566517189834</v>
      </c>
    </row>
    <row r="43" spans="1:12" ht="15">
      <c r="A43" s="177">
        <f t="shared" si="0"/>
        <v>1987</v>
      </c>
      <c r="B43" s="178" t="str">
        <f t="shared" si="1"/>
        <v>1</v>
      </c>
      <c r="C43" s="231">
        <f t="shared" si="7"/>
        <v>19871</v>
      </c>
      <c r="D43" s="16">
        <v>31837</v>
      </c>
      <c r="E43" s="651">
        <v>18.3</v>
      </c>
      <c r="F43" s="652">
        <v>21.4</v>
      </c>
      <c r="G43" s="652">
        <v>39.299999999999997</v>
      </c>
      <c r="H43" s="652">
        <v>14.9</v>
      </c>
      <c r="I43" s="652">
        <v>11.9</v>
      </c>
      <c r="J43" s="652">
        <v>28.9</v>
      </c>
      <c r="K43" s="652">
        <f t="shared" si="8"/>
        <v>68.199999999999989</v>
      </c>
      <c r="L43" s="369">
        <f t="shared" si="9"/>
        <v>0.57624633431085048</v>
      </c>
    </row>
    <row r="44" spans="1:12" ht="15">
      <c r="A44" s="177">
        <f t="shared" si="0"/>
        <v>1987</v>
      </c>
      <c r="B44" s="178" t="str">
        <f t="shared" si="1"/>
        <v>2</v>
      </c>
      <c r="C44" s="231">
        <f t="shared" si="7"/>
        <v>19872</v>
      </c>
      <c r="D44" s="16">
        <v>31929</v>
      </c>
      <c r="E44" s="649">
        <v>29.2</v>
      </c>
      <c r="F44" s="650">
        <v>27.9</v>
      </c>
      <c r="G44" s="650">
        <v>58</v>
      </c>
      <c r="H44" s="650">
        <v>19.7</v>
      </c>
      <c r="I44" s="650">
        <v>13.1</v>
      </c>
      <c r="J44" s="650">
        <v>32.1</v>
      </c>
      <c r="K44" s="650">
        <f t="shared" si="8"/>
        <v>90.1</v>
      </c>
      <c r="L44" s="376">
        <f t="shared" si="9"/>
        <v>0.64372918978912319</v>
      </c>
    </row>
    <row r="45" spans="1:12" ht="15">
      <c r="A45" s="177">
        <f t="shared" si="0"/>
        <v>1987</v>
      </c>
      <c r="B45" s="178" t="str">
        <f t="shared" si="1"/>
        <v>3</v>
      </c>
      <c r="C45" s="231">
        <f t="shared" si="7"/>
        <v>19873</v>
      </c>
      <c r="D45" s="16">
        <v>32021</v>
      </c>
      <c r="E45" s="651">
        <v>33.1</v>
      </c>
      <c r="F45" s="652">
        <v>30.4</v>
      </c>
      <c r="G45" s="652">
        <v>63.8</v>
      </c>
      <c r="H45" s="652">
        <v>27.8</v>
      </c>
      <c r="I45" s="652">
        <v>16.8</v>
      </c>
      <c r="J45" s="652">
        <v>43.8</v>
      </c>
      <c r="K45" s="652">
        <f t="shared" si="8"/>
        <v>107.6</v>
      </c>
      <c r="L45" s="369">
        <f t="shared" si="9"/>
        <v>0.59293680297397766</v>
      </c>
    </row>
    <row r="46" spans="1:12" ht="15">
      <c r="A46" s="177">
        <f t="shared" si="0"/>
        <v>1987</v>
      </c>
      <c r="B46" s="178" t="str">
        <f t="shared" si="1"/>
        <v>4</v>
      </c>
      <c r="C46" s="231">
        <f t="shared" si="7"/>
        <v>19874</v>
      </c>
      <c r="D46" s="16">
        <v>32112</v>
      </c>
      <c r="E46" s="649">
        <v>43.8</v>
      </c>
      <c r="F46" s="650">
        <v>32.700000000000003</v>
      </c>
      <c r="G46" s="650">
        <v>75.7</v>
      </c>
      <c r="H46" s="650">
        <v>35.6</v>
      </c>
      <c r="I46" s="650">
        <v>19.7</v>
      </c>
      <c r="J46" s="650">
        <v>54.1</v>
      </c>
      <c r="K46" s="650">
        <f t="shared" si="8"/>
        <v>129.80000000000001</v>
      </c>
      <c r="L46" s="376">
        <f t="shared" si="9"/>
        <v>0.58320493066255774</v>
      </c>
    </row>
    <row r="47" spans="1:12" ht="15">
      <c r="A47" s="177">
        <f t="shared" si="0"/>
        <v>1988</v>
      </c>
      <c r="B47" s="178" t="str">
        <f t="shared" si="1"/>
        <v>1</v>
      </c>
      <c r="C47" s="231">
        <f t="shared" si="7"/>
        <v>19881</v>
      </c>
      <c r="D47" s="16">
        <v>32203</v>
      </c>
      <c r="E47" s="651">
        <v>40</v>
      </c>
      <c r="F47" s="652">
        <v>30.5</v>
      </c>
      <c r="G47" s="652">
        <v>70.2</v>
      </c>
      <c r="H47" s="652">
        <v>20.8</v>
      </c>
      <c r="I47" s="652">
        <v>23.6</v>
      </c>
      <c r="J47" s="652">
        <v>48.5</v>
      </c>
      <c r="K47" s="652">
        <f t="shared" si="8"/>
        <v>118.7</v>
      </c>
      <c r="L47" s="369">
        <f t="shared" si="9"/>
        <v>0.59140690817186181</v>
      </c>
    </row>
    <row r="48" spans="1:12" ht="15">
      <c r="A48" s="177">
        <f t="shared" si="0"/>
        <v>1988</v>
      </c>
      <c r="B48" s="178" t="str">
        <f t="shared" si="1"/>
        <v>2</v>
      </c>
      <c r="C48" s="231">
        <f t="shared" si="7"/>
        <v>19882</v>
      </c>
      <c r="D48" s="16">
        <v>32295</v>
      </c>
      <c r="E48" s="649">
        <v>37.4</v>
      </c>
      <c r="F48" s="650">
        <v>23.8</v>
      </c>
      <c r="G48" s="650">
        <v>61.6</v>
      </c>
      <c r="H48" s="650">
        <v>51.2</v>
      </c>
      <c r="I48" s="650">
        <v>25.5</v>
      </c>
      <c r="J48" s="650">
        <v>75.5</v>
      </c>
      <c r="K48" s="650">
        <f t="shared" si="8"/>
        <v>137.1</v>
      </c>
      <c r="L48" s="376">
        <f t="shared" si="9"/>
        <v>0.44930707512764406</v>
      </c>
    </row>
    <row r="49" spans="1:12" ht="15">
      <c r="A49" s="177">
        <f t="shared" si="0"/>
        <v>1988</v>
      </c>
      <c r="B49" s="178" t="str">
        <f t="shared" si="1"/>
        <v>3</v>
      </c>
      <c r="C49" s="231">
        <f t="shared" si="7"/>
        <v>19883</v>
      </c>
      <c r="D49" s="16">
        <v>32387</v>
      </c>
      <c r="E49" s="651">
        <v>43.8</v>
      </c>
      <c r="F49" s="652">
        <v>23.9</v>
      </c>
      <c r="G49" s="652">
        <v>67.3</v>
      </c>
      <c r="H49" s="652">
        <v>57.9</v>
      </c>
      <c r="I49" s="652">
        <v>28.8</v>
      </c>
      <c r="J49" s="652">
        <v>85.9</v>
      </c>
      <c r="K49" s="652">
        <f t="shared" si="8"/>
        <v>153.19999999999999</v>
      </c>
      <c r="L49" s="369">
        <f t="shared" si="9"/>
        <v>0.43929503916449086</v>
      </c>
    </row>
    <row r="50" spans="1:12" ht="15">
      <c r="A50" s="177">
        <f t="shared" si="0"/>
        <v>1988</v>
      </c>
      <c r="B50" s="178" t="str">
        <f t="shared" si="1"/>
        <v>4</v>
      </c>
      <c r="C50" s="231">
        <f t="shared" si="7"/>
        <v>19884</v>
      </c>
      <c r="D50" s="16">
        <v>32478</v>
      </c>
      <c r="E50" s="649">
        <v>39.4</v>
      </c>
      <c r="F50" s="650">
        <v>27.1</v>
      </c>
      <c r="G50" s="650">
        <v>66.2</v>
      </c>
      <c r="H50" s="650">
        <v>81.5</v>
      </c>
      <c r="I50" s="650">
        <v>27.9</v>
      </c>
      <c r="J50" s="650">
        <v>107.5</v>
      </c>
      <c r="K50" s="650">
        <f t="shared" si="8"/>
        <v>173.7</v>
      </c>
      <c r="L50" s="376">
        <f t="shared" si="9"/>
        <v>0.38111686816350032</v>
      </c>
    </row>
    <row r="51" spans="1:12" ht="15">
      <c r="A51" s="177">
        <f t="shared" si="0"/>
        <v>1989</v>
      </c>
      <c r="B51" s="178" t="str">
        <f t="shared" si="1"/>
        <v>1</v>
      </c>
      <c r="C51" s="231">
        <f t="shared" si="7"/>
        <v>19891</v>
      </c>
      <c r="D51" s="16">
        <v>32568</v>
      </c>
      <c r="E51" s="651">
        <v>26.4</v>
      </c>
      <c r="F51" s="652">
        <v>19.8</v>
      </c>
      <c r="G51" s="652">
        <v>46.2</v>
      </c>
      <c r="H51" s="652">
        <v>73.8</v>
      </c>
      <c r="I51" s="652">
        <v>24.7</v>
      </c>
      <c r="J51" s="652">
        <v>105.5</v>
      </c>
      <c r="K51" s="652">
        <f t="shared" si="8"/>
        <v>151.69999999999999</v>
      </c>
      <c r="L51" s="369">
        <f t="shared" si="9"/>
        <v>0.30454845088991433</v>
      </c>
    </row>
    <row r="52" spans="1:12" ht="15">
      <c r="A52" s="177">
        <f t="shared" si="0"/>
        <v>1989</v>
      </c>
      <c r="B52" s="178" t="str">
        <f t="shared" si="1"/>
        <v>2</v>
      </c>
      <c r="C52" s="231">
        <f t="shared" si="7"/>
        <v>19892</v>
      </c>
      <c r="D52" s="16">
        <v>32660</v>
      </c>
      <c r="E52" s="649">
        <v>23.3</v>
      </c>
      <c r="F52" s="650">
        <v>20.3</v>
      </c>
      <c r="G52" s="650">
        <v>44.7</v>
      </c>
      <c r="H52" s="650">
        <v>85.8</v>
      </c>
      <c r="I52" s="650">
        <v>22.6</v>
      </c>
      <c r="J52" s="650">
        <v>107.1</v>
      </c>
      <c r="K52" s="650">
        <f t="shared" si="8"/>
        <v>151.80000000000001</v>
      </c>
      <c r="L52" s="376">
        <f t="shared" si="9"/>
        <v>0.29446640316205536</v>
      </c>
    </row>
    <row r="53" spans="1:12" ht="15">
      <c r="A53" s="177">
        <f t="shared" si="0"/>
        <v>1989</v>
      </c>
      <c r="B53" s="178" t="str">
        <f t="shared" si="1"/>
        <v>3</v>
      </c>
      <c r="C53" s="231">
        <f t="shared" si="7"/>
        <v>19893</v>
      </c>
      <c r="D53" s="16">
        <v>32752</v>
      </c>
      <c r="E53" s="651">
        <v>19.100000000000001</v>
      </c>
      <c r="F53" s="652">
        <v>18.3</v>
      </c>
      <c r="G53" s="652">
        <v>36.799999999999997</v>
      </c>
      <c r="H53" s="652">
        <v>74.2</v>
      </c>
      <c r="I53" s="652">
        <v>23</v>
      </c>
      <c r="J53" s="652">
        <v>97.2</v>
      </c>
      <c r="K53" s="652">
        <f t="shared" si="8"/>
        <v>134</v>
      </c>
      <c r="L53" s="369">
        <f t="shared" si="9"/>
        <v>0.2746268656716418</v>
      </c>
    </row>
    <row r="54" spans="1:12" ht="15">
      <c r="A54" s="177">
        <f t="shared" si="0"/>
        <v>1989</v>
      </c>
      <c r="B54" s="178" t="str">
        <f t="shared" si="1"/>
        <v>4</v>
      </c>
      <c r="C54" s="231">
        <f t="shared" si="7"/>
        <v>19894</v>
      </c>
      <c r="D54" s="16">
        <v>32843</v>
      </c>
      <c r="E54" s="649">
        <v>17.600000000000001</v>
      </c>
      <c r="F54" s="650">
        <v>17</v>
      </c>
      <c r="G54" s="650">
        <v>34.4</v>
      </c>
      <c r="H54" s="650">
        <v>76.599999999999994</v>
      </c>
      <c r="I54" s="650">
        <v>20.6</v>
      </c>
      <c r="J54" s="650">
        <v>95.1</v>
      </c>
      <c r="K54" s="650">
        <f t="shared" si="8"/>
        <v>129.5</v>
      </c>
      <c r="L54" s="376">
        <f t="shared" si="9"/>
        <v>0.26563706563706563</v>
      </c>
    </row>
    <row r="55" spans="1:12" ht="15">
      <c r="A55" s="177">
        <f t="shared" si="0"/>
        <v>1990</v>
      </c>
      <c r="B55" s="178" t="str">
        <f t="shared" si="1"/>
        <v>1</v>
      </c>
      <c r="C55" s="231">
        <f t="shared" si="7"/>
        <v>19901</v>
      </c>
      <c r="D55" s="16">
        <v>32933</v>
      </c>
      <c r="E55" s="651">
        <v>19.7</v>
      </c>
      <c r="F55" s="652">
        <v>20.6</v>
      </c>
      <c r="G55" s="652">
        <v>40</v>
      </c>
      <c r="H55" s="652">
        <v>123</v>
      </c>
      <c r="I55" s="652">
        <v>26.4</v>
      </c>
      <c r="J55" s="652">
        <v>153.5</v>
      </c>
      <c r="K55" s="652">
        <f t="shared" si="8"/>
        <v>193.5</v>
      </c>
      <c r="L55" s="369">
        <f t="shared" si="9"/>
        <v>0.20671834625322996</v>
      </c>
    </row>
    <row r="56" spans="1:12" ht="15">
      <c r="A56" s="177">
        <f t="shared" si="0"/>
        <v>1990</v>
      </c>
      <c r="B56" s="178" t="str">
        <f t="shared" si="1"/>
        <v>2</v>
      </c>
      <c r="C56" s="231">
        <f t="shared" si="7"/>
        <v>19902</v>
      </c>
      <c r="D56" s="16">
        <v>33025</v>
      </c>
      <c r="E56" s="649">
        <v>18.100000000000001</v>
      </c>
      <c r="F56" s="650">
        <v>14.6</v>
      </c>
      <c r="G56" s="650">
        <v>33.4</v>
      </c>
      <c r="H56" s="650">
        <v>82</v>
      </c>
      <c r="I56" s="650">
        <v>20</v>
      </c>
      <c r="J56" s="650">
        <v>101.3</v>
      </c>
      <c r="K56" s="650">
        <f t="shared" si="8"/>
        <v>134.69999999999999</v>
      </c>
      <c r="L56" s="376">
        <f t="shared" si="9"/>
        <v>0.24795842613214553</v>
      </c>
    </row>
    <row r="57" spans="1:12" ht="15">
      <c r="A57" s="177">
        <f t="shared" si="0"/>
        <v>1990</v>
      </c>
      <c r="B57" s="178" t="str">
        <f t="shared" si="1"/>
        <v>3</v>
      </c>
      <c r="C57" s="231">
        <f t="shared" si="7"/>
        <v>19903</v>
      </c>
      <c r="D57" s="16">
        <v>33117</v>
      </c>
      <c r="E57" s="651">
        <v>24.5</v>
      </c>
      <c r="F57" s="652">
        <v>23.5</v>
      </c>
      <c r="G57" s="652">
        <v>46.9</v>
      </c>
      <c r="H57" s="652">
        <v>83.2</v>
      </c>
      <c r="I57" s="652">
        <v>36.9</v>
      </c>
      <c r="J57" s="652">
        <v>120.2</v>
      </c>
      <c r="K57" s="652">
        <f t="shared" si="8"/>
        <v>167.1</v>
      </c>
      <c r="L57" s="369">
        <f t="shared" si="9"/>
        <v>0.28067025733093953</v>
      </c>
    </row>
    <row r="58" spans="1:12" ht="15">
      <c r="A58" s="177">
        <f t="shared" si="0"/>
        <v>1990</v>
      </c>
      <c r="B58" s="178" t="str">
        <f t="shared" si="1"/>
        <v>4</v>
      </c>
      <c r="C58" s="231">
        <f t="shared" si="7"/>
        <v>19904</v>
      </c>
      <c r="D58" s="16">
        <v>33208</v>
      </c>
      <c r="E58" s="649">
        <v>30.2</v>
      </c>
      <c r="F58" s="650">
        <v>17.5</v>
      </c>
      <c r="G58" s="650">
        <v>48.1</v>
      </c>
      <c r="H58" s="650">
        <v>58</v>
      </c>
      <c r="I58" s="650">
        <v>25.1</v>
      </c>
      <c r="J58" s="650">
        <v>81.5</v>
      </c>
      <c r="K58" s="650">
        <f t="shared" si="8"/>
        <v>129.6</v>
      </c>
      <c r="L58" s="376">
        <f t="shared" si="9"/>
        <v>0.37114197530864201</v>
      </c>
    </row>
    <row r="59" spans="1:12" ht="15">
      <c r="A59" s="177">
        <f t="shared" si="0"/>
        <v>1991</v>
      </c>
      <c r="B59" s="178" t="str">
        <f t="shared" si="1"/>
        <v>1</v>
      </c>
      <c r="C59" s="231">
        <f t="shared" si="7"/>
        <v>19911</v>
      </c>
      <c r="D59" s="16">
        <v>33298</v>
      </c>
      <c r="E59" s="651">
        <v>45.6</v>
      </c>
      <c r="F59" s="652">
        <v>22.1</v>
      </c>
      <c r="G59" s="652">
        <v>67.900000000000006</v>
      </c>
      <c r="H59" s="652">
        <v>62.7</v>
      </c>
      <c r="I59" s="652">
        <v>16</v>
      </c>
      <c r="J59" s="652">
        <v>80.3</v>
      </c>
      <c r="K59" s="652">
        <f t="shared" si="8"/>
        <v>148.19999999999999</v>
      </c>
      <c r="L59" s="369">
        <f t="shared" si="9"/>
        <v>0.45816464237516874</v>
      </c>
    </row>
    <row r="60" spans="1:12" ht="15">
      <c r="A60" s="177">
        <f t="shared" si="0"/>
        <v>1991</v>
      </c>
      <c r="B60" s="178" t="str">
        <f t="shared" si="1"/>
        <v>2</v>
      </c>
      <c r="C60" s="231">
        <f t="shared" si="7"/>
        <v>19912</v>
      </c>
      <c r="D60" s="16">
        <v>33390</v>
      </c>
      <c r="E60" s="649">
        <v>31.5</v>
      </c>
      <c r="F60" s="650">
        <v>25.6</v>
      </c>
      <c r="G60" s="650">
        <v>58.5</v>
      </c>
      <c r="H60" s="650">
        <v>54.9</v>
      </c>
      <c r="I60" s="650">
        <v>31.3</v>
      </c>
      <c r="J60" s="650">
        <v>84.2</v>
      </c>
      <c r="K60" s="650">
        <f t="shared" si="8"/>
        <v>142.69999999999999</v>
      </c>
      <c r="L60" s="376">
        <f t="shared" si="9"/>
        <v>0.40995094604064475</v>
      </c>
    </row>
    <row r="61" spans="1:12" ht="15">
      <c r="A61" s="177">
        <f t="shared" si="0"/>
        <v>1991</v>
      </c>
      <c r="B61" s="178" t="str">
        <f t="shared" si="1"/>
        <v>3</v>
      </c>
      <c r="C61" s="231">
        <f t="shared" si="7"/>
        <v>19913</v>
      </c>
      <c r="D61" s="16">
        <v>33482</v>
      </c>
      <c r="E61" s="651">
        <v>16.5</v>
      </c>
      <c r="F61" s="652">
        <v>18</v>
      </c>
      <c r="G61" s="652">
        <v>33.700000000000003</v>
      </c>
      <c r="H61" s="652">
        <v>29.8</v>
      </c>
      <c r="I61" s="652">
        <v>35.6</v>
      </c>
      <c r="J61" s="652">
        <v>64.8</v>
      </c>
      <c r="K61" s="652">
        <f t="shared" si="8"/>
        <v>98.5</v>
      </c>
      <c r="L61" s="369">
        <f t="shared" si="9"/>
        <v>0.34213197969543152</v>
      </c>
    </row>
    <row r="62" spans="1:12" ht="15">
      <c r="A62" s="177">
        <f t="shared" si="0"/>
        <v>1991</v>
      </c>
      <c r="B62" s="178" t="str">
        <f t="shared" si="1"/>
        <v>4</v>
      </c>
      <c r="C62" s="231">
        <f t="shared" si="7"/>
        <v>19914</v>
      </c>
      <c r="D62" s="16">
        <v>33573</v>
      </c>
      <c r="E62" s="649">
        <v>18.399999999999999</v>
      </c>
      <c r="F62" s="650">
        <v>22.3</v>
      </c>
      <c r="G62" s="650">
        <v>40.4</v>
      </c>
      <c r="H62" s="650">
        <v>60.9</v>
      </c>
      <c r="I62" s="650">
        <v>52.8</v>
      </c>
      <c r="J62" s="650">
        <v>112.4</v>
      </c>
      <c r="K62" s="650">
        <f t="shared" si="8"/>
        <v>152.80000000000001</v>
      </c>
      <c r="L62" s="376">
        <f t="shared" si="9"/>
        <v>0.26439790575916228</v>
      </c>
    </row>
    <row r="63" spans="1:12" ht="15">
      <c r="A63" s="177">
        <f t="shared" si="0"/>
        <v>1992</v>
      </c>
      <c r="B63" s="178" t="str">
        <f t="shared" si="1"/>
        <v>1</v>
      </c>
      <c r="C63" s="231">
        <f t="shared" si="7"/>
        <v>19921</v>
      </c>
      <c r="D63" s="16">
        <v>33664</v>
      </c>
      <c r="E63" s="651">
        <v>13.8</v>
      </c>
      <c r="F63" s="652">
        <v>19.899999999999999</v>
      </c>
      <c r="G63" s="652">
        <v>33</v>
      </c>
      <c r="H63" s="652">
        <v>17.5</v>
      </c>
      <c r="I63" s="652">
        <v>56.2</v>
      </c>
      <c r="J63" s="652">
        <v>79.8</v>
      </c>
      <c r="K63" s="652">
        <f t="shared" si="8"/>
        <v>112.8</v>
      </c>
      <c r="L63" s="369">
        <f t="shared" si="9"/>
        <v>0.29255319148936171</v>
      </c>
    </row>
    <row r="64" spans="1:12" ht="15">
      <c r="A64" s="177">
        <f t="shared" si="0"/>
        <v>1992</v>
      </c>
      <c r="B64" s="178" t="str">
        <f t="shared" si="1"/>
        <v>2</v>
      </c>
      <c r="C64" s="231">
        <f t="shared" si="7"/>
        <v>19922</v>
      </c>
      <c r="D64" s="16">
        <v>33756</v>
      </c>
      <c r="E64" s="649">
        <v>10.3</v>
      </c>
      <c r="F64" s="650">
        <v>14.9</v>
      </c>
      <c r="G64" s="650">
        <v>26.7</v>
      </c>
      <c r="H64" s="650">
        <v>29.4</v>
      </c>
      <c r="I64" s="650">
        <v>50</v>
      </c>
      <c r="J64" s="650">
        <v>77.8</v>
      </c>
      <c r="K64" s="650">
        <f t="shared" si="8"/>
        <v>104.5</v>
      </c>
      <c r="L64" s="376">
        <f t="shared" si="9"/>
        <v>0.25550239234449762</v>
      </c>
    </row>
    <row r="65" spans="1:12" ht="15">
      <c r="A65" s="177">
        <f t="shared" si="0"/>
        <v>1992</v>
      </c>
      <c r="B65" s="178" t="str">
        <f t="shared" si="1"/>
        <v>3</v>
      </c>
      <c r="C65" s="231">
        <f t="shared" si="7"/>
        <v>19923</v>
      </c>
      <c r="D65" s="16">
        <v>33848</v>
      </c>
      <c r="E65" s="651">
        <v>15.8</v>
      </c>
      <c r="F65" s="652">
        <v>17</v>
      </c>
      <c r="G65" s="652">
        <v>31.9</v>
      </c>
      <c r="H65" s="652">
        <v>52.4</v>
      </c>
      <c r="I65" s="652">
        <v>53.8</v>
      </c>
      <c r="J65" s="652">
        <v>104.3</v>
      </c>
      <c r="K65" s="652">
        <f t="shared" si="8"/>
        <v>136.19999999999999</v>
      </c>
      <c r="L65" s="369">
        <f t="shared" si="9"/>
        <v>0.23421439060205582</v>
      </c>
    </row>
    <row r="66" spans="1:12" ht="15">
      <c r="A66" s="177">
        <f t="shared" si="0"/>
        <v>1992</v>
      </c>
      <c r="B66" s="178" t="str">
        <f t="shared" si="1"/>
        <v>4</v>
      </c>
      <c r="C66" s="231">
        <f t="shared" si="7"/>
        <v>19924</v>
      </c>
      <c r="D66" s="16">
        <v>33939</v>
      </c>
      <c r="E66" s="649">
        <v>16.600000000000001</v>
      </c>
      <c r="F66" s="650">
        <v>13.3</v>
      </c>
      <c r="G66" s="650">
        <v>29.7</v>
      </c>
      <c r="H66" s="650">
        <v>68.900000000000006</v>
      </c>
      <c r="I66" s="650">
        <v>66.3</v>
      </c>
      <c r="J66" s="650">
        <v>134.4</v>
      </c>
      <c r="K66" s="650">
        <f t="shared" si="8"/>
        <v>164.1</v>
      </c>
      <c r="L66" s="376">
        <f t="shared" si="9"/>
        <v>0.18098720292504569</v>
      </c>
    </row>
    <row r="67" spans="1:12" ht="15">
      <c r="A67" s="177">
        <f t="shared" si="0"/>
        <v>1993</v>
      </c>
      <c r="B67" s="178" t="str">
        <f t="shared" si="1"/>
        <v>1</v>
      </c>
      <c r="C67" s="231">
        <f t="shared" si="7"/>
        <v>19931</v>
      </c>
      <c r="D67" s="16">
        <v>34029</v>
      </c>
      <c r="E67" s="651">
        <v>15</v>
      </c>
      <c r="F67" s="652">
        <v>10.3</v>
      </c>
      <c r="G67" s="652">
        <v>25.1</v>
      </c>
      <c r="H67" s="652">
        <v>70.900000000000006</v>
      </c>
      <c r="I67" s="652">
        <v>53.2</v>
      </c>
      <c r="J67" s="652">
        <v>129.6</v>
      </c>
      <c r="K67" s="652">
        <f t="shared" si="8"/>
        <v>154.69999999999999</v>
      </c>
      <c r="L67" s="369">
        <f t="shared" si="9"/>
        <v>0.1622495151906917</v>
      </c>
    </row>
    <row r="68" spans="1:12" ht="15">
      <c r="A68" s="177">
        <f t="shared" si="0"/>
        <v>1993</v>
      </c>
      <c r="B68" s="178" t="str">
        <f t="shared" si="1"/>
        <v>2</v>
      </c>
      <c r="C68" s="231">
        <f t="shared" si="7"/>
        <v>19932</v>
      </c>
      <c r="D68" s="16">
        <v>34121</v>
      </c>
      <c r="E68" s="649">
        <v>14.9</v>
      </c>
      <c r="F68" s="650">
        <v>11.6</v>
      </c>
      <c r="G68" s="650">
        <v>27.3</v>
      </c>
      <c r="H68" s="650">
        <v>96.5</v>
      </c>
      <c r="I68" s="650">
        <v>37</v>
      </c>
      <c r="J68" s="650">
        <v>128.69999999999999</v>
      </c>
      <c r="K68" s="650">
        <f t="shared" si="8"/>
        <v>156</v>
      </c>
      <c r="L68" s="376">
        <f t="shared" si="9"/>
        <v>0.17500000000000002</v>
      </c>
    </row>
    <row r="69" spans="1:12" ht="15">
      <c r="A69" s="177">
        <f t="shared" si="0"/>
        <v>1993</v>
      </c>
      <c r="B69" s="178" t="str">
        <f t="shared" si="1"/>
        <v>3</v>
      </c>
      <c r="C69" s="231">
        <f t="shared" si="7"/>
        <v>19933</v>
      </c>
      <c r="D69" s="16">
        <v>34213</v>
      </c>
      <c r="E69" s="651">
        <v>20.3</v>
      </c>
      <c r="F69" s="652">
        <v>11.6</v>
      </c>
      <c r="G69" s="652">
        <v>32.1</v>
      </c>
      <c r="H69" s="652">
        <v>61.1</v>
      </c>
      <c r="I69" s="652">
        <v>40.4</v>
      </c>
      <c r="J69" s="652">
        <v>102.1</v>
      </c>
      <c r="K69" s="652">
        <f t="shared" si="8"/>
        <v>134.19999999999999</v>
      </c>
      <c r="L69" s="369">
        <f t="shared" si="9"/>
        <v>0.23919523099850973</v>
      </c>
    </row>
    <row r="70" spans="1:12" ht="15">
      <c r="A70" s="177">
        <f t="shared" si="0"/>
        <v>1993</v>
      </c>
      <c r="B70" s="178" t="str">
        <f t="shared" si="1"/>
        <v>4</v>
      </c>
      <c r="C70" s="231">
        <f t="shared" si="7"/>
        <v>19934</v>
      </c>
      <c r="D70" s="16">
        <v>34304</v>
      </c>
      <c r="E70" s="649">
        <v>14.8</v>
      </c>
      <c r="F70" s="650">
        <v>12.2</v>
      </c>
      <c r="G70" s="650">
        <v>27</v>
      </c>
      <c r="H70" s="650">
        <v>51.9</v>
      </c>
      <c r="I70" s="650">
        <v>36.4</v>
      </c>
      <c r="J70" s="650">
        <v>88.3</v>
      </c>
      <c r="K70" s="650">
        <f t="shared" si="8"/>
        <v>115.3</v>
      </c>
      <c r="L70" s="376">
        <f t="shared" si="9"/>
        <v>0.23417172593235039</v>
      </c>
    </row>
    <row r="71" spans="1:12" ht="15">
      <c r="A71" s="177">
        <f t="shared" si="0"/>
        <v>1994</v>
      </c>
      <c r="B71" s="178" t="str">
        <f t="shared" si="1"/>
        <v>1</v>
      </c>
      <c r="C71" s="231">
        <f t="shared" si="7"/>
        <v>19941</v>
      </c>
      <c r="D71" s="16">
        <v>34394</v>
      </c>
      <c r="E71" s="651">
        <v>19.899999999999999</v>
      </c>
      <c r="F71" s="652">
        <v>22.8</v>
      </c>
      <c r="G71" s="652">
        <v>42.7</v>
      </c>
      <c r="H71" s="652">
        <v>49.8</v>
      </c>
      <c r="I71" s="652">
        <v>41.4</v>
      </c>
      <c r="J71" s="652">
        <v>94.1</v>
      </c>
      <c r="K71" s="652">
        <f t="shared" si="8"/>
        <v>136.80000000000001</v>
      </c>
      <c r="L71" s="369">
        <f t="shared" si="9"/>
        <v>0.3121345029239766</v>
      </c>
    </row>
    <row r="72" spans="1:12" ht="15">
      <c r="A72" s="177">
        <f t="shared" ref="A72:A135" si="30">YEAR(D72)</f>
        <v>1994</v>
      </c>
      <c r="B72" s="178" t="str">
        <f t="shared" ref="B72:B135" si="31">IF(MONTH(D72)&lt;4,"1",IF(MONTH(D72)&lt;7,"2",IF(MONTH(D72)&lt;10,"3","4")))</f>
        <v>2</v>
      </c>
      <c r="C72" s="231">
        <f t="shared" si="7"/>
        <v>19942</v>
      </c>
      <c r="D72" s="16">
        <v>34486</v>
      </c>
      <c r="E72" s="649">
        <v>29.9</v>
      </c>
      <c r="F72" s="650">
        <v>15.3</v>
      </c>
      <c r="G72" s="650">
        <v>45.2</v>
      </c>
      <c r="H72" s="650">
        <v>42</v>
      </c>
      <c r="I72" s="650">
        <v>34.700000000000003</v>
      </c>
      <c r="J72" s="650">
        <v>76.7</v>
      </c>
      <c r="K72" s="650">
        <f t="shared" si="8"/>
        <v>121.9</v>
      </c>
      <c r="L72" s="376">
        <f t="shared" si="9"/>
        <v>0.37079573420836753</v>
      </c>
    </row>
    <row r="73" spans="1:12" ht="15">
      <c r="A73" s="177">
        <f t="shared" si="30"/>
        <v>1994</v>
      </c>
      <c r="B73" s="178" t="str">
        <f t="shared" si="31"/>
        <v>3</v>
      </c>
      <c r="C73" s="231">
        <f t="shared" ref="C73:C136" si="32">_xlfn.NUMBERVALUE(CONCATENATE(A73,B73))</f>
        <v>19943</v>
      </c>
      <c r="D73" s="16">
        <v>34578</v>
      </c>
      <c r="E73" s="651">
        <v>22.8</v>
      </c>
      <c r="F73" s="652">
        <v>16.399999999999999</v>
      </c>
      <c r="G73" s="652">
        <v>39.1</v>
      </c>
      <c r="H73" s="652">
        <v>100.3</v>
      </c>
      <c r="I73" s="652">
        <v>36.700000000000003</v>
      </c>
      <c r="J73" s="652">
        <v>137</v>
      </c>
      <c r="K73" s="652">
        <f t="shared" ref="K73:K136" si="33">SUM(J73,G73)</f>
        <v>176.1</v>
      </c>
      <c r="L73" s="369">
        <f t="shared" ref="L73:L136" si="34">G73/K73</f>
        <v>0.22203293583191369</v>
      </c>
    </row>
    <row r="74" spans="1:12" ht="15">
      <c r="A74" s="177">
        <f t="shared" si="30"/>
        <v>1994</v>
      </c>
      <c r="B74" s="178" t="str">
        <f t="shared" si="31"/>
        <v>4</v>
      </c>
      <c r="C74" s="231">
        <f t="shared" si="32"/>
        <v>19944</v>
      </c>
      <c r="D74" s="16">
        <v>34669</v>
      </c>
      <c r="E74" s="649">
        <v>15.4</v>
      </c>
      <c r="F74" s="650">
        <v>21.9</v>
      </c>
      <c r="G74" s="650">
        <v>37.299999999999997</v>
      </c>
      <c r="H74" s="650">
        <v>89.6</v>
      </c>
      <c r="I74" s="650">
        <v>30.9</v>
      </c>
      <c r="J74" s="650">
        <v>120.5</v>
      </c>
      <c r="K74" s="650">
        <f t="shared" si="33"/>
        <v>157.80000000000001</v>
      </c>
      <c r="L74" s="376">
        <f t="shared" si="34"/>
        <v>0.23637515842839033</v>
      </c>
    </row>
    <row r="75" spans="1:12" ht="15">
      <c r="A75" s="177">
        <f t="shared" si="30"/>
        <v>1995</v>
      </c>
      <c r="B75" s="178" t="str">
        <f t="shared" si="31"/>
        <v>1</v>
      </c>
      <c r="C75" s="231">
        <f t="shared" si="32"/>
        <v>19951</v>
      </c>
      <c r="D75" s="16">
        <v>34759</v>
      </c>
      <c r="E75" s="651">
        <v>17.2</v>
      </c>
      <c r="F75" s="652">
        <v>20.8</v>
      </c>
      <c r="G75" s="652">
        <v>38</v>
      </c>
      <c r="H75" s="652">
        <v>79.3</v>
      </c>
      <c r="I75" s="652">
        <v>26.9</v>
      </c>
      <c r="J75" s="652">
        <v>106.2</v>
      </c>
      <c r="K75" s="652">
        <f t="shared" si="33"/>
        <v>144.19999999999999</v>
      </c>
      <c r="L75" s="369">
        <f t="shared" si="34"/>
        <v>0.26352288488210818</v>
      </c>
    </row>
    <row r="76" spans="1:12" ht="15">
      <c r="A76" s="177">
        <f t="shared" si="30"/>
        <v>1995</v>
      </c>
      <c r="B76" s="178" t="str">
        <f t="shared" si="31"/>
        <v>2</v>
      </c>
      <c r="C76" s="231">
        <f t="shared" si="32"/>
        <v>19952</v>
      </c>
      <c r="D76" s="16">
        <v>34851</v>
      </c>
      <c r="E76" s="649">
        <v>31.8</v>
      </c>
      <c r="F76" s="650">
        <v>23.2</v>
      </c>
      <c r="G76" s="650">
        <v>55</v>
      </c>
      <c r="H76" s="650">
        <v>95.8</v>
      </c>
      <c r="I76" s="650">
        <v>37.9</v>
      </c>
      <c r="J76" s="650">
        <v>133.69999999999999</v>
      </c>
      <c r="K76" s="650">
        <f t="shared" si="33"/>
        <v>188.7</v>
      </c>
      <c r="L76" s="376">
        <f t="shared" si="34"/>
        <v>0.29146793852676206</v>
      </c>
    </row>
    <row r="77" spans="1:12" ht="15">
      <c r="A77" s="177">
        <f t="shared" si="30"/>
        <v>1995</v>
      </c>
      <c r="B77" s="178" t="str">
        <f t="shared" si="31"/>
        <v>3</v>
      </c>
      <c r="C77" s="231">
        <f t="shared" si="32"/>
        <v>19953</v>
      </c>
      <c r="D77" s="16">
        <v>34943</v>
      </c>
      <c r="E77" s="651">
        <v>28.5</v>
      </c>
      <c r="F77" s="652">
        <v>19.5</v>
      </c>
      <c r="G77" s="652">
        <v>47.9</v>
      </c>
      <c r="H77" s="652">
        <v>101.5</v>
      </c>
      <c r="I77" s="652">
        <v>40.700000000000003</v>
      </c>
      <c r="J77" s="652">
        <v>142.30000000000001</v>
      </c>
      <c r="K77" s="652">
        <f t="shared" si="33"/>
        <v>190.20000000000002</v>
      </c>
      <c r="L77" s="369">
        <f t="shared" si="34"/>
        <v>0.25184016824395372</v>
      </c>
    </row>
    <row r="78" spans="1:12" ht="15">
      <c r="A78" s="177">
        <f t="shared" si="30"/>
        <v>1995</v>
      </c>
      <c r="B78" s="178" t="str">
        <f t="shared" si="31"/>
        <v>4</v>
      </c>
      <c r="C78" s="231">
        <f t="shared" si="32"/>
        <v>19954</v>
      </c>
      <c r="D78" s="16">
        <v>35034</v>
      </c>
      <c r="E78" s="649">
        <v>23.8</v>
      </c>
      <c r="F78" s="650">
        <v>22.2</v>
      </c>
      <c r="G78" s="650">
        <v>46</v>
      </c>
      <c r="H78" s="650">
        <v>88.7</v>
      </c>
      <c r="I78" s="650">
        <v>38.700000000000003</v>
      </c>
      <c r="J78" s="650">
        <v>127.4</v>
      </c>
      <c r="K78" s="650">
        <f t="shared" si="33"/>
        <v>173.4</v>
      </c>
      <c r="L78" s="376">
        <f t="shared" si="34"/>
        <v>0.26528258362168394</v>
      </c>
    </row>
    <row r="79" spans="1:12" ht="15">
      <c r="A79" s="177">
        <f t="shared" si="30"/>
        <v>1996</v>
      </c>
      <c r="B79" s="178" t="str">
        <f t="shared" si="31"/>
        <v>1</v>
      </c>
      <c r="C79" s="231">
        <f t="shared" si="32"/>
        <v>19961</v>
      </c>
      <c r="D79" s="16">
        <v>35125</v>
      </c>
      <c r="E79" s="651">
        <v>19.600000000000001</v>
      </c>
      <c r="F79" s="652">
        <v>18.100000000000001</v>
      </c>
      <c r="G79" s="652">
        <v>37.700000000000003</v>
      </c>
      <c r="H79" s="652">
        <v>76.2</v>
      </c>
      <c r="I79" s="652">
        <v>50.5</v>
      </c>
      <c r="J79" s="652">
        <v>126.6</v>
      </c>
      <c r="K79" s="652">
        <f t="shared" si="33"/>
        <v>164.3</v>
      </c>
      <c r="L79" s="369">
        <f t="shared" si="34"/>
        <v>0.22945830797321973</v>
      </c>
    </row>
    <row r="80" spans="1:12" ht="15">
      <c r="A80" s="177">
        <f t="shared" si="30"/>
        <v>1996</v>
      </c>
      <c r="B80" s="178" t="str">
        <f t="shared" si="31"/>
        <v>2</v>
      </c>
      <c r="C80" s="231">
        <f t="shared" si="32"/>
        <v>19962</v>
      </c>
      <c r="D80" s="16">
        <v>35217</v>
      </c>
      <c r="E80" s="649">
        <v>21.7</v>
      </c>
      <c r="F80" s="650">
        <v>18.8</v>
      </c>
      <c r="G80" s="650">
        <v>40.5</v>
      </c>
      <c r="H80" s="650">
        <v>68.7</v>
      </c>
      <c r="I80" s="650">
        <v>47.9</v>
      </c>
      <c r="J80" s="650">
        <v>116.6</v>
      </c>
      <c r="K80" s="650">
        <f t="shared" si="33"/>
        <v>157.1</v>
      </c>
      <c r="L80" s="376">
        <f t="shared" si="34"/>
        <v>0.25779758115849777</v>
      </c>
    </row>
    <row r="81" spans="1:12" ht="15">
      <c r="A81" s="177">
        <f t="shared" si="30"/>
        <v>1996</v>
      </c>
      <c r="B81" s="178" t="str">
        <f t="shared" si="31"/>
        <v>3</v>
      </c>
      <c r="C81" s="231">
        <f t="shared" si="32"/>
        <v>19963</v>
      </c>
      <c r="D81" s="16">
        <v>35309</v>
      </c>
      <c r="E81" s="651">
        <v>38.4</v>
      </c>
      <c r="F81" s="652">
        <v>22.7</v>
      </c>
      <c r="G81" s="652">
        <v>61.1</v>
      </c>
      <c r="H81" s="652">
        <v>111.8</v>
      </c>
      <c r="I81" s="652">
        <v>30.6</v>
      </c>
      <c r="J81" s="652">
        <v>142.4</v>
      </c>
      <c r="K81" s="652">
        <f t="shared" si="33"/>
        <v>203.5</v>
      </c>
      <c r="L81" s="369">
        <f t="shared" si="34"/>
        <v>0.30024570024570024</v>
      </c>
    </row>
    <row r="82" spans="1:12" ht="15">
      <c r="A82" s="177">
        <f t="shared" si="30"/>
        <v>1996</v>
      </c>
      <c r="B82" s="178" t="str">
        <f t="shared" si="31"/>
        <v>4</v>
      </c>
      <c r="C82" s="231">
        <f t="shared" si="32"/>
        <v>19964</v>
      </c>
      <c r="D82" s="16">
        <v>35400</v>
      </c>
      <c r="E82" s="649">
        <v>52.2</v>
      </c>
      <c r="F82" s="650">
        <v>15</v>
      </c>
      <c r="G82" s="650">
        <v>67.2</v>
      </c>
      <c r="H82" s="650">
        <v>112.4</v>
      </c>
      <c r="I82" s="650">
        <v>42.6</v>
      </c>
      <c r="J82" s="650">
        <v>155</v>
      </c>
      <c r="K82" s="650">
        <f t="shared" si="33"/>
        <v>222.2</v>
      </c>
      <c r="L82" s="376">
        <f t="shared" si="34"/>
        <v>0.30243024302430244</v>
      </c>
    </row>
    <row r="83" spans="1:12" ht="15">
      <c r="A83" s="177">
        <f t="shared" si="30"/>
        <v>1997</v>
      </c>
      <c r="B83" s="178" t="str">
        <f t="shared" si="31"/>
        <v>1</v>
      </c>
      <c r="C83" s="231">
        <f t="shared" si="32"/>
        <v>19971</v>
      </c>
      <c r="D83" s="16">
        <v>35490</v>
      </c>
      <c r="E83" s="651">
        <v>29.8</v>
      </c>
      <c r="F83" s="652">
        <v>9.8000000000000007</v>
      </c>
      <c r="G83" s="652">
        <v>39.5</v>
      </c>
      <c r="H83" s="652">
        <v>96.6</v>
      </c>
      <c r="I83" s="652">
        <v>47.2</v>
      </c>
      <c r="J83" s="652">
        <v>143.80000000000001</v>
      </c>
      <c r="K83" s="652">
        <f t="shared" si="33"/>
        <v>183.3</v>
      </c>
      <c r="L83" s="369">
        <f t="shared" si="34"/>
        <v>0.215493726132024</v>
      </c>
    </row>
    <row r="84" spans="1:12" ht="15">
      <c r="A84" s="177">
        <f t="shared" si="30"/>
        <v>1997</v>
      </c>
      <c r="B84" s="178" t="str">
        <f t="shared" si="31"/>
        <v>2</v>
      </c>
      <c r="C84" s="231">
        <f t="shared" si="32"/>
        <v>19972</v>
      </c>
      <c r="D84" s="16">
        <v>35582</v>
      </c>
      <c r="E84" s="649">
        <v>53.9</v>
      </c>
      <c r="F84" s="650">
        <v>23.7</v>
      </c>
      <c r="G84" s="650">
        <v>77.599999999999994</v>
      </c>
      <c r="H84" s="650">
        <v>69.5</v>
      </c>
      <c r="I84" s="650">
        <v>47.7</v>
      </c>
      <c r="J84" s="650">
        <v>117.2</v>
      </c>
      <c r="K84" s="650">
        <f t="shared" si="33"/>
        <v>194.8</v>
      </c>
      <c r="L84" s="376">
        <f t="shared" si="34"/>
        <v>0.3983572895277207</v>
      </c>
    </row>
    <row r="85" spans="1:12" ht="15">
      <c r="A85" s="177">
        <f t="shared" si="30"/>
        <v>1997</v>
      </c>
      <c r="B85" s="178" t="str">
        <f t="shared" si="31"/>
        <v>3</v>
      </c>
      <c r="C85" s="231">
        <f t="shared" si="32"/>
        <v>19973</v>
      </c>
      <c r="D85" s="16">
        <v>35674</v>
      </c>
      <c r="E85" s="651">
        <v>39.6</v>
      </c>
      <c r="F85" s="652">
        <v>15.3</v>
      </c>
      <c r="G85" s="652">
        <v>54.9</v>
      </c>
      <c r="H85" s="652">
        <v>42.3</v>
      </c>
      <c r="I85" s="652">
        <v>28.7</v>
      </c>
      <c r="J85" s="652">
        <v>71</v>
      </c>
      <c r="K85" s="652">
        <f t="shared" si="33"/>
        <v>125.9</v>
      </c>
      <c r="L85" s="369">
        <f t="shared" si="34"/>
        <v>0.43606036536934073</v>
      </c>
    </row>
    <row r="86" spans="1:12" ht="15">
      <c r="A86" s="177">
        <f t="shared" si="30"/>
        <v>1997</v>
      </c>
      <c r="B86" s="178" t="str">
        <f t="shared" si="31"/>
        <v>4</v>
      </c>
      <c r="C86" s="231">
        <f t="shared" si="32"/>
        <v>19974</v>
      </c>
      <c r="D86" s="16">
        <v>35765</v>
      </c>
      <c r="E86" s="649">
        <v>37.799999999999997</v>
      </c>
      <c r="F86" s="650">
        <v>14.8</v>
      </c>
      <c r="G86" s="650">
        <v>52.5</v>
      </c>
      <c r="H86" s="650">
        <v>82.5</v>
      </c>
      <c r="I86" s="650">
        <v>67</v>
      </c>
      <c r="J86" s="650">
        <v>149.5</v>
      </c>
      <c r="K86" s="650">
        <f t="shared" si="33"/>
        <v>202</v>
      </c>
      <c r="L86" s="376">
        <f t="shared" si="34"/>
        <v>0.25990099009900991</v>
      </c>
    </row>
    <row r="87" spans="1:12" ht="15">
      <c r="A87" s="177">
        <f t="shared" si="30"/>
        <v>1998</v>
      </c>
      <c r="B87" s="178" t="str">
        <f t="shared" si="31"/>
        <v>1</v>
      </c>
      <c r="C87" s="231">
        <f t="shared" si="32"/>
        <v>19981</v>
      </c>
      <c r="D87" s="16">
        <v>35855</v>
      </c>
      <c r="E87" s="651">
        <v>48</v>
      </c>
      <c r="F87" s="652">
        <v>12.8</v>
      </c>
      <c r="G87" s="652">
        <v>60.9</v>
      </c>
      <c r="H87" s="652">
        <v>137.80000000000001</v>
      </c>
      <c r="I87" s="652">
        <v>77.3</v>
      </c>
      <c r="J87" s="652">
        <v>215.1</v>
      </c>
      <c r="K87" s="652">
        <f t="shared" si="33"/>
        <v>276</v>
      </c>
      <c r="L87" s="369">
        <f t="shared" si="34"/>
        <v>0.22065217391304348</v>
      </c>
    </row>
    <row r="88" spans="1:12" ht="15">
      <c r="A88" s="177">
        <f t="shared" si="30"/>
        <v>1998</v>
      </c>
      <c r="B88" s="178" t="str">
        <f t="shared" si="31"/>
        <v>2</v>
      </c>
      <c r="C88" s="231">
        <f t="shared" si="32"/>
        <v>19982</v>
      </c>
      <c r="D88" s="16">
        <v>35947</v>
      </c>
      <c r="E88" s="649">
        <v>51.3</v>
      </c>
      <c r="F88" s="650">
        <v>14.7</v>
      </c>
      <c r="G88" s="650">
        <v>66</v>
      </c>
      <c r="H88" s="650">
        <v>196.7</v>
      </c>
      <c r="I88" s="650">
        <v>52.8</v>
      </c>
      <c r="J88" s="650">
        <v>249.5</v>
      </c>
      <c r="K88" s="650">
        <f t="shared" si="33"/>
        <v>315.5</v>
      </c>
      <c r="L88" s="376">
        <f t="shared" si="34"/>
        <v>0.2091917591125198</v>
      </c>
    </row>
    <row r="89" spans="1:12" ht="15">
      <c r="A89" s="177">
        <f t="shared" si="30"/>
        <v>1998</v>
      </c>
      <c r="B89" s="178" t="str">
        <f t="shared" si="31"/>
        <v>3</v>
      </c>
      <c r="C89" s="231">
        <f t="shared" si="32"/>
        <v>19983</v>
      </c>
      <c r="D89" s="16">
        <v>36039</v>
      </c>
      <c r="E89" s="651">
        <v>35.9</v>
      </c>
      <c r="F89" s="652">
        <v>22.4</v>
      </c>
      <c r="G89" s="652">
        <v>58.3</v>
      </c>
      <c r="H89" s="652">
        <v>70.7</v>
      </c>
      <c r="I89" s="652">
        <v>60.9</v>
      </c>
      <c r="J89" s="652">
        <v>131.6</v>
      </c>
      <c r="K89" s="652">
        <f t="shared" si="33"/>
        <v>189.89999999999998</v>
      </c>
      <c r="L89" s="369">
        <f t="shared" si="34"/>
        <v>0.30700368615060558</v>
      </c>
    </row>
    <row r="90" spans="1:12" ht="15">
      <c r="A90" s="177">
        <f t="shared" si="30"/>
        <v>1998</v>
      </c>
      <c r="B90" s="178" t="str">
        <f t="shared" si="31"/>
        <v>4</v>
      </c>
      <c r="C90" s="231">
        <f t="shared" si="32"/>
        <v>19984</v>
      </c>
      <c r="D90" s="16">
        <v>36130</v>
      </c>
      <c r="E90" s="649">
        <v>34.4</v>
      </c>
      <c r="F90" s="650">
        <v>16.2</v>
      </c>
      <c r="G90" s="650">
        <v>50.6</v>
      </c>
      <c r="H90" s="650">
        <v>123.8</v>
      </c>
      <c r="I90" s="650">
        <v>61.6</v>
      </c>
      <c r="J90" s="650">
        <v>185.4</v>
      </c>
      <c r="K90" s="650">
        <f t="shared" si="33"/>
        <v>236</v>
      </c>
      <c r="L90" s="376">
        <f t="shared" si="34"/>
        <v>0.21440677966101696</v>
      </c>
    </row>
    <row r="91" spans="1:12" ht="15">
      <c r="A91" s="177">
        <f t="shared" si="30"/>
        <v>1999</v>
      </c>
      <c r="B91" s="178" t="str">
        <f t="shared" si="31"/>
        <v>1</v>
      </c>
      <c r="C91" s="231">
        <f t="shared" si="32"/>
        <v>19991</v>
      </c>
      <c r="D91" s="16">
        <v>36220</v>
      </c>
      <c r="E91" s="651">
        <v>25.7</v>
      </c>
      <c r="F91" s="652">
        <v>19.7</v>
      </c>
      <c r="G91" s="652">
        <v>45.4</v>
      </c>
      <c r="H91" s="652">
        <v>125.1</v>
      </c>
      <c r="I91" s="652">
        <v>62.8</v>
      </c>
      <c r="J91" s="652">
        <v>187.8</v>
      </c>
      <c r="K91" s="652">
        <f t="shared" si="33"/>
        <v>233.20000000000002</v>
      </c>
      <c r="L91" s="369">
        <f t="shared" si="34"/>
        <v>0.19468267581475127</v>
      </c>
    </row>
    <row r="92" spans="1:12" ht="15">
      <c r="A92" s="177">
        <f t="shared" si="30"/>
        <v>1999</v>
      </c>
      <c r="B92" s="178" t="str">
        <f t="shared" si="31"/>
        <v>2</v>
      </c>
      <c r="C92" s="231">
        <f t="shared" si="32"/>
        <v>19992</v>
      </c>
      <c r="D92" s="16">
        <v>36312</v>
      </c>
      <c r="E92" s="649">
        <v>13.6</v>
      </c>
      <c r="F92" s="650">
        <v>13</v>
      </c>
      <c r="G92" s="650">
        <v>26.6</v>
      </c>
      <c r="H92" s="650">
        <v>100.8</v>
      </c>
      <c r="I92" s="650">
        <v>64.599999999999994</v>
      </c>
      <c r="J92" s="650">
        <v>165.5</v>
      </c>
      <c r="K92" s="650">
        <f t="shared" si="33"/>
        <v>192.1</v>
      </c>
      <c r="L92" s="376">
        <f t="shared" si="34"/>
        <v>0.13846954711087975</v>
      </c>
    </row>
    <row r="93" spans="1:12" ht="15">
      <c r="A93" s="177">
        <f t="shared" si="30"/>
        <v>1999</v>
      </c>
      <c r="B93" s="178" t="str">
        <f t="shared" si="31"/>
        <v>3</v>
      </c>
      <c r="C93" s="231">
        <f t="shared" si="32"/>
        <v>19993</v>
      </c>
      <c r="D93" s="16">
        <v>36404</v>
      </c>
      <c r="E93" s="651">
        <v>11.4</v>
      </c>
      <c r="F93" s="652">
        <v>10.1</v>
      </c>
      <c r="G93" s="652">
        <v>21.4</v>
      </c>
      <c r="H93" s="652">
        <v>96.5</v>
      </c>
      <c r="I93" s="652">
        <v>84.4</v>
      </c>
      <c r="J93" s="652">
        <v>180.8</v>
      </c>
      <c r="K93" s="652">
        <f t="shared" si="33"/>
        <v>202.20000000000002</v>
      </c>
      <c r="L93" s="369">
        <f t="shared" si="34"/>
        <v>0.10583580613254202</v>
      </c>
    </row>
    <row r="94" spans="1:12" ht="15">
      <c r="A94" s="177">
        <f t="shared" si="30"/>
        <v>1999</v>
      </c>
      <c r="B94" s="178" t="str">
        <f t="shared" si="31"/>
        <v>4</v>
      </c>
      <c r="C94" s="231">
        <f t="shared" si="32"/>
        <v>19994</v>
      </c>
      <c r="D94" s="16">
        <v>36495</v>
      </c>
      <c r="E94" s="649">
        <v>17.5</v>
      </c>
      <c r="F94" s="650">
        <v>15.8</v>
      </c>
      <c r="G94" s="650">
        <v>33.4</v>
      </c>
      <c r="H94" s="650">
        <v>91.4</v>
      </c>
      <c r="I94" s="650">
        <v>45.7</v>
      </c>
      <c r="J94" s="650">
        <v>137.1</v>
      </c>
      <c r="K94" s="650">
        <f t="shared" si="33"/>
        <v>170.5</v>
      </c>
      <c r="L94" s="376">
        <f t="shared" si="34"/>
        <v>0.19589442815249267</v>
      </c>
    </row>
    <row r="95" spans="1:12" ht="15">
      <c r="A95" s="177">
        <f t="shared" si="30"/>
        <v>2000</v>
      </c>
      <c r="B95" s="178" t="str">
        <f t="shared" si="31"/>
        <v>1</v>
      </c>
      <c r="C95" s="231">
        <f t="shared" si="32"/>
        <v>20001</v>
      </c>
      <c r="D95" s="16">
        <v>36586</v>
      </c>
      <c r="E95" s="651">
        <v>13.1</v>
      </c>
      <c r="F95" s="652">
        <v>14.5</v>
      </c>
      <c r="G95" s="652">
        <v>27.6</v>
      </c>
      <c r="H95" s="652">
        <v>99.1</v>
      </c>
      <c r="I95" s="652">
        <v>33.1</v>
      </c>
      <c r="J95" s="652">
        <v>132.1</v>
      </c>
      <c r="K95" s="652">
        <f t="shared" si="33"/>
        <v>159.69999999999999</v>
      </c>
      <c r="L95" s="369">
        <f t="shared" si="34"/>
        <v>0.17282404508453353</v>
      </c>
    </row>
    <row r="96" spans="1:12" ht="15">
      <c r="A96" s="177">
        <f t="shared" si="30"/>
        <v>2000</v>
      </c>
      <c r="B96" s="178" t="str">
        <f t="shared" si="31"/>
        <v>2</v>
      </c>
      <c r="C96" s="231">
        <f t="shared" si="32"/>
        <v>20002</v>
      </c>
      <c r="D96" s="16">
        <v>36678</v>
      </c>
      <c r="E96" s="649">
        <v>10.3</v>
      </c>
      <c r="F96" s="650">
        <v>15.8</v>
      </c>
      <c r="G96" s="650">
        <v>26.1</v>
      </c>
      <c r="H96" s="650">
        <v>84</v>
      </c>
      <c r="I96" s="650">
        <v>60</v>
      </c>
      <c r="J96" s="650">
        <v>144</v>
      </c>
      <c r="K96" s="650">
        <f t="shared" si="33"/>
        <v>170.1</v>
      </c>
      <c r="L96" s="376">
        <f t="shared" si="34"/>
        <v>0.15343915343915346</v>
      </c>
    </row>
    <row r="97" spans="1:12" ht="15">
      <c r="A97" s="177">
        <f t="shared" si="30"/>
        <v>2000</v>
      </c>
      <c r="B97" s="178" t="str">
        <f t="shared" si="31"/>
        <v>3</v>
      </c>
      <c r="C97" s="231">
        <f t="shared" si="32"/>
        <v>20003</v>
      </c>
      <c r="D97" s="16">
        <v>36770</v>
      </c>
      <c r="E97" s="651">
        <v>17.899999999999999</v>
      </c>
      <c r="F97" s="652">
        <v>17.399999999999999</v>
      </c>
      <c r="G97" s="652">
        <v>35.299999999999997</v>
      </c>
      <c r="H97" s="652">
        <v>121.8</v>
      </c>
      <c r="I97" s="652">
        <v>67.2</v>
      </c>
      <c r="J97" s="652">
        <v>189</v>
      </c>
      <c r="K97" s="652">
        <f t="shared" si="33"/>
        <v>224.3</v>
      </c>
      <c r="L97" s="369">
        <f t="shared" si="34"/>
        <v>0.15737851092287114</v>
      </c>
    </row>
    <row r="98" spans="1:12" ht="15">
      <c r="A98" s="177">
        <f t="shared" si="30"/>
        <v>2000</v>
      </c>
      <c r="B98" s="178" t="str">
        <f t="shared" si="31"/>
        <v>4</v>
      </c>
      <c r="C98" s="231">
        <f t="shared" si="32"/>
        <v>20004</v>
      </c>
      <c r="D98" s="16">
        <v>36861</v>
      </c>
      <c r="E98" s="649">
        <v>19.5</v>
      </c>
      <c r="F98" s="650">
        <v>19</v>
      </c>
      <c r="G98" s="650">
        <v>38.6</v>
      </c>
      <c r="H98" s="650">
        <v>101</v>
      </c>
      <c r="I98" s="650">
        <v>88.3</v>
      </c>
      <c r="J98" s="650">
        <v>189.3</v>
      </c>
      <c r="K98" s="650">
        <f t="shared" si="33"/>
        <v>227.9</v>
      </c>
      <c r="L98" s="376">
        <f t="shared" si="34"/>
        <v>0.16937253181219833</v>
      </c>
    </row>
    <row r="99" spans="1:12" ht="15">
      <c r="A99" s="177">
        <f t="shared" si="30"/>
        <v>2001</v>
      </c>
      <c r="B99" s="178" t="str">
        <f t="shared" si="31"/>
        <v>1</v>
      </c>
      <c r="C99" s="231">
        <f t="shared" si="32"/>
        <v>20011</v>
      </c>
      <c r="D99" s="16">
        <v>36951</v>
      </c>
      <c r="E99" s="651">
        <v>34</v>
      </c>
      <c r="F99" s="652">
        <v>22.7</v>
      </c>
      <c r="G99" s="652">
        <v>56.7</v>
      </c>
      <c r="H99" s="652">
        <v>140</v>
      </c>
      <c r="I99" s="652">
        <v>97.9</v>
      </c>
      <c r="J99" s="652">
        <v>237.9</v>
      </c>
      <c r="K99" s="652">
        <f t="shared" si="33"/>
        <v>294.60000000000002</v>
      </c>
      <c r="L99" s="369">
        <f t="shared" si="34"/>
        <v>0.1924643584521385</v>
      </c>
    </row>
    <row r="100" spans="1:12" ht="15">
      <c r="A100" s="177">
        <f t="shared" si="30"/>
        <v>2001</v>
      </c>
      <c r="B100" s="178" t="str">
        <f t="shared" si="31"/>
        <v>2</v>
      </c>
      <c r="C100" s="231">
        <f t="shared" si="32"/>
        <v>20012</v>
      </c>
      <c r="D100" s="16">
        <v>37043</v>
      </c>
      <c r="E100" s="649">
        <v>30.4</v>
      </c>
      <c r="F100" s="650">
        <v>18.399999999999999</v>
      </c>
      <c r="G100" s="650">
        <v>48.7</v>
      </c>
      <c r="H100" s="650">
        <v>163.5</v>
      </c>
      <c r="I100" s="650">
        <v>69.099999999999994</v>
      </c>
      <c r="J100" s="650">
        <v>232.6</v>
      </c>
      <c r="K100" s="650">
        <f t="shared" si="33"/>
        <v>281.3</v>
      </c>
      <c r="L100" s="376">
        <f t="shared" si="34"/>
        <v>0.17312477781727692</v>
      </c>
    </row>
    <row r="101" spans="1:12" ht="15">
      <c r="A101" s="177">
        <f t="shared" si="30"/>
        <v>2001</v>
      </c>
      <c r="B101" s="178" t="str">
        <f t="shared" si="31"/>
        <v>3</v>
      </c>
      <c r="C101" s="231">
        <f t="shared" si="32"/>
        <v>20013</v>
      </c>
      <c r="D101" s="16">
        <v>37135</v>
      </c>
      <c r="E101" s="651">
        <v>29.6</v>
      </c>
      <c r="F101" s="652">
        <v>14.9</v>
      </c>
      <c r="G101" s="652">
        <v>44.5</v>
      </c>
      <c r="H101" s="652">
        <v>132.19999999999999</v>
      </c>
      <c r="I101" s="652">
        <v>61.6</v>
      </c>
      <c r="J101" s="652">
        <v>193.9</v>
      </c>
      <c r="K101" s="652">
        <f t="shared" si="33"/>
        <v>238.4</v>
      </c>
      <c r="L101" s="369">
        <f t="shared" si="34"/>
        <v>0.18666107382550334</v>
      </c>
    </row>
    <row r="102" spans="1:12" ht="15">
      <c r="A102" s="177">
        <f t="shared" si="30"/>
        <v>2001</v>
      </c>
      <c r="B102" s="178" t="str">
        <f t="shared" si="31"/>
        <v>4</v>
      </c>
      <c r="C102" s="231">
        <f t="shared" si="32"/>
        <v>20014</v>
      </c>
      <c r="D102" s="16">
        <v>37226</v>
      </c>
      <c r="E102" s="649">
        <v>17</v>
      </c>
      <c r="F102" s="650">
        <v>13.7</v>
      </c>
      <c r="G102" s="650">
        <v>30.7</v>
      </c>
      <c r="H102" s="650">
        <v>156.1</v>
      </c>
      <c r="I102" s="650">
        <v>62.3</v>
      </c>
      <c r="J102" s="650">
        <v>218.4</v>
      </c>
      <c r="K102" s="650">
        <f t="shared" si="33"/>
        <v>249.1</v>
      </c>
      <c r="L102" s="376">
        <f t="shared" si="34"/>
        <v>0.123243677238057</v>
      </c>
    </row>
    <row r="103" spans="1:12" ht="15">
      <c r="A103" s="177">
        <f t="shared" si="30"/>
        <v>2002</v>
      </c>
      <c r="B103" s="178" t="str">
        <f t="shared" si="31"/>
        <v>1</v>
      </c>
      <c r="C103" s="231">
        <f t="shared" si="32"/>
        <v>20021</v>
      </c>
      <c r="D103" s="16">
        <v>37316</v>
      </c>
      <c r="E103" s="651">
        <v>20.8</v>
      </c>
      <c r="F103" s="652">
        <v>19.7</v>
      </c>
      <c r="G103" s="652">
        <v>40.5</v>
      </c>
      <c r="H103" s="652">
        <v>85.5</v>
      </c>
      <c r="I103" s="652">
        <v>74.5</v>
      </c>
      <c r="J103" s="652">
        <v>160</v>
      </c>
      <c r="K103" s="652">
        <f t="shared" si="33"/>
        <v>200.5</v>
      </c>
      <c r="L103" s="369">
        <f t="shared" si="34"/>
        <v>0.20199501246882792</v>
      </c>
    </row>
    <row r="104" spans="1:12" ht="15">
      <c r="A104" s="177">
        <f t="shared" si="30"/>
        <v>2002</v>
      </c>
      <c r="B104" s="178" t="str">
        <f t="shared" si="31"/>
        <v>2</v>
      </c>
      <c r="C104" s="231">
        <f t="shared" si="32"/>
        <v>20022</v>
      </c>
      <c r="D104" s="16">
        <v>37408</v>
      </c>
      <c r="E104" s="649">
        <v>34.200000000000003</v>
      </c>
      <c r="F104" s="650">
        <v>17.8</v>
      </c>
      <c r="G104" s="650">
        <v>52</v>
      </c>
      <c r="H104" s="650">
        <v>78.2</v>
      </c>
      <c r="I104" s="650">
        <v>61.4</v>
      </c>
      <c r="J104" s="650">
        <v>139.6</v>
      </c>
      <c r="K104" s="650">
        <f t="shared" si="33"/>
        <v>191.6</v>
      </c>
      <c r="L104" s="376">
        <f t="shared" si="34"/>
        <v>0.27139874739039666</v>
      </c>
    </row>
    <row r="105" spans="1:12" ht="15">
      <c r="A105" s="177">
        <f t="shared" si="30"/>
        <v>2002</v>
      </c>
      <c r="B105" s="178" t="str">
        <f t="shared" si="31"/>
        <v>3</v>
      </c>
      <c r="C105" s="231">
        <f t="shared" si="32"/>
        <v>20023</v>
      </c>
      <c r="D105" s="16">
        <v>37500</v>
      </c>
      <c r="E105" s="651">
        <v>31.6</v>
      </c>
      <c r="F105" s="652">
        <v>21</v>
      </c>
      <c r="G105" s="652">
        <v>52.6</v>
      </c>
      <c r="H105" s="652">
        <v>120.8</v>
      </c>
      <c r="I105" s="652">
        <v>53.1</v>
      </c>
      <c r="J105" s="652">
        <v>174</v>
      </c>
      <c r="K105" s="652">
        <f t="shared" si="33"/>
        <v>226.6</v>
      </c>
      <c r="L105" s="369">
        <f t="shared" si="34"/>
        <v>0.23212709620476613</v>
      </c>
    </row>
    <row r="106" spans="1:12" ht="15">
      <c r="A106" s="177">
        <f t="shared" si="30"/>
        <v>2002</v>
      </c>
      <c r="B106" s="178" t="str">
        <f t="shared" si="31"/>
        <v>4</v>
      </c>
      <c r="C106" s="231">
        <f t="shared" si="32"/>
        <v>20024</v>
      </c>
      <c r="D106" s="16">
        <v>37591</v>
      </c>
      <c r="E106" s="649">
        <v>31</v>
      </c>
      <c r="F106" s="650">
        <v>26.2</v>
      </c>
      <c r="G106" s="650">
        <v>57.2</v>
      </c>
      <c r="H106" s="650">
        <v>132.5</v>
      </c>
      <c r="I106" s="650">
        <v>57.6</v>
      </c>
      <c r="J106" s="650">
        <v>190.1</v>
      </c>
      <c r="K106" s="650">
        <f t="shared" si="33"/>
        <v>247.3</v>
      </c>
      <c r="L106" s="376">
        <f t="shared" si="34"/>
        <v>0.23129801860088961</v>
      </c>
    </row>
    <row r="107" spans="1:12" ht="15">
      <c r="A107" s="177">
        <f t="shared" si="30"/>
        <v>2003</v>
      </c>
      <c r="B107" s="178" t="str">
        <f t="shared" si="31"/>
        <v>1</v>
      </c>
      <c r="C107" s="231">
        <f t="shared" si="32"/>
        <v>20031</v>
      </c>
      <c r="D107" s="16">
        <v>37681</v>
      </c>
      <c r="E107" s="651">
        <v>12.1</v>
      </c>
      <c r="F107" s="652">
        <v>22.5</v>
      </c>
      <c r="G107" s="652">
        <v>34.700000000000003</v>
      </c>
      <c r="H107" s="652">
        <v>176.8</v>
      </c>
      <c r="I107" s="652">
        <v>56.6</v>
      </c>
      <c r="J107" s="652">
        <v>233.4</v>
      </c>
      <c r="K107" s="652">
        <f t="shared" si="33"/>
        <v>268.10000000000002</v>
      </c>
      <c r="L107" s="369">
        <f t="shared" si="34"/>
        <v>0.12942931741887356</v>
      </c>
    </row>
    <row r="108" spans="1:12" ht="15">
      <c r="A108" s="177">
        <f t="shared" si="30"/>
        <v>2003</v>
      </c>
      <c r="B108" s="178" t="str">
        <f t="shared" si="31"/>
        <v>2</v>
      </c>
      <c r="C108" s="231">
        <f t="shared" si="32"/>
        <v>20032</v>
      </c>
      <c r="D108" s="16">
        <v>37773</v>
      </c>
      <c r="E108" s="649">
        <v>19.899999999999999</v>
      </c>
      <c r="F108" s="650">
        <v>23.7</v>
      </c>
      <c r="G108" s="650">
        <v>43.6</v>
      </c>
      <c r="H108" s="650">
        <v>134.4</v>
      </c>
      <c r="I108" s="650">
        <v>72.900000000000006</v>
      </c>
      <c r="J108" s="650">
        <v>207.3</v>
      </c>
      <c r="K108" s="650">
        <f t="shared" si="33"/>
        <v>250.9</v>
      </c>
      <c r="L108" s="376">
        <f t="shared" si="34"/>
        <v>0.17377441211638103</v>
      </c>
    </row>
    <row r="109" spans="1:12" ht="15">
      <c r="A109" s="177">
        <f t="shared" si="30"/>
        <v>2003</v>
      </c>
      <c r="B109" s="178" t="str">
        <f t="shared" si="31"/>
        <v>3</v>
      </c>
      <c r="C109" s="231">
        <f t="shared" si="32"/>
        <v>20033</v>
      </c>
      <c r="D109" s="16">
        <v>37865</v>
      </c>
      <c r="E109" s="651">
        <v>12.4</v>
      </c>
      <c r="F109" s="652">
        <v>27.9</v>
      </c>
      <c r="G109" s="652">
        <v>40.4</v>
      </c>
      <c r="H109" s="652">
        <v>123.8</v>
      </c>
      <c r="I109" s="652">
        <v>78.3</v>
      </c>
      <c r="J109" s="652">
        <v>202.1</v>
      </c>
      <c r="K109" s="652">
        <f t="shared" si="33"/>
        <v>242.5</v>
      </c>
      <c r="L109" s="369">
        <f t="shared" si="34"/>
        <v>0.16659793814432988</v>
      </c>
    </row>
    <row r="110" spans="1:12" ht="15">
      <c r="A110" s="177">
        <f t="shared" si="30"/>
        <v>2003</v>
      </c>
      <c r="B110" s="178" t="str">
        <f t="shared" si="31"/>
        <v>4</v>
      </c>
      <c r="C110" s="231">
        <f t="shared" si="32"/>
        <v>20034</v>
      </c>
      <c r="D110" s="16">
        <v>37956</v>
      </c>
      <c r="E110" s="649">
        <v>35.9</v>
      </c>
      <c r="F110" s="650">
        <v>30.2</v>
      </c>
      <c r="G110" s="650">
        <v>66</v>
      </c>
      <c r="H110" s="650">
        <v>95.4</v>
      </c>
      <c r="I110" s="650">
        <v>99.7</v>
      </c>
      <c r="J110" s="650">
        <v>195.2</v>
      </c>
      <c r="K110" s="650">
        <f t="shared" si="33"/>
        <v>261.2</v>
      </c>
      <c r="L110" s="376">
        <f t="shared" si="34"/>
        <v>0.25267993874425726</v>
      </c>
    </row>
    <row r="111" spans="1:12" ht="15">
      <c r="A111" s="177">
        <f t="shared" si="30"/>
        <v>2004</v>
      </c>
      <c r="B111" s="178" t="str">
        <f t="shared" si="31"/>
        <v>1</v>
      </c>
      <c r="C111" s="231">
        <f t="shared" si="32"/>
        <v>20041</v>
      </c>
      <c r="D111" s="16">
        <v>38047</v>
      </c>
      <c r="E111" s="651">
        <v>37.5</v>
      </c>
      <c r="F111" s="652">
        <v>23.6</v>
      </c>
      <c r="G111" s="652">
        <v>61.1</v>
      </c>
      <c r="H111" s="652">
        <v>61</v>
      </c>
      <c r="I111" s="652">
        <v>50.6</v>
      </c>
      <c r="J111" s="652">
        <v>111.6</v>
      </c>
      <c r="K111" s="652">
        <f t="shared" si="33"/>
        <v>172.7</v>
      </c>
      <c r="L111" s="369">
        <f t="shared" si="34"/>
        <v>0.35379270411117547</v>
      </c>
    </row>
    <row r="112" spans="1:12" ht="15">
      <c r="A112" s="177">
        <f t="shared" si="30"/>
        <v>2004</v>
      </c>
      <c r="B112" s="178" t="str">
        <f t="shared" si="31"/>
        <v>2</v>
      </c>
      <c r="C112" s="231">
        <f t="shared" si="32"/>
        <v>20042</v>
      </c>
      <c r="D112" s="16">
        <v>38139</v>
      </c>
      <c r="E112" s="649">
        <v>37.9</v>
      </c>
      <c r="F112" s="650">
        <v>22.5</v>
      </c>
      <c r="G112" s="650">
        <v>60.4</v>
      </c>
      <c r="H112" s="650"/>
      <c r="I112" s="650"/>
      <c r="J112" s="650">
        <v>202.3</v>
      </c>
      <c r="K112" s="650">
        <f t="shared" si="33"/>
        <v>262.7</v>
      </c>
      <c r="L112" s="376">
        <f t="shared" si="34"/>
        <v>0.22992006090597641</v>
      </c>
    </row>
    <row r="113" spans="1:12" ht="15">
      <c r="A113" s="177">
        <f t="shared" si="30"/>
        <v>2004</v>
      </c>
      <c r="B113" s="178" t="str">
        <f t="shared" si="31"/>
        <v>3</v>
      </c>
      <c r="C113" s="231">
        <f t="shared" si="32"/>
        <v>20043</v>
      </c>
      <c r="D113" s="16">
        <v>38231</v>
      </c>
      <c r="E113" s="651">
        <v>40</v>
      </c>
      <c r="F113" s="652">
        <v>35.9</v>
      </c>
      <c r="G113" s="652">
        <v>75.900000000000006</v>
      </c>
      <c r="H113" s="652">
        <v>70.099999999999994</v>
      </c>
      <c r="I113" s="652">
        <v>76.400000000000006</v>
      </c>
      <c r="J113" s="652">
        <v>146.5</v>
      </c>
      <c r="K113" s="652">
        <f t="shared" si="33"/>
        <v>222.4</v>
      </c>
      <c r="L113" s="369">
        <f t="shared" si="34"/>
        <v>0.34127697841726623</v>
      </c>
    </row>
    <row r="114" spans="1:12" ht="15">
      <c r="A114" s="177">
        <f t="shared" si="30"/>
        <v>2004</v>
      </c>
      <c r="B114" s="178" t="str">
        <f t="shared" si="31"/>
        <v>4</v>
      </c>
      <c r="C114" s="231">
        <f t="shared" si="32"/>
        <v>20044</v>
      </c>
      <c r="D114" s="16">
        <v>38322</v>
      </c>
      <c r="E114" s="649">
        <v>38.299999999999997</v>
      </c>
      <c r="F114" s="650">
        <v>23</v>
      </c>
      <c r="G114" s="650">
        <v>61.3</v>
      </c>
      <c r="H114" s="650">
        <v>140.6</v>
      </c>
      <c r="I114" s="650">
        <v>57.8</v>
      </c>
      <c r="J114" s="650">
        <v>198.4</v>
      </c>
      <c r="K114" s="650">
        <f t="shared" si="33"/>
        <v>259.7</v>
      </c>
      <c r="L114" s="376">
        <f t="shared" si="34"/>
        <v>0.23604158644589912</v>
      </c>
    </row>
    <row r="115" spans="1:12" ht="15">
      <c r="A115" s="177">
        <f t="shared" si="30"/>
        <v>2005</v>
      </c>
      <c r="B115" s="178" t="str">
        <f t="shared" si="31"/>
        <v>1</v>
      </c>
      <c r="C115" s="231">
        <f t="shared" si="32"/>
        <v>20051</v>
      </c>
      <c r="D115" s="16">
        <v>38412</v>
      </c>
      <c r="E115" s="651">
        <v>40.4</v>
      </c>
      <c r="F115" s="652">
        <v>22.3</v>
      </c>
      <c r="G115" s="652">
        <v>62.7</v>
      </c>
      <c r="H115" s="652">
        <v>132.69999999999999</v>
      </c>
      <c r="I115" s="652">
        <v>85.3</v>
      </c>
      <c r="J115" s="652">
        <v>218</v>
      </c>
      <c r="K115" s="652">
        <f t="shared" si="33"/>
        <v>280.7</v>
      </c>
      <c r="L115" s="369">
        <f t="shared" si="34"/>
        <v>0.22337014606341291</v>
      </c>
    </row>
    <row r="116" spans="1:12" ht="15">
      <c r="A116" s="177">
        <f t="shared" si="30"/>
        <v>2005</v>
      </c>
      <c r="B116" s="178" t="str">
        <f t="shared" si="31"/>
        <v>2</v>
      </c>
      <c r="C116" s="231">
        <f t="shared" si="32"/>
        <v>20052</v>
      </c>
      <c r="D116" s="16">
        <v>38504</v>
      </c>
      <c r="E116" s="649">
        <v>34.200000000000003</v>
      </c>
      <c r="F116" s="650">
        <v>37.4</v>
      </c>
      <c r="G116" s="650">
        <v>71.599999999999994</v>
      </c>
      <c r="H116" s="650">
        <v>159.30000000000001</v>
      </c>
      <c r="I116" s="650">
        <v>46.9</v>
      </c>
      <c r="J116" s="650">
        <v>206.3</v>
      </c>
      <c r="K116" s="650">
        <f t="shared" si="33"/>
        <v>277.89999999999998</v>
      </c>
      <c r="L116" s="376">
        <f t="shared" si="34"/>
        <v>0.25764663548038863</v>
      </c>
    </row>
    <row r="117" spans="1:12" ht="15">
      <c r="A117" s="177">
        <f t="shared" si="30"/>
        <v>2005</v>
      </c>
      <c r="B117" s="178" t="str">
        <f t="shared" si="31"/>
        <v>3</v>
      </c>
      <c r="C117" s="231">
        <f t="shared" si="32"/>
        <v>20053</v>
      </c>
      <c r="D117" s="16">
        <v>38596</v>
      </c>
      <c r="E117" s="651">
        <v>51.2</v>
      </c>
      <c r="F117" s="652">
        <v>30.1</v>
      </c>
      <c r="G117" s="652">
        <v>81.3</v>
      </c>
      <c r="H117" s="652">
        <v>133.69999999999999</v>
      </c>
      <c r="I117" s="652">
        <v>84</v>
      </c>
      <c r="J117" s="652">
        <v>217.7</v>
      </c>
      <c r="K117" s="652">
        <f t="shared" si="33"/>
        <v>299</v>
      </c>
      <c r="L117" s="369">
        <f t="shared" si="34"/>
        <v>0.27190635451505013</v>
      </c>
    </row>
    <row r="118" spans="1:12" ht="15">
      <c r="A118" s="177">
        <f t="shared" si="30"/>
        <v>2005</v>
      </c>
      <c r="B118" s="178" t="str">
        <f t="shared" si="31"/>
        <v>4</v>
      </c>
      <c r="C118" s="231">
        <f t="shared" si="32"/>
        <v>20054</v>
      </c>
      <c r="D118" s="16">
        <v>38687</v>
      </c>
      <c r="E118" s="649">
        <v>52.1</v>
      </c>
      <c r="F118" s="650">
        <v>29.5</v>
      </c>
      <c r="G118" s="650">
        <v>81.599999999999994</v>
      </c>
      <c r="H118" s="650">
        <v>126.2</v>
      </c>
      <c r="I118" s="650">
        <v>91.7</v>
      </c>
      <c r="J118" s="650">
        <v>217.9</v>
      </c>
      <c r="K118" s="650">
        <f t="shared" si="33"/>
        <v>299.5</v>
      </c>
      <c r="L118" s="376">
        <f t="shared" si="34"/>
        <v>0.27245409015025041</v>
      </c>
    </row>
    <row r="119" spans="1:12" ht="15">
      <c r="A119" s="177">
        <f t="shared" si="30"/>
        <v>2006</v>
      </c>
      <c r="B119" s="178" t="str">
        <f t="shared" si="31"/>
        <v>1</v>
      </c>
      <c r="C119" s="231">
        <f t="shared" si="32"/>
        <v>20061</v>
      </c>
      <c r="D119" s="16">
        <v>38777</v>
      </c>
      <c r="E119" s="651">
        <v>60.3</v>
      </c>
      <c r="F119" s="652">
        <v>37.1</v>
      </c>
      <c r="G119" s="652">
        <v>97.4</v>
      </c>
      <c r="H119" s="652">
        <v>103.7</v>
      </c>
      <c r="I119" s="652">
        <v>86.5</v>
      </c>
      <c r="J119" s="652">
        <v>190.2</v>
      </c>
      <c r="K119" s="652">
        <f t="shared" si="33"/>
        <v>287.60000000000002</v>
      </c>
      <c r="L119" s="369">
        <f t="shared" si="34"/>
        <v>0.33866481223922112</v>
      </c>
    </row>
    <row r="120" spans="1:12" ht="15">
      <c r="A120" s="177">
        <f t="shared" si="30"/>
        <v>2006</v>
      </c>
      <c r="B120" s="178" t="str">
        <f t="shared" si="31"/>
        <v>2</v>
      </c>
      <c r="C120" s="231">
        <f t="shared" si="32"/>
        <v>20062</v>
      </c>
      <c r="D120" s="16">
        <v>38869</v>
      </c>
      <c r="E120" s="649">
        <v>67.900000000000006</v>
      </c>
      <c r="F120" s="650">
        <v>29.7</v>
      </c>
      <c r="G120" s="650">
        <v>97.5</v>
      </c>
      <c r="H120" s="650">
        <v>126.6</v>
      </c>
      <c r="I120" s="650">
        <v>146.1</v>
      </c>
      <c r="J120" s="650">
        <v>272.8</v>
      </c>
      <c r="K120" s="650">
        <f t="shared" si="33"/>
        <v>370.3</v>
      </c>
      <c r="L120" s="376">
        <f t="shared" si="34"/>
        <v>0.26330002700513094</v>
      </c>
    </row>
    <row r="121" spans="1:12" ht="15">
      <c r="A121" s="177">
        <f t="shared" si="30"/>
        <v>2006</v>
      </c>
      <c r="B121" s="178" t="str">
        <f t="shared" si="31"/>
        <v>3</v>
      </c>
      <c r="C121" s="231">
        <f t="shared" si="32"/>
        <v>20063</v>
      </c>
      <c r="D121" s="16">
        <v>38961</v>
      </c>
      <c r="E121" s="651">
        <v>62.8</v>
      </c>
      <c r="F121" s="652">
        <v>46.4</v>
      </c>
      <c r="G121" s="652">
        <v>109.2</v>
      </c>
      <c r="H121" s="652">
        <v>256.8</v>
      </c>
      <c r="I121" s="652">
        <v>153.30000000000001</v>
      </c>
      <c r="J121" s="652">
        <v>410</v>
      </c>
      <c r="K121" s="652">
        <f t="shared" si="33"/>
        <v>519.20000000000005</v>
      </c>
      <c r="L121" s="369">
        <f t="shared" si="34"/>
        <v>0.21032357473035437</v>
      </c>
    </row>
    <row r="122" spans="1:12" ht="15">
      <c r="A122" s="177">
        <f t="shared" si="30"/>
        <v>2006</v>
      </c>
      <c r="B122" s="178" t="str">
        <f t="shared" si="31"/>
        <v>4</v>
      </c>
      <c r="C122" s="231">
        <f t="shared" si="32"/>
        <v>20064</v>
      </c>
      <c r="D122" s="16">
        <v>39052</v>
      </c>
      <c r="E122" s="649">
        <v>71.8</v>
      </c>
      <c r="F122" s="650">
        <v>48.4</v>
      </c>
      <c r="G122" s="650">
        <v>120.2</v>
      </c>
      <c r="H122" s="650">
        <v>256</v>
      </c>
      <c r="I122" s="650">
        <v>130.19999999999999</v>
      </c>
      <c r="J122" s="650">
        <v>386.2</v>
      </c>
      <c r="K122" s="650">
        <f t="shared" si="33"/>
        <v>506.4</v>
      </c>
      <c r="L122" s="376">
        <f t="shared" si="34"/>
        <v>0.2373617693522907</v>
      </c>
    </row>
    <row r="123" spans="1:12" ht="15">
      <c r="A123" s="177">
        <f t="shared" si="30"/>
        <v>2007</v>
      </c>
      <c r="B123" s="178" t="str">
        <f t="shared" si="31"/>
        <v>1</v>
      </c>
      <c r="C123" s="231">
        <f t="shared" si="32"/>
        <v>20071</v>
      </c>
      <c r="D123" s="16">
        <v>39142</v>
      </c>
      <c r="E123" s="651">
        <v>84.9</v>
      </c>
      <c r="F123" s="652">
        <v>48.3</v>
      </c>
      <c r="G123" s="652">
        <v>133.19999999999999</v>
      </c>
      <c r="H123" s="652">
        <v>211.5</v>
      </c>
      <c r="I123" s="652">
        <v>141.9</v>
      </c>
      <c r="J123" s="652">
        <v>353.3</v>
      </c>
      <c r="K123" s="652">
        <f t="shared" si="33"/>
        <v>486.5</v>
      </c>
      <c r="L123" s="369">
        <f t="shared" si="34"/>
        <v>0.27379239465570399</v>
      </c>
    </row>
    <row r="124" spans="1:12" ht="15">
      <c r="A124" s="177">
        <f t="shared" si="30"/>
        <v>2007</v>
      </c>
      <c r="B124" s="178" t="str">
        <f t="shared" si="31"/>
        <v>2</v>
      </c>
      <c r="C124" s="231">
        <f t="shared" si="32"/>
        <v>20072</v>
      </c>
      <c r="D124" s="16">
        <v>39234</v>
      </c>
      <c r="E124" s="649">
        <v>92.5</v>
      </c>
      <c r="F124" s="650">
        <v>44.8</v>
      </c>
      <c r="G124" s="650">
        <v>137.19999999999999</v>
      </c>
      <c r="H124" s="650">
        <v>385.6</v>
      </c>
      <c r="I124" s="650">
        <v>175.9</v>
      </c>
      <c r="J124" s="650">
        <v>561.4</v>
      </c>
      <c r="K124" s="650">
        <f t="shared" si="33"/>
        <v>698.59999999999991</v>
      </c>
      <c r="L124" s="376">
        <f t="shared" si="34"/>
        <v>0.19639278557114229</v>
      </c>
    </row>
    <row r="125" spans="1:12" ht="15">
      <c r="A125" s="177">
        <f t="shared" si="30"/>
        <v>2007</v>
      </c>
      <c r="B125" s="178" t="str">
        <f t="shared" si="31"/>
        <v>3</v>
      </c>
      <c r="C125" s="231">
        <f t="shared" si="32"/>
        <v>20073</v>
      </c>
      <c r="D125" s="16">
        <v>39326</v>
      </c>
      <c r="E125" s="651">
        <v>88.9</v>
      </c>
      <c r="F125" s="652">
        <v>25.3</v>
      </c>
      <c r="G125" s="652">
        <v>114.1</v>
      </c>
      <c r="H125" s="652">
        <v>437.5</v>
      </c>
      <c r="I125" s="652">
        <v>191.4</v>
      </c>
      <c r="J125" s="652">
        <v>628.9</v>
      </c>
      <c r="K125" s="652">
        <f t="shared" si="33"/>
        <v>743</v>
      </c>
      <c r="L125" s="369">
        <f t="shared" si="34"/>
        <v>0.15356662180349931</v>
      </c>
    </row>
    <row r="126" spans="1:12" ht="15">
      <c r="A126" s="177">
        <f t="shared" si="30"/>
        <v>2007</v>
      </c>
      <c r="B126" s="178" t="str">
        <f t="shared" si="31"/>
        <v>4</v>
      </c>
      <c r="C126" s="231">
        <f t="shared" si="32"/>
        <v>20074</v>
      </c>
      <c r="D126" s="16">
        <v>39417</v>
      </c>
      <c r="E126" s="649">
        <v>100</v>
      </c>
      <c r="F126" s="650">
        <v>33.200000000000003</v>
      </c>
      <c r="G126" s="650">
        <v>133.1</v>
      </c>
      <c r="H126" s="650">
        <v>404.1</v>
      </c>
      <c r="I126" s="650">
        <v>190.9</v>
      </c>
      <c r="J126" s="650">
        <v>595</v>
      </c>
      <c r="K126" s="650">
        <f t="shared" si="33"/>
        <v>728.1</v>
      </c>
      <c r="L126" s="376">
        <f t="shared" si="34"/>
        <v>0.18280455981321245</v>
      </c>
    </row>
    <row r="127" spans="1:12" ht="15">
      <c r="A127" s="177">
        <f t="shared" si="30"/>
        <v>2008</v>
      </c>
      <c r="B127" s="178" t="str">
        <f t="shared" si="31"/>
        <v>1</v>
      </c>
      <c r="C127" s="231">
        <f t="shared" si="32"/>
        <v>20081</v>
      </c>
      <c r="D127" s="16">
        <v>39508</v>
      </c>
      <c r="E127" s="651">
        <v>79.599999999999994</v>
      </c>
      <c r="F127" s="652">
        <v>37.1</v>
      </c>
      <c r="G127" s="652">
        <v>116.8</v>
      </c>
      <c r="H127" s="652">
        <v>396</v>
      </c>
      <c r="I127" s="652">
        <v>234.7</v>
      </c>
      <c r="J127" s="652">
        <v>630.70000000000005</v>
      </c>
      <c r="K127" s="652">
        <f t="shared" si="33"/>
        <v>747.5</v>
      </c>
      <c r="L127" s="369">
        <f t="shared" si="34"/>
        <v>0.15625418060200669</v>
      </c>
    </row>
    <row r="128" spans="1:12" ht="15">
      <c r="A128" s="177">
        <f t="shared" si="30"/>
        <v>2008</v>
      </c>
      <c r="B128" s="178" t="str">
        <f t="shared" si="31"/>
        <v>2</v>
      </c>
      <c r="C128" s="231">
        <f t="shared" si="32"/>
        <v>20082</v>
      </c>
      <c r="D128" s="16">
        <v>39600</v>
      </c>
      <c r="E128" s="649">
        <v>99.6</v>
      </c>
      <c r="F128" s="650">
        <v>26.8</v>
      </c>
      <c r="G128" s="650">
        <v>126.4</v>
      </c>
      <c r="H128" s="650">
        <v>498.8</v>
      </c>
      <c r="I128" s="650">
        <v>185.3</v>
      </c>
      <c r="J128" s="650">
        <v>684.1</v>
      </c>
      <c r="K128" s="650">
        <f t="shared" si="33"/>
        <v>810.5</v>
      </c>
      <c r="L128" s="376">
        <f t="shared" si="34"/>
        <v>0.15595311536088835</v>
      </c>
    </row>
    <row r="129" spans="1:12" ht="15">
      <c r="A129" s="177">
        <f t="shared" si="30"/>
        <v>2008</v>
      </c>
      <c r="B129" s="178" t="str">
        <f t="shared" si="31"/>
        <v>3</v>
      </c>
      <c r="C129" s="231">
        <f t="shared" si="32"/>
        <v>20083</v>
      </c>
      <c r="D129" s="16">
        <v>39692</v>
      </c>
      <c r="E129" s="651">
        <v>83.8</v>
      </c>
      <c r="F129" s="652">
        <v>37.299999999999997</v>
      </c>
      <c r="G129" s="652">
        <v>121.1</v>
      </c>
      <c r="H129" s="652">
        <v>498.1</v>
      </c>
      <c r="I129" s="652">
        <v>208.4</v>
      </c>
      <c r="J129" s="652">
        <v>706.5</v>
      </c>
      <c r="K129" s="652">
        <f t="shared" si="33"/>
        <v>827.6</v>
      </c>
      <c r="L129" s="369">
        <f t="shared" si="34"/>
        <v>0.14632672788786852</v>
      </c>
    </row>
    <row r="130" spans="1:12" ht="15">
      <c r="A130" s="177">
        <f t="shared" si="30"/>
        <v>2008</v>
      </c>
      <c r="B130" s="178" t="str">
        <f t="shared" si="31"/>
        <v>4</v>
      </c>
      <c r="C130" s="231">
        <f t="shared" si="32"/>
        <v>20084</v>
      </c>
      <c r="D130" s="16">
        <v>39783</v>
      </c>
      <c r="E130" s="649">
        <v>73.599999999999994</v>
      </c>
      <c r="F130" s="650">
        <v>39.1</v>
      </c>
      <c r="G130" s="650">
        <v>112.7</v>
      </c>
      <c r="H130" s="650">
        <v>535.29999999999995</v>
      </c>
      <c r="I130" s="650">
        <v>322.89999999999998</v>
      </c>
      <c r="J130" s="650">
        <v>858.2</v>
      </c>
      <c r="K130" s="650">
        <f t="shared" si="33"/>
        <v>970.90000000000009</v>
      </c>
      <c r="L130" s="376">
        <f t="shared" si="34"/>
        <v>0.11607786589762076</v>
      </c>
    </row>
    <row r="131" spans="1:12" ht="15">
      <c r="A131" s="177">
        <f t="shared" si="30"/>
        <v>2009</v>
      </c>
      <c r="B131" s="178" t="str">
        <f t="shared" si="31"/>
        <v>1</v>
      </c>
      <c r="C131" s="231">
        <f t="shared" si="32"/>
        <v>20091</v>
      </c>
      <c r="D131" s="16">
        <v>39873</v>
      </c>
      <c r="E131" s="651">
        <v>68.099999999999994</v>
      </c>
      <c r="F131" s="652">
        <v>38.9</v>
      </c>
      <c r="G131" s="652">
        <v>107</v>
      </c>
      <c r="H131" s="652">
        <v>636.20000000000005</v>
      </c>
      <c r="I131" s="652">
        <v>307.10000000000002</v>
      </c>
      <c r="J131" s="652">
        <v>943.3</v>
      </c>
      <c r="K131" s="652">
        <f t="shared" si="33"/>
        <v>1050.3</v>
      </c>
      <c r="L131" s="369">
        <f t="shared" si="34"/>
        <v>0.10187565457488337</v>
      </c>
    </row>
    <row r="132" spans="1:12" ht="15">
      <c r="A132" s="177">
        <f t="shared" si="30"/>
        <v>2009</v>
      </c>
      <c r="B132" s="178" t="str">
        <f t="shared" si="31"/>
        <v>2</v>
      </c>
      <c r="C132" s="231">
        <f t="shared" si="32"/>
        <v>20092</v>
      </c>
      <c r="D132" s="16">
        <v>39965</v>
      </c>
      <c r="E132" s="649">
        <v>90.6</v>
      </c>
      <c r="F132" s="650">
        <v>60.6</v>
      </c>
      <c r="G132" s="650">
        <v>151.19999999999999</v>
      </c>
      <c r="H132" s="650">
        <v>500.2</v>
      </c>
      <c r="I132" s="650">
        <v>306.7</v>
      </c>
      <c r="J132" s="650">
        <v>807</v>
      </c>
      <c r="K132" s="650">
        <f t="shared" si="33"/>
        <v>958.2</v>
      </c>
      <c r="L132" s="376">
        <f t="shared" si="34"/>
        <v>0.15779586725109579</v>
      </c>
    </row>
    <row r="133" spans="1:12" ht="15">
      <c r="A133" s="177">
        <f t="shared" si="30"/>
        <v>2009</v>
      </c>
      <c r="B133" s="178" t="str">
        <f t="shared" si="31"/>
        <v>3</v>
      </c>
      <c r="C133" s="231">
        <f t="shared" si="32"/>
        <v>20093</v>
      </c>
      <c r="D133" s="16">
        <v>40057</v>
      </c>
      <c r="E133" s="651">
        <v>115.9</v>
      </c>
      <c r="F133" s="652">
        <v>31.8</v>
      </c>
      <c r="G133" s="652">
        <v>147.69999999999999</v>
      </c>
      <c r="H133" s="652">
        <v>477</v>
      </c>
      <c r="I133" s="652">
        <v>217.9</v>
      </c>
      <c r="J133" s="652">
        <v>695</v>
      </c>
      <c r="K133" s="652">
        <f t="shared" si="33"/>
        <v>842.7</v>
      </c>
      <c r="L133" s="369">
        <f t="shared" si="34"/>
        <v>0.1752699655868043</v>
      </c>
    </row>
    <row r="134" spans="1:12" ht="15">
      <c r="A134" s="177">
        <f t="shared" si="30"/>
        <v>2009</v>
      </c>
      <c r="B134" s="178" t="str">
        <f t="shared" si="31"/>
        <v>4</v>
      </c>
      <c r="C134" s="231">
        <f t="shared" si="32"/>
        <v>20094</v>
      </c>
      <c r="D134" s="16">
        <v>40148</v>
      </c>
      <c r="E134" s="649">
        <v>131.1</v>
      </c>
      <c r="F134" s="650">
        <v>49</v>
      </c>
      <c r="G134" s="650">
        <v>180.1</v>
      </c>
      <c r="H134" s="650">
        <v>482.3</v>
      </c>
      <c r="I134" s="650">
        <v>131</v>
      </c>
      <c r="J134" s="650">
        <v>613.29999999999995</v>
      </c>
      <c r="K134" s="650">
        <f t="shared" si="33"/>
        <v>793.4</v>
      </c>
      <c r="L134" s="376">
        <f t="shared" si="34"/>
        <v>0.22699773128308545</v>
      </c>
    </row>
    <row r="135" spans="1:12" ht="15">
      <c r="A135" s="177">
        <f t="shared" si="30"/>
        <v>2010</v>
      </c>
      <c r="B135" s="178" t="str">
        <f t="shared" si="31"/>
        <v>1</v>
      </c>
      <c r="C135" s="231">
        <f t="shared" si="32"/>
        <v>20101</v>
      </c>
      <c r="D135" s="16">
        <v>40238</v>
      </c>
      <c r="E135" s="651">
        <v>162.4</v>
      </c>
      <c r="F135" s="652">
        <v>53.6</v>
      </c>
      <c r="G135" s="652">
        <v>216</v>
      </c>
      <c r="H135" s="652">
        <v>576.6</v>
      </c>
      <c r="I135" s="652">
        <v>117.2</v>
      </c>
      <c r="J135" s="652">
        <v>693.8</v>
      </c>
      <c r="K135" s="652">
        <f t="shared" si="33"/>
        <v>909.8</v>
      </c>
      <c r="L135" s="369">
        <f t="shared" si="34"/>
        <v>0.23741481644317433</v>
      </c>
    </row>
    <row r="136" spans="1:12" ht="15">
      <c r="A136" s="177">
        <f t="shared" ref="A136:A168" si="35">YEAR(D136)</f>
        <v>2010</v>
      </c>
      <c r="B136" s="178" t="str">
        <f t="shared" ref="B136:B168" si="36">IF(MONTH(D136)&lt;4,"1",IF(MONTH(D136)&lt;7,"2",IF(MONTH(D136)&lt;10,"3","4")))</f>
        <v>2</v>
      </c>
      <c r="C136" s="231">
        <f t="shared" si="32"/>
        <v>20102</v>
      </c>
      <c r="D136" s="16">
        <v>40330</v>
      </c>
      <c r="E136" s="649">
        <v>162.4</v>
      </c>
      <c r="F136" s="650">
        <v>50.3</v>
      </c>
      <c r="G136" s="650">
        <v>212.7</v>
      </c>
      <c r="H136" s="650">
        <v>630.29999999999995</v>
      </c>
      <c r="I136" s="650">
        <v>110.3</v>
      </c>
      <c r="J136" s="650">
        <v>740.6</v>
      </c>
      <c r="K136" s="650">
        <f t="shared" si="33"/>
        <v>953.3</v>
      </c>
      <c r="L136" s="376">
        <f t="shared" si="34"/>
        <v>0.22311968949963285</v>
      </c>
    </row>
    <row r="137" spans="1:12" ht="15">
      <c r="A137" s="177">
        <f t="shared" si="35"/>
        <v>2010</v>
      </c>
      <c r="B137" s="178" t="str">
        <f t="shared" si="36"/>
        <v>3</v>
      </c>
      <c r="C137" s="231">
        <f t="shared" ref="C137:C168" si="37">_xlfn.NUMBERVALUE(CONCATENATE(A137,B137))</f>
        <v>20103</v>
      </c>
      <c r="D137" s="16">
        <v>40422</v>
      </c>
      <c r="E137" s="651">
        <v>171.6</v>
      </c>
      <c r="F137" s="652">
        <v>35.299999999999997</v>
      </c>
      <c r="G137" s="652">
        <v>206.9</v>
      </c>
      <c r="H137" s="652">
        <v>577</v>
      </c>
      <c r="I137" s="652">
        <v>105.6</v>
      </c>
      <c r="J137" s="652">
        <v>682.6</v>
      </c>
      <c r="K137" s="652">
        <f t="shared" ref="K137:K172" si="38">SUM(J137,G137)</f>
        <v>889.5</v>
      </c>
      <c r="L137" s="369">
        <f t="shared" ref="L137:L176" si="39">G137/K137</f>
        <v>0.2326025857223159</v>
      </c>
    </row>
    <row r="138" spans="1:12" ht="15">
      <c r="A138" s="177">
        <f t="shared" si="35"/>
        <v>2010</v>
      </c>
      <c r="B138" s="178" t="str">
        <f t="shared" si="36"/>
        <v>4</v>
      </c>
      <c r="C138" s="231">
        <f t="shared" si="37"/>
        <v>20104</v>
      </c>
      <c r="D138" s="16">
        <v>40513</v>
      </c>
      <c r="E138" s="649">
        <v>150.80000000000001</v>
      </c>
      <c r="F138" s="650">
        <v>26.2</v>
      </c>
      <c r="G138" s="650">
        <v>177</v>
      </c>
      <c r="H138" s="650">
        <v>525.79999999999995</v>
      </c>
      <c r="I138" s="650">
        <v>110.7</v>
      </c>
      <c r="J138" s="650">
        <v>636.5</v>
      </c>
      <c r="K138" s="650">
        <f t="shared" si="38"/>
        <v>813.5</v>
      </c>
      <c r="L138" s="376">
        <f t="shared" si="39"/>
        <v>0.2175783650891211</v>
      </c>
    </row>
    <row r="139" spans="1:12" ht="15">
      <c r="A139" s="177">
        <f t="shared" si="35"/>
        <v>2011</v>
      </c>
      <c r="B139" s="178" t="str">
        <f t="shared" si="36"/>
        <v>1</v>
      </c>
      <c r="C139" s="231">
        <f t="shared" si="37"/>
        <v>20111</v>
      </c>
      <c r="D139" s="16">
        <v>40603</v>
      </c>
      <c r="E139" s="651">
        <v>153.30000000000001</v>
      </c>
      <c r="F139" s="652">
        <v>28.2</v>
      </c>
      <c r="G139" s="652">
        <v>181.5</v>
      </c>
      <c r="H139" s="652">
        <v>528.70000000000005</v>
      </c>
      <c r="I139" s="652">
        <v>99.9</v>
      </c>
      <c r="J139" s="652">
        <v>628.6</v>
      </c>
      <c r="K139" s="652">
        <f t="shared" si="38"/>
        <v>810.1</v>
      </c>
      <c r="L139" s="369">
        <f t="shared" si="39"/>
        <v>0.22404641402296013</v>
      </c>
    </row>
    <row r="140" spans="1:12" ht="15">
      <c r="A140" s="177">
        <f t="shared" si="35"/>
        <v>2011</v>
      </c>
      <c r="B140" s="178" t="str">
        <f t="shared" si="36"/>
        <v>2</v>
      </c>
      <c r="C140" s="231">
        <f t="shared" si="37"/>
        <v>20112</v>
      </c>
      <c r="D140" s="16">
        <v>40695</v>
      </c>
      <c r="E140" s="649">
        <v>148.6</v>
      </c>
      <c r="F140" s="650">
        <v>44.6</v>
      </c>
      <c r="G140" s="650">
        <v>193.2</v>
      </c>
      <c r="H140" s="650">
        <v>497.6</v>
      </c>
      <c r="I140" s="650">
        <v>120.9</v>
      </c>
      <c r="J140" s="650">
        <v>618.5</v>
      </c>
      <c r="K140" s="650">
        <f t="shared" si="38"/>
        <v>811.7</v>
      </c>
      <c r="L140" s="376">
        <f t="shared" si="39"/>
        <v>0.23801897252679557</v>
      </c>
    </row>
    <row r="141" spans="1:12" ht="15">
      <c r="A141" s="177">
        <f t="shared" si="35"/>
        <v>2011</v>
      </c>
      <c r="B141" s="178" t="str">
        <f t="shared" si="36"/>
        <v>3</v>
      </c>
      <c r="C141" s="231">
        <f t="shared" si="37"/>
        <v>20113</v>
      </c>
      <c r="D141" s="16">
        <v>40787</v>
      </c>
      <c r="E141" s="651">
        <v>179</v>
      </c>
      <c r="F141" s="652">
        <v>64.7</v>
      </c>
      <c r="G141" s="652">
        <v>243.7</v>
      </c>
      <c r="H141" s="652">
        <v>427.5</v>
      </c>
      <c r="I141" s="652">
        <v>139.69999999999999</v>
      </c>
      <c r="J141" s="652">
        <v>567.20000000000005</v>
      </c>
      <c r="K141" s="652">
        <f t="shared" si="38"/>
        <v>810.90000000000009</v>
      </c>
      <c r="L141" s="369">
        <f t="shared" si="39"/>
        <v>0.30053027500308294</v>
      </c>
    </row>
    <row r="142" spans="1:12" ht="15">
      <c r="A142" s="177">
        <f t="shared" si="35"/>
        <v>2011</v>
      </c>
      <c r="B142" s="178" t="str">
        <f t="shared" si="36"/>
        <v>4</v>
      </c>
      <c r="C142" s="231">
        <f t="shared" si="37"/>
        <v>20114</v>
      </c>
      <c r="D142" s="16">
        <v>40878</v>
      </c>
      <c r="E142" s="649">
        <v>168</v>
      </c>
      <c r="F142" s="650">
        <v>73.599999999999994</v>
      </c>
      <c r="G142" s="650">
        <v>241.6</v>
      </c>
      <c r="H142" s="650">
        <v>459.4</v>
      </c>
      <c r="I142" s="650">
        <v>151.19999999999999</v>
      </c>
      <c r="J142" s="650">
        <v>610.6</v>
      </c>
      <c r="K142" s="650">
        <f t="shared" si="38"/>
        <v>852.2</v>
      </c>
      <c r="L142" s="376">
        <f t="shared" si="39"/>
        <v>0.28350152546350621</v>
      </c>
    </row>
    <row r="143" spans="1:12" ht="15">
      <c r="A143" s="177">
        <f t="shared" si="35"/>
        <v>2012</v>
      </c>
      <c r="B143" s="178" t="str">
        <f t="shared" si="36"/>
        <v>1</v>
      </c>
      <c r="C143" s="231">
        <f t="shared" si="37"/>
        <v>20121</v>
      </c>
      <c r="D143" s="16">
        <v>40969</v>
      </c>
      <c r="E143" s="651">
        <v>136.80000000000001</v>
      </c>
      <c r="F143" s="652">
        <v>50.5</v>
      </c>
      <c r="G143" s="652">
        <v>187.3</v>
      </c>
      <c r="H143" s="652">
        <v>275</v>
      </c>
      <c r="I143" s="652">
        <v>168.5</v>
      </c>
      <c r="J143" s="652">
        <v>443.5</v>
      </c>
      <c r="K143" s="652">
        <f t="shared" si="38"/>
        <v>630.79999999999995</v>
      </c>
      <c r="L143" s="369">
        <f t="shared" si="39"/>
        <v>0.29692454026632853</v>
      </c>
    </row>
    <row r="144" spans="1:12" ht="15">
      <c r="A144" s="177">
        <f t="shared" si="35"/>
        <v>2012</v>
      </c>
      <c r="B144" s="178" t="str">
        <f t="shared" si="36"/>
        <v>2</v>
      </c>
      <c r="C144" s="231">
        <f t="shared" si="37"/>
        <v>20122</v>
      </c>
      <c r="D144" s="16">
        <v>41061</v>
      </c>
      <c r="E144" s="649">
        <v>145</v>
      </c>
      <c r="F144" s="650">
        <v>97.2</v>
      </c>
      <c r="G144" s="650">
        <v>242.1</v>
      </c>
      <c r="H144" s="650">
        <v>493.8</v>
      </c>
      <c r="I144" s="650">
        <v>161.9</v>
      </c>
      <c r="J144" s="650">
        <v>655.6</v>
      </c>
      <c r="K144" s="650">
        <f t="shared" si="38"/>
        <v>897.7</v>
      </c>
      <c r="L144" s="376">
        <f t="shared" si="39"/>
        <v>0.26968920574802269</v>
      </c>
    </row>
    <row r="145" spans="1:12" ht="15">
      <c r="A145" s="177">
        <f t="shared" si="35"/>
        <v>2012</v>
      </c>
      <c r="B145" s="178" t="str">
        <f t="shared" si="36"/>
        <v>3</v>
      </c>
      <c r="C145" s="231">
        <f t="shared" si="37"/>
        <v>20123</v>
      </c>
      <c r="D145" s="16">
        <v>41153</v>
      </c>
      <c r="E145" s="651">
        <v>164.7</v>
      </c>
      <c r="F145" s="652">
        <v>105</v>
      </c>
      <c r="G145" s="652">
        <v>269.7</v>
      </c>
      <c r="H145" s="652">
        <v>620.29999999999995</v>
      </c>
      <c r="I145" s="652">
        <v>223.4</v>
      </c>
      <c r="J145" s="652">
        <v>843.7</v>
      </c>
      <c r="K145" s="652">
        <f t="shared" si="38"/>
        <v>1113.4000000000001</v>
      </c>
      <c r="L145" s="369">
        <f t="shared" si="39"/>
        <v>0.2422310041314891</v>
      </c>
    </row>
    <row r="146" spans="1:12" ht="15">
      <c r="A146" s="177">
        <f t="shared" si="35"/>
        <v>2012</v>
      </c>
      <c r="B146" s="178" t="str">
        <f t="shared" si="36"/>
        <v>4</v>
      </c>
      <c r="C146" s="231">
        <f t="shared" si="37"/>
        <v>20124</v>
      </c>
      <c r="D146" s="16">
        <v>41244</v>
      </c>
      <c r="E146" s="649">
        <v>212.1</v>
      </c>
      <c r="F146" s="650">
        <v>93.2</v>
      </c>
      <c r="G146" s="650">
        <v>305.3</v>
      </c>
      <c r="H146" s="650">
        <v>781.1</v>
      </c>
      <c r="I146" s="650">
        <v>237.1</v>
      </c>
      <c r="J146" s="650">
        <v>1018.2</v>
      </c>
      <c r="K146" s="650">
        <f t="shared" si="38"/>
        <v>1323.5</v>
      </c>
      <c r="L146" s="376">
        <f t="shared" si="39"/>
        <v>0.23067623724971667</v>
      </c>
    </row>
    <row r="147" spans="1:12" ht="15">
      <c r="A147" s="177">
        <f t="shared" si="35"/>
        <v>2013</v>
      </c>
      <c r="B147" s="178" t="str">
        <f t="shared" si="36"/>
        <v>1</v>
      </c>
      <c r="C147" s="231">
        <f t="shared" si="37"/>
        <v>20131</v>
      </c>
      <c r="D147" s="16">
        <v>41334</v>
      </c>
      <c r="E147" s="651">
        <v>220.6</v>
      </c>
      <c r="F147" s="652">
        <v>98.4</v>
      </c>
      <c r="G147" s="652">
        <v>319</v>
      </c>
      <c r="H147" s="652">
        <v>572.20000000000005</v>
      </c>
      <c r="I147" s="652">
        <v>174.7</v>
      </c>
      <c r="J147" s="652">
        <v>746.9</v>
      </c>
      <c r="K147" s="652">
        <f t="shared" si="38"/>
        <v>1065.9000000000001</v>
      </c>
      <c r="L147" s="369">
        <f t="shared" si="39"/>
        <v>0.29927760577915374</v>
      </c>
    </row>
    <row r="148" spans="1:12" ht="15">
      <c r="A148" s="177">
        <f t="shared" si="35"/>
        <v>2013</v>
      </c>
      <c r="B148" s="178" t="str">
        <f t="shared" si="36"/>
        <v>2</v>
      </c>
      <c r="C148" s="231">
        <f t="shared" si="37"/>
        <v>20132</v>
      </c>
      <c r="D148" s="16">
        <v>41426</v>
      </c>
      <c r="E148" s="649">
        <v>346.2</v>
      </c>
      <c r="F148" s="650">
        <v>124.4</v>
      </c>
      <c r="G148" s="650">
        <v>470.6</v>
      </c>
      <c r="H148" s="650">
        <v>656.5</v>
      </c>
      <c r="I148" s="650">
        <v>159.9</v>
      </c>
      <c r="J148" s="650">
        <v>816.4</v>
      </c>
      <c r="K148" s="650">
        <f t="shared" si="38"/>
        <v>1287</v>
      </c>
      <c r="L148" s="376">
        <f t="shared" si="39"/>
        <v>0.36565656565656568</v>
      </c>
    </row>
    <row r="149" spans="1:12" ht="15">
      <c r="A149" s="177">
        <f t="shared" si="35"/>
        <v>2013</v>
      </c>
      <c r="B149" s="178" t="str">
        <f t="shared" si="36"/>
        <v>3</v>
      </c>
      <c r="C149" s="231">
        <f t="shared" si="37"/>
        <v>20133</v>
      </c>
      <c r="D149" s="16">
        <v>41518</v>
      </c>
      <c r="E149" s="651">
        <v>200.7</v>
      </c>
      <c r="F149" s="652">
        <v>100.7</v>
      </c>
      <c r="G149" s="652">
        <v>301.3</v>
      </c>
      <c r="H149" s="652">
        <v>695.4</v>
      </c>
      <c r="I149" s="652">
        <v>134.80000000000001</v>
      </c>
      <c r="J149" s="652">
        <v>830.2</v>
      </c>
      <c r="K149" s="652">
        <f t="shared" si="38"/>
        <v>1131.5</v>
      </c>
      <c r="L149" s="369">
        <f t="shared" si="39"/>
        <v>0.26628369421122405</v>
      </c>
    </row>
    <row r="150" spans="1:12" ht="15">
      <c r="A150" s="177">
        <f t="shared" si="35"/>
        <v>2013</v>
      </c>
      <c r="B150" s="178" t="str">
        <f t="shared" si="36"/>
        <v>4</v>
      </c>
      <c r="C150" s="231">
        <f t="shared" si="37"/>
        <v>20134</v>
      </c>
      <c r="D150" s="16">
        <v>41609</v>
      </c>
      <c r="E150" s="649">
        <v>163.69999999999999</v>
      </c>
      <c r="F150" s="650">
        <v>97.2</v>
      </c>
      <c r="G150" s="650">
        <v>260.89999999999998</v>
      </c>
      <c r="H150" s="650">
        <v>629.5</v>
      </c>
      <c r="I150" s="650">
        <v>154.5</v>
      </c>
      <c r="J150" s="650">
        <v>783.9</v>
      </c>
      <c r="K150" s="650">
        <f t="shared" si="38"/>
        <v>1044.8</v>
      </c>
      <c r="L150" s="376">
        <f t="shared" si="39"/>
        <v>0.24971286370597243</v>
      </c>
    </row>
    <row r="151" spans="1:12" ht="15">
      <c r="A151" s="177">
        <f t="shared" si="35"/>
        <v>2014</v>
      </c>
      <c r="B151" s="178" t="str">
        <f t="shared" si="36"/>
        <v>1</v>
      </c>
      <c r="C151" s="231">
        <f t="shared" si="37"/>
        <v>20141</v>
      </c>
      <c r="D151" s="16">
        <v>41699</v>
      </c>
      <c r="E151" s="651">
        <v>185.9</v>
      </c>
      <c r="F151" s="652">
        <v>118.3</v>
      </c>
      <c r="G151" s="652">
        <v>304.2</v>
      </c>
      <c r="H151" s="652">
        <v>615.4</v>
      </c>
      <c r="I151" s="652">
        <v>207.7</v>
      </c>
      <c r="J151" s="652">
        <v>823.1</v>
      </c>
      <c r="K151" s="652">
        <f t="shared" si="38"/>
        <v>1127.3</v>
      </c>
      <c r="L151" s="369">
        <f t="shared" si="39"/>
        <v>0.26984831012152932</v>
      </c>
    </row>
    <row r="152" spans="1:12" ht="15">
      <c r="A152" s="177">
        <f t="shared" si="35"/>
        <v>2014</v>
      </c>
      <c r="B152" s="178" t="str">
        <f t="shared" si="36"/>
        <v>2</v>
      </c>
      <c r="C152" s="231">
        <f t="shared" si="37"/>
        <v>20142</v>
      </c>
      <c r="D152" s="16">
        <v>41791</v>
      </c>
      <c r="E152" s="649">
        <v>170.7</v>
      </c>
      <c r="F152" s="650">
        <v>279.2</v>
      </c>
      <c r="G152" s="650">
        <v>449.9</v>
      </c>
      <c r="H152" s="650">
        <v>846.8</v>
      </c>
      <c r="I152" s="650">
        <v>239.8</v>
      </c>
      <c r="J152" s="650">
        <v>1086.5999999999999</v>
      </c>
      <c r="K152" s="650">
        <f t="shared" si="38"/>
        <v>1536.5</v>
      </c>
      <c r="L152" s="376">
        <f t="shared" si="39"/>
        <v>0.29280833062154243</v>
      </c>
    </row>
    <row r="153" spans="1:12" ht="15">
      <c r="A153" s="177">
        <f t="shared" si="35"/>
        <v>2014</v>
      </c>
      <c r="B153" s="178" t="str">
        <f t="shared" si="36"/>
        <v>3</v>
      </c>
      <c r="C153" s="231">
        <f t="shared" si="37"/>
        <v>20143</v>
      </c>
      <c r="D153" s="16">
        <v>41883</v>
      </c>
      <c r="E153" s="651">
        <v>172.3</v>
      </c>
      <c r="F153" s="652">
        <v>124.3</v>
      </c>
      <c r="G153" s="652">
        <v>296.60000000000002</v>
      </c>
      <c r="H153" s="652">
        <v>558.20000000000005</v>
      </c>
      <c r="I153" s="652">
        <v>121.2</v>
      </c>
      <c r="J153" s="652">
        <v>679.4</v>
      </c>
      <c r="K153" s="652">
        <f t="shared" si="38"/>
        <v>976</v>
      </c>
      <c r="L153" s="369">
        <f t="shared" si="39"/>
        <v>0.30389344262295082</v>
      </c>
    </row>
    <row r="154" spans="1:12" ht="15">
      <c r="A154" s="177">
        <f t="shared" si="35"/>
        <v>2014</v>
      </c>
      <c r="B154" s="178" t="str">
        <f t="shared" si="36"/>
        <v>4</v>
      </c>
      <c r="C154" s="231">
        <f t="shared" si="37"/>
        <v>20144</v>
      </c>
      <c r="D154" s="16">
        <v>41974</v>
      </c>
      <c r="E154" s="649">
        <v>235.6</v>
      </c>
      <c r="F154" s="650">
        <v>140.6</v>
      </c>
      <c r="G154" s="650">
        <v>376.2</v>
      </c>
      <c r="H154" s="650">
        <v>596.6</v>
      </c>
      <c r="I154" s="650">
        <v>128</v>
      </c>
      <c r="J154" s="650">
        <v>724.6</v>
      </c>
      <c r="K154" s="650">
        <f t="shared" si="38"/>
        <v>1100.8</v>
      </c>
      <c r="L154" s="376">
        <f t="shared" si="39"/>
        <v>0.3417514534883721</v>
      </c>
    </row>
    <row r="155" spans="1:12" ht="15">
      <c r="A155" s="177">
        <f t="shared" si="35"/>
        <v>2015</v>
      </c>
      <c r="B155" s="178" t="str">
        <f t="shared" si="36"/>
        <v>1</v>
      </c>
      <c r="C155" s="231">
        <f t="shared" si="37"/>
        <v>20151</v>
      </c>
      <c r="D155" s="16">
        <v>42064</v>
      </c>
      <c r="E155" s="651">
        <v>181.8</v>
      </c>
      <c r="F155" s="652">
        <v>125.4</v>
      </c>
      <c r="G155" s="652">
        <v>307.3</v>
      </c>
      <c r="H155" s="652">
        <v>526.1</v>
      </c>
      <c r="I155" s="652">
        <v>182.1</v>
      </c>
      <c r="J155" s="652">
        <v>708.2</v>
      </c>
      <c r="K155" s="652">
        <f t="shared" si="38"/>
        <v>1015.5</v>
      </c>
      <c r="L155" s="369">
        <f t="shared" si="39"/>
        <v>0.30260955194485478</v>
      </c>
    </row>
    <row r="156" spans="1:12" ht="15">
      <c r="A156" s="177">
        <f t="shared" si="35"/>
        <v>2015</v>
      </c>
      <c r="B156" s="178" t="str">
        <f t="shared" si="36"/>
        <v>2</v>
      </c>
      <c r="C156" s="231">
        <f t="shared" si="37"/>
        <v>20152</v>
      </c>
      <c r="D156" s="16">
        <v>42156</v>
      </c>
      <c r="E156" s="649">
        <v>172.1</v>
      </c>
      <c r="F156" s="650">
        <v>88.5</v>
      </c>
      <c r="G156" s="650">
        <v>260.5</v>
      </c>
      <c r="H156" s="650">
        <v>287.89999999999998</v>
      </c>
      <c r="I156" s="650">
        <v>149.80000000000001</v>
      </c>
      <c r="J156" s="650">
        <v>437.7</v>
      </c>
      <c r="K156" s="650">
        <f t="shared" si="38"/>
        <v>698.2</v>
      </c>
      <c r="L156" s="376">
        <f t="shared" si="39"/>
        <v>0.37310226296190202</v>
      </c>
    </row>
    <row r="157" spans="1:12" ht="15">
      <c r="A157" s="177">
        <f t="shared" si="35"/>
        <v>2015</v>
      </c>
      <c r="B157" s="178" t="str">
        <f t="shared" si="36"/>
        <v>3</v>
      </c>
      <c r="C157" s="231">
        <f t="shared" si="37"/>
        <v>20153</v>
      </c>
      <c r="D157" s="16">
        <v>42248</v>
      </c>
      <c r="E157" s="651">
        <v>110.2</v>
      </c>
      <c r="F157" s="652">
        <v>88.6</v>
      </c>
      <c r="G157" s="652">
        <v>198.8</v>
      </c>
      <c r="H157" s="652">
        <v>246</v>
      </c>
      <c r="I157" s="652">
        <v>129.4</v>
      </c>
      <c r="J157" s="652">
        <v>375.4</v>
      </c>
      <c r="K157" s="652">
        <f t="shared" si="38"/>
        <v>574.20000000000005</v>
      </c>
      <c r="L157" s="369">
        <f t="shared" si="39"/>
        <v>0.34622082897944967</v>
      </c>
    </row>
    <row r="158" spans="1:12" ht="15">
      <c r="A158" s="177">
        <f t="shared" si="35"/>
        <v>2015</v>
      </c>
      <c r="B158" s="178" t="str">
        <f t="shared" si="36"/>
        <v>4</v>
      </c>
      <c r="C158" s="231">
        <f t="shared" si="37"/>
        <v>20154</v>
      </c>
      <c r="D158" s="16">
        <v>42339</v>
      </c>
      <c r="E158" s="649">
        <v>57.8</v>
      </c>
      <c r="F158" s="650">
        <v>79.599999999999994</v>
      </c>
      <c r="G158" s="650">
        <v>137.4</v>
      </c>
      <c r="H158" s="650">
        <v>208.8</v>
      </c>
      <c r="I158" s="650">
        <v>114.3</v>
      </c>
      <c r="J158" s="650">
        <v>323.10000000000002</v>
      </c>
      <c r="K158" s="650">
        <f t="shared" si="38"/>
        <v>460.5</v>
      </c>
      <c r="L158" s="376">
        <f t="shared" si="39"/>
        <v>0.29837133550488598</v>
      </c>
    </row>
    <row r="159" spans="1:12" ht="15">
      <c r="A159" s="177">
        <f t="shared" si="35"/>
        <v>2016</v>
      </c>
      <c r="B159" s="178" t="str">
        <f t="shared" si="36"/>
        <v>1</v>
      </c>
      <c r="C159" s="231">
        <f t="shared" si="37"/>
        <v>20161</v>
      </c>
      <c r="D159" s="16">
        <v>42430</v>
      </c>
      <c r="E159" s="651">
        <v>40.700000000000003</v>
      </c>
      <c r="F159" s="652">
        <v>47.7</v>
      </c>
      <c r="G159" s="652">
        <v>88.4</v>
      </c>
      <c r="H159" s="652">
        <v>295.89999999999998</v>
      </c>
      <c r="I159" s="652">
        <v>79.400000000000006</v>
      </c>
      <c r="J159" s="652">
        <v>375.3</v>
      </c>
      <c r="K159" s="652">
        <f t="shared" si="38"/>
        <v>463.70000000000005</v>
      </c>
      <c r="L159" s="369">
        <f t="shared" si="39"/>
        <v>0.19064050032348501</v>
      </c>
    </row>
    <row r="160" spans="1:12" ht="15">
      <c r="A160" s="177">
        <f t="shared" si="35"/>
        <v>2016</v>
      </c>
      <c r="B160" s="178" t="str">
        <f t="shared" si="36"/>
        <v>2</v>
      </c>
      <c r="C160" s="231">
        <f t="shared" si="37"/>
        <v>20162</v>
      </c>
      <c r="D160" s="16">
        <v>42522</v>
      </c>
      <c r="E160" s="649">
        <v>31.4</v>
      </c>
      <c r="F160" s="650">
        <v>32.9</v>
      </c>
      <c r="G160" s="650">
        <v>64.3</v>
      </c>
      <c r="H160" s="650">
        <v>141.30000000000001</v>
      </c>
      <c r="I160" s="650">
        <v>73.7</v>
      </c>
      <c r="J160" s="650">
        <v>215</v>
      </c>
      <c r="K160" s="650">
        <f t="shared" si="38"/>
        <v>279.3</v>
      </c>
      <c r="L160" s="376">
        <f t="shared" si="39"/>
        <v>0.23021840315073397</v>
      </c>
    </row>
    <row r="161" spans="1:25" ht="15">
      <c r="A161" s="177">
        <f t="shared" si="35"/>
        <v>2016</v>
      </c>
      <c r="B161" s="178" t="str">
        <f t="shared" si="36"/>
        <v>3</v>
      </c>
      <c r="C161" s="231">
        <f t="shared" si="37"/>
        <v>20163</v>
      </c>
      <c r="D161" s="16">
        <v>42614</v>
      </c>
      <c r="E161" s="651">
        <v>43.1</v>
      </c>
      <c r="F161" s="652">
        <v>53</v>
      </c>
      <c r="G161" s="652">
        <v>96.2</v>
      </c>
      <c r="H161" s="652">
        <v>125.3</v>
      </c>
      <c r="I161" s="652">
        <v>125.5</v>
      </c>
      <c r="J161" s="652">
        <v>250.8</v>
      </c>
      <c r="K161" s="652">
        <f t="shared" si="38"/>
        <v>347</v>
      </c>
      <c r="L161" s="369">
        <f t="shared" si="39"/>
        <v>0.27723342939481271</v>
      </c>
    </row>
    <row r="162" spans="1:25" ht="15">
      <c r="A162" s="177">
        <f t="shared" si="35"/>
        <v>2016</v>
      </c>
      <c r="B162" s="178" t="str">
        <f t="shared" si="36"/>
        <v>4</v>
      </c>
      <c r="C162" s="231">
        <f t="shared" si="37"/>
        <v>20164</v>
      </c>
      <c r="D162" s="16">
        <v>42705</v>
      </c>
      <c r="E162" s="649">
        <v>41.5</v>
      </c>
      <c r="F162" s="650">
        <v>31</v>
      </c>
      <c r="G162" s="650">
        <v>72.5</v>
      </c>
      <c r="H162" s="650">
        <v>137.80000000000001</v>
      </c>
      <c r="I162" s="650">
        <v>107.2</v>
      </c>
      <c r="J162" s="650">
        <v>244.9</v>
      </c>
      <c r="K162" s="650">
        <f t="shared" si="38"/>
        <v>317.39999999999998</v>
      </c>
      <c r="L162" s="376">
        <f t="shared" si="39"/>
        <v>0.22841839949590423</v>
      </c>
    </row>
    <row r="163" spans="1:25" ht="15">
      <c r="A163" s="177">
        <f t="shared" si="35"/>
        <v>2017</v>
      </c>
      <c r="B163" s="178" t="str">
        <f t="shared" si="36"/>
        <v>1</v>
      </c>
      <c r="C163" s="231">
        <f t="shared" si="37"/>
        <v>20171</v>
      </c>
      <c r="D163" s="16">
        <v>42795</v>
      </c>
      <c r="E163" s="651">
        <v>82.4</v>
      </c>
      <c r="F163" s="652">
        <v>69.900000000000006</v>
      </c>
      <c r="G163" s="652">
        <v>152.19999999999999</v>
      </c>
      <c r="H163" s="652">
        <v>159.6</v>
      </c>
      <c r="I163" s="652">
        <v>86.9</v>
      </c>
      <c r="J163" s="652">
        <v>246.5</v>
      </c>
      <c r="K163" s="652">
        <f t="shared" si="38"/>
        <v>398.7</v>
      </c>
      <c r="L163" s="369">
        <f t="shared" si="39"/>
        <v>0.381740657135691</v>
      </c>
    </row>
    <row r="164" spans="1:25" ht="15">
      <c r="A164" s="177">
        <f t="shared" si="35"/>
        <v>2017</v>
      </c>
      <c r="B164" s="178" t="str">
        <f t="shared" si="36"/>
        <v>2</v>
      </c>
      <c r="C164" s="231">
        <f t="shared" si="37"/>
        <v>20172</v>
      </c>
      <c r="D164" s="16">
        <v>42887</v>
      </c>
      <c r="E164" s="649">
        <v>78.7</v>
      </c>
      <c r="F164" s="650">
        <v>37</v>
      </c>
      <c r="G164" s="650">
        <v>115.7</v>
      </c>
      <c r="H164" s="650">
        <v>119.9</v>
      </c>
      <c r="I164" s="650">
        <v>85.2</v>
      </c>
      <c r="J164" s="650">
        <v>205.1</v>
      </c>
      <c r="K164" s="650">
        <f t="shared" si="38"/>
        <v>320.8</v>
      </c>
      <c r="L164" s="376">
        <f t="shared" si="39"/>
        <v>0.36066084788029923</v>
      </c>
    </row>
    <row r="165" spans="1:25" ht="15">
      <c r="A165" s="177">
        <f t="shared" si="35"/>
        <v>2017</v>
      </c>
      <c r="B165" s="178" t="str">
        <f t="shared" si="36"/>
        <v>3</v>
      </c>
      <c r="C165" s="231">
        <f t="shared" si="37"/>
        <v>20173</v>
      </c>
      <c r="D165" s="16">
        <v>42979</v>
      </c>
      <c r="E165" s="651">
        <v>41.4</v>
      </c>
      <c r="F165" s="652">
        <v>50.7</v>
      </c>
      <c r="G165" s="652">
        <v>92</v>
      </c>
      <c r="H165" s="652">
        <v>88.1</v>
      </c>
      <c r="I165" s="652">
        <v>96.5</v>
      </c>
      <c r="J165" s="652">
        <v>184.6</v>
      </c>
      <c r="K165" s="652">
        <f t="shared" si="38"/>
        <v>276.60000000000002</v>
      </c>
      <c r="L165" s="369">
        <f t="shared" si="39"/>
        <v>0.33261026753434558</v>
      </c>
    </row>
    <row r="166" spans="1:25" ht="15">
      <c r="A166" s="177">
        <f t="shared" si="35"/>
        <v>2017</v>
      </c>
      <c r="B166" s="178" t="str">
        <f t="shared" si="36"/>
        <v>4</v>
      </c>
      <c r="C166" s="231">
        <f t="shared" si="37"/>
        <v>20174</v>
      </c>
      <c r="D166" s="16">
        <v>43070</v>
      </c>
      <c r="E166" s="649">
        <v>43.3</v>
      </c>
      <c r="F166" s="650">
        <v>31</v>
      </c>
      <c r="G166" s="650">
        <v>74.3</v>
      </c>
      <c r="H166" s="650">
        <v>57.7</v>
      </c>
      <c r="I166" s="650">
        <v>96.7</v>
      </c>
      <c r="J166" s="650">
        <v>154.4</v>
      </c>
      <c r="K166" s="650">
        <f t="shared" si="38"/>
        <v>228.7</v>
      </c>
      <c r="L166" s="376">
        <f t="shared" si="39"/>
        <v>0.32487975513773504</v>
      </c>
    </row>
    <row r="167" spans="1:25" ht="15">
      <c r="A167" s="177">
        <f t="shared" si="35"/>
        <v>2018</v>
      </c>
      <c r="B167" s="178" t="str">
        <f t="shared" si="36"/>
        <v>1</v>
      </c>
      <c r="C167" s="231">
        <f t="shared" si="37"/>
        <v>20181</v>
      </c>
      <c r="D167" s="16">
        <v>43160</v>
      </c>
      <c r="E167" s="651">
        <v>62</v>
      </c>
      <c r="F167" s="652">
        <v>26.4</v>
      </c>
      <c r="G167" s="652">
        <v>88.4</v>
      </c>
      <c r="H167" s="652">
        <v>38.200000000000003</v>
      </c>
      <c r="I167" s="652">
        <v>93.4</v>
      </c>
      <c r="J167" s="652">
        <v>131.5</v>
      </c>
      <c r="K167" s="652">
        <f t="shared" si="38"/>
        <v>219.9</v>
      </c>
      <c r="L167" s="369">
        <f t="shared" si="39"/>
        <v>0.40200090950432016</v>
      </c>
    </row>
    <row r="168" spans="1:25" ht="15">
      <c r="A168" s="177">
        <f t="shared" si="35"/>
        <v>2018</v>
      </c>
      <c r="B168" s="178" t="str">
        <f t="shared" si="36"/>
        <v>2</v>
      </c>
      <c r="C168" s="231">
        <f t="shared" si="37"/>
        <v>20182</v>
      </c>
      <c r="D168" s="16">
        <v>43252</v>
      </c>
      <c r="E168" s="649">
        <v>59</v>
      </c>
      <c r="F168" s="650">
        <v>35.5</v>
      </c>
      <c r="G168" s="650">
        <v>94.5</v>
      </c>
      <c r="H168" s="650">
        <v>124</v>
      </c>
      <c r="I168" s="650">
        <v>75.900000000000006</v>
      </c>
      <c r="J168" s="650">
        <v>199.9</v>
      </c>
      <c r="K168" s="650">
        <f t="shared" si="38"/>
        <v>294.39999999999998</v>
      </c>
      <c r="L168" s="376">
        <f t="shared" si="39"/>
        <v>0.32099184782608697</v>
      </c>
      <c r="W168" s="30"/>
      <c r="X168" s="30"/>
      <c r="Y168" s="30"/>
    </row>
    <row r="169" spans="1:25" ht="15">
      <c r="A169" s="177">
        <f t="shared" ref="A169:A175" si="40">YEAR(D169)</f>
        <v>2018</v>
      </c>
      <c r="B169" s="178" t="str">
        <f t="shared" ref="B169:B175" si="41">IF(MONTH(D169)&lt;4,"1",IF(MONTH(D169)&lt;7,"2",IF(MONTH(D169)&lt;10,"3","4")))</f>
        <v>3</v>
      </c>
      <c r="C169" s="231">
        <f t="shared" ref="C169:C184" si="42">_xlfn.NUMBERVALUE(CONCATENATE(A169,B169))</f>
        <v>20183</v>
      </c>
      <c r="D169" s="16">
        <v>43344</v>
      </c>
      <c r="E169" s="651">
        <v>76.7</v>
      </c>
      <c r="F169" s="652">
        <v>22.2</v>
      </c>
      <c r="G169" s="652">
        <v>98.9</v>
      </c>
      <c r="H169" s="652">
        <v>100.3</v>
      </c>
      <c r="I169" s="652">
        <v>101</v>
      </c>
      <c r="J169" s="652">
        <v>201.3</v>
      </c>
      <c r="K169" s="652">
        <f t="shared" si="38"/>
        <v>300.20000000000005</v>
      </c>
      <c r="L169" s="369">
        <f t="shared" si="39"/>
        <v>0.32944703530979341</v>
      </c>
      <c r="M169" s="173"/>
      <c r="N169" s="30"/>
      <c r="O169" s="30"/>
      <c r="P169" s="30"/>
      <c r="Q169" s="30"/>
      <c r="R169" s="30"/>
      <c r="S169" s="30"/>
      <c r="T169" s="30"/>
      <c r="U169" s="30"/>
      <c r="V169" s="30"/>
      <c r="W169" s="30"/>
      <c r="X169" s="30"/>
      <c r="Y169" s="30"/>
    </row>
    <row r="170" spans="1:25" ht="15">
      <c r="A170" s="177">
        <f t="shared" si="40"/>
        <v>2018</v>
      </c>
      <c r="B170" s="178" t="str">
        <f t="shared" si="41"/>
        <v>4</v>
      </c>
      <c r="C170" s="231">
        <f t="shared" si="42"/>
        <v>20184</v>
      </c>
      <c r="D170" s="16">
        <v>43435</v>
      </c>
      <c r="E170" s="649">
        <v>82.2</v>
      </c>
      <c r="F170" s="650">
        <v>31.6</v>
      </c>
      <c r="G170" s="650">
        <v>113.8</v>
      </c>
      <c r="H170" s="650">
        <v>106.9</v>
      </c>
      <c r="I170" s="650">
        <v>103.4</v>
      </c>
      <c r="J170" s="650">
        <v>210.3</v>
      </c>
      <c r="K170" s="650">
        <f t="shared" si="38"/>
        <v>324.10000000000002</v>
      </c>
      <c r="L170" s="376">
        <f t="shared" si="39"/>
        <v>0.35112619561863617</v>
      </c>
      <c r="M170" s="173"/>
      <c r="N170" s="30"/>
      <c r="O170" s="30"/>
      <c r="P170" s="30"/>
      <c r="Q170" s="30"/>
      <c r="R170" s="30"/>
      <c r="S170" s="30"/>
      <c r="T170" s="30"/>
      <c r="U170" s="30"/>
      <c r="V170" s="30"/>
      <c r="W170" s="30"/>
      <c r="X170" s="30"/>
      <c r="Y170" s="30"/>
    </row>
    <row r="171" spans="1:25" ht="15">
      <c r="A171" s="177">
        <f t="shared" si="40"/>
        <v>2019</v>
      </c>
      <c r="B171" s="178" t="str">
        <f t="shared" si="41"/>
        <v>1</v>
      </c>
      <c r="C171" s="231">
        <f t="shared" si="42"/>
        <v>20191</v>
      </c>
      <c r="D171" s="16">
        <v>43525</v>
      </c>
      <c r="E171" s="651">
        <v>70.900000000000006</v>
      </c>
      <c r="F171" s="652">
        <v>42.4</v>
      </c>
      <c r="G171" s="652">
        <v>113.3</v>
      </c>
      <c r="H171" s="652">
        <v>91.6</v>
      </c>
      <c r="I171" s="652">
        <v>76.8</v>
      </c>
      <c r="J171" s="652">
        <v>168.5</v>
      </c>
      <c r="K171" s="652">
        <f t="shared" si="38"/>
        <v>281.8</v>
      </c>
      <c r="L171" s="369">
        <f t="shared" si="39"/>
        <v>0.40205819730305176</v>
      </c>
      <c r="M171" s="173"/>
      <c r="N171" s="30"/>
      <c r="O171" s="30"/>
      <c r="P171" s="30"/>
      <c r="Q171" s="30"/>
      <c r="R171" s="30"/>
      <c r="S171" s="30"/>
      <c r="T171" s="30"/>
      <c r="U171" s="30"/>
      <c r="V171" s="30"/>
      <c r="W171" s="30"/>
      <c r="X171" s="30"/>
      <c r="Y171" s="30"/>
    </row>
    <row r="172" spans="1:25" ht="15">
      <c r="A172" s="177">
        <f t="shared" si="40"/>
        <v>2019</v>
      </c>
      <c r="B172" s="178" t="str">
        <f t="shared" si="41"/>
        <v>2</v>
      </c>
      <c r="C172" s="231">
        <f t="shared" si="42"/>
        <v>20192</v>
      </c>
      <c r="D172" s="16">
        <v>43617</v>
      </c>
      <c r="E172" s="649">
        <v>69.3</v>
      </c>
      <c r="F172" s="650">
        <v>43.8</v>
      </c>
      <c r="G172" s="650">
        <v>113.1</v>
      </c>
      <c r="H172" s="650">
        <v>99.8</v>
      </c>
      <c r="I172" s="650">
        <v>129.69999999999999</v>
      </c>
      <c r="J172" s="650">
        <v>229.5</v>
      </c>
      <c r="K172" s="650">
        <f t="shared" si="38"/>
        <v>342.6</v>
      </c>
      <c r="L172" s="376">
        <f t="shared" si="39"/>
        <v>0.33012259194395793</v>
      </c>
      <c r="M172" s="173"/>
      <c r="N172" s="30"/>
      <c r="O172" s="30"/>
      <c r="P172" s="30"/>
      <c r="Q172" s="30"/>
      <c r="R172" s="30"/>
      <c r="S172" s="30"/>
      <c r="T172" s="30"/>
      <c r="U172" s="30"/>
      <c r="V172" s="30"/>
      <c r="W172" s="30"/>
      <c r="X172" s="30"/>
      <c r="Y172" s="30"/>
    </row>
    <row r="173" spans="1:25" ht="15">
      <c r="A173" s="177">
        <f t="shared" si="40"/>
        <v>2019</v>
      </c>
      <c r="B173" s="178" t="str">
        <f t="shared" si="41"/>
        <v>3</v>
      </c>
      <c r="C173" s="231">
        <f t="shared" si="42"/>
        <v>20193</v>
      </c>
      <c r="D173" s="16">
        <v>43709</v>
      </c>
      <c r="E173" s="651">
        <v>109.8</v>
      </c>
      <c r="F173" s="652">
        <v>36.200000000000003</v>
      </c>
      <c r="G173" s="652">
        <v>146</v>
      </c>
      <c r="H173" s="652">
        <v>116.8</v>
      </c>
      <c r="I173" s="652">
        <v>100.3</v>
      </c>
      <c r="J173" s="652">
        <v>217</v>
      </c>
      <c r="K173" s="652">
        <f t="shared" ref="K173:K176" si="43">SUM(J173,G173)</f>
        <v>363</v>
      </c>
      <c r="L173" s="369">
        <f t="shared" si="39"/>
        <v>0.40220385674931131</v>
      </c>
      <c r="M173" s="173"/>
      <c r="N173" s="30"/>
      <c r="O173" s="30"/>
      <c r="P173" s="30"/>
      <c r="Q173" s="30"/>
      <c r="R173" s="30"/>
      <c r="S173" s="30"/>
      <c r="T173" s="30"/>
      <c r="U173" s="30"/>
      <c r="V173" s="30"/>
      <c r="W173" s="30"/>
      <c r="X173" s="30"/>
      <c r="Y173" s="30"/>
    </row>
    <row r="174" spans="1:25" ht="15">
      <c r="A174" s="177">
        <f t="shared" si="40"/>
        <v>2019</v>
      </c>
      <c r="B174" s="178" t="str">
        <f t="shared" si="41"/>
        <v>4</v>
      </c>
      <c r="C174" s="231">
        <f t="shared" si="42"/>
        <v>20194</v>
      </c>
      <c r="D174" s="16">
        <v>43800</v>
      </c>
      <c r="E174" s="649">
        <v>145.4</v>
      </c>
      <c r="F174" s="650">
        <v>68.3</v>
      </c>
      <c r="G174" s="650">
        <v>213.8</v>
      </c>
      <c r="H174" s="650">
        <v>75.7</v>
      </c>
      <c r="I174" s="650">
        <v>86.4</v>
      </c>
      <c r="J174" s="650">
        <v>162.1</v>
      </c>
      <c r="K174" s="650">
        <f t="shared" si="43"/>
        <v>375.9</v>
      </c>
      <c r="L174" s="376">
        <f t="shared" si="39"/>
        <v>0.56876828943868052</v>
      </c>
      <c r="M174" s="173"/>
      <c r="N174" s="30"/>
      <c r="O174" s="30"/>
      <c r="P174" s="30"/>
      <c r="Q174" s="30"/>
      <c r="R174" s="30"/>
      <c r="S174" s="30"/>
      <c r="T174" s="30"/>
      <c r="U174" s="30"/>
      <c r="V174" s="30"/>
      <c r="W174" s="30"/>
      <c r="X174" s="30"/>
      <c r="Y174" s="30"/>
    </row>
    <row r="175" spans="1:25" ht="15">
      <c r="A175" s="177">
        <f t="shared" si="40"/>
        <v>2020</v>
      </c>
      <c r="B175" s="178" t="str">
        <f t="shared" si="41"/>
        <v>1</v>
      </c>
      <c r="C175" s="231">
        <f t="shared" si="42"/>
        <v>20201</v>
      </c>
      <c r="D175" s="16">
        <v>43891</v>
      </c>
      <c r="E175" s="651">
        <v>133.9</v>
      </c>
      <c r="F175" s="652">
        <v>33.700000000000003</v>
      </c>
      <c r="G175" s="651">
        <v>167.5</v>
      </c>
      <c r="H175" s="652">
        <v>43.5</v>
      </c>
      <c r="I175" s="651">
        <v>105.8</v>
      </c>
      <c r="J175" s="652">
        <v>149.30000000000001</v>
      </c>
      <c r="K175" s="651">
        <f t="shared" si="43"/>
        <v>316.8</v>
      </c>
      <c r="L175" s="369">
        <f t="shared" si="39"/>
        <v>0.5287247474747474</v>
      </c>
      <c r="M175" s="173"/>
      <c r="N175" s="30"/>
      <c r="O175" s="30"/>
      <c r="P175" s="30"/>
      <c r="Q175" s="30"/>
      <c r="R175" s="30"/>
      <c r="S175" s="30"/>
      <c r="T175" s="30"/>
      <c r="U175" s="30"/>
      <c r="V175" s="30"/>
      <c r="W175" s="30"/>
      <c r="X175" s="30"/>
      <c r="Y175" s="30"/>
    </row>
    <row r="176" spans="1:25" ht="15">
      <c r="A176" s="177">
        <f>YEAR(D176)</f>
        <v>2020</v>
      </c>
      <c r="B176" s="178" t="str">
        <f>IF(MONTH(D176)&lt;4,"1",IF(MONTH(D176)&lt;7,"2",IF(MONTH(D176)&lt;10,"3","4")))</f>
        <v>2</v>
      </c>
      <c r="C176" s="231">
        <f t="shared" si="42"/>
        <v>20202</v>
      </c>
      <c r="D176" s="16">
        <v>43983</v>
      </c>
      <c r="E176" s="649">
        <v>89.4</v>
      </c>
      <c r="F176" s="650">
        <v>55.5</v>
      </c>
      <c r="G176" s="650">
        <v>144.9</v>
      </c>
      <c r="H176" s="650">
        <v>2.9</v>
      </c>
      <c r="I176" s="650">
        <v>64.099999999999994</v>
      </c>
      <c r="J176" s="650">
        <v>67</v>
      </c>
      <c r="K176" s="650">
        <f t="shared" si="43"/>
        <v>211.9</v>
      </c>
      <c r="L176" s="376">
        <f t="shared" si="39"/>
        <v>0.68381311939594147</v>
      </c>
      <c r="M176" s="173"/>
      <c r="N176" s="30"/>
      <c r="O176" s="30"/>
      <c r="P176" s="30"/>
      <c r="Q176" s="30"/>
      <c r="R176" s="30"/>
      <c r="S176" s="30"/>
      <c r="T176" s="30"/>
      <c r="U176" s="30"/>
      <c r="V176" s="30"/>
      <c r="W176" s="30"/>
      <c r="X176" s="30"/>
      <c r="Y176" s="30"/>
    </row>
    <row r="177" spans="1:29" ht="15">
      <c r="A177" s="177">
        <f>YEAR(D177)</f>
        <v>2020</v>
      </c>
      <c r="B177" s="178" t="str">
        <f>IF(MONTH(D177)&lt;4,"1",IF(MONTH(D177)&lt;7,"2",IF(MONTH(D177)&lt;10,"3","4")))</f>
        <v>3</v>
      </c>
      <c r="C177" s="231">
        <f t="shared" si="42"/>
        <v>20203</v>
      </c>
      <c r="D177" s="16">
        <v>44075</v>
      </c>
      <c r="E177" s="651">
        <v>84.5</v>
      </c>
      <c r="F177" s="652">
        <v>66.900000000000006</v>
      </c>
      <c r="G177" s="651">
        <v>151.5</v>
      </c>
      <c r="H177" s="652">
        <v>1.7</v>
      </c>
      <c r="I177" s="651">
        <v>67.400000000000006</v>
      </c>
      <c r="J177" s="652">
        <v>69.099999999999994</v>
      </c>
      <c r="K177" s="652">
        <f t="shared" ref="K177:K180" si="44">SUM(J177,G177)</f>
        <v>220.6</v>
      </c>
      <c r="L177" s="369">
        <f t="shared" ref="L177:L178" si="45">G177/K177</f>
        <v>0.68676337262012699</v>
      </c>
      <c r="M177" s="173"/>
      <c r="N177" s="30"/>
      <c r="O177" s="30"/>
      <c r="P177" s="30"/>
      <c r="Q177" s="30"/>
      <c r="R177" s="30"/>
      <c r="S177" s="30"/>
      <c r="T177" s="30"/>
      <c r="U177" s="30"/>
      <c r="V177" s="30"/>
      <c r="W177" s="30"/>
      <c r="X177" s="30"/>
      <c r="Y177" s="30"/>
    </row>
    <row r="178" spans="1:29" ht="15">
      <c r="A178" s="177">
        <f>YEAR(D178)</f>
        <v>2020</v>
      </c>
      <c r="B178" s="178" t="str">
        <f>IF(MONTH(D178)&lt;4,"1",IF(MONTH(D178)&lt;7,"2",IF(MONTH(D178)&lt;10,"3","4")))</f>
        <v>4</v>
      </c>
      <c r="C178" s="231">
        <f t="shared" si="42"/>
        <v>20204</v>
      </c>
      <c r="D178" s="16">
        <v>44166</v>
      </c>
      <c r="E178" s="819">
        <v>78.7</v>
      </c>
      <c r="F178" s="820">
        <v>61</v>
      </c>
      <c r="G178" s="820">
        <v>139.6</v>
      </c>
      <c r="H178" s="820">
        <v>43.6</v>
      </c>
      <c r="I178" s="820">
        <v>79.2</v>
      </c>
      <c r="J178" s="820">
        <v>122.9</v>
      </c>
      <c r="K178" s="820">
        <f t="shared" si="44"/>
        <v>262.5</v>
      </c>
      <c r="L178" s="762">
        <f t="shared" si="45"/>
        <v>0.53180952380952384</v>
      </c>
      <c r="M178" s="173"/>
      <c r="N178" s="30"/>
      <c r="O178" s="30"/>
      <c r="P178" s="30"/>
      <c r="Q178" s="30"/>
      <c r="R178" s="30"/>
      <c r="S178" s="30"/>
      <c r="T178" s="30"/>
      <c r="U178" s="30"/>
      <c r="V178" s="30"/>
      <c r="W178" s="30"/>
      <c r="X178" s="30"/>
      <c r="Y178" s="30"/>
    </row>
    <row r="179" spans="1:29" ht="15">
      <c r="A179" s="177"/>
      <c r="B179" s="178"/>
      <c r="C179" s="231"/>
      <c r="D179" s="16">
        <v>44256</v>
      </c>
      <c r="E179" s="651">
        <v>109.4</v>
      </c>
      <c r="F179" s="652">
        <v>60.6</v>
      </c>
      <c r="G179" s="652">
        <v>170</v>
      </c>
      <c r="H179" s="652">
        <v>11.2</v>
      </c>
      <c r="I179" s="652">
        <v>90.4</v>
      </c>
      <c r="J179" s="652">
        <v>101.6</v>
      </c>
      <c r="K179" s="652">
        <f t="shared" si="44"/>
        <v>271.60000000000002</v>
      </c>
      <c r="L179" s="369">
        <f>G179/K179</f>
        <v>0.62592047128129602</v>
      </c>
      <c r="M179" s="173"/>
      <c r="N179" s="30"/>
      <c r="O179" s="30"/>
      <c r="P179" s="30"/>
      <c r="Q179" s="30"/>
      <c r="R179" s="30"/>
      <c r="S179" s="30"/>
      <c r="T179" s="30"/>
      <c r="U179" s="30"/>
      <c r="V179" s="30"/>
      <c r="W179" s="30"/>
      <c r="X179" s="30"/>
      <c r="Y179" s="30"/>
    </row>
    <row r="180" spans="1:29" ht="15.75" thickBot="1">
      <c r="A180" s="177"/>
      <c r="B180" s="178"/>
      <c r="C180" s="231"/>
      <c r="D180" s="759">
        <v>44348</v>
      </c>
      <c r="E180" s="821">
        <v>113.2</v>
      </c>
      <c r="F180" s="822">
        <v>51.9</v>
      </c>
      <c r="G180" s="822">
        <v>165.1</v>
      </c>
      <c r="H180" s="822">
        <v>24.3</v>
      </c>
      <c r="I180" s="822">
        <v>59.5</v>
      </c>
      <c r="J180" s="822">
        <v>83.8</v>
      </c>
      <c r="K180" s="822">
        <f t="shared" si="44"/>
        <v>248.89999999999998</v>
      </c>
      <c r="L180" s="601">
        <f t="shared" ref="L180" si="46">G180/K180</f>
        <v>0.66331860184813185</v>
      </c>
      <c r="M180" s="173"/>
      <c r="N180" s="30"/>
      <c r="O180" s="30"/>
      <c r="P180" s="30"/>
      <c r="Q180" s="30"/>
      <c r="R180" s="30"/>
      <c r="S180" s="30"/>
      <c r="T180" s="30"/>
      <c r="U180" s="30"/>
      <c r="V180" s="30"/>
      <c r="W180" s="30"/>
      <c r="X180" s="30"/>
      <c r="Y180" s="30"/>
    </row>
    <row r="181" spans="1:29" ht="15">
      <c r="A181" s="177"/>
      <c r="B181" s="178"/>
      <c r="C181" s="231"/>
      <c r="D181" s="763"/>
      <c r="E181" s="760"/>
      <c r="F181" s="760"/>
      <c r="G181" s="760"/>
      <c r="H181" s="760"/>
      <c r="I181" s="760"/>
      <c r="J181" s="760"/>
      <c r="K181" s="760"/>
      <c r="L181" s="761"/>
      <c r="M181" s="173"/>
      <c r="N181" s="764"/>
      <c r="O181" s="30"/>
      <c r="P181" s="30"/>
      <c r="Q181" s="30"/>
      <c r="R181" s="30"/>
      <c r="S181" s="30"/>
      <c r="T181" s="30"/>
      <c r="U181" s="30"/>
      <c r="V181" s="30"/>
      <c r="W181" s="30"/>
      <c r="X181" s="30"/>
      <c r="Y181" s="30"/>
    </row>
    <row r="182" spans="1:29" ht="15" hidden="1">
      <c r="A182" s="177"/>
      <c r="B182" s="178"/>
      <c r="C182" s="231"/>
      <c r="D182" s="763"/>
      <c r="E182" s="760"/>
      <c r="F182" s="760"/>
      <c r="G182" s="760"/>
      <c r="H182" s="760"/>
      <c r="I182" s="760"/>
      <c r="J182" s="760"/>
      <c r="K182" s="760"/>
      <c r="L182" s="761"/>
      <c r="M182" s="173"/>
      <c r="N182" s="30"/>
      <c r="O182" s="30"/>
      <c r="P182" s="30"/>
      <c r="Q182" s="30"/>
      <c r="R182" s="30"/>
      <c r="S182" s="30"/>
      <c r="T182" s="30"/>
      <c r="U182" s="30"/>
      <c r="V182" s="30"/>
      <c r="W182" s="30"/>
      <c r="X182" s="30"/>
      <c r="Y182" s="30"/>
    </row>
    <row r="183" spans="1:29" ht="15" hidden="1">
      <c r="A183" s="177"/>
      <c r="B183" s="178"/>
      <c r="C183" s="231"/>
      <c r="D183" s="763"/>
      <c r="E183" s="760"/>
      <c r="F183" s="760"/>
      <c r="G183" s="760"/>
      <c r="H183" s="760"/>
      <c r="I183" s="760"/>
      <c r="J183" s="760"/>
      <c r="K183" s="760"/>
      <c r="L183" s="761"/>
      <c r="M183" s="173"/>
      <c r="N183" s="30"/>
      <c r="O183" s="30"/>
      <c r="P183" s="30"/>
      <c r="Q183" s="30"/>
      <c r="R183" s="30"/>
      <c r="S183" s="30"/>
      <c r="T183" s="30"/>
      <c r="U183" s="30"/>
      <c r="V183" s="30"/>
      <c r="W183" s="30"/>
      <c r="X183" s="30"/>
      <c r="Y183" s="30"/>
    </row>
    <row r="184" spans="1:29" ht="15" hidden="1">
      <c r="A184" s="177">
        <f>YEAR(D184)</f>
        <v>1900</v>
      </c>
      <c r="B184" s="178" t="str">
        <f>IF(MONTH(D184)&lt;4,"1",IF(MONTH(D184)&lt;7,"2",IF(MONTH(D184)&lt;10,"3","4")))</f>
        <v>1</v>
      </c>
      <c r="C184" s="231">
        <f t="shared" si="42"/>
        <v>19001</v>
      </c>
      <c r="D184" s="452"/>
      <c r="E184" s="451"/>
      <c r="F184" s="451"/>
      <c r="G184" s="451"/>
      <c r="H184" s="451"/>
      <c r="I184" s="451"/>
      <c r="J184" s="451"/>
      <c r="K184" s="451"/>
      <c r="L184" s="450"/>
      <c r="M184" s="173"/>
      <c r="N184" s="30"/>
      <c r="O184" s="30"/>
      <c r="P184" s="30"/>
      <c r="Q184" s="30"/>
      <c r="R184" s="30"/>
      <c r="S184" s="30"/>
      <c r="T184" s="30"/>
      <c r="U184" s="30"/>
      <c r="V184" s="30"/>
      <c r="W184" s="1050"/>
      <c r="X184" s="1050"/>
      <c r="Y184" s="1050"/>
      <c r="Z184" s="1050"/>
      <c r="AA184" s="1050"/>
      <c r="AB184" s="1050"/>
      <c r="AC184" s="1050"/>
    </row>
    <row r="185" spans="1:29" ht="15.75" hidden="1" thickBot="1">
      <c r="D185" s="16">
        <v>43891</v>
      </c>
      <c r="E185" s="266">
        <v>68.400000000000006</v>
      </c>
      <c r="F185" s="266">
        <v>51.9</v>
      </c>
      <c r="G185" s="266">
        <v>120.3</v>
      </c>
      <c r="H185" s="266">
        <v>93.2</v>
      </c>
      <c r="I185" s="266">
        <v>139.5</v>
      </c>
      <c r="J185" s="266">
        <v>232.7</v>
      </c>
      <c r="K185" s="266">
        <f t="shared" ref="K185:K246" si="47">SUM(J185,G185)</f>
        <v>353</v>
      </c>
      <c r="L185" s="320"/>
      <c r="M185" s="173"/>
      <c r="N185" s="1016" t="s">
        <v>343</v>
      </c>
      <c r="O185" s="1016"/>
      <c r="P185" s="1016"/>
      <c r="Q185" s="1016"/>
      <c r="R185" s="1016"/>
      <c r="S185" s="1016"/>
      <c r="T185" s="1016"/>
      <c r="U185" s="314"/>
      <c r="V185" s="230"/>
      <c r="W185" s="611" t="s">
        <v>39</v>
      </c>
      <c r="X185" s="612">
        <f t="shared" ref="X185:AC185" si="48">O186</f>
        <v>68.400000000000006</v>
      </c>
      <c r="Y185" s="612">
        <f t="shared" si="48"/>
        <v>51.9</v>
      </c>
      <c r="Z185" s="612">
        <f t="shared" si="48"/>
        <v>120.3</v>
      </c>
      <c r="AA185" s="612">
        <f t="shared" si="48"/>
        <v>93.2</v>
      </c>
      <c r="AB185" s="612">
        <f t="shared" si="48"/>
        <v>139.5</v>
      </c>
      <c r="AC185" s="613">
        <f t="shared" si="48"/>
        <v>232.7</v>
      </c>
    </row>
    <row r="186" spans="1:29" ht="15.75" hidden="1" thickBot="1">
      <c r="A186" s="176"/>
      <c r="B186" s="176"/>
      <c r="C186" s="176"/>
      <c r="D186" s="16">
        <v>43983</v>
      </c>
      <c r="E186" s="266">
        <v>68.400000000000006</v>
      </c>
      <c r="F186" s="266">
        <v>51.9</v>
      </c>
      <c r="G186" s="266">
        <v>120.3</v>
      </c>
      <c r="H186" s="266">
        <v>93.2</v>
      </c>
      <c r="I186" s="266">
        <v>139.5</v>
      </c>
      <c r="J186" s="266">
        <v>232.7</v>
      </c>
      <c r="K186" s="266">
        <f t="shared" si="47"/>
        <v>353</v>
      </c>
      <c r="L186" s="320"/>
      <c r="M186" s="173"/>
      <c r="N186" s="14" t="s">
        <v>39</v>
      </c>
      <c r="O186" s="20">
        <f t="shared" ref="O186:T186" si="49">E186</f>
        <v>68.400000000000006</v>
      </c>
      <c r="P186" s="20">
        <f t="shared" si="49"/>
        <v>51.9</v>
      </c>
      <c r="Q186" s="20">
        <f t="shared" si="49"/>
        <v>120.3</v>
      </c>
      <c r="R186" s="20">
        <f t="shared" si="49"/>
        <v>93.2</v>
      </c>
      <c r="S186" s="20">
        <f t="shared" si="49"/>
        <v>139.5</v>
      </c>
      <c r="T186" s="21">
        <f t="shared" si="49"/>
        <v>232.7</v>
      </c>
      <c r="U186" s="313"/>
      <c r="V186" s="28"/>
      <c r="W186" s="22" t="str">
        <f t="shared" ref="W186:W195" si="50">IF($N$3="Calendar Year",CONCATENATE(N187-1,"-",N187),CONCATENATE(N187,"-",N187+1))</f>
        <v>2050-2051</v>
      </c>
      <c r="X186" s="218">
        <f t="shared" ref="X186:AC186" si="51">IF($N$3="Calendar Year",SUMIF($C$187:$C$687,LARGE($C$187:$C$687,39),E$187:E$687)+SUMIF($C$187:$C$687,LARGE($C$187:$C$687,40),E$187:E$687)+SUMIF($C$187:$C$687,LARGE($C$187:$C$687,41),E$187:E$687)+SUMIF($C$187:$C$687,LARGE($C$187:$C$687,42),E$187:E$687),SUMIF($C$187:$C$687,LARGE($C$187:$C$687,37),E$187:E$687)+SUMIF($C$187:$C$687,LARGE($C$187:$C$687,38),E$187:E$687)+SUMIF($C$187:$C$687,LARGE($C$187:$C$687,39),E$187:E$687)+SUMIF($C$187:$C$687,LARGE($C$187:$C$687,40),E$187:E$687))</f>
        <v>273.60000000000002</v>
      </c>
      <c r="Y186" s="218">
        <f t="shared" si="51"/>
        <v>207.6</v>
      </c>
      <c r="Z186" s="218">
        <f t="shared" si="51"/>
        <v>481.2</v>
      </c>
      <c r="AA186" s="218">
        <f t="shared" si="51"/>
        <v>372.8</v>
      </c>
      <c r="AB186" s="219">
        <f t="shared" si="51"/>
        <v>558</v>
      </c>
      <c r="AC186" s="220">
        <f t="shared" si="51"/>
        <v>930.8</v>
      </c>
    </row>
    <row r="187" spans="1:29" ht="15.75" hidden="1" thickBot="1">
      <c r="A187" s="177">
        <f>YEAR(D187)</f>
        <v>2020</v>
      </c>
      <c r="B187" s="178" t="str">
        <f>IF(MONTH(D187)&lt;4,"1",IF(MONTH(D187)&lt;7,"2",IF(MONTH(D187)&lt;10,"3","4")))</f>
        <v>3</v>
      </c>
      <c r="C187" s="231">
        <f>_xlfn.NUMBERVALUE(CONCATENATE(A187,B187))</f>
        <v>20203</v>
      </c>
      <c r="D187" s="16">
        <v>44075</v>
      </c>
      <c r="E187" s="266">
        <v>68.400000000000006</v>
      </c>
      <c r="F187" s="266">
        <v>51.9</v>
      </c>
      <c r="G187" s="266">
        <v>120.3</v>
      </c>
      <c r="H187" s="266">
        <v>93.2</v>
      </c>
      <c r="I187" s="266">
        <v>139.5</v>
      </c>
      <c r="J187" s="266">
        <v>232.7</v>
      </c>
      <c r="K187" s="266">
        <f t="shared" si="47"/>
        <v>353</v>
      </c>
      <c r="L187" s="320"/>
      <c r="M187" s="173"/>
      <c r="N187" s="22">
        <f t="shared" ref="N187:N194" si="52">N188-1</f>
        <v>2051</v>
      </c>
      <c r="O187" s="218">
        <f t="shared" ref="O187:O196" si="53">SUMIF($A$187:$A$687,$N187,E$187:E$687)</f>
        <v>273.60000000000002</v>
      </c>
      <c r="P187" s="218">
        <f t="shared" ref="P187:P196" si="54">SUMIF($A$187:$A$687,$N187,F$187:F$687)</f>
        <v>207.6</v>
      </c>
      <c r="Q187" s="218">
        <f t="shared" ref="Q187:Q196" si="55">SUMIF($A$187:$A$687,$N187,G$187:G$687)</f>
        <v>481.2</v>
      </c>
      <c r="R187" s="218">
        <f t="shared" ref="R187:R196" si="56">SUMIF($A$187:$A$687,$N187,H$187:H$687)</f>
        <v>372.8</v>
      </c>
      <c r="S187" s="219">
        <f t="shared" ref="S187:S196" si="57">SUMIF($A$187:$A$687,$N187,I$187:I$687)</f>
        <v>558</v>
      </c>
      <c r="T187" s="220">
        <f t="shared" ref="T187:T196" si="58">SUMIF($A$187:$A$687,$N187,J$187:J$687)</f>
        <v>930.8</v>
      </c>
      <c r="U187" s="321"/>
      <c r="V187" s="27"/>
      <c r="W187" s="23" t="str">
        <f t="shared" si="50"/>
        <v>2051-2052</v>
      </c>
      <c r="X187" s="221">
        <f t="shared" ref="X187:AC187" si="59">IF($N$3="Calendar Year",SUMIF($C$187:$C$687,LARGE($C$187:$C$687,35),E$187:E$687)+SUMIF($C$187:$C$687,LARGE($C$187:$C$687,36),E$187:E$687)+SUMIF($C$187:$C$687,LARGE($C$187:$C$687,37),E$187:E$687)+SUMIF($C$187:$C$687,LARGE($C$187:$C$687,38),E$187:E$687),SUMIF($C$187:$C$687,LARGE($C$187:$C$687,33),E$187:E$687)+SUMIF($C$187:$C$687,LARGE($C$187:$C$687,34),E$187:E$687)+SUMIF($C$187:$C$687,LARGE($C$187:$C$687,35),E$187:E$687)+SUMIF($C$187:$C$687,LARGE($C$187:$C$687,36),E$187:E$687))</f>
        <v>273.60000000000002</v>
      </c>
      <c r="Y187" s="221">
        <f t="shared" si="59"/>
        <v>207.6</v>
      </c>
      <c r="Z187" s="221">
        <f t="shared" si="59"/>
        <v>481.2</v>
      </c>
      <c r="AA187" s="221">
        <f t="shared" si="59"/>
        <v>372.8</v>
      </c>
      <c r="AB187" s="222">
        <f t="shared" si="59"/>
        <v>558</v>
      </c>
      <c r="AC187" s="223">
        <f t="shared" si="59"/>
        <v>930.8</v>
      </c>
    </row>
    <row r="188" spans="1:29" ht="15.75" hidden="1" thickBot="1">
      <c r="A188" s="177">
        <f>YEAR(D188)</f>
        <v>2020</v>
      </c>
      <c r="B188" s="178" t="str">
        <f>IF(MONTH(D188)&lt;4,"1",IF(MONTH(D188)&lt;7,"2",IF(MONTH(D188)&lt;10,"3","4")))</f>
        <v>4</v>
      </c>
      <c r="C188" s="231">
        <f t="shared" ref="C188:C251" si="60">_xlfn.NUMBERVALUE(CONCATENATE(A188,B188))</f>
        <v>20204</v>
      </c>
      <c r="D188" s="16">
        <v>44166</v>
      </c>
      <c r="E188" s="266">
        <v>68.400000000000006</v>
      </c>
      <c r="F188" s="266">
        <v>51.9</v>
      </c>
      <c r="G188" s="266">
        <v>120.3</v>
      </c>
      <c r="H188" s="266">
        <v>93.2</v>
      </c>
      <c r="I188" s="266">
        <v>139.5</v>
      </c>
      <c r="J188" s="266">
        <v>232.7</v>
      </c>
      <c r="K188" s="266">
        <f t="shared" si="47"/>
        <v>353</v>
      </c>
      <c r="L188" s="320"/>
      <c r="M188" s="173"/>
      <c r="N188" s="23">
        <f t="shared" si="52"/>
        <v>2052</v>
      </c>
      <c r="O188" s="221">
        <f t="shared" si="53"/>
        <v>273.60000000000002</v>
      </c>
      <c r="P188" s="221">
        <f t="shared" si="54"/>
        <v>207.6</v>
      </c>
      <c r="Q188" s="221">
        <f t="shared" si="55"/>
        <v>481.2</v>
      </c>
      <c r="R188" s="221">
        <f t="shared" si="56"/>
        <v>372.8</v>
      </c>
      <c r="S188" s="222">
        <f t="shared" si="57"/>
        <v>558</v>
      </c>
      <c r="T188" s="223">
        <f t="shared" si="58"/>
        <v>930.8</v>
      </c>
      <c r="U188" s="322"/>
      <c r="V188" s="27"/>
      <c r="W188" s="24" t="str">
        <f t="shared" si="50"/>
        <v>2052-2053</v>
      </c>
      <c r="X188" s="224">
        <f t="shared" ref="X188:AC188" si="61">IF($N$3="Calendar Year",SUMIF($C$187:$C$687,LARGE($C$187:$C$687,31),E$187:E$687)+SUMIF($C$187:$C$687,LARGE($C$187:$C$687,32),E$187:E$687)+SUMIF($C$187:$C$687,LARGE($C$187:$C$687,33),E$187:E$687)+SUMIF($C$187:$C$687,LARGE($C$187:$C$687,34),E$187:E$687),SUMIF($C$187:$C$687,LARGE($C$187:$C$687,29),E$187:E$687)+SUMIF($C$187:$C$687,LARGE($C$187:$C$687,30),E$187:E$687)+SUMIF($C$187:$C$687,LARGE($C$187:$C$687,31),E$187:E$687)+SUMIF($C$187:$C$687,LARGE($C$187:$C$687,32),E$187:E$687))</f>
        <v>273.60000000000002</v>
      </c>
      <c r="Y188" s="224">
        <f t="shared" si="61"/>
        <v>207.6</v>
      </c>
      <c r="Z188" s="224">
        <f t="shared" si="61"/>
        <v>481.2</v>
      </c>
      <c r="AA188" s="224">
        <f t="shared" si="61"/>
        <v>372.8</v>
      </c>
      <c r="AB188" s="225">
        <f t="shared" si="61"/>
        <v>558</v>
      </c>
      <c r="AC188" s="226">
        <f t="shared" si="61"/>
        <v>930.8</v>
      </c>
    </row>
    <row r="189" spans="1:29" ht="15.75" hidden="1" thickBot="1">
      <c r="A189" s="177">
        <f t="shared" ref="A189:A202" si="62">YEAR(D189)</f>
        <v>2021</v>
      </c>
      <c r="B189" s="178" t="str">
        <f t="shared" ref="B189:B202" si="63">IF(MONTH(D189)&lt;4,"1",IF(MONTH(D189)&lt;7,"2",IF(MONTH(D189)&lt;10,"3","4")))</f>
        <v>1</v>
      </c>
      <c r="C189" s="231">
        <f t="shared" si="60"/>
        <v>20211</v>
      </c>
      <c r="D189" s="16">
        <v>44256</v>
      </c>
      <c r="E189" s="266">
        <v>68.400000000000006</v>
      </c>
      <c r="F189" s="266">
        <v>51.9</v>
      </c>
      <c r="G189" s="266">
        <v>120.3</v>
      </c>
      <c r="H189" s="266">
        <v>93.2</v>
      </c>
      <c r="I189" s="266">
        <v>139.5</v>
      </c>
      <c r="J189" s="266">
        <v>232.7</v>
      </c>
      <c r="K189" s="266">
        <f t="shared" si="47"/>
        <v>353</v>
      </c>
      <c r="L189" s="320"/>
      <c r="M189" s="173"/>
      <c r="N189" s="24">
        <f t="shared" si="52"/>
        <v>2053</v>
      </c>
      <c r="O189" s="224">
        <f t="shared" si="53"/>
        <v>273.60000000000002</v>
      </c>
      <c r="P189" s="224">
        <f t="shared" si="54"/>
        <v>207.6</v>
      </c>
      <c r="Q189" s="224">
        <f t="shared" si="55"/>
        <v>481.2</v>
      </c>
      <c r="R189" s="224">
        <f t="shared" si="56"/>
        <v>372.8</v>
      </c>
      <c r="S189" s="225">
        <f t="shared" si="57"/>
        <v>558</v>
      </c>
      <c r="T189" s="226">
        <f t="shared" si="58"/>
        <v>930.8</v>
      </c>
      <c r="U189" s="321"/>
      <c r="V189" s="27"/>
      <c r="W189" s="23" t="str">
        <f t="shared" si="50"/>
        <v>2053-2054</v>
      </c>
      <c r="X189" s="221">
        <f t="shared" ref="X189:AC189" si="64">IF($N$3="Calendar Year",SUMIF($C$187:$C$687,LARGE($C$187:$C$687,27),E$187:E$687)+SUMIF($C$187:$C$687,LARGE($C$187:$C$687,28),E$187:E$687)+SUMIF($C$187:$C$687,LARGE($C$187:$C$687,29),E$187:E$687)+SUMIF($C$187:$C$687,LARGE($C$187:$C$687,30),E$187:E$687),SUMIF($C$187:$C$687,LARGE($C$187:$C$687,25),E$187:E$687)+SUMIF($C$187:$C$687,LARGE($C$187:$C$687,26),E$187:E$687)+SUMIF($C$187:$C$687,LARGE($C$187:$C$687,27),E$187:E$687)+SUMIF($C$187:$C$687,LARGE($C$187:$C$687,28),E$187:E$687))</f>
        <v>273.60000000000002</v>
      </c>
      <c r="Y189" s="221">
        <f t="shared" si="64"/>
        <v>207.6</v>
      </c>
      <c r="Z189" s="221">
        <f t="shared" si="64"/>
        <v>481.2</v>
      </c>
      <c r="AA189" s="221">
        <f t="shared" si="64"/>
        <v>372.8</v>
      </c>
      <c r="AB189" s="222">
        <f t="shared" si="64"/>
        <v>558</v>
      </c>
      <c r="AC189" s="223">
        <f t="shared" si="64"/>
        <v>930.8</v>
      </c>
    </row>
    <row r="190" spans="1:29" ht="15.75" hidden="1" thickBot="1">
      <c r="A190" s="177">
        <f t="shared" si="62"/>
        <v>2021</v>
      </c>
      <c r="B190" s="178" t="str">
        <f t="shared" si="63"/>
        <v>2</v>
      </c>
      <c r="C190" s="231">
        <f t="shared" si="60"/>
        <v>20212</v>
      </c>
      <c r="D190" s="16">
        <v>44348</v>
      </c>
      <c r="E190" s="266">
        <v>68.400000000000006</v>
      </c>
      <c r="F190" s="266">
        <v>51.9</v>
      </c>
      <c r="G190" s="266">
        <v>120.3</v>
      </c>
      <c r="H190" s="266">
        <v>93.2</v>
      </c>
      <c r="I190" s="266">
        <v>139.5</v>
      </c>
      <c r="J190" s="266">
        <v>232.7</v>
      </c>
      <c r="K190" s="266">
        <f t="shared" si="47"/>
        <v>353</v>
      </c>
      <c r="L190" s="320"/>
      <c r="M190" s="173"/>
      <c r="N190" s="23">
        <f t="shared" si="52"/>
        <v>2054</v>
      </c>
      <c r="O190" s="221">
        <f t="shared" si="53"/>
        <v>273.60000000000002</v>
      </c>
      <c r="P190" s="221">
        <f t="shared" si="54"/>
        <v>207.6</v>
      </c>
      <c r="Q190" s="221">
        <f t="shared" si="55"/>
        <v>481.2</v>
      </c>
      <c r="R190" s="221">
        <f t="shared" si="56"/>
        <v>372.8</v>
      </c>
      <c r="S190" s="222">
        <f t="shared" si="57"/>
        <v>558</v>
      </c>
      <c r="T190" s="223">
        <f t="shared" si="58"/>
        <v>930.8</v>
      </c>
      <c r="U190" s="322"/>
      <c r="V190" s="27"/>
      <c r="W190" s="24" t="str">
        <f t="shared" si="50"/>
        <v>2054-2055</v>
      </c>
      <c r="X190" s="224">
        <f t="shared" ref="X190:AC190" si="65">IF($N$3="Calendar Year",SUMIF($C$187:$C$687,LARGE($C$187:$C$687,23),E$187:E$687)+SUMIF($C$187:$C$687,LARGE($C$187:$C$687,24),E$187:E$687)+SUMIF($C$187:$C$687,LARGE($C$187:$C$687,25),E$187:E$687)+SUMIF($C$187:$C$687,LARGE($C$187:$C$687,26),E$187:E$687),SUMIF($C$187:$C$687,LARGE($C$187:$C$687,21),E$187:E$687)+SUMIF($C$187:$C$687,LARGE($C$187:$C$687,22),E$187:E$687)+SUMIF($C$187:$C$687,LARGE($C$187:$C$687,23),E$187:E$687)+SUMIF($C$187:$C$687,LARGE($C$187:$C$687,24),E$187:E$687))</f>
        <v>273.60000000000002</v>
      </c>
      <c r="Y190" s="224">
        <f t="shared" si="65"/>
        <v>207.6</v>
      </c>
      <c r="Z190" s="224">
        <f t="shared" si="65"/>
        <v>481.2</v>
      </c>
      <c r="AA190" s="224">
        <f t="shared" si="65"/>
        <v>372.8</v>
      </c>
      <c r="AB190" s="225">
        <f t="shared" si="65"/>
        <v>558</v>
      </c>
      <c r="AC190" s="226">
        <f t="shared" si="65"/>
        <v>930.8</v>
      </c>
    </row>
    <row r="191" spans="1:29" ht="15.75" hidden="1" thickBot="1">
      <c r="A191" s="177">
        <f t="shared" si="62"/>
        <v>2021</v>
      </c>
      <c r="B191" s="178" t="str">
        <f t="shared" si="63"/>
        <v>3</v>
      </c>
      <c r="C191" s="231">
        <f t="shared" si="60"/>
        <v>20213</v>
      </c>
      <c r="D191" s="16">
        <v>44440</v>
      </c>
      <c r="E191" s="266">
        <v>68.400000000000006</v>
      </c>
      <c r="F191" s="266">
        <v>51.9</v>
      </c>
      <c r="G191" s="266">
        <v>120.3</v>
      </c>
      <c r="H191" s="266">
        <v>93.2</v>
      </c>
      <c r="I191" s="266">
        <v>139.5</v>
      </c>
      <c r="J191" s="266">
        <v>232.7</v>
      </c>
      <c r="K191" s="266">
        <f t="shared" si="47"/>
        <v>353</v>
      </c>
      <c r="L191" s="320"/>
      <c r="M191" s="173"/>
      <c r="N191" s="24">
        <f t="shared" si="52"/>
        <v>2055</v>
      </c>
      <c r="O191" s="224">
        <f t="shared" si="53"/>
        <v>273.60000000000002</v>
      </c>
      <c r="P191" s="224">
        <f t="shared" si="54"/>
        <v>207.6</v>
      </c>
      <c r="Q191" s="224">
        <f t="shared" si="55"/>
        <v>481.2</v>
      </c>
      <c r="R191" s="224">
        <f t="shared" si="56"/>
        <v>372.8</v>
      </c>
      <c r="S191" s="225">
        <f t="shared" si="57"/>
        <v>558</v>
      </c>
      <c r="T191" s="226">
        <f t="shared" si="58"/>
        <v>930.8</v>
      </c>
      <c r="U191" s="321"/>
      <c r="V191" s="27"/>
      <c r="W191" s="23" t="str">
        <f t="shared" si="50"/>
        <v>2055-2056</v>
      </c>
      <c r="X191" s="221">
        <f t="shared" ref="X191:AC191" si="66">IF($N$3="Calendar Year",SUMIF($C$187:$C$687,LARGE($C$187:$C$687,19),E$187:E$687)+SUMIF($C$187:$C$687,LARGE($C$187:$C$687,20),E$187:E$687)+SUMIF($C$187:$C$687,LARGE($C$187:$C$687,21),E$187:E$687)+SUMIF($C$187:$C$687,LARGE($C$187:$C$687,22),E$187:E$687),SUMIF($C$187:$C$687,LARGE($C$187:$C$687,17),E$187:E$687)+SUMIF($C$187:$C$687,LARGE($C$187:$C$687,18),E$187:E$687)+SUMIF($C$187:$C$687,LARGE($C$187:$C$687,19),E$187:E$687)+SUMIF($C$187:$C$687,LARGE($C$187:$C$687,20),E$187:E$687))</f>
        <v>273.60000000000002</v>
      </c>
      <c r="Y191" s="221">
        <f t="shared" si="66"/>
        <v>207.6</v>
      </c>
      <c r="Z191" s="221">
        <f t="shared" si="66"/>
        <v>481.2</v>
      </c>
      <c r="AA191" s="221">
        <f t="shared" si="66"/>
        <v>372.8</v>
      </c>
      <c r="AB191" s="222">
        <f t="shared" si="66"/>
        <v>558</v>
      </c>
      <c r="AC191" s="223">
        <f t="shared" si="66"/>
        <v>930.8</v>
      </c>
    </row>
    <row r="192" spans="1:29" ht="15.75" hidden="1" thickBot="1">
      <c r="A192" s="177">
        <f t="shared" si="62"/>
        <v>2021</v>
      </c>
      <c r="B192" s="178" t="str">
        <f t="shared" si="63"/>
        <v>4</v>
      </c>
      <c r="C192" s="231">
        <f t="shared" si="60"/>
        <v>20214</v>
      </c>
      <c r="D192" s="16">
        <v>44531</v>
      </c>
      <c r="E192" s="266">
        <v>68.400000000000006</v>
      </c>
      <c r="F192" s="266">
        <v>51.9</v>
      </c>
      <c r="G192" s="266">
        <v>120.3</v>
      </c>
      <c r="H192" s="266">
        <v>93.2</v>
      </c>
      <c r="I192" s="266">
        <v>139.5</v>
      </c>
      <c r="J192" s="266">
        <v>232.7</v>
      </c>
      <c r="K192" s="266">
        <f t="shared" si="47"/>
        <v>353</v>
      </c>
      <c r="L192" s="320"/>
      <c r="M192" s="173"/>
      <c r="N192" s="23">
        <f t="shared" si="52"/>
        <v>2056</v>
      </c>
      <c r="O192" s="221">
        <f t="shared" si="53"/>
        <v>273.60000000000002</v>
      </c>
      <c r="P192" s="221">
        <f t="shared" si="54"/>
        <v>207.6</v>
      </c>
      <c r="Q192" s="221">
        <f t="shared" si="55"/>
        <v>481.2</v>
      </c>
      <c r="R192" s="221">
        <f t="shared" si="56"/>
        <v>372.8</v>
      </c>
      <c r="S192" s="222">
        <f t="shared" si="57"/>
        <v>558</v>
      </c>
      <c r="T192" s="223">
        <f t="shared" si="58"/>
        <v>930.8</v>
      </c>
      <c r="U192" s="322"/>
      <c r="V192" s="27"/>
      <c r="W192" s="24" t="str">
        <f t="shared" si="50"/>
        <v>2056-2057</v>
      </c>
      <c r="X192" s="224">
        <f t="shared" ref="X192:AC192" si="67">IF($N$3="Calendar Year",SUMIF($C$187:$C$687,LARGE($C$187:$C$687,15),E$187:E$687)+SUMIF($C$187:$C$687,LARGE($C$187:$C$687,16),E$187:E$687)+SUMIF($C$187:$C$687,LARGE($C$187:$C$687,17),E$187:E$687)+SUMIF($C$187:$C$687,LARGE($C$187:$C$687,18),E$187:E$687),SUMIF($C$187:$C$687,LARGE($C$187:$C$687,13),E$187:E$687)+SUMIF($C$187:$C$687,LARGE($C$187:$C$687,14),E$187:E$687)+SUMIF($C$187:$C$687,LARGE($C$187:$C$687,15),E$187:E$687)+SUMIF($C$187:$C$687,LARGE($C$187:$C$687,16),E$187:E$687))</f>
        <v>273.60000000000002</v>
      </c>
      <c r="Y192" s="224">
        <f t="shared" si="67"/>
        <v>207.6</v>
      </c>
      <c r="Z192" s="224">
        <f t="shared" si="67"/>
        <v>481.2</v>
      </c>
      <c r="AA192" s="224">
        <f t="shared" si="67"/>
        <v>372.8</v>
      </c>
      <c r="AB192" s="225">
        <f t="shared" si="67"/>
        <v>558</v>
      </c>
      <c r="AC192" s="226">
        <f t="shared" si="67"/>
        <v>930.8</v>
      </c>
    </row>
    <row r="193" spans="1:29" ht="15.75" hidden="1" thickBot="1">
      <c r="A193" s="177">
        <f t="shared" si="62"/>
        <v>2022</v>
      </c>
      <c r="B193" s="178" t="str">
        <f t="shared" si="63"/>
        <v>1</v>
      </c>
      <c r="C193" s="231">
        <f t="shared" si="60"/>
        <v>20221</v>
      </c>
      <c r="D193" s="16">
        <v>44621</v>
      </c>
      <c r="E193" s="266">
        <v>68.400000000000006</v>
      </c>
      <c r="F193" s="266">
        <v>51.9</v>
      </c>
      <c r="G193" s="266">
        <v>120.3</v>
      </c>
      <c r="H193" s="266">
        <v>93.2</v>
      </c>
      <c r="I193" s="266">
        <v>139.5</v>
      </c>
      <c r="J193" s="266">
        <v>232.7</v>
      </c>
      <c r="K193" s="266">
        <f t="shared" si="47"/>
        <v>353</v>
      </c>
      <c r="L193" s="320"/>
      <c r="M193" s="173"/>
      <c r="N193" s="24">
        <f t="shared" si="52"/>
        <v>2057</v>
      </c>
      <c r="O193" s="224">
        <f t="shared" si="53"/>
        <v>273.60000000000002</v>
      </c>
      <c r="P193" s="224">
        <f t="shared" si="54"/>
        <v>207.6</v>
      </c>
      <c r="Q193" s="224">
        <f t="shared" si="55"/>
        <v>481.2</v>
      </c>
      <c r="R193" s="224">
        <f t="shared" si="56"/>
        <v>372.8</v>
      </c>
      <c r="S193" s="225">
        <f t="shared" si="57"/>
        <v>558</v>
      </c>
      <c r="T193" s="226">
        <f t="shared" si="58"/>
        <v>930.8</v>
      </c>
      <c r="U193" s="321"/>
      <c r="V193" s="27"/>
      <c r="W193" s="23" t="str">
        <f t="shared" si="50"/>
        <v>2057-2058</v>
      </c>
      <c r="X193" s="221">
        <f t="shared" ref="X193:AC193" si="68">IF($N$3="Calendar Year",SUMIF($C$187:$C$687,LARGE($C$187:$C$687,11),E$187:E$687)+SUMIF($C$187:$C$687,LARGE($C$187:$C$687,12),E$187:E$687)+SUMIF($C$187:$C$687,LARGE($C$187:$C$687,13),E$187:E$687)+SUMIF($C$187:$C$687,LARGE($C$187:$C$687,14),E$187:E$687),SUMIF($C$187:$C$687,LARGE($C$187:$C$687,9),E$187:E$687)+SUMIF($C$187:$C$687,LARGE($C$187:$C$687,10),E$187:E$687)+SUMIF($C$187:$C$687,LARGE($C$187:$C$687,11),E$187:E$687)+SUMIF($C$187:$C$687,LARGE($C$187:$C$687,12),E$187:E$687))</f>
        <v>273.60000000000002</v>
      </c>
      <c r="Y193" s="221">
        <f t="shared" si="68"/>
        <v>207.6</v>
      </c>
      <c r="Z193" s="221">
        <f t="shared" si="68"/>
        <v>481.2</v>
      </c>
      <c r="AA193" s="221">
        <f t="shared" si="68"/>
        <v>372.8</v>
      </c>
      <c r="AB193" s="222">
        <f t="shared" si="68"/>
        <v>558</v>
      </c>
      <c r="AC193" s="223">
        <f t="shared" si="68"/>
        <v>930.8</v>
      </c>
    </row>
    <row r="194" spans="1:29" ht="15.75" hidden="1" thickBot="1">
      <c r="A194" s="177">
        <f t="shared" si="62"/>
        <v>2022</v>
      </c>
      <c r="B194" s="178" t="str">
        <f t="shared" si="63"/>
        <v>2</v>
      </c>
      <c r="C194" s="231">
        <f t="shared" si="60"/>
        <v>20222</v>
      </c>
      <c r="D194" s="16">
        <v>44713</v>
      </c>
      <c r="E194" s="266">
        <v>68.400000000000006</v>
      </c>
      <c r="F194" s="266">
        <v>51.9</v>
      </c>
      <c r="G194" s="266">
        <v>120.3</v>
      </c>
      <c r="H194" s="266">
        <v>93.2</v>
      </c>
      <c r="I194" s="266">
        <v>139.5</v>
      </c>
      <c r="J194" s="266">
        <v>232.7</v>
      </c>
      <c r="K194" s="266">
        <f t="shared" si="47"/>
        <v>353</v>
      </c>
      <c r="L194" s="320"/>
      <c r="M194" s="173"/>
      <c r="N194" s="23">
        <f t="shared" si="52"/>
        <v>2058</v>
      </c>
      <c r="O194" s="221">
        <f t="shared" si="53"/>
        <v>273.60000000000002</v>
      </c>
      <c r="P194" s="221">
        <f t="shared" si="54"/>
        <v>207.6</v>
      </c>
      <c r="Q194" s="221">
        <f t="shared" si="55"/>
        <v>481.2</v>
      </c>
      <c r="R194" s="221">
        <f t="shared" si="56"/>
        <v>372.8</v>
      </c>
      <c r="S194" s="222">
        <f t="shared" si="57"/>
        <v>558</v>
      </c>
      <c r="T194" s="223">
        <f t="shared" si="58"/>
        <v>930.8</v>
      </c>
      <c r="U194" s="322"/>
      <c r="V194" s="27"/>
      <c r="W194" s="24" t="str">
        <f t="shared" si="50"/>
        <v>2058-2059</v>
      </c>
      <c r="X194" s="224">
        <f t="shared" ref="X194:AC194" si="69">IF($N$3="Calendar Year",SUMIF($C$187:$C$687,LARGE($C$187:$C$687,7),E$187:E$687)+SUMIF($C$187:$C$687,LARGE($C$187:$C$687,8),E$187:E$687)+SUMIF($C$187:$C$687,LARGE($C$187:$C$687,9),E$187:E$687)+SUMIF($C$187:$C$687,LARGE($C$187:$C$687,10),E$187:E$687),SUMIF($C$187:$C$687,LARGE($C$187:$C$687,5),E$187:E$687)+SUMIF($C$187:$C$687,LARGE($C$187:$C$687,6),E$187:E$687)+SUMIF($C$187:$C$687,LARGE($C$187:$C$687,7),E$187:E$687)+SUMIF($C$187:$C$687,LARGE($C$187:$C$687,8),E$187:E$687))</f>
        <v>273.60000000000002</v>
      </c>
      <c r="Y194" s="224">
        <f t="shared" si="69"/>
        <v>207.6</v>
      </c>
      <c r="Z194" s="224">
        <f t="shared" si="69"/>
        <v>481.2</v>
      </c>
      <c r="AA194" s="224">
        <f t="shared" si="69"/>
        <v>372.8</v>
      </c>
      <c r="AB194" s="225">
        <f t="shared" si="69"/>
        <v>558</v>
      </c>
      <c r="AC194" s="226">
        <f t="shared" si="69"/>
        <v>930.8</v>
      </c>
    </row>
    <row r="195" spans="1:29" ht="15.75" hidden="1" thickBot="1">
      <c r="A195" s="177">
        <f t="shared" si="62"/>
        <v>2022</v>
      </c>
      <c r="B195" s="178" t="str">
        <f t="shared" si="63"/>
        <v>3</v>
      </c>
      <c r="C195" s="231">
        <f t="shared" si="60"/>
        <v>20223</v>
      </c>
      <c r="D195" s="16">
        <v>44805</v>
      </c>
      <c r="E195" s="266">
        <v>68.400000000000006</v>
      </c>
      <c r="F195" s="266">
        <v>51.9</v>
      </c>
      <c r="G195" s="266">
        <v>120.3</v>
      </c>
      <c r="H195" s="266">
        <v>93.2</v>
      </c>
      <c r="I195" s="266">
        <v>139.5</v>
      </c>
      <c r="J195" s="266">
        <v>232.7</v>
      </c>
      <c r="K195" s="266">
        <f t="shared" si="47"/>
        <v>353</v>
      </c>
      <c r="L195" s="320"/>
      <c r="M195" s="173"/>
      <c r="N195" s="24">
        <f>N196-1</f>
        <v>2059</v>
      </c>
      <c r="O195" s="224">
        <f t="shared" si="53"/>
        <v>273.60000000000002</v>
      </c>
      <c r="P195" s="224">
        <f t="shared" si="54"/>
        <v>207.6</v>
      </c>
      <c r="Q195" s="224">
        <f t="shared" si="55"/>
        <v>481.2</v>
      </c>
      <c r="R195" s="224">
        <f t="shared" si="56"/>
        <v>372.8</v>
      </c>
      <c r="S195" s="225">
        <f t="shared" si="57"/>
        <v>558</v>
      </c>
      <c r="T195" s="226">
        <f t="shared" si="58"/>
        <v>930.8</v>
      </c>
      <c r="U195" s="321"/>
      <c r="V195" s="27"/>
      <c r="W195" s="25" t="str">
        <f t="shared" si="50"/>
        <v>2059-2060</v>
      </c>
      <c r="X195" s="227">
        <f t="shared" ref="X195:AC195" si="70">IF($N$3="Calendar Year",SUMIF($C$187:$C$687,LARGE($C$187:$C$687,3),E$187:E$687)+SUMIF($C$187:$C$687,LARGE($C$187:$C$687,4),E$187:E$687)+SUMIF($C$187:$C$687,LARGE($C$187:$C$687,5),E$187:E$687)+SUMIF($C$187:$C$687,LARGE($C$187:$C$687,6),E$187:E$687),SUMIF($C$187:$C$687,LARGE($C$187:$C$687,1),E$187:E$687)+SUMIF($C$187:$C$687,LARGE($C$187:$C$687,2),E$187:E$687)+SUMIF($C$187:$C$687,LARGE($C$187:$C$687,3),E$187:E$687)+SUMIF($C$187:$C$687,LARGE($C$187:$C$687,4),E$187:E$687))</f>
        <v>273.60000000000002</v>
      </c>
      <c r="Y195" s="227">
        <f t="shared" si="70"/>
        <v>207.6</v>
      </c>
      <c r="Z195" s="227">
        <f t="shared" si="70"/>
        <v>481.2</v>
      </c>
      <c r="AA195" s="227">
        <f t="shared" si="70"/>
        <v>372.8</v>
      </c>
      <c r="AB195" s="228">
        <f t="shared" si="70"/>
        <v>558</v>
      </c>
      <c r="AC195" s="229">
        <f t="shared" si="70"/>
        <v>930.8</v>
      </c>
    </row>
    <row r="196" spans="1:29" ht="15.75" hidden="1" thickBot="1">
      <c r="A196" s="177">
        <f t="shared" si="62"/>
        <v>2022</v>
      </c>
      <c r="B196" s="178" t="str">
        <f t="shared" si="63"/>
        <v>4</v>
      </c>
      <c r="C196" s="231">
        <f t="shared" si="60"/>
        <v>20224</v>
      </c>
      <c r="D196" s="16">
        <v>44896</v>
      </c>
      <c r="E196" s="266">
        <v>68.400000000000006</v>
      </c>
      <c r="F196" s="266">
        <v>51.9</v>
      </c>
      <c r="G196" s="266">
        <v>120.3</v>
      </c>
      <c r="H196" s="266">
        <v>93.2</v>
      </c>
      <c r="I196" s="266">
        <v>139.5</v>
      </c>
      <c r="J196" s="266">
        <v>232.7</v>
      </c>
      <c r="K196" s="266">
        <f t="shared" si="47"/>
        <v>353</v>
      </c>
      <c r="L196" s="320"/>
      <c r="M196" s="173"/>
      <c r="N196" s="25">
        <f>IF(N3="Calendar Year",LARGE(A187:A687,1),LARGE(A187:A687,1)-1)</f>
        <v>2060</v>
      </c>
      <c r="O196" s="227">
        <f t="shared" si="53"/>
        <v>273.60000000000002</v>
      </c>
      <c r="P196" s="227">
        <f t="shared" si="54"/>
        <v>207.6</v>
      </c>
      <c r="Q196" s="227">
        <f t="shared" si="55"/>
        <v>481.2</v>
      </c>
      <c r="R196" s="227">
        <f t="shared" si="56"/>
        <v>372.8</v>
      </c>
      <c r="S196" s="228">
        <f t="shared" si="57"/>
        <v>558</v>
      </c>
      <c r="T196" s="229">
        <f t="shared" si="58"/>
        <v>930.8</v>
      </c>
      <c r="U196" s="323"/>
      <c r="V196" s="27"/>
    </row>
    <row r="197" spans="1:29" ht="15.75" hidden="1" thickBot="1">
      <c r="A197" s="177">
        <f t="shared" si="62"/>
        <v>2023</v>
      </c>
      <c r="B197" s="178" t="str">
        <f t="shared" si="63"/>
        <v>1</v>
      </c>
      <c r="C197" s="231">
        <f t="shared" si="60"/>
        <v>20231</v>
      </c>
      <c r="D197" s="16">
        <v>44986</v>
      </c>
      <c r="E197" s="266">
        <v>68.400000000000006</v>
      </c>
      <c r="F197" s="266">
        <v>51.9</v>
      </c>
      <c r="G197" s="266">
        <v>120.3</v>
      </c>
      <c r="H197" s="266">
        <v>93.2</v>
      </c>
      <c r="I197" s="266">
        <v>139.5</v>
      </c>
      <c r="J197" s="266">
        <v>232.7</v>
      </c>
      <c r="K197" s="266">
        <f t="shared" si="47"/>
        <v>353</v>
      </c>
      <c r="L197" s="320"/>
      <c r="M197" s="173"/>
      <c r="S197" s="175"/>
    </row>
    <row r="198" spans="1:29" ht="15.75" hidden="1" thickBot="1">
      <c r="A198" s="177">
        <f t="shared" si="62"/>
        <v>2023</v>
      </c>
      <c r="B198" s="178" t="str">
        <f t="shared" si="63"/>
        <v>2</v>
      </c>
      <c r="C198" s="231">
        <f t="shared" si="60"/>
        <v>20232</v>
      </c>
      <c r="D198" s="16">
        <v>45078</v>
      </c>
      <c r="E198" s="266">
        <v>68.400000000000006</v>
      </c>
      <c r="F198" s="266">
        <v>51.9</v>
      </c>
      <c r="G198" s="266">
        <v>120.3</v>
      </c>
      <c r="H198" s="266">
        <v>93.2</v>
      </c>
      <c r="I198" s="266">
        <v>139.5</v>
      </c>
      <c r="J198" s="266">
        <v>232.7</v>
      </c>
      <c r="K198" s="266">
        <f t="shared" si="47"/>
        <v>353</v>
      </c>
      <c r="L198" s="320"/>
      <c r="V198" s="175"/>
    </row>
    <row r="199" spans="1:29" ht="15.75" hidden="1" thickBot="1">
      <c r="A199" s="177">
        <f t="shared" si="62"/>
        <v>2023</v>
      </c>
      <c r="B199" s="178" t="str">
        <f t="shared" si="63"/>
        <v>3</v>
      </c>
      <c r="C199" s="231">
        <f t="shared" si="60"/>
        <v>20233</v>
      </c>
      <c r="D199" s="16">
        <v>45170</v>
      </c>
      <c r="E199" s="266">
        <v>68.400000000000006</v>
      </c>
      <c r="F199" s="266">
        <v>51.9</v>
      </c>
      <c r="G199" s="266">
        <v>120.3</v>
      </c>
      <c r="H199" s="266">
        <v>93.2</v>
      </c>
      <c r="I199" s="266">
        <v>139.5</v>
      </c>
      <c r="J199" s="266">
        <v>232.7</v>
      </c>
      <c r="K199" s="266">
        <f t="shared" si="47"/>
        <v>353</v>
      </c>
      <c r="L199" s="320"/>
      <c r="V199" s="175"/>
    </row>
    <row r="200" spans="1:29" ht="15.75" hidden="1" thickBot="1">
      <c r="A200" s="177">
        <f t="shared" si="62"/>
        <v>2023</v>
      </c>
      <c r="B200" s="178" t="str">
        <f t="shared" si="63"/>
        <v>4</v>
      </c>
      <c r="C200" s="231">
        <f t="shared" si="60"/>
        <v>20234</v>
      </c>
      <c r="D200" s="16">
        <v>45261</v>
      </c>
      <c r="E200" s="266">
        <v>68.400000000000006</v>
      </c>
      <c r="F200" s="266">
        <v>51.9</v>
      </c>
      <c r="G200" s="266">
        <v>120.3</v>
      </c>
      <c r="H200" s="266">
        <v>93.2</v>
      </c>
      <c r="I200" s="266">
        <v>139.5</v>
      </c>
      <c r="J200" s="266">
        <v>232.7</v>
      </c>
      <c r="K200" s="266">
        <f t="shared" si="47"/>
        <v>353</v>
      </c>
      <c r="L200" s="320"/>
      <c r="V200" s="175"/>
    </row>
    <row r="201" spans="1:29" ht="15.75" hidden="1" thickBot="1">
      <c r="A201" s="177">
        <f t="shared" si="62"/>
        <v>2024</v>
      </c>
      <c r="B201" s="178" t="str">
        <f t="shared" si="63"/>
        <v>1</v>
      </c>
      <c r="C201" s="231">
        <f t="shared" si="60"/>
        <v>20241</v>
      </c>
      <c r="D201" s="16">
        <v>45352</v>
      </c>
      <c r="E201" s="266">
        <v>68.400000000000006</v>
      </c>
      <c r="F201" s="266">
        <v>51.9</v>
      </c>
      <c r="G201" s="266">
        <v>120.3</v>
      </c>
      <c r="H201" s="266">
        <v>93.2</v>
      </c>
      <c r="I201" s="266">
        <v>139.5</v>
      </c>
      <c r="J201" s="266">
        <v>232.7</v>
      </c>
      <c r="K201" s="266">
        <f t="shared" si="47"/>
        <v>353</v>
      </c>
      <c r="L201" s="320"/>
      <c r="V201" s="175"/>
    </row>
    <row r="202" spans="1:29" ht="15.75" hidden="1" thickBot="1">
      <c r="A202" s="177">
        <f t="shared" si="62"/>
        <v>2024</v>
      </c>
      <c r="B202" s="178" t="str">
        <f t="shared" si="63"/>
        <v>2</v>
      </c>
      <c r="C202" s="231">
        <f t="shared" si="60"/>
        <v>20242</v>
      </c>
      <c r="D202" s="16">
        <v>45444</v>
      </c>
      <c r="E202" s="266">
        <v>68.400000000000006</v>
      </c>
      <c r="F202" s="266">
        <v>51.9</v>
      </c>
      <c r="G202" s="266">
        <v>120.3</v>
      </c>
      <c r="H202" s="266">
        <v>93.2</v>
      </c>
      <c r="I202" s="266">
        <v>139.5</v>
      </c>
      <c r="J202" s="266">
        <v>232.7</v>
      </c>
      <c r="K202" s="266">
        <f t="shared" si="47"/>
        <v>353</v>
      </c>
      <c r="L202" s="320"/>
      <c r="V202" s="175"/>
    </row>
    <row r="203" spans="1:29" ht="15.75" hidden="1" thickBot="1">
      <c r="A203" s="177">
        <f t="shared" ref="A203:A209" si="71">YEAR(D203)</f>
        <v>2024</v>
      </c>
      <c r="B203" s="178" t="str">
        <f t="shared" ref="B203:B209" si="72">IF(MONTH(D203)&lt;4,"1",IF(MONTH(D203)&lt;7,"2",IF(MONTH(D203)&lt;10,"3","4")))</f>
        <v>3</v>
      </c>
      <c r="C203" s="231">
        <f t="shared" si="60"/>
        <v>20243</v>
      </c>
      <c r="D203" s="16">
        <v>45536</v>
      </c>
      <c r="E203" s="266">
        <v>68.400000000000006</v>
      </c>
      <c r="F203" s="266">
        <v>51.9</v>
      </c>
      <c r="G203" s="266">
        <v>120.3</v>
      </c>
      <c r="H203" s="266">
        <v>93.2</v>
      </c>
      <c r="I203" s="266">
        <v>139.5</v>
      </c>
      <c r="J203" s="266">
        <v>232.7</v>
      </c>
      <c r="K203" s="266">
        <f t="shared" si="47"/>
        <v>353</v>
      </c>
      <c r="L203" s="320"/>
      <c r="V203" s="175"/>
    </row>
    <row r="204" spans="1:29" ht="15.75" hidden="1" thickBot="1">
      <c r="A204" s="177">
        <f t="shared" si="71"/>
        <v>2024</v>
      </c>
      <c r="B204" s="178" t="str">
        <f t="shared" si="72"/>
        <v>4</v>
      </c>
      <c r="C204" s="231">
        <f t="shared" si="60"/>
        <v>20244</v>
      </c>
      <c r="D204" s="16">
        <v>45627</v>
      </c>
      <c r="E204" s="266">
        <v>68.400000000000006</v>
      </c>
      <c r="F204" s="266">
        <v>51.9</v>
      </c>
      <c r="G204" s="266">
        <v>120.3</v>
      </c>
      <c r="H204" s="266">
        <v>93.2</v>
      </c>
      <c r="I204" s="266">
        <v>139.5</v>
      </c>
      <c r="J204" s="266">
        <v>232.7</v>
      </c>
      <c r="K204" s="266">
        <f t="shared" si="47"/>
        <v>353</v>
      </c>
      <c r="L204" s="320"/>
      <c r="V204" s="175"/>
    </row>
    <row r="205" spans="1:29" ht="15.75" hidden="1" thickBot="1">
      <c r="A205" s="177">
        <f t="shared" si="71"/>
        <v>2025</v>
      </c>
      <c r="B205" s="178" t="str">
        <f t="shared" si="72"/>
        <v>1</v>
      </c>
      <c r="C205" s="231">
        <f t="shared" si="60"/>
        <v>20251</v>
      </c>
      <c r="D205" s="16">
        <v>45717</v>
      </c>
      <c r="E205" s="266">
        <v>68.400000000000006</v>
      </c>
      <c r="F205" s="266">
        <v>51.9</v>
      </c>
      <c r="G205" s="266">
        <v>120.3</v>
      </c>
      <c r="H205" s="266">
        <v>93.2</v>
      </c>
      <c r="I205" s="266">
        <v>139.5</v>
      </c>
      <c r="J205" s="266">
        <v>232.7</v>
      </c>
      <c r="K205" s="266">
        <f t="shared" si="47"/>
        <v>353</v>
      </c>
      <c r="L205" s="320"/>
      <c r="V205" s="175"/>
    </row>
    <row r="206" spans="1:29" ht="15.75" hidden="1" thickBot="1">
      <c r="A206" s="177">
        <f t="shared" si="71"/>
        <v>2025</v>
      </c>
      <c r="B206" s="178" t="str">
        <f t="shared" si="72"/>
        <v>2</v>
      </c>
      <c r="C206" s="231">
        <f t="shared" si="60"/>
        <v>20252</v>
      </c>
      <c r="D206" s="16">
        <v>45809</v>
      </c>
      <c r="E206" s="266">
        <v>68.400000000000006</v>
      </c>
      <c r="F206" s="266">
        <v>51.9</v>
      </c>
      <c r="G206" s="266">
        <v>120.3</v>
      </c>
      <c r="H206" s="266">
        <v>93.2</v>
      </c>
      <c r="I206" s="266">
        <v>139.5</v>
      </c>
      <c r="J206" s="266">
        <v>232.7</v>
      </c>
      <c r="K206" s="266">
        <f t="shared" si="47"/>
        <v>353</v>
      </c>
      <c r="L206" s="320"/>
      <c r="V206" s="175"/>
    </row>
    <row r="207" spans="1:29" ht="15.75" hidden="1" thickBot="1">
      <c r="A207" s="177">
        <f t="shared" si="71"/>
        <v>2025</v>
      </c>
      <c r="B207" s="178" t="str">
        <f t="shared" si="72"/>
        <v>3</v>
      </c>
      <c r="C207" s="231">
        <f t="shared" si="60"/>
        <v>20253</v>
      </c>
      <c r="D207" s="16">
        <v>45901</v>
      </c>
      <c r="E207" s="266">
        <v>68.400000000000006</v>
      </c>
      <c r="F207" s="266">
        <v>51.9</v>
      </c>
      <c r="G207" s="266">
        <v>120.3</v>
      </c>
      <c r="H207" s="266">
        <v>93.2</v>
      </c>
      <c r="I207" s="266">
        <v>139.5</v>
      </c>
      <c r="J207" s="266">
        <v>232.7</v>
      </c>
      <c r="K207" s="266">
        <f t="shared" si="47"/>
        <v>353</v>
      </c>
      <c r="L207" s="320"/>
    </row>
    <row r="208" spans="1:29" ht="15.75" hidden="1" thickBot="1">
      <c r="A208" s="177">
        <f t="shared" si="71"/>
        <v>2025</v>
      </c>
      <c r="B208" s="178" t="str">
        <f t="shared" si="72"/>
        <v>4</v>
      </c>
      <c r="C208" s="231">
        <f t="shared" si="60"/>
        <v>20254</v>
      </c>
      <c r="D208" s="16">
        <v>45992</v>
      </c>
      <c r="E208" s="266">
        <v>68.400000000000006</v>
      </c>
      <c r="F208" s="266">
        <v>51.9</v>
      </c>
      <c r="G208" s="266">
        <v>120.3</v>
      </c>
      <c r="H208" s="266">
        <v>93.2</v>
      </c>
      <c r="I208" s="266">
        <v>139.5</v>
      </c>
      <c r="J208" s="266">
        <v>232.7</v>
      </c>
      <c r="K208" s="266">
        <f t="shared" si="47"/>
        <v>353</v>
      </c>
      <c r="L208" s="320"/>
    </row>
    <row r="209" spans="1:12" ht="15.75" hidden="1" thickBot="1">
      <c r="A209" s="177">
        <f t="shared" si="71"/>
        <v>2026</v>
      </c>
      <c r="B209" s="178" t="str">
        <f t="shared" si="72"/>
        <v>1</v>
      </c>
      <c r="C209" s="231">
        <f t="shared" si="60"/>
        <v>20261</v>
      </c>
      <c r="D209" s="16">
        <v>46082</v>
      </c>
      <c r="E209" s="266">
        <v>68.400000000000006</v>
      </c>
      <c r="F209" s="266">
        <v>51.9</v>
      </c>
      <c r="G209" s="266">
        <v>120.3</v>
      </c>
      <c r="H209" s="266">
        <v>93.2</v>
      </c>
      <c r="I209" s="266">
        <v>139.5</v>
      </c>
      <c r="J209" s="266">
        <v>232.7</v>
      </c>
      <c r="K209" s="266">
        <f t="shared" si="47"/>
        <v>353</v>
      </c>
      <c r="L209" s="320"/>
    </row>
    <row r="210" spans="1:12" ht="15.75" hidden="1" thickBot="1">
      <c r="A210" s="177">
        <f t="shared" ref="A210:A216" si="73">YEAR(D210)</f>
        <v>2026</v>
      </c>
      <c r="B210" s="178" t="str">
        <f t="shared" ref="B210:B216" si="74">IF(MONTH(D210)&lt;4,"1",IF(MONTH(D210)&lt;7,"2",IF(MONTH(D210)&lt;10,"3","4")))</f>
        <v>2</v>
      </c>
      <c r="C210" s="231">
        <f t="shared" si="60"/>
        <v>20262</v>
      </c>
      <c r="D210" s="16">
        <v>46174</v>
      </c>
      <c r="E210" s="266">
        <v>68.400000000000006</v>
      </c>
      <c r="F210" s="266">
        <v>51.9</v>
      </c>
      <c r="G210" s="266">
        <v>120.3</v>
      </c>
      <c r="H210" s="266">
        <v>93.2</v>
      </c>
      <c r="I210" s="266">
        <v>139.5</v>
      </c>
      <c r="J210" s="266">
        <v>232.7</v>
      </c>
      <c r="K210" s="266">
        <f t="shared" si="47"/>
        <v>353</v>
      </c>
      <c r="L210" s="320"/>
    </row>
    <row r="211" spans="1:12" ht="15.75" hidden="1" thickBot="1">
      <c r="A211" s="177">
        <f t="shared" si="73"/>
        <v>2026</v>
      </c>
      <c r="B211" s="178" t="str">
        <f t="shared" si="74"/>
        <v>3</v>
      </c>
      <c r="C211" s="231">
        <f t="shared" si="60"/>
        <v>20263</v>
      </c>
      <c r="D211" s="16">
        <v>46266</v>
      </c>
      <c r="E211" s="266">
        <v>68.400000000000006</v>
      </c>
      <c r="F211" s="266">
        <v>51.9</v>
      </c>
      <c r="G211" s="266">
        <v>120.3</v>
      </c>
      <c r="H211" s="266">
        <v>93.2</v>
      </c>
      <c r="I211" s="266">
        <v>139.5</v>
      </c>
      <c r="J211" s="266">
        <v>232.7</v>
      </c>
      <c r="K211" s="266">
        <f t="shared" si="47"/>
        <v>353</v>
      </c>
      <c r="L211" s="320"/>
    </row>
    <row r="212" spans="1:12" ht="15.75" hidden="1" thickBot="1">
      <c r="A212" s="177">
        <f t="shared" si="73"/>
        <v>2026</v>
      </c>
      <c r="B212" s="178" t="str">
        <f t="shared" si="74"/>
        <v>4</v>
      </c>
      <c r="C212" s="231">
        <f t="shared" si="60"/>
        <v>20264</v>
      </c>
      <c r="D212" s="16">
        <v>46357</v>
      </c>
      <c r="E212" s="266">
        <v>68.400000000000006</v>
      </c>
      <c r="F212" s="266">
        <v>51.9</v>
      </c>
      <c r="G212" s="266">
        <v>120.3</v>
      </c>
      <c r="H212" s="266">
        <v>93.2</v>
      </c>
      <c r="I212" s="266">
        <v>139.5</v>
      </c>
      <c r="J212" s="266">
        <v>232.7</v>
      </c>
      <c r="K212" s="266">
        <f t="shared" si="47"/>
        <v>353</v>
      </c>
      <c r="L212" s="320"/>
    </row>
    <row r="213" spans="1:12" ht="15.75" hidden="1" thickBot="1">
      <c r="A213" s="177">
        <f t="shared" si="73"/>
        <v>2027</v>
      </c>
      <c r="B213" s="178" t="str">
        <f t="shared" si="74"/>
        <v>1</v>
      </c>
      <c r="C213" s="231">
        <f t="shared" si="60"/>
        <v>20271</v>
      </c>
      <c r="D213" s="16">
        <v>46447</v>
      </c>
      <c r="E213" s="266">
        <v>68.400000000000006</v>
      </c>
      <c r="F213" s="266">
        <v>51.9</v>
      </c>
      <c r="G213" s="266">
        <v>120.3</v>
      </c>
      <c r="H213" s="266">
        <v>93.2</v>
      </c>
      <c r="I213" s="266">
        <v>139.5</v>
      </c>
      <c r="J213" s="266">
        <v>232.7</v>
      </c>
      <c r="K213" s="266">
        <f t="shared" si="47"/>
        <v>353</v>
      </c>
      <c r="L213" s="320"/>
    </row>
    <row r="214" spans="1:12" ht="15.75" hidden="1" thickBot="1">
      <c r="A214" s="177">
        <f t="shared" si="73"/>
        <v>2027</v>
      </c>
      <c r="B214" s="178" t="str">
        <f t="shared" si="74"/>
        <v>2</v>
      </c>
      <c r="C214" s="231">
        <f t="shared" si="60"/>
        <v>20272</v>
      </c>
      <c r="D214" s="16">
        <v>46539</v>
      </c>
      <c r="E214" s="266">
        <v>68.400000000000006</v>
      </c>
      <c r="F214" s="266">
        <v>51.9</v>
      </c>
      <c r="G214" s="266">
        <v>120.3</v>
      </c>
      <c r="H214" s="266">
        <v>93.2</v>
      </c>
      <c r="I214" s="266">
        <v>139.5</v>
      </c>
      <c r="J214" s="266">
        <v>232.7</v>
      </c>
      <c r="K214" s="266">
        <f t="shared" si="47"/>
        <v>353</v>
      </c>
      <c r="L214" s="320"/>
    </row>
    <row r="215" spans="1:12" ht="15.75" hidden="1" thickBot="1">
      <c r="A215" s="177">
        <f t="shared" si="73"/>
        <v>2027</v>
      </c>
      <c r="B215" s="178" t="str">
        <f t="shared" si="74"/>
        <v>3</v>
      </c>
      <c r="C215" s="231">
        <f t="shared" si="60"/>
        <v>20273</v>
      </c>
      <c r="D215" s="16">
        <v>46631</v>
      </c>
      <c r="E215" s="266">
        <v>68.400000000000006</v>
      </c>
      <c r="F215" s="266">
        <v>51.9</v>
      </c>
      <c r="G215" s="266">
        <v>120.3</v>
      </c>
      <c r="H215" s="266">
        <v>93.2</v>
      </c>
      <c r="I215" s="266">
        <v>139.5</v>
      </c>
      <c r="J215" s="266">
        <v>232.7</v>
      </c>
      <c r="K215" s="266">
        <f t="shared" si="47"/>
        <v>353</v>
      </c>
      <c r="L215" s="320"/>
    </row>
    <row r="216" spans="1:12" ht="15.75" hidden="1" thickBot="1">
      <c r="A216" s="177">
        <f t="shared" si="73"/>
        <v>2027</v>
      </c>
      <c r="B216" s="178" t="str">
        <f t="shared" si="74"/>
        <v>4</v>
      </c>
      <c r="C216" s="231">
        <f t="shared" si="60"/>
        <v>20274</v>
      </c>
      <c r="D216" s="16">
        <v>46722</v>
      </c>
      <c r="E216" s="266">
        <v>68.400000000000006</v>
      </c>
      <c r="F216" s="266">
        <v>51.9</v>
      </c>
      <c r="G216" s="266">
        <v>120.3</v>
      </c>
      <c r="H216" s="266">
        <v>93.2</v>
      </c>
      <c r="I216" s="266">
        <v>139.5</v>
      </c>
      <c r="J216" s="266">
        <v>232.7</v>
      </c>
      <c r="K216" s="266">
        <f t="shared" si="47"/>
        <v>353</v>
      </c>
      <c r="L216" s="320"/>
    </row>
    <row r="217" spans="1:12" ht="15.75" hidden="1" thickBot="1">
      <c r="A217" s="177">
        <f t="shared" ref="A217:A280" si="75">YEAR(D217)</f>
        <v>2028</v>
      </c>
      <c r="B217" s="178" t="str">
        <f t="shared" ref="B217:B280" si="76">IF(MONTH(D217)&lt;4,"1",IF(MONTH(D217)&lt;7,"2",IF(MONTH(D217)&lt;10,"3","4")))</f>
        <v>1</v>
      </c>
      <c r="C217" s="231">
        <f t="shared" si="60"/>
        <v>20281</v>
      </c>
      <c r="D217" s="16">
        <v>46813</v>
      </c>
      <c r="E217" s="266">
        <v>68.400000000000006</v>
      </c>
      <c r="F217" s="266">
        <v>51.9</v>
      </c>
      <c r="G217" s="266">
        <v>120.3</v>
      </c>
      <c r="H217" s="266">
        <v>93.2</v>
      </c>
      <c r="I217" s="266">
        <v>139.5</v>
      </c>
      <c r="J217" s="266">
        <v>232.7</v>
      </c>
      <c r="K217" s="266">
        <f t="shared" si="47"/>
        <v>353</v>
      </c>
      <c r="L217" s="320"/>
    </row>
    <row r="218" spans="1:12" ht="15.75" hidden="1" thickBot="1">
      <c r="A218" s="177">
        <f t="shared" si="75"/>
        <v>2028</v>
      </c>
      <c r="B218" s="178" t="str">
        <f t="shared" si="76"/>
        <v>2</v>
      </c>
      <c r="C218" s="231">
        <f t="shared" si="60"/>
        <v>20282</v>
      </c>
      <c r="D218" s="16">
        <v>46905</v>
      </c>
      <c r="E218" s="266">
        <v>68.400000000000006</v>
      </c>
      <c r="F218" s="266">
        <v>51.9</v>
      </c>
      <c r="G218" s="266">
        <v>120.3</v>
      </c>
      <c r="H218" s="266">
        <v>93.2</v>
      </c>
      <c r="I218" s="266">
        <v>139.5</v>
      </c>
      <c r="J218" s="266">
        <v>232.7</v>
      </c>
      <c r="K218" s="266">
        <f t="shared" si="47"/>
        <v>353</v>
      </c>
      <c r="L218" s="320"/>
    </row>
    <row r="219" spans="1:12" ht="15.75" hidden="1" thickBot="1">
      <c r="A219" s="177">
        <f t="shared" si="75"/>
        <v>2028</v>
      </c>
      <c r="B219" s="178" t="str">
        <f t="shared" si="76"/>
        <v>3</v>
      </c>
      <c r="C219" s="231">
        <f t="shared" si="60"/>
        <v>20283</v>
      </c>
      <c r="D219" s="16">
        <v>46997</v>
      </c>
      <c r="E219" s="266">
        <v>68.400000000000006</v>
      </c>
      <c r="F219" s="266">
        <v>51.9</v>
      </c>
      <c r="G219" s="266">
        <v>120.3</v>
      </c>
      <c r="H219" s="266">
        <v>93.2</v>
      </c>
      <c r="I219" s="266">
        <v>139.5</v>
      </c>
      <c r="J219" s="266">
        <v>232.7</v>
      </c>
      <c r="K219" s="266">
        <f t="shared" si="47"/>
        <v>353</v>
      </c>
      <c r="L219" s="320"/>
    </row>
    <row r="220" spans="1:12" ht="15.75" hidden="1" thickBot="1">
      <c r="A220" s="177">
        <f t="shared" si="75"/>
        <v>2028</v>
      </c>
      <c r="B220" s="178" t="str">
        <f t="shared" si="76"/>
        <v>4</v>
      </c>
      <c r="C220" s="231">
        <f t="shared" si="60"/>
        <v>20284</v>
      </c>
      <c r="D220" s="16">
        <v>47088</v>
      </c>
      <c r="E220" s="266">
        <v>68.400000000000006</v>
      </c>
      <c r="F220" s="266">
        <v>51.9</v>
      </c>
      <c r="G220" s="266">
        <v>120.3</v>
      </c>
      <c r="H220" s="266">
        <v>93.2</v>
      </c>
      <c r="I220" s="266">
        <v>139.5</v>
      </c>
      <c r="J220" s="266">
        <v>232.7</v>
      </c>
      <c r="K220" s="266">
        <f t="shared" si="47"/>
        <v>353</v>
      </c>
      <c r="L220" s="320"/>
    </row>
    <row r="221" spans="1:12" ht="15.75" hidden="1" thickBot="1">
      <c r="A221" s="177">
        <f t="shared" si="75"/>
        <v>2029</v>
      </c>
      <c r="B221" s="178" t="str">
        <f t="shared" si="76"/>
        <v>1</v>
      </c>
      <c r="C221" s="231">
        <f t="shared" si="60"/>
        <v>20291</v>
      </c>
      <c r="D221" s="16">
        <v>47178</v>
      </c>
      <c r="E221" s="266">
        <v>68.400000000000006</v>
      </c>
      <c r="F221" s="266">
        <v>51.9</v>
      </c>
      <c r="G221" s="266">
        <v>120.3</v>
      </c>
      <c r="H221" s="266">
        <v>93.2</v>
      </c>
      <c r="I221" s="266">
        <v>139.5</v>
      </c>
      <c r="J221" s="266">
        <v>232.7</v>
      </c>
      <c r="K221" s="266">
        <f t="shared" si="47"/>
        <v>353</v>
      </c>
      <c r="L221" s="320"/>
    </row>
    <row r="222" spans="1:12" ht="15.75" hidden="1" thickBot="1">
      <c r="A222" s="177">
        <f t="shared" si="75"/>
        <v>2029</v>
      </c>
      <c r="B222" s="178" t="str">
        <f t="shared" si="76"/>
        <v>2</v>
      </c>
      <c r="C222" s="231">
        <f t="shared" si="60"/>
        <v>20292</v>
      </c>
      <c r="D222" s="16">
        <v>47270</v>
      </c>
      <c r="E222" s="266">
        <v>68.400000000000006</v>
      </c>
      <c r="F222" s="266">
        <v>51.9</v>
      </c>
      <c r="G222" s="266">
        <v>120.3</v>
      </c>
      <c r="H222" s="266">
        <v>93.2</v>
      </c>
      <c r="I222" s="266">
        <v>139.5</v>
      </c>
      <c r="J222" s="266">
        <v>232.7</v>
      </c>
      <c r="K222" s="266">
        <f t="shared" si="47"/>
        <v>353</v>
      </c>
      <c r="L222" s="320"/>
    </row>
    <row r="223" spans="1:12" ht="15.75" hidden="1" thickBot="1">
      <c r="A223" s="177">
        <f t="shared" si="75"/>
        <v>2029</v>
      </c>
      <c r="B223" s="178" t="str">
        <f t="shared" si="76"/>
        <v>3</v>
      </c>
      <c r="C223" s="231">
        <f t="shared" si="60"/>
        <v>20293</v>
      </c>
      <c r="D223" s="16">
        <v>47362</v>
      </c>
      <c r="E223" s="266">
        <v>68.400000000000006</v>
      </c>
      <c r="F223" s="266">
        <v>51.9</v>
      </c>
      <c r="G223" s="266">
        <v>120.3</v>
      </c>
      <c r="H223" s="266">
        <v>93.2</v>
      </c>
      <c r="I223" s="266">
        <v>139.5</v>
      </c>
      <c r="J223" s="266">
        <v>232.7</v>
      </c>
      <c r="K223" s="266">
        <f t="shared" si="47"/>
        <v>353</v>
      </c>
      <c r="L223" s="320"/>
    </row>
    <row r="224" spans="1:12" ht="15.75" hidden="1" thickBot="1">
      <c r="A224" s="177">
        <f t="shared" si="75"/>
        <v>2029</v>
      </c>
      <c r="B224" s="178" t="str">
        <f t="shared" si="76"/>
        <v>4</v>
      </c>
      <c r="C224" s="231">
        <f t="shared" si="60"/>
        <v>20294</v>
      </c>
      <c r="D224" s="16">
        <v>47453</v>
      </c>
      <c r="E224" s="266">
        <v>68.400000000000006</v>
      </c>
      <c r="F224" s="266">
        <v>51.9</v>
      </c>
      <c r="G224" s="266">
        <v>120.3</v>
      </c>
      <c r="H224" s="266">
        <v>93.2</v>
      </c>
      <c r="I224" s="266">
        <v>139.5</v>
      </c>
      <c r="J224" s="266">
        <v>232.7</v>
      </c>
      <c r="K224" s="266">
        <f t="shared" si="47"/>
        <v>353</v>
      </c>
      <c r="L224" s="320"/>
    </row>
    <row r="225" spans="1:12" ht="15.75" hidden="1" thickBot="1">
      <c r="A225" s="177">
        <f t="shared" si="75"/>
        <v>2030</v>
      </c>
      <c r="B225" s="178" t="str">
        <f t="shared" si="76"/>
        <v>1</v>
      </c>
      <c r="C225" s="231">
        <f t="shared" si="60"/>
        <v>20301</v>
      </c>
      <c r="D225" s="16">
        <v>47543</v>
      </c>
      <c r="E225" s="266">
        <v>68.400000000000006</v>
      </c>
      <c r="F225" s="266">
        <v>51.9</v>
      </c>
      <c r="G225" s="266">
        <v>120.3</v>
      </c>
      <c r="H225" s="266">
        <v>93.2</v>
      </c>
      <c r="I225" s="266">
        <v>139.5</v>
      </c>
      <c r="J225" s="266">
        <v>232.7</v>
      </c>
      <c r="K225" s="266">
        <f t="shared" si="47"/>
        <v>353</v>
      </c>
      <c r="L225" s="320"/>
    </row>
    <row r="226" spans="1:12" ht="15.75" hidden="1" thickBot="1">
      <c r="A226" s="177">
        <f t="shared" si="75"/>
        <v>2030</v>
      </c>
      <c r="B226" s="178" t="str">
        <f t="shared" si="76"/>
        <v>2</v>
      </c>
      <c r="C226" s="231">
        <f t="shared" si="60"/>
        <v>20302</v>
      </c>
      <c r="D226" s="16">
        <v>47635</v>
      </c>
      <c r="E226" s="266">
        <v>68.400000000000006</v>
      </c>
      <c r="F226" s="266">
        <v>51.9</v>
      </c>
      <c r="G226" s="266">
        <v>120.3</v>
      </c>
      <c r="H226" s="266">
        <v>93.2</v>
      </c>
      <c r="I226" s="266">
        <v>139.5</v>
      </c>
      <c r="J226" s="266">
        <v>232.7</v>
      </c>
      <c r="K226" s="266">
        <f t="shared" si="47"/>
        <v>353</v>
      </c>
      <c r="L226" s="320"/>
    </row>
    <row r="227" spans="1:12" ht="15.75" hidden="1" thickBot="1">
      <c r="A227" s="177">
        <f t="shared" si="75"/>
        <v>2030</v>
      </c>
      <c r="B227" s="178" t="str">
        <f t="shared" si="76"/>
        <v>3</v>
      </c>
      <c r="C227" s="231">
        <f t="shared" si="60"/>
        <v>20303</v>
      </c>
      <c r="D227" s="16">
        <v>47727</v>
      </c>
      <c r="E227" s="266">
        <v>68.400000000000006</v>
      </c>
      <c r="F227" s="266">
        <v>51.9</v>
      </c>
      <c r="G227" s="266">
        <v>120.3</v>
      </c>
      <c r="H227" s="266">
        <v>93.2</v>
      </c>
      <c r="I227" s="266">
        <v>139.5</v>
      </c>
      <c r="J227" s="266">
        <v>232.7</v>
      </c>
      <c r="K227" s="266">
        <f t="shared" si="47"/>
        <v>353</v>
      </c>
      <c r="L227" s="320"/>
    </row>
    <row r="228" spans="1:12" ht="15.75" hidden="1" thickBot="1">
      <c r="A228" s="177">
        <f t="shared" si="75"/>
        <v>2030</v>
      </c>
      <c r="B228" s="178" t="str">
        <f t="shared" si="76"/>
        <v>4</v>
      </c>
      <c r="C228" s="231">
        <f t="shared" si="60"/>
        <v>20304</v>
      </c>
      <c r="D228" s="16">
        <v>47818</v>
      </c>
      <c r="E228" s="266">
        <v>68.400000000000006</v>
      </c>
      <c r="F228" s="266">
        <v>51.9</v>
      </c>
      <c r="G228" s="266">
        <v>120.3</v>
      </c>
      <c r="H228" s="266">
        <v>93.2</v>
      </c>
      <c r="I228" s="266">
        <v>139.5</v>
      </c>
      <c r="J228" s="266">
        <v>232.7</v>
      </c>
      <c r="K228" s="266">
        <f t="shared" si="47"/>
        <v>353</v>
      </c>
      <c r="L228" s="320"/>
    </row>
    <row r="229" spans="1:12" ht="15.75" hidden="1" thickBot="1">
      <c r="A229" s="177">
        <f t="shared" si="75"/>
        <v>2031</v>
      </c>
      <c r="B229" s="178" t="str">
        <f t="shared" si="76"/>
        <v>1</v>
      </c>
      <c r="C229" s="231">
        <f t="shared" si="60"/>
        <v>20311</v>
      </c>
      <c r="D229" s="16">
        <v>47908</v>
      </c>
      <c r="E229" s="266">
        <v>68.400000000000006</v>
      </c>
      <c r="F229" s="266">
        <v>51.9</v>
      </c>
      <c r="G229" s="266">
        <v>120.3</v>
      </c>
      <c r="H229" s="266">
        <v>93.2</v>
      </c>
      <c r="I229" s="266">
        <v>139.5</v>
      </c>
      <c r="J229" s="266">
        <v>232.7</v>
      </c>
      <c r="K229" s="266">
        <f t="shared" si="47"/>
        <v>353</v>
      </c>
      <c r="L229" s="320"/>
    </row>
    <row r="230" spans="1:12" ht="15.75" hidden="1" thickBot="1">
      <c r="A230" s="177">
        <f t="shared" si="75"/>
        <v>2031</v>
      </c>
      <c r="B230" s="178" t="str">
        <f t="shared" si="76"/>
        <v>2</v>
      </c>
      <c r="C230" s="231">
        <f t="shared" si="60"/>
        <v>20312</v>
      </c>
      <c r="D230" s="16">
        <v>48000</v>
      </c>
      <c r="E230" s="266">
        <v>68.400000000000006</v>
      </c>
      <c r="F230" s="266">
        <v>51.9</v>
      </c>
      <c r="G230" s="266">
        <v>120.3</v>
      </c>
      <c r="H230" s="266">
        <v>93.2</v>
      </c>
      <c r="I230" s="266">
        <v>139.5</v>
      </c>
      <c r="J230" s="266">
        <v>232.7</v>
      </c>
      <c r="K230" s="266">
        <f t="shared" si="47"/>
        <v>353</v>
      </c>
      <c r="L230" s="320"/>
    </row>
    <row r="231" spans="1:12" ht="15.75" hidden="1" thickBot="1">
      <c r="A231" s="177">
        <f t="shared" si="75"/>
        <v>2031</v>
      </c>
      <c r="B231" s="178" t="str">
        <f t="shared" si="76"/>
        <v>3</v>
      </c>
      <c r="C231" s="231">
        <f t="shared" si="60"/>
        <v>20313</v>
      </c>
      <c r="D231" s="16">
        <v>48092</v>
      </c>
      <c r="E231" s="266">
        <v>68.400000000000006</v>
      </c>
      <c r="F231" s="266">
        <v>51.9</v>
      </c>
      <c r="G231" s="266">
        <v>120.3</v>
      </c>
      <c r="H231" s="266">
        <v>93.2</v>
      </c>
      <c r="I231" s="266">
        <v>139.5</v>
      </c>
      <c r="J231" s="266">
        <v>232.7</v>
      </c>
      <c r="K231" s="266">
        <f t="shared" si="47"/>
        <v>353</v>
      </c>
      <c r="L231" s="320"/>
    </row>
    <row r="232" spans="1:12" ht="15.75" hidden="1" thickBot="1">
      <c r="A232" s="177">
        <f t="shared" si="75"/>
        <v>2031</v>
      </c>
      <c r="B232" s="178" t="str">
        <f t="shared" si="76"/>
        <v>4</v>
      </c>
      <c r="C232" s="231">
        <f t="shared" si="60"/>
        <v>20314</v>
      </c>
      <c r="D232" s="16">
        <v>48183</v>
      </c>
      <c r="E232" s="266">
        <v>68.400000000000006</v>
      </c>
      <c r="F232" s="266">
        <v>51.9</v>
      </c>
      <c r="G232" s="266">
        <v>120.3</v>
      </c>
      <c r="H232" s="266">
        <v>93.2</v>
      </c>
      <c r="I232" s="266">
        <v>139.5</v>
      </c>
      <c r="J232" s="266">
        <v>232.7</v>
      </c>
      <c r="K232" s="266">
        <f t="shared" si="47"/>
        <v>353</v>
      </c>
      <c r="L232" s="320"/>
    </row>
    <row r="233" spans="1:12" ht="15.75" hidden="1" thickBot="1">
      <c r="A233" s="177">
        <f t="shared" si="75"/>
        <v>2032</v>
      </c>
      <c r="B233" s="178" t="str">
        <f t="shared" si="76"/>
        <v>1</v>
      </c>
      <c r="C233" s="231">
        <f t="shared" si="60"/>
        <v>20321</v>
      </c>
      <c r="D233" s="16">
        <v>48274</v>
      </c>
      <c r="E233" s="266">
        <v>68.400000000000006</v>
      </c>
      <c r="F233" s="266">
        <v>51.9</v>
      </c>
      <c r="G233" s="266">
        <v>120.3</v>
      </c>
      <c r="H233" s="266">
        <v>93.2</v>
      </c>
      <c r="I233" s="266">
        <v>139.5</v>
      </c>
      <c r="J233" s="266">
        <v>232.7</v>
      </c>
      <c r="K233" s="266">
        <f t="shared" si="47"/>
        <v>353</v>
      </c>
      <c r="L233" s="320"/>
    </row>
    <row r="234" spans="1:12" ht="15.75" hidden="1" thickBot="1">
      <c r="A234" s="177">
        <f t="shared" si="75"/>
        <v>2032</v>
      </c>
      <c r="B234" s="178" t="str">
        <f t="shared" si="76"/>
        <v>2</v>
      </c>
      <c r="C234" s="231">
        <f t="shared" si="60"/>
        <v>20322</v>
      </c>
      <c r="D234" s="16">
        <v>48366</v>
      </c>
      <c r="E234" s="266">
        <v>68.400000000000006</v>
      </c>
      <c r="F234" s="266">
        <v>51.9</v>
      </c>
      <c r="G234" s="266">
        <v>120.3</v>
      </c>
      <c r="H234" s="266">
        <v>93.2</v>
      </c>
      <c r="I234" s="266">
        <v>139.5</v>
      </c>
      <c r="J234" s="266">
        <v>232.7</v>
      </c>
      <c r="K234" s="266">
        <f t="shared" si="47"/>
        <v>353</v>
      </c>
      <c r="L234" s="320"/>
    </row>
    <row r="235" spans="1:12" ht="15.75" hidden="1" thickBot="1">
      <c r="A235" s="177">
        <f t="shared" si="75"/>
        <v>2032</v>
      </c>
      <c r="B235" s="178" t="str">
        <f t="shared" si="76"/>
        <v>3</v>
      </c>
      <c r="C235" s="231">
        <f t="shared" si="60"/>
        <v>20323</v>
      </c>
      <c r="D235" s="16">
        <v>48458</v>
      </c>
      <c r="E235" s="266">
        <v>68.400000000000006</v>
      </c>
      <c r="F235" s="266">
        <v>51.9</v>
      </c>
      <c r="G235" s="266">
        <v>120.3</v>
      </c>
      <c r="H235" s="266">
        <v>93.2</v>
      </c>
      <c r="I235" s="266">
        <v>139.5</v>
      </c>
      <c r="J235" s="266">
        <v>232.7</v>
      </c>
      <c r="K235" s="266">
        <f t="shared" si="47"/>
        <v>353</v>
      </c>
      <c r="L235" s="320"/>
    </row>
    <row r="236" spans="1:12" ht="15.75" hidden="1" thickBot="1">
      <c r="A236" s="177">
        <f t="shared" si="75"/>
        <v>2032</v>
      </c>
      <c r="B236" s="178" t="str">
        <f t="shared" si="76"/>
        <v>4</v>
      </c>
      <c r="C236" s="231">
        <f t="shared" si="60"/>
        <v>20324</v>
      </c>
      <c r="D236" s="16">
        <v>48549</v>
      </c>
      <c r="E236" s="266">
        <v>68.400000000000006</v>
      </c>
      <c r="F236" s="266">
        <v>51.9</v>
      </c>
      <c r="G236" s="266">
        <v>120.3</v>
      </c>
      <c r="H236" s="266">
        <v>93.2</v>
      </c>
      <c r="I236" s="266">
        <v>139.5</v>
      </c>
      <c r="J236" s="266">
        <v>232.7</v>
      </c>
      <c r="K236" s="266">
        <f t="shared" si="47"/>
        <v>353</v>
      </c>
      <c r="L236" s="320"/>
    </row>
    <row r="237" spans="1:12" ht="15.75" hidden="1" thickBot="1">
      <c r="A237" s="177">
        <f t="shared" si="75"/>
        <v>2033</v>
      </c>
      <c r="B237" s="178" t="str">
        <f t="shared" si="76"/>
        <v>1</v>
      </c>
      <c r="C237" s="231">
        <f t="shared" si="60"/>
        <v>20331</v>
      </c>
      <c r="D237" s="16">
        <v>48639</v>
      </c>
      <c r="E237" s="266">
        <v>68.400000000000006</v>
      </c>
      <c r="F237" s="266">
        <v>51.9</v>
      </c>
      <c r="G237" s="266">
        <v>120.3</v>
      </c>
      <c r="H237" s="266">
        <v>93.2</v>
      </c>
      <c r="I237" s="266">
        <v>139.5</v>
      </c>
      <c r="J237" s="266">
        <v>232.7</v>
      </c>
      <c r="K237" s="266">
        <f t="shared" si="47"/>
        <v>353</v>
      </c>
      <c r="L237" s="320"/>
    </row>
    <row r="238" spans="1:12" ht="15.75" hidden="1" thickBot="1">
      <c r="A238" s="177">
        <f t="shared" si="75"/>
        <v>2033</v>
      </c>
      <c r="B238" s="178" t="str">
        <f t="shared" si="76"/>
        <v>2</v>
      </c>
      <c r="C238" s="231">
        <f t="shared" si="60"/>
        <v>20332</v>
      </c>
      <c r="D238" s="16">
        <v>48731</v>
      </c>
      <c r="E238" s="266">
        <v>68.400000000000006</v>
      </c>
      <c r="F238" s="266">
        <v>51.9</v>
      </c>
      <c r="G238" s="266">
        <v>120.3</v>
      </c>
      <c r="H238" s="266">
        <v>93.2</v>
      </c>
      <c r="I238" s="266">
        <v>139.5</v>
      </c>
      <c r="J238" s="266">
        <v>232.7</v>
      </c>
      <c r="K238" s="266">
        <f t="shared" si="47"/>
        <v>353</v>
      </c>
      <c r="L238" s="320"/>
    </row>
    <row r="239" spans="1:12" ht="15.75" hidden="1" thickBot="1">
      <c r="A239" s="177">
        <f t="shared" si="75"/>
        <v>2033</v>
      </c>
      <c r="B239" s="178" t="str">
        <f t="shared" si="76"/>
        <v>3</v>
      </c>
      <c r="C239" s="231">
        <f t="shared" si="60"/>
        <v>20333</v>
      </c>
      <c r="D239" s="16">
        <v>48823</v>
      </c>
      <c r="E239" s="266">
        <v>68.400000000000006</v>
      </c>
      <c r="F239" s="266">
        <v>51.9</v>
      </c>
      <c r="G239" s="266">
        <v>120.3</v>
      </c>
      <c r="H239" s="266">
        <v>93.2</v>
      </c>
      <c r="I239" s="266">
        <v>139.5</v>
      </c>
      <c r="J239" s="266">
        <v>232.7</v>
      </c>
      <c r="K239" s="266">
        <f t="shared" si="47"/>
        <v>353</v>
      </c>
      <c r="L239" s="320"/>
    </row>
    <row r="240" spans="1:12" ht="15.75" hidden="1" thickBot="1">
      <c r="A240" s="177">
        <f t="shared" si="75"/>
        <v>2033</v>
      </c>
      <c r="B240" s="178" t="str">
        <f t="shared" si="76"/>
        <v>4</v>
      </c>
      <c r="C240" s="231">
        <f t="shared" si="60"/>
        <v>20334</v>
      </c>
      <c r="D240" s="16">
        <v>48914</v>
      </c>
      <c r="E240" s="266">
        <v>68.400000000000006</v>
      </c>
      <c r="F240" s="266">
        <v>51.9</v>
      </c>
      <c r="G240" s="266">
        <v>120.3</v>
      </c>
      <c r="H240" s="266">
        <v>93.2</v>
      </c>
      <c r="I240" s="266">
        <v>139.5</v>
      </c>
      <c r="J240" s="266">
        <v>232.7</v>
      </c>
      <c r="K240" s="266">
        <f t="shared" si="47"/>
        <v>353</v>
      </c>
      <c r="L240" s="320"/>
    </row>
    <row r="241" spans="1:12" ht="15.75" hidden="1" thickBot="1">
      <c r="A241" s="177">
        <f t="shared" si="75"/>
        <v>2034</v>
      </c>
      <c r="B241" s="178" t="str">
        <f t="shared" si="76"/>
        <v>1</v>
      </c>
      <c r="C241" s="231">
        <f t="shared" si="60"/>
        <v>20341</v>
      </c>
      <c r="D241" s="16">
        <v>49004</v>
      </c>
      <c r="E241" s="266">
        <v>68.400000000000006</v>
      </c>
      <c r="F241" s="266">
        <v>51.9</v>
      </c>
      <c r="G241" s="266">
        <v>120.3</v>
      </c>
      <c r="H241" s="266">
        <v>93.2</v>
      </c>
      <c r="I241" s="266">
        <v>139.5</v>
      </c>
      <c r="J241" s="266">
        <v>232.7</v>
      </c>
      <c r="K241" s="266">
        <f t="shared" si="47"/>
        <v>353</v>
      </c>
      <c r="L241" s="320"/>
    </row>
    <row r="242" spans="1:12" ht="15.75" hidden="1" thickBot="1">
      <c r="A242" s="177">
        <f t="shared" si="75"/>
        <v>2034</v>
      </c>
      <c r="B242" s="178" t="str">
        <f t="shared" si="76"/>
        <v>2</v>
      </c>
      <c r="C242" s="231">
        <f t="shared" si="60"/>
        <v>20342</v>
      </c>
      <c r="D242" s="16">
        <v>49096</v>
      </c>
      <c r="E242" s="266">
        <v>68.400000000000006</v>
      </c>
      <c r="F242" s="266">
        <v>51.9</v>
      </c>
      <c r="G242" s="266">
        <v>120.3</v>
      </c>
      <c r="H242" s="266">
        <v>93.2</v>
      </c>
      <c r="I242" s="266">
        <v>139.5</v>
      </c>
      <c r="J242" s="266">
        <v>232.7</v>
      </c>
      <c r="K242" s="266">
        <f t="shared" si="47"/>
        <v>353</v>
      </c>
      <c r="L242" s="320"/>
    </row>
    <row r="243" spans="1:12" ht="15.75" hidden="1" thickBot="1">
      <c r="A243" s="177">
        <f t="shared" si="75"/>
        <v>2034</v>
      </c>
      <c r="B243" s="178" t="str">
        <f t="shared" si="76"/>
        <v>3</v>
      </c>
      <c r="C243" s="231">
        <f t="shared" si="60"/>
        <v>20343</v>
      </c>
      <c r="D243" s="16">
        <v>49188</v>
      </c>
      <c r="E243" s="266">
        <v>68.400000000000006</v>
      </c>
      <c r="F243" s="266">
        <v>51.9</v>
      </c>
      <c r="G243" s="266">
        <v>120.3</v>
      </c>
      <c r="H243" s="266">
        <v>93.2</v>
      </c>
      <c r="I243" s="266">
        <v>139.5</v>
      </c>
      <c r="J243" s="266">
        <v>232.7</v>
      </c>
      <c r="K243" s="266">
        <f t="shared" si="47"/>
        <v>353</v>
      </c>
      <c r="L243" s="320"/>
    </row>
    <row r="244" spans="1:12" ht="15.75" hidden="1" thickBot="1">
      <c r="A244" s="177">
        <f t="shared" si="75"/>
        <v>2034</v>
      </c>
      <c r="B244" s="178" t="str">
        <f t="shared" si="76"/>
        <v>4</v>
      </c>
      <c r="C244" s="231">
        <f t="shared" si="60"/>
        <v>20344</v>
      </c>
      <c r="D244" s="16">
        <v>49279</v>
      </c>
      <c r="E244" s="266">
        <v>68.400000000000006</v>
      </c>
      <c r="F244" s="266">
        <v>51.9</v>
      </c>
      <c r="G244" s="266">
        <v>120.3</v>
      </c>
      <c r="H244" s="266">
        <v>93.2</v>
      </c>
      <c r="I244" s="266">
        <v>139.5</v>
      </c>
      <c r="J244" s="266">
        <v>232.7</v>
      </c>
      <c r="K244" s="266">
        <f t="shared" si="47"/>
        <v>353</v>
      </c>
      <c r="L244" s="320"/>
    </row>
    <row r="245" spans="1:12" ht="15.75" hidden="1" thickBot="1">
      <c r="A245" s="177">
        <f t="shared" si="75"/>
        <v>2035</v>
      </c>
      <c r="B245" s="178" t="str">
        <f t="shared" si="76"/>
        <v>1</v>
      </c>
      <c r="C245" s="231">
        <f t="shared" si="60"/>
        <v>20351</v>
      </c>
      <c r="D245" s="16">
        <v>49369</v>
      </c>
      <c r="E245" s="266">
        <v>68.400000000000006</v>
      </c>
      <c r="F245" s="266">
        <v>51.9</v>
      </c>
      <c r="G245" s="266">
        <v>120.3</v>
      </c>
      <c r="H245" s="266">
        <v>93.2</v>
      </c>
      <c r="I245" s="266">
        <v>139.5</v>
      </c>
      <c r="J245" s="266">
        <v>232.7</v>
      </c>
      <c r="K245" s="266">
        <f t="shared" si="47"/>
        <v>353</v>
      </c>
      <c r="L245" s="320"/>
    </row>
    <row r="246" spans="1:12" ht="15.75" hidden="1" thickBot="1">
      <c r="A246" s="177">
        <f t="shared" si="75"/>
        <v>2035</v>
      </c>
      <c r="B246" s="178" t="str">
        <f t="shared" si="76"/>
        <v>2</v>
      </c>
      <c r="C246" s="231">
        <f t="shared" si="60"/>
        <v>20352</v>
      </c>
      <c r="D246" s="16">
        <v>49461</v>
      </c>
      <c r="E246" s="266">
        <v>68.400000000000006</v>
      </c>
      <c r="F246" s="266">
        <v>51.9</v>
      </c>
      <c r="G246" s="266">
        <v>120.3</v>
      </c>
      <c r="H246" s="266">
        <v>93.2</v>
      </c>
      <c r="I246" s="266">
        <v>139.5</v>
      </c>
      <c r="J246" s="266">
        <v>232.7</v>
      </c>
      <c r="K246" s="266">
        <f t="shared" si="47"/>
        <v>353</v>
      </c>
      <c r="L246" s="320"/>
    </row>
    <row r="247" spans="1:12" ht="15.75" hidden="1" thickBot="1">
      <c r="A247" s="177">
        <f t="shared" si="75"/>
        <v>2035</v>
      </c>
      <c r="B247" s="178" t="str">
        <f t="shared" si="76"/>
        <v>3</v>
      </c>
      <c r="C247" s="231">
        <f t="shared" si="60"/>
        <v>20353</v>
      </c>
      <c r="D247" s="16">
        <v>49553</v>
      </c>
      <c r="E247" s="266">
        <v>68.400000000000006</v>
      </c>
      <c r="F247" s="266">
        <v>51.9</v>
      </c>
      <c r="G247" s="266">
        <v>120.3</v>
      </c>
      <c r="H247" s="266">
        <v>93.2</v>
      </c>
      <c r="I247" s="266">
        <v>139.5</v>
      </c>
      <c r="J247" s="266">
        <v>232.7</v>
      </c>
      <c r="K247" s="266">
        <f t="shared" ref="K247:K310" si="77">SUM(J247,G247)</f>
        <v>353</v>
      </c>
      <c r="L247" s="320"/>
    </row>
    <row r="248" spans="1:12" ht="15.75" hidden="1" thickBot="1">
      <c r="A248" s="177">
        <f t="shared" si="75"/>
        <v>2035</v>
      </c>
      <c r="B248" s="178" t="str">
        <f t="shared" si="76"/>
        <v>4</v>
      </c>
      <c r="C248" s="231">
        <f t="shared" si="60"/>
        <v>20354</v>
      </c>
      <c r="D248" s="16">
        <v>49644</v>
      </c>
      <c r="E248" s="266">
        <v>68.400000000000006</v>
      </c>
      <c r="F248" s="266">
        <v>51.9</v>
      </c>
      <c r="G248" s="266">
        <v>120.3</v>
      </c>
      <c r="H248" s="266">
        <v>93.2</v>
      </c>
      <c r="I248" s="266">
        <v>139.5</v>
      </c>
      <c r="J248" s="266">
        <v>232.7</v>
      </c>
      <c r="K248" s="266">
        <f t="shared" si="77"/>
        <v>353</v>
      </c>
      <c r="L248" s="320"/>
    </row>
    <row r="249" spans="1:12" ht="15.75" hidden="1" thickBot="1">
      <c r="A249" s="177">
        <f t="shared" si="75"/>
        <v>2036</v>
      </c>
      <c r="B249" s="178" t="str">
        <f t="shared" si="76"/>
        <v>1</v>
      </c>
      <c r="C249" s="231">
        <f t="shared" si="60"/>
        <v>20361</v>
      </c>
      <c r="D249" s="16">
        <v>49735</v>
      </c>
      <c r="E249" s="266">
        <v>68.400000000000006</v>
      </c>
      <c r="F249" s="266">
        <v>51.9</v>
      </c>
      <c r="G249" s="266">
        <v>120.3</v>
      </c>
      <c r="H249" s="266">
        <v>93.2</v>
      </c>
      <c r="I249" s="266">
        <v>139.5</v>
      </c>
      <c r="J249" s="266">
        <v>232.7</v>
      </c>
      <c r="K249" s="266">
        <f t="shared" si="77"/>
        <v>353</v>
      </c>
      <c r="L249" s="320"/>
    </row>
    <row r="250" spans="1:12" ht="15.75" hidden="1" thickBot="1">
      <c r="A250" s="177">
        <f t="shared" si="75"/>
        <v>2036</v>
      </c>
      <c r="B250" s="178" t="str">
        <f t="shared" si="76"/>
        <v>2</v>
      </c>
      <c r="C250" s="231">
        <f t="shared" si="60"/>
        <v>20362</v>
      </c>
      <c r="D250" s="16">
        <v>49827</v>
      </c>
      <c r="E250" s="266">
        <v>68.400000000000006</v>
      </c>
      <c r="F250" s="266">
        <v>51.9</v>
      </c>
      <c r="G250" s="266">
        <v>120.3</v>
      </c>
      <c r="H250" s="266">
        <v>93.2</v>
      </c>
      <c r="I250" s="266">
        <v>139.5</v>
      </c>
      <c r="J250" s="266">
        <v>232.7</v>
      </c>
      <c r="K250" s="266">
        <f t="shared" si="77"/>
        <v>353</v>
      </c>
      <c r="L250" s="320"/>
    </row>
    <row r="251" spans="1:12" ht="15.75" hidden="1" thickBot="1">
      <c r="A251" s="177">
        <f t="shared" si="75"/>
        <v>2036</v>
      </c>
      <c r="B251" s="178" t="str">
        <f t="shared" si="76"/>
        <v>3</v>
      </c>
      <c r="C251" s="231">
        <f t="shared" si="60"/>
        <v>20363</v>
      </c>
      <c r="D251" s="16">
        <v>49919</v>
      </c>
      <c r="E251" s="266">
        <v>68.400000000000006</v>
      </c>
      <c r="F251" s="266">
        <v>51.9</v>
      </c>
      <c r="G251" s="266">
        <v>120.3</v>
      </c>
      <c r="H251" s="266">
        <v>93.2</v>
      </c>
      <c r="I251" s="266">
        <v>139.5</v>
      </c>
      <c r="J251" s="266">
        <v>232.7</v>
      </c>
      <c r="K251" s="266">
        <f t="shared" si="77"/>
        <v>353</v>
      </c>
      <c r="L251" s="320"/>
    </row>
    <row r="252" spans="1:12" ht="15.75" hidden="1" thickBot="1">
      <c r="A252" s="177">
        <f t="shared" si="75"/>
        <v>2036</v>
      </c>
      <c r="B252" s="178" t="str">
        <f t="shared" si="76"/>
        <v>4</v>
      </c>
      <c r="C252" s="231">
        <f t="shared" ref="C252:C315" si="78">_xlfn.NUMBERVALUE(CONCATENATE(A252,B252))</f>
        <v>20364</v>
      </c>
      <c r="D252" s="16">
        <v>50010</v>
      </c>
      <c r="E252" s="266">
        <v>68.400000000000006</v>
      </c>
      <c r="F252" s="266">
        <v>51.9</v>
      </c>
      <c r="G252" s="266">
        <v>120.3</v>
      </c>
      <c r="H252" s="266">
        <v>93.2</v>
      </c>
      <c r="I252" s="266">
        <v>139.5</v>
      </c>
      <c r="J252" s="266">
        <v>232.7</v>
      </c>
      <c r="K252" s="266">
        <f t="shared" si="77"/>
        <v>353</v>
      </c>
      <c r="L252" s="320"/>
    </row>
    <row r="253" spans="1:12" ht="15.75" hidden="1" thickBot="1">
      <c r="A253" s="177">
        <f t="shared" si="75"/>
        <v>2037</v>
      </c>
      <c r="B253" s="178" t="str">
        <f t="shared" si="76"/>
        <v>1</v>
      </c>
      <c r="C253" s="231">
        <f t="shared" si="78"/>
        <v>20371</v>
      </c>
      <c r="D253" s="16">
        <v>50100</v>
      </c>
      <c r="E253" s="266">
        <v>68.400000000000006</v>
      </c>
      <c r="F253" s="266">
        <v>51.9</v>
      </c>
      <c r="G253" s="266">
        <v>120.3</v>
      </c>
      <c r="H253" s="266">
        <v>93.2</v>
      </c>
      <c r="I253" s="266">
        <v>139.5</v>
      </c>
      <c r="J253" s="266">
        <v>232.7</v>
      </c>
      <c r="K253" s="266">
        <f t="shared" si="77"/>
        <v>353</v>
      </c>
      <c r="L253" s="320"/>
    </row>
    <row r="254" spans="1:12" ht="15.75" hidden="1" thickBot="1">
      <c r="A254" s="177">
        <f t="shared" si="75"/>
        <v>2037</v>
      </c>
      <c r="B254" s="178" t="str">
        <f t="shared" si="76"/>
        <v>2</v>
      </c>
      <c r="C254" s="231">
        <f t="shared" si="78"/>
        <v>20372</v>
      </c>
      <c r="D254" s="16">
        <v>50192</v>
      </c>
      <c r="E254" s="266">
        <v>68.400000000000006</v>
      </c>
      <c r="F254" s="266">
        <v>51.9</v>
      </c>
      <c r="G254" s="266">
        <v>120.3</v>
      </c>
      <c r="H254" s="266">
        <v>93.2</v>
      </c>
      <c r="I254" s="266">
        <v>139.5</v>
      </c>
      <c r="J254" s="266">
        <v>232.7</v>
      </c>
      <c r="K254" s="266">
        <f t="shared" si="77"/>
        <v>353</v>
      </c>
      <c r="L254" s="320"/>
    </row>
    <row r="255" spans="1:12" ht="15.75" hidden="1" thickBot="1">
      <c r="A255" s="177">
        <f t="shared" si="75"/>
        <v>2037</v>
      </c>
      <c r="B255" s="178" t="str">
        <f t="shared" si="76"/>
        <v>3</v>
      </c>
      <c r="C255" s="231">
        <f t="shared" si="78"/>
        <v>20373</v>
      </c>
      <c r="D255" s="16">
        <v>50284</v>
      </c>
      <c r="E255" s="266">
        <v>68.400000000000006</v>
      </c>
      <c r="F255" s="266">
        <v>51.9</v>
      </c>
      <c r="G255" s="266">
        <v>120.3</v>
      </c>
      <c r="H255" s="266">
        <v>93.2</v>
      </c>
      <c r="I255" s="266">
        <v>139.5</v>
      </c>
      <c r="J255" s="266">
        <v>232.7</v>
      </c>
      <c r="K255" s="266">
        <f t="shared" si="77"/>
        <v>353</v>
      </c>
      <c r="L255" s="320"/>
    </row>
    <row r="256" spans="1:12" ht="15.75" hidden="1" thickBot="1">
      <c r="A256" s="177">
        <f t="shared" si="75"/>
        <v>2037</v>
      </c>
      <c r="B256" s="178" t="str">
        <f t="shared" si="76"/>
        <v>4</v>
      </c>
      <c r="C256" s="231">
        <f t="shared" si="78"/>
        <v>20374</v>
      </c>
      <c r="D256" s="16">
        <v>50375</v>
      </c>
      <c r="E256" s="266">
        <v>68.400000000000006</v>
      </c>
      <c r="F256" s="266">
        <v>51.9</v>
      </c>
      <c r="G256" s="266">
        <v>120.3</v>
      </c>
      <c r="H256" s="266">
        <v>93.2</v>
      </c>
      <c r="I256" s="266">
        <v>139.5</v>
      </c>
      <c r="J256" s="266">
        <v>232.7</v>
      </c>
      <c r="K256" s="266">
        <f t="shared" si="77"/>
        <v>353</v>
      </c>
      <c r="L256" s="320"/>
    </row>
    <row r="257" spans="1:12" ht="15.75" hidden="1" thickBot="1">
      <c r="A257" s="177">
        <f t="shared" si="75"/>
        <v>2038</v>
      </c>
      <c r="B257" s="178" t="str">
        <f t="shared" si="76"/>
        <v>1</v>
      </c>
      <c r="C257" s="231">
        <f t="shared" si="78"/>
        <v>20381</v>
      </c>
      <c r="D257" s="16">
        <v>50465</v>
      </c>
      <c r="E257" s="266">
        <v>68.400000000000006</v>
      </c>
      <c r="F257" s="266">
        <v>51.9</v>
      </c>
      <c r="G257" s="266">
        <v>120.3</v>
      </c>
      <c r="H257" s="266">
        <v>93.2</v>
      </c>
      <c r="I257" s="266">
        <v>139.5</v>
      </c>
      <c r="J257" s="266">
        <v>232.7</v>
      </c>
      <c r="K257" s="266">
        <f t="shared" si="77"/>
        <v>353</v>
      </c>
      <c r="L257" s="320"/>
    </row>
    <row r="258" spans="1:12" ht="15.75" hidden="1" thickBot="1">
      <c r="A258" s="177">
        <f t="shared" si="75"/>
        <v>2038</v>
      </c>
      <c r="B258" s="178" t="str">
        <f t="shared" si="76"/>
        <v>2</v>
      </c>
      <c r="C258" s="231">
        <f t="shared" si="78"/>
        <v>20382</v>
      </c>
      <c r="D258" s="16">
        <v>50557</v>
      </c>
      <c r="E258" s="266">
        <v>68.400000000000006</v>
      </c>
      <c r="F258" s="266">
        <v>51.9</v>
      </c>
      <c r="G258" s="266">
        <v>120.3</v>
      </c>
      <c r="H258" s="266">
        <v>93.2</v>
      </c>
      <c r="I258" s="266">
        <v>139.5</v>
      </c>
      <c r="J258" s="266">
        <v>232.7</v>
      </c>
      <c r="K258" s="266">
        <f t="shared" si="77"/>
        <v>353</v>
      </c>
      <c r="L258" s="320"/>
    </row>
    <row r="259" spans="1:12" ht="15.75" hidden="1" thickBot="1">
      <c r="A259" s="177">
        <f t="shared" si="75"/>
        <v>2038</v>
      </c>
      <c r="B259" s="178" t="str">
        <f t="shared" si="76"/>
        <v>3</v>
      </c>
      <c r="C259" s="231">
        <f t="shared" si="78"/>
        <v>20383</v>
      </c>
      <c r="D259" s="16">
        <v>50649</v>
      </c>
      <c r="E259" s="266">
        <v>68.400000000000006</v>
      </c>
      <c r="F259" s="266">
        <v>51.9</v>
      </c>
      <c r="G259" s="266">
        <v>120.3</v>
      </c>
      <c r="H259" s="266">
        <v>93.2</v>
      </c>
      <c r="I259" s="266">
        <v>139.5</v>
      </c>
      <c r="J259" s="266">
        <v>232.7</v>
      </c>
      <c r="K259" s="266">
        <f t="shared" si="77"/>
        <v>353</v>
      </c>
      <c r="L259" s="320"/>
    </row>
    <row r="260" spans="1:12" ht="15.75" hidden="1" thickBot="1">
      <c r="A260" s="177">
        <f t="shared" si="75"/>
        <v>2038</v>
      </c>
      <c r="B260" s="178" t="str">
        <f t="shared" si="76"/>
        <v>4</v>
      </c>
      <c r="C260" s="231">
        <f t="shared" si="78"/>
        <v>20384</v>
      </c>
      <c r="D260" s="16">
        <v>50740</v>
      </c>
      <c r="E260" s="266">
        <v>68.400000000000006</v>
      </c>
      <c r="F260" s="266">
        <v>51.9</v>
      </c>
      <c r="G260" s="266">
        <v>120.3</v>
      </c>
      <c r="H260" s="266">
        <v>93.2</v>
      </c>
      <c r="I260" s="266">
        <v>139.5</v>
      </c>
      <c r="J260" s="266">
        <v>232.7</v>
      </c>
      <c r="K260" s="266">
        <f t="shared" si="77"/>
        <v>353</v>
      </c>
      <c r="L260" s="320"/>
    </row>
    <row r="261" spans="1:12" ht="15.75" hidden="1" thickBot="1">
      <c r="A261" s="177">
        <f t="shared" si="75"/>
        <v>2039</v>
      </c>
      <c r="B261" s="178" t="str">
        <f t="shared" si="76"/>
        <v>1</v>
      </c>
      <c r="C261" s="231">
        <f t="shared" si="78"/>
        <v>20391</v>
      </c>
      <c r="D261" s="16">
        <v>50830</v>
      </c>
      <c r="E261" s="266">
        <v>68.400000000000006</v>
      </c>
      <c r="F261" s="266">
        <v>51.9</v>
      </c>
      <c r="G261" s="266">
        <v>120.3</v>
      </c>
      <c r="H261" s="266">
        <v>93.2</v>
      </c>
      <c r="I261" s="266">
        <v>139.5</v>
      </c>
      <c r="J261" s="266">
        <v>232.7</v>
      </c>
      <c r="K261" s="266">
        <f t="shared" si="77"/>
        <v>353</v>
      </c>
      <c r="L261" s="320"/>
    </row>
    <row r="262" spans="1:12" ht="15.75" hidden="1" thickBot="1">
      <c r="A262" s="177">
        <f t="shared" si="75"/>
        <v>2039</v>
      </c>
      <c r="B262" s="178" t="str">
        <f t="shared" si="76"/>
        <v>2</v>
      </c>
      <c r="C262" s="231">
        <f t="shared" si="78"/>
        <v>20392</v>
      </c>
      <c r="D262" s="16">
        <v>50922</v>
      </c>
      <c r="E262" s="266">
        <v>68.400000000000006</v>
      </c>
      <c r="F262" s="266">
        <v>51.9</v>
      </c>
      <c r="G262" s="266">
        <v>120.3</v>
      </c>
      <c r="H262" s="266">
        <v>93.2</v>
      </c>
      <c r="I262" s="266">
        <v>139.5</v>
      </c>
      <c r="J262" s="266">
        <v>232.7</v>
      </c>
      <c r="K262" s="266">
        <f t="shared" si="77"/>
        <v>353</v>
      </c>
      <c r="L262" s="320"/>
    </row>
    <row r="263" spans="1:12" ht="15.75" hidden="1" thickBot="1">
      <c r="A263" s="177">
        <f t="shared" si="75"/>
        <v>2039</v>
      </c>
      <c r="B263" s="178" t="str">
        <f t="shared" si="76"/>
        <v>3</v>
      </c>
      <c r="C263" s="231">
        <f t="shared" si="78"/>
        <v>20393</v>
      </c>
      <c r="D263" s="16">
        <v>51014</v>
      </c>
      <c r="E263" s="266">
        <v>68.400000000000006</v>
      </c>
      <c r="F263" s="266">
        <v>51.9</v>
      </c>
      <c r="G263" s="266">
        <v>120.3</v>
      </c>
      <c r="H263" s="266">
        <v>93.2</v>
      </c>
      <c r="I263" s="266">
        <v>139.5</v>
      </c>
      <c r="J263" s="266">
        <v>232.7</v>
      </c>
      <c r="K263" s="266">
        <f t="shared" si="77"/>
        <v>353</v>
      </c>
      <c r="L263" s="320"/>
    </row>
    <row r="264" spans="1:12" ht="15.75" hidden="1" thickBot="1">
      <c r="A264" s="177">
        <f t="shared" si="75"/>
        <v>2039</v>
      </c>
      <c r="B264" s="178" t="str">
        <f t="shared" si="76"/>
        <v>4</v>
      </c>
      <c r="C264" s="231">
        <f t="shared" si="78"/>
        <v>20394</v>
      </c>
      <c r="D264" s="16">
        <v>51105</v>
      </c>
      <c r="E264" s="266">
        <v>68.400000000000006</v>
      </c>
      <c r="F264" s="266">
        <v>51.9</v>
      </c>
      <c r="G264" s="266">
        <v>120.3</v>
      </c>
      <c r="H264" s="266">
        <v>93.2</v>
      </c>
      <c r="I264" s="266">
        <v>139.5</v>
      </c>
      <c r="J264" s="266">
        <v>232.7</v>
      </c>
      <c r="K264" s="266">
        <f t="shared" si="77"/>
        <v>353</v>
      </c>
      <c r="L264" s="320"/>
    </row>
    <row r="265" spans="1:12" ht="15.75" hidden="1" thickBot="1">
      <c r="A265" s="177">
        <f t="shared" si="75"/>
        <v>2040</v>
      </c>
      <c r="B265" s="178" t="str">
        <f t="shared" si="76"/>
        <v>1</v>
      </c>
      <c r="C265" s="231">
        <f t="shared" si="78"/>
        <v>20401</v>
      </c>
      <c r="D265" s="16">
        <v>51196</v>
      </c>
      <c r="E265" s="266">
        <v>68.400000000000006</v>
      </c>
      <c r="F265" s="266">
        <v>51.9</v>
      </c>
      <c r="G265" s="266">
        <v>120.3</v>
      </c>
      <c r="H265" s="266">
        <v>93.2</v>
      </c>
      <c r="I265" s="266">
        <v>139.5</v>
      </c>
      <c r="J265" s="266">
        <v>232.7</v>
      </c>
      <c r="K265" s="266">
        <f t="shared" si="77"/>
        <v>353</v>
      </c>
      <c r="L265" s="320"/>
    </row>
    <row r="266" spans="1:12" ht="15.75" hidden="1" thickBot="1">
      <c r="A266" s="177">
        <f t="shared" si="75"/>
        <v>2040</v>
      </c>
      <c r="B266" s="178" t="str">
        <f t="shared" si="76"/>
        <v>2</v>
      </c>
      <c r="C266" s="231">
        <f t="shared" si="78"/>
        <v>20402</v>
      </c>
      <c r="D266" s="16">
        <v>51288</v>
      </c>
      <c r="E266" s="266">
        <v>68.400000000000006</v>
      </c>
      <c r="F266" s="266">
        <v>51.9</v>
      </c>
      <c r="G266" s="266">
        <v>120.3</v>
      </c>
      <c r="H266" s="266">
        <v>93.2</v>
      </c>
      <c r="I266" s="266">
        <v>139.5</v>
      </c>
      <c r="J266" s="266">
        <v>232.7</v>
      </c>
      <c r="K266" s="266">
        <f t="shared" si="77"/>
        <v>353</v>
      </c>
      <c r="L266" s="320"/>
    </row>
    <row r="267" spans="1:12" ht="15.75" hidden="1" thickBot="1">
      <c r="A267" s="177">
        <f t="shared" si="75"/>
        <v>2040</v>
      </c>
      <c r="B267" s="178" t="str">
        <f t="shared" si="76"/>
        <v>3</v>
      </c>
      <c r="C267" s="231">
        <f t="shared" si="78"/>
        <v>20403</v>
      </c>
      <c r="D267" s="16">
        <v>51380</v>
      </c>
      <c r="E267" s="266">
        <v>68.400000000000006</v>
      </c>
      <c r="F267" s="266">
        <v>51.9</v>
      </c>
      <c r="G267" s="266">
        <v>120.3</v>
      </c>
      <c r="H267" s="266">
        <v>93.2</v>
      </c>
      <c r="I267" s="266">
        <v>139.5</v>
      </c>
      <c r="J267" s="266">
        <v>232.7</v>
      </c>
      <c r="K267" s="266">
        <f t="shared" si="77"/>
        <v>353</v>
      </c>
      <c r="L267" s="320"/>
    </row>
    <row r="268" spans="1:12" ht="15.75" hidden="1" thickBot="1">
      <c r="A268" s="177">
        <f t="shared" si="75"/>
        <v>2040</v>
      </c>
      <c r="B268" s="178" t="str">
        <f t="shared" si="76"/>
        <v>4</v>
      </c>
      <c r="C268" s="231">
        <f t="shared" si="78"/>
        <v>20404</v>
      </c>
      <c r="D268" s="16">
        <v>51471</v>
      </c>
      <c r="E268" s="266">
        <v>68.400000000000006</v>
      </c>
      <c r="F268" s="266">
        <v>51.9</v>
      </c>
      <c r="G268" s="266">
        <v>120.3</v>
      </c>
      <c r="H268" s="266">
        <v>93.2</v>
      </c>
      <c r="I268" s="266">
        <v>139.5</v>
      </c>
      <c r="J268" s="266">
        <v>232.7</v>
      </c>
      <c r="K268" s="266">
        <f t="shared" si="77"/>
        <v>353</v>
      </c>
      <c r="L268" s="320"/>
    </row>
    <row r="269" spans="1:12" ht="15.75" hidden="1" thickBot="1">
      <c r="A269" s="177">
        <f t="shared" si="75"/>
        <v>2041</v>
      </c>
      <c r="B269" s="178" t="str">
        <f t="shared" si="76"/>
        <v>1</v>
      </c>
      <c r="C269" s="231">
        <f t="shared" si="78"/>
        <v>20411</v>
      </c>
      <c r="D269" s="16">
        <v>51561</v>
      </c>
      <c r="E269" s="266">
        <v>68.400000000000006</v>
      </c>
      <c r="F269" s="266">
        <v>51.9</v>
      </c>
      <c r="G269" s="266">
        <v>120.3</v>
      </c>
      <c r="H269" s="266">
        <v>93.2</v>
      </c>
      <c r="I269" s="266">
        <v>139.5</v>
      </c>
      <c r="J269" s="266">
        <v>232.7</v>
      </c>
      <c r="K269" s="266">
        <f t="shared" si="77"/>
        <v>353</v>
      </c>
      <c r="L269" s="320"/>
    </row>
    <row r="270" spans="1:12" ht="15.75" hidden="1" thickBot="1">
      <c r="A270" s="177">
        <f t="shared" si="75"/>
        <v>2041</v>
      </c>
      <c r="B270" s="178" t="str">
        <f t="shared" si="76"/>
        <v>2</v>
      </c>
      <c r="C270" s="231">
        <f t="shared" si="78"/>
        <v>20412</v>
      </c>
      <c r="D270" s="16">
        <v>51653</v>
      </c>
      <c r="E270" s="266">
        <v>68.400000000000006</v>
      </c>
      <c r="F270" s="266">
        <v>51.9</v>
      </c>
      <c r="G270" s="266">
        <v>120.3</v>
      </c>
      <c r="H270" s="266">
        <v>93.2</v>
      </c>
      <c r="I270" s="266">
        <v>139.5</v>
      </c>
      <c r="J270" s="266">
        <v>232.7</v>
      </c>
      <c r="K270" s="266">
        <f t="shared" si="77"/>
        <v>353</v>
      </c>
      <c r="L270" s="320"/>
    </row>
    <row r="271" spans="1:12" ht="15.75" hidden="1" thickBot="1">
      <c r="A271" s="177">
        <f t="shared" si="75"/>
        <v>2041</v>
      </c>
      <c r="B271" s="178" t="str">
        <f t="shared" si="76"/>
        <v>3</v>
      </c>
      <c r="C271" s="231">
        <f t="shared" si="78"/>
        <v>20413</v>
      </c>
      <c r="D271" s="16">
        <v>51745</v>
      </c>
      <c r="E271" s="266">
        <v>68.400000000000006</v>
      </c>
      <c r="F271" s="266">
        <v>51.9</v>
      </c>
      <c r="G271" s="266">
        <v>120.3</v>
      </c>
      <c r="H271" s="266">
        <v>93.2</v>
      </c>
      <c r="I271" s="266">
        <v>139.5</v>
      </c>
      <c r="J271" s="266">
        <v>232.7</v>
      </c>
      <c r="K271" s="266">
        <f t="shared" si="77"/>
        <v>353</v>
      </c>
      <c r="L271" s="320"/>
    </row>
    <row r="272" spans="1:12" ht="15.75" hidden="1" thickBot="1">
      <c r="A272" s="177">
        <f t="shared" si="75"/>
        <v>2041</v>
      </c>
      <c r="B272" s="178" t="str">
        <f t="shared" si="76"/>
        <v>4</v>
      </c>
      <c r="C272" s="231">
        <f t="shared" si="78"/>
        <v>20414</v>
      </c>
      <c r="D272" s="16">
        <v>51836</v>
      </c>
      <c r="E272" s="266">
        <v>68.400000000000006</v>
      </c>
      <c r="F272" s="266">
        <v>51.9</v>
      </c>
      <c r="G272" s="266">
        <v>120.3</v>
      </c>
      <c r="H272" s="266">
        <v>93.2</v>
      </c>
      <c r="I272" s="266">
        <v>139.5</v>
      </c>
      <c r="J272" s="266">
        <v>232.7</v>
      </c>
      <c r="K272" s="266">
        <f t="shared" si="77"/>
        <v>353</v>
      </c>
      <c r="L272" s="320"/>
    </row>
    <row r="273" spans="1:12" ht="15.75" hidden="1" thickBot="1">
      <c r="A273" s="177">
        <f t="shared" si="75"/>
        <v>2042</v>
      </c>
      <c r="B273" s="178" t="str">
        <f t="shared" si="76"/>
        <v>1</v>
      </c>
      <c r="C273" s="231">
        <f t="shared" si="78"/>
        <v>20421</v>
      </c>
      <c r="D273" s="16">
        <v>51926</v>
      </c>
      <c r="E273" s="266">
        <v>68.400000000000006</v>
      </c>
      <c r="F273" s="266">
        <v>51.9</v>
      </c>
      <c r="G273" s="266">
        <v>120.3</v>
      </c>
      <c r="H273" s="266">
        <v>93.2</v>
      </c>
      <c r="I273" s="266">
        <v>139.5</v>
      </c>
      <c r="J273" s="266">
        <v>232.7</v>
      </c>
      <c r="K273" s="266">
        <f t="shared" si="77"/>
        <v>353</v>
      </c>
      <c r="L273" s="320"/>
    </row>
    <row r="274" spans="1:12" ht="15.75" hidden="1" thickBot="1">
      <c r="A274" s="177">
        <f t="shared" si="75"/>
        <v>2042</v>
      </c>
      <c r="B274" s="178" t="str">
        <f t="shared" si="76"/>
        <v>2</v>
      </c>
      <c r="C274" s="231">
        <f t="shared" si="78"/>
        <v>20422</v>
      </c>
      <c r="D274" s="16">
        <v>52018</v>
      </c>
      <c r="E274" s="266">
        <v>68.400000000000006</v>
      </c>
      <c r="F274" s="266">
        <v>51.9</v>
      </c>
      <c r="G274" s="266">
        <v>120.3</v>
      </c>
      <c r="H274" s="266">
        <v>93.2</v>
      </c>
      <c r="I274" s="266">
        <v>139.5</v>
      </c>
      <c r="J274" s="266">
        <v>232.7</v>
      </c>
      <c r="K274" s="266">
        <f t="shared" si="77"/>
        <v>353</v>
      </c>
      <c r="L274" s="320"/>
    </row>
    <row r="275" spans="1:12" ht="15.75" hidden="1" thickBot="1">
      <c r="A275" s="177">
        <f t="shared" si="75"/>
        <v>2042</v>
      </c>
      <c r="B275" s="178" t="str">
        <f t="shared" si="76"/>
        <v>3</v>
      </c>
      <c r="C275" s="231">
        <f t="shared" si="78"/>
        <v>20423</v>
      </c>
      <c r="D275" s="16">
        <v>52110</v>
      </c>
      <c r="E275" s="266">
        <v>68.400000000000006</v>
      </c>
      <c r="F275" s="266">
        <v>51.9</v>
      </c>
      <c r="G275" s="266">
        <v>120.3</v>
      </c>
      <c r="H275" s="266">
        <v>93.2</v>
      </c>
      <c r="I275" s="266">
        <v>139.5</v>
      </c>
      <c r="J275" s="266">
        <v>232.7</v>
      </c>
      <c r="K275" s="266">
        <f t="shared" si="77"/>
        <v>353</v>
      </c>
      <c r="L275" s="320"/>
    </row>
    <row r="276" spans="1:12" ht="15.75" hidden="1" thickBot="1">
      <c r="A276" s="177">
        <f t="shared" si="75"/>
        <v>2042</v>
      </c>
      <c r="B276" s="178" t="str">
        <f t="shared" si="76"/>
        <v>4</v>
      </c>
      <c r="C276" s="231">
        <f t="shared" si="78"/>
        <v>20424</v>
      </c>
      <c r="D276" s="16">
        <v>52201</v>
      </c>
      <c r="E276" s="266">
        <v>68.400000000000006</v>
      </c>
      <c r="F276" s="266">
        <v>51.9</v>
      </c>
      <c r="G276" s="266">
        <v>120.3</v>
      </c>
      <c r="H276" s="266">
        <v>93.2</v>
      </c>
      <c r="I276" s="266">
        <v>139.5</v>
      </c>
      <c r="J276" s="266">
        <v>232.7</v>
      </c>
      <c r="K276" s="266">
        <f t="shared" si="77"/>
        <v>353</v>
      </c>
      <c r="L276" s="320"/>
    </row>
    <row r="277" spans="1:12" ht="15.75" hidden="1" thickBot="1">
      <c r="A277" s="177">
        <f t="shared" si="75"/>
        <v>2043</v>
      </c>
      <c r="B277" s="178" t="str">
        <f t="shared" si="76"/>
        <v>1</v>
      </c>
      <c r="C277" s="231">
        <f t="shared" si="78"/>
        <v>20431</v>
      </c>
      <c r="D277" s="16">
        <v>52291</v>
      </c>
      <c r="E277" s="266">
        <v>68.400000000000006</v>
      </c>
      <c r="F277" s="266">
        <v>51.9</v>
      </c>
      <c r="G277" s="266">
        <v>120.3</v>
      </c>
      <c r="H277" s="266">
        <v>93.2</v>
      </c>
      <c r="I277" s="266">
        <v>139.5</v>
      </c>
      <c r="J277" s="266">
        <v>232.7</v>
      </c>
      <c r="K277" s="266">
        <f t="shared" si="77"/>
        <v>353</v>
      </c>
      <c r="L277" s="320"/>
    </row>
    <row r="278" spans="1:12" ht="15.75" hidden="1" thickBot="1">
      <c r="A278" s="177">
        <f t="shared" si="75"/>
        <v>2043</v>
      </c>
      <c r="B278" s="178" t="str">
        <f t="shared" si="76"/>
        <v>2</v>
      </c>
      <c r="C278" s="231">
        <f t="shared" si="78"/>
        <v>20432</v>
      </c>
      <c r="D278" s="16">
        <v>52383</v>
      </c>
      <c r="E278" s="266">
        <v>68.400000000000006</v>
      </c>
      <c r="F278" s="266">
        <v>51.9</v>
      </c>
      <c r="G278" s="266">
        <v>120.3</v>
      </c>
      <c r="H278" s="266">
        <v>93.2</v>
      </c>
      <c r="I278" s="266">
        <v>139.5</v>
      </c>
      <c r="J278" s="266">
        <v>232.7</v>
      </c>
      <c r="K278" s="266">
        <f t="shared" si="77"/>
        <v>353</v>
      </c>
      <c r="L278" s="320"/>
    </row>
    <row r="279" spans="1:12" ht="15.75" hidden="1" thickBot="1">
      <c r="A279" s="177">
        <f t="shared" si="75"/>
        <v>2043</v>
      </c>
      <c r="B279" s="178" t="str">
        <f t="shared" si="76"/>
        <v>3</v>
      </c>
      <c r="C279" s="231">
        <f t="shared" si="78"/>
        <v>20433</v>
      </c>
      <c r="D279" s="16">
        <v>52475</v>
      </c>
      <c r="E279" s="266">
        <v>68.400000000000006</v>
      </c>
      <c r="F279" s="266">
        <v>51.9</v>
      </c>
      <c r="G279" s="266">
        <v>120.3</v>
      </c>
      <c r="H279" s="266">
        <v>93.2</v>
      </c>
      <c r="I279" s="266">
        <v>139.5</v>
      </c>
      <c r="J279" s="266">
        <v>232.7</v>
      </c>
      <c r="K279" s="266">
        <f t="shared" si="77"/>
        <v>353</v>
      </c>
      <c r="L279" s="320"/>
    </row>
    <row r="280" spans="1:12" ht="15.75" hidden="1" thickBot="1">
      <c r="A280" s="177">
        <f t="shared" si="75"/>
        <v>2043</v>
      </c>
      <c r="B280" s="178" t="str">
        <f t="shared" si="76"/>
        <v>4</v>
      </c>
      <c r="C280" s="231">
        <f t="shared" si="78"/>
        <v>20434</v>
      </c>
      <c r="D280" s="16">
        <v>52566</v>
      </c>
      <c r="E280" s="266">
        <v>68.400000000000006</v>
      </c>
      <c r="F280" s="266">
        <v>51.9</v>
      </c>
      <c r="G280" s="266">
        <v>120.3</v>
      </c>
      <c r="H280" s="266">
        <v>93.2</v>
      </c>
      <c r="I280" s="266">
        <v>139.5</v>
      </c>
      <c r="J280" s="266">
        <v>232.7</v>
      </c>
      <c r="K280" s="266">
        <f t="shared" si="77"/>
        <v>353</v>
      </c>
      <c r="L280" s="320"/>
    </row>
    <row r="281" spans="1:12" ht="15.75" hidden="1" thickBot="1">
      <c r="A281" s="177">
        <f t="shared" ref="A281:A312" si="79">YEAR(D281)</f>
        <v>2044</v>
      </c>
      <c r="B281" s="178" t="str">
        <f t="shared" ref="B281:B312" si="80">IF(MONTH(D281)&lt;4,"1",IF(MONTH(D281)&lt;7,"2",IF(MONTH(D281)&lt;10,"3","4")))</f>
        <v>1</v>
      </c>
      <c r="C281" s="231">
        <f t="shared" si="78"/>
        <v>20441</v>
      </c>
      <c r="D281" s="16">
        <v>52657</v>
      </c>
      <c r="E281" s="266">
        <v>68.400000000000006</v>
      </c>
      <c r="F281" s="266">
        <v>51.9</v>
      </c>
      <c r="G281" s="266">
        <v>120.3</v>
      </c>
      <c r="H281" s="266">
        <v>93.2</v>
      </c>
      <c r="I281" s="266">
        <v>139.5</v>
      </c>
      <c r="J281" s="266">
        <v>232.7</v>
      </c>
      <c r="K281" s="266">
        <f t="shared" si="77"/>
        <v>353</v>
      </c>
      <c r="L281" s="320"/>
    </row>
    <row r="282" spans="1:12" ht="15.75" hidden="1" thickBot="1">
      <c r="A282" s="177">
        <f t="shared" si="79"/>
        <v>2044</v>
      </c>
      <c r="B282" s="178" t="str">
        <f t="shared" si="80"/>
        <v>2</v>
      </c>
      <c r="C282" s="231">
        <f t="shared" si="78"/>
        <v>20442</v>
      </c>
      <c r="D282" s="16">
        <v>52749</v>
      </c>
      <c r="E282" s="266">
        <v>68.400000000000006</v>
      </c>
      <c r="F282" s="266">
        <v>51.9</v>
      </c>
      <c r="G282" s="266">
        <v>120.3</v>
      </c>
      <c r="H282" s="266">
        <v>93.2</v>
      </c>
      <c r="I282" s="266">
        <v>139.5</v>
      </c>
      <c r="J282" s="266">
        <v>232.7</v>
      </c>
      <c r="K282" s="266">
        <f t="shared" si="77"/>
        <v>353</v>
      </c>
      <c r="L282" s="320"/>
    </row>
    <row r="283" spans="1:12" ht="15.75" hidden="1" thickBot="1">
      <c r="A283" s="177">
        <f t="shared" si="79"/>
        <v>2044</v>
      </c>
      <c r="B283" s="178" t="str">
        <f t="shared" si="80"/>
        <v>3</v>
      </c>
      <c r="C283" s="231">
        <f t="shared" si="78"/>
        <v>20443</v>
      </c>
      <c r="D283" s="16">
        <v>52841</v>
      </c>
      <c r="E283" s="266">
        <v>68.400000000000006</v>
      </c>
      <c r="F283" s="266">
        <v>51.9</v>
      </c>
      <c r="G283" s="266">
        <v>120.3</v>
      </c>
      <c r="H283" s="266">
        <v>93.2</v>
      </c>
      <c r="I283" s="266">
        <v>139.5</v>
      </c>
      <c r="J283" s="266">
        <v>232.7</v>
      </c>
      <c r="K283" s="266">
        <f t="shared" si="77"/>
        <v>353</v>
      </c>
      <c r="L283" s="320"/>
    </row>
    <row r="284" spans="1:12" ht="15.75" hidden="1" thickBot="1">
      <c r="A284" s="177">
        <f t="shared" si="79"/>
        <v>2044</v>
      </c>
      <c r="B284" s="178" t="str">
        <f t="shared" si="80"/>
        <v>4</v>
      </c>
      <c r="C284" s="231">
        <f t="shared" si="78"/>
        <v>20444</v>
      </c>
      <c r="D284" s="16">
        <v>52932</v>
      </c>
      <c r="E284" s="266">
        <v>68.400000000000006</v>
      </c>
      <c r="F284" s="266">
        <v>51.9</v>
      </c>
      <c r="G284" s="266">
        <v>120.3</v>
      </c>
      <c r="H284" s="266">
        <v>93.2</v>
      </c>
      <c r="I284" s="266">
        <v>139.5</v>
      </c>
      <c r="J284" s="266">
        <v>232.7</v>
      </c>
      <c r="K284" s="266">
        <f t="shared" si="77"/>
        <v>353</v>
      </c>
      <c r="L284" s="320"/>
    </row>
    <row r="285" spans="1:12" ht="15.75" hidden="1" thickBot="1">
      <c r="A285" s="177">
        <f t="shared" si="79"/>
        <v>2045</v>
      </c>
      <c r="B285" s="178" t="str">
        <f t="shared" si="80"/>
        <v>1</v>
      </c>
      <c r="C285" s="231">
        <f t="shared" si="78"/>
        <v>20451</v>
      </c>
      <c r="D285" s="16">
        <v>53022</v>
      </c>
      <c r="E285" s="266">
        <v>68.400000000000006</v>
      </c>
      <c r="F285" s="266">
        <v>51.9</v>
      </c>
      <c r="G285" s="266">
        <v>120.3</v>
      </c>
      <c r="H285" s="266">
        <v>93.2</v>
      </c>
      <c r="I285" s="266">
        <v>139.5</v>
      </c>
      <c r="J285" s="266">
        <v>232.7</v>
      </c>
      <c r="K285" s="266">
        <f t="shared" si="77"/>
        <v>353</v>
      </c>
      <c r="L285" s="320"/>
    </row>
    <row r="286" spans="1:12" ht="15.75" hidden="1" thickBot="1">
      <c r="A286" s="177">
        <f t="shared" si="79"/>
        <v>2045</v>
      </c>
      <c r="B286" s="178" t="str">
        <f t="shared" si="80"/>
        <v>2</v>
      </c>
      <c r="C286" s="231">
        <f t="shared" si="78"/>
        <v>20452</v>
      </c>
      <c r="D286" s="16">
        <v>53114</v>
      </c>
      <c r="E286" s="266">
        <v>68.400000000000006</v>
      </c>
      <c r="F286" s="266">
        <v>51.9</v>
      </c>
      <c r="G286" s="266">
        <v>120.3</v>
      </c>
      <c r="H286" s="266">
        <v>93.2</v>
      </c>
      <c r="I286" s="266">
        <v>139.5</v>
      </c>
      <c r="J286" s="266">
        <v>232.7</v>
      </c>
      <c r="K286" s="266">
        <f t="shared" si="77"/>
        <v>353</v>
      </c>
      <c r="L286" s="320"/>
    </row>
    <row r="287" spans="1:12" ht="15.75" hidden="1" thickBot="1">
      <c r="A287" s="177">
        <f t="shared" si="79"/>
        <v>2045</v>
      </c>
      <c r="B287" s="178" t="str">
        <f t="shared" si="80"/>
        <v>3</v>
      </c>
      <c r="C287" s="231">
        <f t="shared" si="78"/>
        <v>20453</v>
      </c>
      <c r="D287" s="16">
        <v>53206</v>
      </c>
      <c r="E287" s="266">
        <v>68.400000000000006</v>
      </c>
      <c r="F287" s="266">
        <v>51.9</v>
      </c>
      <c r="G287" s="266">
        <v>120.3</v>
      </c>
      <c r="H287" s="266">
        <v>93.2</v>
      </c>
      <c r="I287" s="266">
        <v>139.5</v>
      </c>
      <c r="J287" s="266">
        <v>232.7</v>
      </c>
      <c r="K287" s="266">
        <f t="shared" si="77"/>
        <v>353</v>
      </c>
      <c r="L287" s="320"/>
    </row>
    <row r="288" spans="1:12" ht="15.75" hidden="1" thickBot="1">
      <c r="A288" s="177">
        <f t="shared" si="79"/>
        <v>2045</v>
      </c>
      <c r="B288" s="178" t="str">
        <f t="shared" si="80"/>
        <v>4</v>
      </c>
      <c r="C288" s="231">
        <f t="shared" si="78"/>
        <v>20454</v>
      </c>
      <c r="D288" s="16">
        <v>53297</v>
      </c>
      <c r="E288" s="266">
        <v>68.400000000000006</v>
      </c>
      <c r="F288" s="266">
        <v>51.9</v>
      </c>
      <c r="G288" s="266">
        <v>120.3</v>
      </c>
      <c r="H288" s="266">
        <v>93.2</v>
      </c>
      <c r="I288" s="266">
        <v>139.5</v>
      </c>
      <c r="J288" s="266">
        <v>232.7</v>
      </c>
      <c r="K288" s="266">
        <f t="shared" si="77"/>
        <v>353</v>
      </c>
      <c r="L288" s="320"/>
    </row>
    <row r="289" spans="1:12" ht="15.75" hidden="1" thickBot="1">
      <c r="A289" s="177">
        <f t="shared" si="79"/>
        <v>2046</v>
      </c>
      <c r="B289" s="178" t="str">
        <f t="shared" si="80"/>
        <v>1</v>
      </c>
      <c r="C289" s="231">
        <f t="shared" si="78"/>
        <v>20461</v>
      </c>
      <c r="D289" s="16">
        <v>53387</v>
      </c>
      <c r="E289" s="266">
        <v>68.400000000000006</v>
      </c>
      <c r="F289" s="266">
        <v>51.9</v>
      </c>
      <c r="G289" s="266">
        <v>120.3</v>
      </c>
      <c r="H289" s="266">
        <v>93.2</v>
      </c>
      <c r="I289" s="266">
        <v>139.5</v>
      </c>
      <c r="J289" s="266">
        <v>232.7</v>
      </c>
      <c r="K289" s="266">
        <f t="shared" si="77"/>
        <v>353</v>
      </c>
      <c r="L289" s="320"/>
    </row>
    <row r="290" spans="1:12" ht="15.75" hidden="1" thickBot="1">
      <c r="A290" s="177">
        <f t="shared" si="79"/>
        <v>2046</v>
      </c>
      <c r="B290" s="178" t="str">
        <f t="shared" si="80"/>
        <v>2</v>
      </c>
      <c r="C290" s="231">
        <f t="shared" si="78"/>
        <v>20462</v>
      </c>
      <c r="D290" s="16">
        <v>53479</v>
      </c>
      <c r="E290" s="266">
        <v>68.400000000000006</v>
      </c>
      <c r="F290" s="266">
        <v>51.9</v>
      </c>
      <c r="G290" s="266">
        <v>120.3</v>
      </c>
      <c r="H290" s="266">
        <v>93.2</v>
      </c>
      <c r="I290" s="266">
        <v>139.5</v>
      </c>
      <c r="J290" s="266">
        <v>232.7</v>
      </c>
      <c r="K290" s="266">
        <f t="shared" si="77"/>
        <v>353</v>
      </c>
      <c r="L290" s="320"/>
    </row>
    <row r="291" spans="1:12" ht="15.75" hidden="1" thickBot="1">
      <c r="A291" s="177">
        <f t="shared" si="79"/>
        <v>2046</v>
      </c>
      <c r="B291" s="178" t="str">
        <f t="shared" si="80"/>
        <v>3</v>
      </c>
      <c r="C291" s="231">
        <f t="shared" si="78"/>
        <v>20463</v>
      </c>
      <c r="D291" s="16">
        <v>53571</v>
      </c>
      <c r="E291" s="266">
        <v>68.400000000000006</v>
      </c>
      <c r="F291" s="266">
        <v>51.9</v>
      </c>
      <c r="G291" s="266">
        <v>120.3</v>
      </c>
      <c r="H291" s="266">
        <v>93.2</v>
      </c>
      <c r="I291" s="266">
        <v>139.5</v>
      </c>
      <c r="J291" s="266">
        <v>232.7</v>
      </c>
      <c r="K291" s="266">
        <f t="shared" si="77"/>
        <v>353</v>
      </c>
      <c r="L291" s="320"/>
    </row>
    <row r="292" spans="1:12" ht="15.75" hidden="1" thickBot="1">
      <c r="A292" s="177">
        <f t="shared" si="79"/>
        <v>2046</v>
      </c>
      <c r="B292" s="178" t="str">
        <f t="shared" si="80"/>
        <v>4</v>
      </c>
      <c r="C292" s="231">
        <f t="shared" si="78"/>
        <v>20464</v>
      </c>
      <c r="D292" s="16">
        <v>53662</v>
      </c>
      <c r="E292" s="266">
        <v>68.400000000000006</v>
      </c>
      <c r="F292" s="266">
        <v>51.9</v>
      </c>
      <c r="G292" s="266">
        <v>120.3</v>
      </c>
      <c r="H292" s="266">
        <v>93.2</v>
      </c>
      <c r="I292" s="266">
        <v>139.5</v>
      </c>
      <c r="J292" s="266">
        <v>232.7</v>
      </c>
      <c r="K292" s="266">
        <f t="shared" si="77"/>
        <v>353</v>
      </c>
      <c r="L292" s="320"/>
    </row>
    <row r="293" spans="1:12" ht="15.75" hidden="1" thickBot="1">
      <c r="A293" s="177">
        <f t="shared" si="79"/>
        <v>2047</v>
      </c>
      <c r="B293" s="178" t="str">
        <f t="shared" si="80"/>
        <v>1</v>
      </c>
      <c r="C293" s="231">
        <f t="shared" si="78"/>
        <v>20471</v>
      </c>
      <c r="D293" s="16">
        <v>53752</v>
      </c>
      <c r="E293" s="266">
        <v>68.400000000000006</v>
      </c>
      <c r="F293" s="266">
        <v>51.9</v>
      </c>
      <c r="G293" s="266">
        <v>120.3</v>
      </c>
      <c r="H293" s="266">
        <v>93.2</v>
      </c>
      <c r="I293" s="266">
        <v>139.5</v>
      </c>
      <c r="J293" s="266">
        <v>232.7</v>
      </c>
      <c r="K293" s="266">
        <f t="shared" si="77"/>
        <v>353</v>
      </c>
      <c r="L293" s="320"/>
    </row>
    <row r="294" spans="1:12" ht="15.75" hidden="1" thickBot="1">
      <c r="A294" s="177">
        <f t="shared" si="79"/>
        <v>2047</v>
      </c>
      <c r="B294" s="178" t="str">
        <f t="shared" si="80"/>
        <v>2</v>
      </c>
      <c r="C294" s="231">
        <f t="shared" si="78"/>
        <v>20472</v>
      </c>
      <c r="D294" s="16">
        <v>53844</v>
      </c>
      <c r="E294" s="266">
        <v>68.400000000000006</v>
      </c>
      <c r="F294" s="266">
        <v>51.9</v>
      </c>
      <c r="G294" s="266">
        <v>120.3</v>
      </c>
      <c r="H294" s="266">
        <v>93.2</v>
      </c>
      <c r="I294" s="266">
        <v>139.5</v>
      </c>
      <c r="J294" s="266">
        <v>232.7</v>
      </c>
      <c r="K294" s="266">
        <f t="shared" si="77"/>
        <v>353</v>
      </c>
      <c r="L294" s="320"/>
    </row>
    <row r="295" spans="1:12" ht="15.75" hidden="1" thickBot="1">
      <c r="A295" s="177">
        <f t="shared" si="79"/>
        <v>2047</v>
      </c>
      <c r="B295" s="178" t="str">
        <f t="shared" si="80"/>
        <v>3</v>
      </c>
      <c r="C295" s="231">
        <f t="shared" si="78"/>
        <v>20473</v>
      </c>
      <c r="D295" s="16">
        <v>53936</v>
      </c>
      <c r="E295" s="266">
        <v>68.400000000000006</v>
      </c>
      <c r="F295" s="266">
        <v>51.9</v>
      </c>
      <c r="G295" s="266">
        <v>120.3</v>
      </c>
      <c r="H295" s="266">
        <v>93.2</v>
      </c>
      <c r="I295" s="266">
        <v>139.5</v>
      </c>
      <c r="J295" s="266">
        <v>232.7</v>
      </c>
      <c r="K295" s="266">
        <f t="shared" si="77"/>
        <v>353</v>
      </c>
      <c r="L295" s="320"/>
    </row>
    <row r="296" spans="1:12" ht="15.75" hidden="1" thickBot="1">
      <c r="A296" s="177">
        <f t="shared" si="79"/>
        <v>2047</v>
      </c>
      <c r="B296" s="178" t="str">
        <f t="shared" si="80"/>
        <v>4</v>
      </c>
      <c r="C296" s="231">
        <f t="shared" si="78"/>
        <v>20474</v>
      </c>
      <c r="D296" s="16">
        <v>54027</v>
      </c>
      <c r="E296" s="266">
        <v>68.400000000000006</v>
      </c>
      <c r="F296" s="266">
        <v>51.9</v>
      </c>
      <c r="G296" s="266">
        <v>120.3</v>
      </c>
      <c r="H296" s="266">
        <v>93.2</v>
      </c>
      <c r="I296" s="266">
        <v>139.5</v>
      </c>
      <c r="J296" s="266">
        <v>232.7</v>
      </c>
      <c r="K296" s="266">
        <f t="shared" si="77"/>
        <v>353</v>
      </c>
      <c r="L296" s="320"/>
    </row>
    <row r="297" spans="1:12" ht="15.75" hidden="1" thickBot="1">
      <c r="A297" s="177">
        <f t="shared" si="79"/>
        <v>2048</v>
      </c>
      <c r="B297" s="178" t="str">
        <f t="shared" si="80"/>
        <v>1</v>
      </c>
      <c r="C297" s="231">
        <f t="shared" si="78"/>
        <v>20481</v>
      </c>
      <c r="D297" s="16">
        <v>54118</v>
      </c>
      <c r="E297" s="266">
        <v>68.400000000000006</v>
      </c>
      <c r="F297" s="266">
        <v>51.9</v>
      </c>
      <c r="G297" s="266">
        <v>120.3</v>
      </c>
      <c r="H297" s="266">
        <v>93.2</v>
      </c>
      <c r="I297" s="266">
        <v>139.5</v>
      </c>
      <c r="J297" s="266">
        <v>232.7</v>
      </c>
      <c r="K297" s="266">
        <f t="shared" si="77"/>
        <v>353</v>
      </c>
      <c r="L297" s="320"/>
    </row>
    <row r="298" spans="1:12" ht="15.75" hidden="1" thickBot="1">
      <c r="A298" s="177">
        <f t="shared" si="79"/>
        <v>2048</v>
      </c>
      <c r="B298" s="178" t="str">
        <f t="shared" si="80"/>
        <v>2</v>
      </c>
      <c r="C298" s="231">
        <f t="shared" si="78"/>
        <v>20482</v>
      </c>
      <c r="D298" s="16">
        <v>54210</v>
      </c>
      <c r="E298" s="266">
        <v>68.400000000000006</v>
      </c>
      <c r="F298" s="266">
        <v>51.9</v>
      </c>
      <c r="G298" s="266">
        <v>120.3</v>
      </c>
      <c r="H298" s="266">
        <v>93.2</v>
      </c>
      <c r="I298" s="266">
        <v>139.5</v>
      </c>
      <c r="J298" s="266">
        <v>232.7</v>
      </c>
      <c r="K298" s="266">
        <f t="shared" si="77"/>
        <v>353</v>
      </c>
      <c r="L298" s="320"/>
    </row>
    <row r="299" spans="1:12" ht="15.75" hidden="1" thickBot="1">
      <c r="A299" s="177">
        <f t="shared" si="79"/>
        <v>2048</v>
      </c>
      <c r="B299" s="178" t="str">
        <f t="shared" si="80"/>
        <v>3</v>
      </c>
      <c r="C299" s="231">
        <f t="shared" si="78"/>
        <v>20483</v>
      </c>
      <c r="D299" s="16">
        <v>54302</v>
      </c>
      <c r="E299" s="266">
        <v>68.400000000000006</v>
      </c>
      <c r="F299" s="266">
        <v>51.9</v>
      </c>
      <c r="G299" s="266">
        <v>120.3</v>
      </c>
      <c r="H299" s="266">
        <v>93.2</v>
      </c>
      <c r="I299" s="266">
        <v>139.5</v>
      </c>
      <c r="J299" s="266">
        <v>232.7</v>
      </c>
      <c r="K299" s="266">
        <f t="shared" si="77"/>
        <v>353</v>
      </c>
      <c r="L299" s="320"/>
    </row>
    <row r="300" spans="1:12" ht="15.75" hidden="1" thickBot="1">
      <c r="A300" s="177">
        <f t="shared" si="79"/>
        <v>2048</v>
      </c>
      <c r="B300" s="178" t="str">
        <f t="shared" si="80"/>
        <v>4</v>
      </c>
      <c r="C300" s="231">
        <f t="shared" si="78"/>
        <v>20484</v>
      </c>
      <c r="D300" s="16">
        <v>54393</v>
      </c>
      <c r="E300" s="266">
        <v>68.400000000000006</v>
      </c>
      <c r="F300" s="266">
        <v>51.9</v>
      </c>
      <c r="G300" s="266">
        <v>120.3</v>
      </c>
      <c r="H300" s="266">
        <v>93.2</v>
      </c>
      <c r="I300" s="266">
        <v>139.5</v>
      </c>
      <c r="J300" s="266">
        <v>232.7</v>
      </c>
      <c r="K300" s="266">
        <f t="shared" si="77"/>
        <v>353</v>
      </c>
      <c r="L300" s="320"/>
    </row>
    <row r="301" spans="1:12" ht="15.75" hidden="1" thickBot="1">
      <c r="A301" s="177">
        <f t="shared" si="79"/>
        <v>2049</v>
      </c>
      <c r="B301" s="178" t="str">
        <f t="shared" si="80"/>
        <v>1</v>
      </c>
      <c r="C301" s="231">
        <f t="shared" si="78"/>
        <v>20491</v>
      </c>
      <c r="D301" s="16">
        <v>54483</v>
      </c>
      <c r="E301" s="266">
        <v>68.400000000000006</v>
      </c>
      <c r="F301" s="266">
        <v>51.9</v>
      </c>
      <c r="G301" s="266">
        <v>120.3</v>
      </c>
      <c r="H301" s="266">
        <v>93.2</v>
      </c>
      <c r="I301" s="266">
        <v>139.5</v>
      </c>
      <c r="J301" s="266">
        <v>232.7</v>
      </c>
      <c r="K301" s="266">
        <f t="shared" si="77"/>
        <v>353</v>
      </c>
      <c r="L301" s="320"/>
    </row>
    <row r="302" spans="1:12" ht="15.75" hidden="1" thickBot="1">
      <c r="A302" s="177">
        <f t="shared" si="79"/>
        <v>2049</v>
      </c>
      <c r="B302" s="178" t="str">
        <f t="shared" si="80"/>
        <v>2</v>
      </c>
      <c r="C302" s="231">
        <f t="shared" si="78"/>
        <v>20492</v>
      </c>
      <c r="D302" s="16">
        <v>54575</v>
      </c>
      <c r="E302" s="266">
        <v>68.400000000000006</v>
      </c>
      <c r="F302" s="266">
        <v>51.9</v>
      </c>
      <c r="G302" s="266">
        <v>120.3</v>
      </c>
      <c r="H302" s="266">
        <v>93.2</v>
      </c>
      <c r="I302" s="266">
        <v>139.5</v>
      </c>
      <c r="J302" s="266">
        <v>232.7</v>
      </c>
      <c r="K302" s="266">
        <f t="shared" si="77"/>
        <v>353</v>
      </c>
      <c r="L302" s="320"/>
    </row>
    <row r="303" spans="1:12" ht="15.75" hidden="1" thickBot="1">
      <c r="A303" s="177">
        <f t="shared" si="79"/>
        <v>2049</v>
      </c>
      <c r="B303" s="178" t="str">
        <f t="shared" si="80"/>
        <v>3</v>
      </c>
      <c r="C303" s="231">
        <f t="shared" si="78"/>
        <v>20493</v>
      </c>
      <c r="D303" s="16">
        <v>54667</v>
      </c>
      <c r="E303" s="266">
        <v>68.400000000000006</v>
      </c>
      <c r="F303" s="266">
        <v>51.9</v>
      </c>
      <c r="G303" s="266">
        <v>120.3</v>
      </c>
      <c r="H303" s="266">
        <v>93.2</v>
      </c>
      <c r="I303" s="266">
        <v>139.5</v>
      </c>
      <c r="J303" s="266">
        <v>232.7</v>
      </c>
      <c r="K303" s="266">
        <f t="shared" si="77"/>
        <v>353</v>
      </c>
      <c r="L303" s="320"/>
    </row>
    <row r="304" spans="1:12" ht="15.75" hidden="1" thickBot="1">
      <c r="A304" s="177">
        <f t="shared" si="79"/>
        <v>2049</v>
      </c>
      <c r="B304" s="178" t="str">
        <f t="shared" si="80"/>
        <v>4</v>
      </c>
      <c r="C304" s="231">
        <f t="shared" si="78"/>
        <v>20494</v>
      </c>
      <c r="D304" s="16">
        <v>54758</v>
      </c>
      <c r="E304" s="266">
        <v>68.400000000000006</v>
      </c>
      <c r="F304" s="266">
        <v>51.9</v>
      </c>
      <c r="G304" s="266">
        <v>120.3</v>
      </c>
      <c r="H304" s="266">
        <v>93.2</v>
      </c>
      <c r="I304" s="266">
        <v>139.5</v>
      </c>
      <c r="J304" s="266">
        <v>232.7</v>
      </c>
      <c r="K304" s="266">
        <f t="shared" si="77"/>
        <v>353</v>
      </c>
      <c r="L304" s="320"/>
    </row>
    <row r="305" spans="1:12" ht="15.75" hidden="1" thickBot="1">
      <c r="A305" s="177">
        <f t="shared" si="79"/>
        <v>2050</v>
      </c>
      <c r="B305" s="178" t="str">
        <f t="shared" si="80"/>
        <v>1</v>
      </c>
      <c r="C305" s="231">
        <f t="shared" si="78"/>
        <v>20501</v>
      </c>
      <c r="D305" s="16">
        <v>54848</v>
      </c>
      <c r="E305" s="266">
        <v>68.400000000000006</v>
      </c>
      <c r="F305" s="266">
        <v>51.9</v>
      </c>
      <c r="G305" s="266">
        <v>120.3</v>
      </c>
      <c r="H305" s="266">
        <v>93.2</v>
      </c>
      <c r="I305" s="266">
        <v>139.5</v>
      </c>
      <c r="J305" s="266">
        <v>232.7</v>
      </c>
      <c r="K305" s="266">
        <f t="shared" si="77"/>
        <v>353</v>
      </c>
      <c r="L305" s="320"/>
    </row>
    <row r="306" spans="1:12" ht="15.75" hidden="1" thickBot="1">
      <c r="A306" s="177">
        <f t="shared" si="79"/>
        <v>2050</v>
      </c>
      <c r="B306" s="178" t="str">
        <f t="shared" si="80"/>
        <v>2</v>
      </c>
      <c r="C306" s="231">
        <f t="shared" si="78"/>
        <v>20502</v>
      </c>
      <c r="D306" s="16">
        <v>54940</v>
      </c>
      <c r="E306" s="266">
        <v>68.400000000000006</v>
      </c>
      <c r="F306" s="266">
        <v>51.9</v>
      </c>
      <c r="G306" s="266">
        <v>120.3</v>
      </c>
      <c r="H306" s="266">
        <v>93.2</v>
      </c>
      <c r="I306" s="266">
        <v>139.5</v>
      </c>
      <c r="J306" s="266">
        <v>232.7</v>
      </c>
      <c r="K306" s="266">
        <f t="shared" si="77"/>
        <v>353</v>
      </c>
      <c r="L306" s="320"/>
    </row>
    <row r="307" spans="1:12" ht="15.75" hidden="1" thickBot="1">
      <c r="A307" s="177">
        <f t="shared" si="79"/>
        <v>2050</v>
      </c>
      <c r="B307" s="178" t="str">
        <f t="shared" si="80"/>
        <v>3</v>
      </c>
      <c r="C307" s="231">
        <f t="shared" si="78"/>
        <v>20503</v>
      </c>
      <c r="D307" s="16">
        <v>55032</v>
      </c>
      <c r="E307" s="266">
        <v>68.400000000000006</v>
      </c>
      <c r="F307" s="266">
        <v>51.9</v>
      </c>
      <c r="G307" s="266">
        <v>120.3</v>
      </c>
      <c r="H307" s="266">
        <v>93.2</v>
      </c>
      <c r="I307" s="266">
        <v>139.5</v>
      </c>
      <c r="J307" s="266">
        <v>232.7</v>
      </c>
      <c r="K307" s="266">
        <f t="shared" si="77"/>
        <v>353</v>
      </c>
      <c r="L307" s="320"/>
    </row>
    <row r="308" spans="1:12" ht="15.75" hidden="1" thickBot="1">
      <c r="A308" s="177">
        <f t="shared" si="79"/>
        <v>2050</v>
      </c>
      <c r="B308" s="178" t="str">
        <f t="shared" si="80"/>
        <v>4</v>
      </c>
      <c r="C308" s="231">
        <f t="shared" si="78"/>
        <v>20504</v>
      </c>
      <c r="D308" s="16">
        <v>55123</v>
      </c>
      <c r="E308" s="266">
        <v>68.400000000000006</v>
      </c>
      <c r="F308" s="266">
        <v>51.9</v>
      </c>
      <c r="G308" s="266">
        <v>120.3</v>
      </c>
      <c r="H308" s="266">
        <v>93.2</v>
      </c>
      <c r="I308" s="266">
        <v>139.5</v>
      </c>
      <c r="J308" s="266">
        <v>232.7</v>
      </c>
      <c r="K308" s="266">
        <f t="shared" si="77"/>
        <v>353</v>
      </c>
      <c r="L308" s="320"/>
    </row>
    <row r="309" spans="1:12" ht="15.75" hidden="1" thickBot="1">
      <c r="A309" s="177">
        <f t="shared" si="79"/>
        <v>2051</v>
      </c>
      <c r="B309" s="178" t="str">
        <f t="shared" si="80"/>
        <v>1</v>
      </c>
      <c r="C309" s="231">
        <f t="shared" si="78"/>
        <v>20511</v>
      </c>
      <c r="D309" s="16">
        <v>55213</v>
      </c>
      <c r="E309" s="266">
        <v>68.400000000000006</v>
      </c>
      <c r="F309" s="266">
        <v>51.9</v>
      </c>
      <c r="G309" s="266">
        <v>120.3</v>
      </c>
      <c r="H309" s="266">
        <v>93.2</v>
      </c>
      <c r="I309" s="266">
        <v>139.5</v>
      </c>
      <c r="J309" s="266">
        <v>232.7</v>
      </c>
      <c r="K309" s="266">
        <f t="shared" si="77"/>
        <v>353</v>
      </c>
      <c r="L309" s="320"/>
    </row>
    <row r="310" spans="1:12" ht="15.75" hidden="1" thickBot="1">
      <c r="A310" s="177">
        <f t="shared" si="79"/>
        <v>2051</v>
      </c>
      <c r="B310" s="178" t="str">
        <f t="shared" si="80"/>
        <v>2</v>
      </c>
      <c r="C310" s="231">
        <f t="shared" si="78"/>
        <v>20512</v>
      </c>
      <c r="D310" s="16">
        <v>55305</v>
      </c>
      <c r="E310" s="266">
        <v>68.400000000000006</v>
      </c>
      <c r="F310" s="266">
        <v>51.9</v>
      </c>
      <c r="G310" s="266">
        <v>120.3</v>
      </c>
      <c r="H310" s="266">
        <v>93.2</v>
      </c>
      <c r="I310" s="266">
        <v>139.5</v>
      </c>
      <c r="J310" s="266">
        <v>232.7</v>
      </c>
      <c r="K310" s="266">
        <f t="shared" si="77"/>
        <v>353</v>
      </c>
      <c r="L310" s="320"/>
    </row>
    <row r="311" spans="1:12" ht="15.75" hidden="1" thickBot="1">
      <c r="A311" s="177">
        <f t="shared" si="79"/>
        <v>2051</v>
      </c>
      <c r="B311" s="178" t="str">
        <f t="shared" si="80"/>
        <v>3</v>
      </c>
      <c r="C311" s="231">
        <f t="shared" si="78"/>
        <v>20513</v>
      </c>
      <c r="D311" s="16">
        <v>55397</v>
      </c>
      <c r="E311" s="266">
        <v>68.400000000000006</v>
      </c>
      <c r="F311" s="266">
        <v>51.9</v>
      </c>
      <c r="G311" s="266">
        <v>120.3</v>
      </c>
      <c r="H311" s="266">
        <v>93.2</v>
      </c>
      <c r="I311" s="266">
        <v>139.5</v>
      </c>
      <c r="J311" s="266">
        <v>232.7</v>
      </c>
      <c r="K311" s="266">
        <f t="shared" ref="K311:K348" si="81">SUM(J311,G311)</f>
        <v>353</v>
      </c>
      <c r="L311" s="320"/>
    </row>
    <row r="312" spans="1:12" ht="15.75" hidden="1" thickBot="1">
      <c r="A312" s="177">
        <f t="shared" si="79"/>
        <v>2051</v>
      </c>
      <c r="B312" s="178" t="str">
        <f t="shared" si="80"/>
        <v>4</v>
      </c>
      <c r="C312" s="231">
        <f t="shared" si="78"/>
        <v>20514</v>
      </c>
      <c r="D312" s="16">
        <v>55488</v>
      </c>
      <c r="E312" s="266">
        <v>68.400000000000006</v>
      </c>
      <c r="F312" s="266">
        <v>51.9</v>
      </c>
      <c r="G312" s="266">
        <v>120.3</v>
      </c>
      <c r="H312" s="266">
        <v>93.2</v>
      </c>
      <c r="I312" s="266">
        <v>139.5</v>
      </c>
      <c r="J312" s="266">
        <v>232.7</v>
      </c>
      <c r="K312" s="266">
        <f t="shared" si="81"/>
        <v>353</v>
      </c>
      <c r="L312" s="320"/>
    </row>
    <row r="313" spans="1:12" ht="15.75" hidden="1" thickBot="1">
      <c r="A313" s="177">
        <f t="shared" ref="A313:A343" si="82">YEAR(D313)</f>
        <v>2052</v>
      </c>
      <c r="B313" s="178" t="str">
        <f t="shared" ref="B313:B343" si="83">IF(MONTH(D313)&lt;4,"1",IF(MONTH(D313)&lt;7,"2",IF(MONTH(D313)&lt;10,"3","4")))</f>
        <v>1</v>
      </c>
      <c r="C313" s="231">
        <f t="shared" si="78"/>
        <v>20521</v>
      </c>
      <c r="D313" s="16">
        <v>55579</v>
      </c>
      <c r="E313" s="266">
        <v>68.400000000000006</v>
      </c>
      <c r="F313" s="266">
        <v>51.9</v>
      </c>
      <c r="G313" s="266">
        <v>120.3</v>
      </c>
      <c r="H313" s="266">
        <v>93.2</v>
      </c>
      <c r="I313" s="266">
        <v>139.5</v>
      </c>
      <c r="J313" s="266">
        <v>232.7</v>
      </c>
      <c r="K313" s="266">
        <f t="shared" si="81"/>
        <v>353</v>
      </c>
      <c r="L313" s="320"/>
    </row>
    <row r="314" spans="1:12" ht="15.75" hidden="1" thickBot="1">
      <c r="A314" s="177">
        <f t="shared" si="82"/>
        <v>2052</v>
      </c>
      <c r="B314" s="178" t="str">
        <f t="shared" si="83"/>
        <v>2</v>
      </c>
      <c r="C314" s="231">
        <f t="shared" si="78"/>
        <v>20522</v>
      </c>
      <c r="D314" s="16">
        <v>55671</v>
      </c>
      <c r="E314" s="266">
        <v>68.400000000000006</v>
      </c>
      <c r="F314" s="266">
        <v>51.9</v>
      </c>
      <c r="G314" s="266">
        <v>120.3</v>
      </c>
      <c r="H314" s="266">
        <v>93.2</v>
      </c>
      <c r="I314" s="266">
        <v>139.5</v>
      </c>
      <c r="J314" s="266">
        <v>232.7</v>
      </c>
      <c r="K314" s="266">
        <f t="shared" si="81"/>
        <v>353</v>
      </c>
      <c r="L314" s="320"/>
    </row>
    <row r="315" spans="1:12" ht="15.75" hidden="1" thickBot="1">
      <c r="A315" s="177">
        <f t="shared" si="82"/>
        <v>2052</v>
      </c>
      <c r="B315" s="178" t="str">
        <f t="shared" si="83"/>
        <v>3</v>
      </c>
      <c r="C315" s="231">
        <f t="shared" si="78"/>
        <v>20523</v>
      </c>
      <c r="D315" s="16">
        <v>55763</v>
      </c>
      <c r="E315" s="266">
        <v>68.400000000000006</v>
      </c>
      <c r="F315" s="266">
        <v>51.9</v>
      </c>
      <c r="G315" s="266">
        <v>120.3</v>
      </c>
      <c r="H315" s="266">
        <v>93.2</v>
      </c>
      <c r="I315" s="266">
        <v>139.5</v>
      </c>
      <c r="J315" s="266">
        <v>232.7</v>
      </c>
      <c r="K315" s="266">
        <f t="shared" si="81"/>
        <v>353</v>
      </c>
      <c r="L315" s="320"/>
    </row>
    <row r="316" spans="1:12" ht="15.75" hidden="1" thickBot="1">
      <c r="A316" s="177">
        <f t="shared" si="82"/>
        <v>2052</v>
      </c>
      <c r="B316" s="178" t="str">
        <f t="shared" si="83"/>
        <v>4</v>
      </c>
      <c r="C316" s="231">
        <f t="shared" ref="C316:C379" si="84">_xlfn.NUMBERVALUE(CONCATENATE(A316,B316))</f>
        <v>20524</v>
      </c>
      <c r="D316" s="16">
        <v>55854</v>
      </c>
      <c r="E316" s="266">
        <v>68.400000000000006</v>
      </c>
      <c r="F316" s="266">
        <v>51.9</v>
      </c>
      <c r="G316" s="266">
        <v>120.3</v>
      </c>
      <c r="H316" s="266">
        <v>93.2</v>
      </c>
      <c r="I316" s="266">
        <v>139.5</v>
      </c>
      <c r="J316" s="266">
        <v>232.7</v>
      </c>
      <c r="K316" s="266">
        <f t="shared" si="81"/>
        <v>353</v>
      </c>
      <c r="L316" s="320"/>
    </row>
    <row r="317" spans="1:12" ht="15.75" hidden="1" thickBot="1">
      <c r="A317" s="177">
        <f t="shared" si="82"/>
        <v>2053</v>
      </c>
      <c r="B317" s="178" t="str">
        <f t="shared" si="83"/>
        <v>1</v>
      </c>
      <c r="C317" s="231">
        <f t="shared" si="84"/>
        <v>20531</v>
      </c>
      <c r="D317" s="16">
        <v>55944</v>
      </c>
      <c r="E317" s="266">
        <v>68.400000000000006</v>
      </c>
      <c r="F317" s="266">
        <v>51.9</v>
      </c>
      <c r="G317" s="266">
        <v>120.3</v>
      </c>
      <c r="H317" s="266">
        <v>93.2</v>
      </c>
      <c r="I317" s="266">
        <v>139.5</v>
      </c>
      <c r="J317" s="266">
        <v>232.7</v>
      </c>
      <c r="K317" s="266">
        <f t="shared" si="81"/>
        <v>353</v>
      </c>
      <c r="L317" s="320"/>
    </row>
    <row r="318" spans="1:12" ht="15.75" hidden="1" thickBot="1">
      <c r="A318" s="177">
        <f t="shared" si="82"/>
        <v>2053</v>
      </c>
      <c r="B318" s="178" t="str">
        <f t="shared" si="83"/>
        <v>2</v>
      </c>
      <c r="C318" s="231">
        <f t="shared" si="84"/>
        <v>20532</v>
      </c>
      <c r="D318" s="16">
        <v>56036</v>
      </c>
      <c r="E318" s="266">
        <v>68.400000000000006</v>
      </c>
      <c r="F318" s="266">
        <v>51.9</v>
      </c>
      <c r="G318" s="266">
        <v>120.3</v>
      </c>
      <c r="H318" s="266">
        <v>93.2</v>
      </c>
      <c r="I318" s="266">
        <v>139.5</v>
      </c>
      <c r="J318" s="266">
        <v>232.7</v>
      </c>
      <c r="K318" s="266">
        <f t="shared" si="81"/>
        <v>353</v>
      </c>
      <c r="L318" s="320"/>
    </row>
    <row r="319" spans="1:12" ht="15.75" hidden="1" thickBot="1">
      <c r="A319" s="177">
        <f t="shared" si="82"/>
        <v>2053</v>
      </c>
      <c r="B319" s="178" t="str">
        <f t="shared" si="83"/>
        <v>3</v>
      </c>
      <c r="C319" s="231">
        <f t="shared" si="84"/>
        <v>20533</v>
      </c>
      <c r="D319" s="16">
        <v>56128</v>
      </c>
      <c r="E319" s="266">
        <v>68.400000000000006</v>
      </c>
      <c r="F319" s="266">
        <v>51.9</v>
      </c>
      <c r="G319" s="266">
        <v>120.3</v>
      </c>
      <c r="H319" s="266">
        <v>93.2</v>
      </c>
      <c r="I319" s="266">
        <v>139.5</v>
      </c>
      <c r="J319" s="266">
        <v>232.7</v>
      </c>
      <c r="K319" s="266">
        <f t="shared" si="81"/>
        <v>353</v>
      </c>
      <c r="L319" s="320"/>
    </row>
    <row r="320" spans="1:12" ht="15.75" hidden="1" thickBot="1">
      <c r="A320" s="177">
        <f t="shared" si="82"/>
        <v>2053</v>
      </c>
      <c r="B320" s="178" t="str">
        <f t="shared" si="83"/>
        <v>4</v>
      </c>
      <c r="C320" s="231">
        <f t="shared" si="84"/>
        <v>20534</v>
      </c>
      <c r="D320" s="16">
        <v>56219</v>
      </c>
      <c r="E320" s="266">
        <v>68.400000000000006</v>
      </c>
      <c r="F320" s="266">
        <v>51.9</v>
      </c>
      <c r="G320" s="266">
        <v>120.3</v>
      </c>
      <c r="H320" s="266">
        <v>93.2</v>
      </c>
      <c r="I320" s="266">
        <v>139.5</v>
      </c>
      <c r="J320" s="266">
        <v>232.7</v>
      </c>
      <c r="K320" s="266">
        <f t="shared" si="81"/>
        <v>353</v>
      </c>
      <c r="L320" s="320"/>
    </row>
    <row r="321" spans="1:12" ht="15.75" hidden="1" thickBot="1">
      <c r="A321" s="177">
        <f t="shared" si="82"/>
        <v>2054</v>
      </c>
      <c r="B321" s="178" t="str">
        <f t="shared" si="83"/>
        <v>1</v>
      </c>
      <c r="C321" s="231">
        <f t="shared" si="84"/>
        <v>20541</v>
      </c>
      <c r="D321" s="16">
        <v>56309</v>
      </c>
      <c r="E321" s="266">
        <v>68.400000000000006</v>
      </c>
      <c r="F321" s="266">
        <v>51.9</v>
      </c>
      <c r="G321" s="266">
        <v>120.3</v>
      </c>
      <c r="H321" s="266">
        <v>93.2</v>
      </c>
      <c r="I321" s="266">
        <v>139.5</v>
      </c>
      <c r="J321" s="266">
        <v>232.7</v>
      </c>
      <c r="K321" s="266">
        <f t="shared" si="81"/>
        <v>353</v>
      </c>
      <c r="L321" s="320"/>
    </row>
    <row r="322" spans="1:12" ht="15.75" hidden="1" thickBot="1">
      <c r="A322" s="177">
        <f t="shared" si="82"/>
        <v>2054</v>
      </c>
      <c r="B322" s="178" t="str">
        <f t="shared" si="83"/>
        <v>2</v>
      </c>
      <c r="C322" s="231">
        <f t="shared" si="84"/>
        <v>20542</v>
      </c>
      <c r="D322" s="16">
        <v>56401</v>
      </c>
      <c r="E322" s="266">
        <v>68.400000000000006</v>
      </c>
      <c r="F322" s="266">
        <v>51.9</v>
      </c>
      <c r="G322" s="266">
        <v>120.3</v>
      </c>
      <c r="H322" s="266">
        <v>93.2</v>
      </c>
      <c r="I322" s="266">
        <v>139.5</v>
      </c>
      <c r="J322" s="266">
        <v>232.7</v>
      </c>
      <c r="K322" s="266">
        <f t="shared" si="81"/>
        <v>353</v>
      </c>
      <c r="L322" s="320"/>
    </row>
    <row r="323" spans="1:12" ht="15.75" hidden="1" thickBot="1">
      <c r="A323" s="177">
        <f t="shared" si="82"/>
        <v>2054</v>
      </c>
      <c r="B323" s="178" t="str">
        <f t="shared" si="83"/>
        <v>3</v>
      </c>
      <c r="C323" s="231">
        <f t="shared" si="84"/>
        <v>20543</v>
      </c>
      <c r="D323" s="16">
        <v>56493</v>
      </c>
      <c r="E323" s="266">
        <v>68.400000000000006</v>
      </c>
      <c r="F323" s="266">
        <v>51.9</v>
      </c>
      <c r="G323" s="266">
        <v>120.3</v>
      </c>
      <c r="H323" s="266">
        <v>93.2</v>
      </c>
      <c r="I323" s="266">
        <v>139.5</v>
      </c>
      <c r="J323" s="266">
        <v>232.7</v>
      </c>
      <c r="K323" s="266">
        <f t="shared" si="81"/>
        <v>353</v>
      </c>
      <c r="L323" s="320"/>
    </row>
    <row r="324" spans="1:12" ht="15.75" hidden="1" thickBot="1">
      <c r="A324" s="177">
        <f t="shared" si="82"/>
        <v>2054</v>
      </c>
      <c r="B324" s="178" t="str">
        <f t="shared" si="83"/>
        <v>4</v>
      </c>
      <c r="C324" s="231">
        <f t="shared" si="84"/>
        <v>20544</v>
      </c>
      <c r="D324" s="16">
        <v>56584</v>
      </c>
      <c r="E324" s="266">
        <v>68.400000000000006</v>
      </c>
      <c r="F324" s="266">
        <v>51.9</v>
      </c>
      <c r="G324" s="266">
        <v>120.3</v>
      </c>
      <c r="H324" s="266">
        <v>93.2</v>
      </c>
      <c r="I324" s="266">
        <v>139.5</v>
      </c>
      <c r="J324" s="266">
        <v>232.7</v>
      </c>
      <c r="K324" s="266">
        <f t="shared" si="81"/>
        <v>353</v>
      </c>
      <c r="L324" s="320"/>
    </row>
    <row r="325" spans="1:12" ht="15.75" hidden="1" thickBot="1">
      <c r="A325" s="177">
        <f t="shared" si="82"/>
        <v>2055</v>
      </c>
      <c r="B325" s="178" t="str">
        <f t="shared" si="83"/>
        <v>1</v>
      </c>
      <c r="C325" s="231">
        <f t="shared" si="84"/>
        <v>20551</v>
      </c>
      <c r="D325" s="16">
        <v>56674</v>
      </c>
      <c r="E325" s="266">
        <v>68.400000000000006</v>
      </c>
      <c r="F325" s="266">
        <v>51.9</v>
      </c>
      <c r="G325" s="266">
        <v>120.3</v>
      </c>
      <c r="H325" s="266">
        <v>93.2</v>
      </c>
      <c r="I325" s="266">
        <v>139.5</v>
      </c>
      <c r="J325" s="266">
        <v>232.7</v>
      </c>
      <c r="K325" s="266">
        <f t="shared" si="81"/>
        <v>353</v>
      </c>
      <c r="L325" s="320"/>
    </row>
    <row r="326" spans="1:12" ht="15.75" hidden="1" thickBot="1">
      <c r="A326" s="177">
        <f t="shared" si="82"/>
        <v>2055</v>
      </c>
      <c r="B326" s="178" t="str">
        <f t="shared" si="83"/>
        <v>2</v>
      </c>
      <c r="C326" s="231">
        <f t="shared" si="84"/>
        <v>20552</v>
      </c>
      <c r="D326" s="16">
        <v>56766</v>
      </c>
      <c r="E326" s="266">
        <v>68.400000000000006</v>
      </c>
      <c r="F326" s="266">
        <v>51.9</v>
      </c>
      <c r="G326" s="266">
        <v>120.3</v>
      </c>
      <c r="H326" s="266">
        <v>93.2</v>
      </c>
      <c r="I326" s="266">
        <v>139.5</v>
      </c>
      <c r="J326" s="266">
        <v>232.7</v>
      </c>
      <c r="K326" s="266">
        <f t="shared" si="81"/>
        <v>353</v>
      </c>
      <c r="L326" s="320"/>
    </row>
    <row r="327" spans="1:12" ht="15.75" hidden="1" thickBot="1">
      <c r="A327" s="177">
        <f t="shared" si="82"/>
        <v>2055</v>
      </c>
      <c r="B327" s="178" t="str">
        <f t="shared" si="83"/>
        <v>3</v>
      </c>
      <c r="C327" s="231">
        <f t="shared" si="84"/>
        <v>20553</v>
      </c>
      <c r="D327" s="16">
        <v>56858</v>
      </c>
      <c r="E327" s="266">
        <v>68.400000000000006</v>
      </c>
      <c r="F327" s="266">
        <v>51.9</v>
      </c>
      <c r="G327" s="266">
        <v>120.3</v>
      </c>
      <c r="H327" s="266">
        <v>93.2</v>
      </c>
      <c r="I327" s="266">
        <v>139.5</v>
      </c>
      <c r="J327" s="266">
        <v>232.7</v>
      </c>
      <c r="K327" s="266">
        <f t="shared" si="81"/>
        <v>353</v>
      </c>
      <c r="L327" s="320"/>
    </row>
    <row r="328" spans="1:12" ht="15.75" hidden="1" thickBot="1">
      <c r="A328" s="177">
        <f t="shared" si="82"/>
        <v>2055</v>
      </c>
      <c r="B328" s="178" t="str">
        <f t="shared" si="83"/>
        <v>4</v>
      </c>
      <c r="C328" s="231">
        <f t="shared" si="84"/>
        <v>20554</v>
      </c>
      <c r="D328" s="16">
        <v>56949</v>
      </c>
      <c r="E328" s="266">
        <v>68.400000000000006</v>
      </c>
      <c r="F328" s="266">
        <v>51.9</v>
      </c>
      <c r="G328" s="266">
        <v>120.3</v>
      </c>
      <c r="H328" s="266">
        <v>93.2</v>
      </c>
      <c r="I328" s="266">
        <v>139.5</v>
      </c>
      <c r="J328" s="266">
        <v>232.7</v>
      </c>
      <c r="K328" s="266">
        <f t="shared" si="81"/>
        <v>353</v>
      </c>
      <c r="L328" s="320"/>
    </row>
    <row r="329" spans="1:12" ht="15.75" hidden="1" thickBot="1">
      <c r="A329" s="177">
        <f t="shared" si="82"/>
        <v>2056</v>
      </c>
      <c r="B329" s="178" t="str">
        <f t="shared" si="83"/>
        <v>1</v>
      </c>
      <c r="C329" s="231">
        <f t="shared" si="84"/>
        <v>20561</v>
      </c>
      <c r="D329" s="16">
        <v>57040</v>
      </c>
      <c r="E329" s="266">
        <v>68.400000000000006</v>
      </c>
      <c r="F329" s="266">
        <v>51.9</v>
      </c>
      <c r="G329" s="266">
        <v>120.3</v>
      </c>
      <c r="H329" s="266">
        <v>93.2</v>
      </c>
      <c r="I329" s="266">
        <v>139.5</v>
      </c>
      <c r="J329" s="266">
        <v>232.7</v>
      </c>
      <c r="K329" s="266">
        <f t="shared" si="81"/>
        <v>353</v>
      </c>
      <c r="L329" s="320"/>
    </row>
    <row r="330" spans="1:12" ht="15.75" hidden="1" thickBot="1">
      <c r="A330" s="177">
        <f t="shared" si="82"/>
        <v>2056</v>
      </c>
      <c r="B330" s="178" t="str">
        <f t="shared" si="83"/>
        <v>2</v>
      </c>
      <c r="C330" s="231">
        <f t="shared" si="84"/>
        <v>20562</v>
      </c>
      <c r="D330" s="16">
        <v>57132</v>
      </c>
      <c r="E330" s="266">
        <v>68.400000000000006</v>
      </c>
      <c r="F330" s="266">
        <v>51.9</v>
      </c>
      <c r="G330" s="266">
        <v>120.3</v>
      </c>
      <c r="H330" s="266">
        <v>93.2</v>
      </c>
      <c r="I330" s="266">
        <v>139.5</v>
      </c>
      <c r="J330" s="266">
        <v>232.7</v>
      </c>
      <c r="K330" s="266">
        <f t="shared" si="81"/>
        <v>353</v>
      </c>
      <c r="L330" s="320"/>
    </row>
    <row r="331" spans="1:12" ht="15.75" hidden="1" thickBot="1">
      <c r="A331" s="177">
        <f t="shared" si="82"/>
        <v>2056</v>
      </c>
      <c r="B331" s="178" t="str">
        <f t="shared" si="83"/>
        <v>3</v>
      </c>
      <c r="C331" s="231">
        <f t="shared" si="84"/>
        <v>20563</v>
      </c>
      <c r="D331" s="16">
        <v>57224</v>
      </c>
      <c r="E331" s="266">
        <v>68.400000000000006</v>
      </c>
      <c r="F331" s="266">
        <v>51.9</v>
      </c>
      <c r="G331" s="266">
        <v>120.3</v>
      </c>
      <c r="H331" s="266">
        <v>93.2</v>
      </c>
      <c r="I331" s="266">
        <v>139.5</v>
      </c>
      <c r="J331" s="266">
        <v>232.7</v>
      </c>
      <c r="K331" s="266">
        <f t="shared" si="81"/>
        <v>353</v>
      </c>
      <c r="L331" s="320"/>
    </row>
    <row r="332" spans="1:12" ht="15.75" hidden="1" thickBot="1">
      <c r="A332" s="177">
        <f t="shared" si="82"/>
        <v>2056</v>
      </c>
      <c r="B332" s="178" t="str">
        <f t="shared" si="83"/>
        <v>4</v>
      </c>
      <c r="C332" s="231">
        <f t="shared" si="84"/>
        <v>20564</v>
      </c>
      <c r="D332" s="16">
        <v>57315</v>
      </c>
      <c r="E332" s="266">
        <v>68.400000000000006</v>
      </c>
      <c r="F332" s="266">
        <v>51.9</v>
      </c>
      <c r="G332" s="266">
        <v>120.3</v>
      </c>
      <c r="H332" s="266">
        <v>93.2</v>
      </c>
      <c r="I332" s="266">
        <v>139.5</v>
      </c>
      <c r="J332" s="266">
        <v>232.7</v>
      </c>
      <c r="K332" s="266">
        <f t="shared" si="81"/>
        <v>353</v>
      </c>
      <c r="L332" s="320"/>
    </row>
    <row r="333" spans="1:12" ht="15.75" hidden="1" thickBot="1">
      <c r="A333" s="177">
        <f t="shared" si="82"/>
        <v>2057</v>
      </c>
      <c r="B333" s="178" t="str">
        <f t="shared" si="83"/>
        <v>1</v>
      </c>
      <c r="C333" s="231">
        <f t="shared" si="84"/>
        <v>20571</v>
      </c>
      <c r="D333" s="16">
        <v>57405</v>
      </c>
      <c r="E333" s="266">
        <v>68.400000000000006</v>
      </c>
      <c r="F333" s="266">
        <v>51.9</v>
      </c>
      <c r="G333" s="266">
        <v>120.3</v>
      </c>
      <c r="H333" s="266">
        <v>93.2</v>
      </c>
      <c r="I333" s="266">
        <v>139.5</v>
      </c>
      <c r="J333" s="266">
        <v>232.7</v>
      </c>
      <c r="K333" s="266">
        <f t="shared" si="81"/>
        <v>353</v>
      </c>
      <c r="L333" s="320"/>
    </row>
    <row r="334" spans="1:12" ht="15.75" hidden="1" thickBot="1">
      <c r="A334" s="177">
        <f t="shared" si="82"/>
        <v>2057</v>
      </c>
      <c r="B334" s="178" t="str">
        <f t="shared" si="83"/>
        <v>2</v>
      </c>
      <c r="C334" s="231">
        <f t="shared" si="84"/>
        <v>20572</v>
      </c>
      <c r="D334" s="16">
        <v>57497</v>
      </c>
      <c r="E334" s="266">
        <v>68.400000000000006</v>
      </c>
      <c r="F334" s="266">
        <v>51.9</v>
      </c>
      <c r="G334" s="266">
        <v>120.3</v>
      </c>
      <c r="H334" s="266">
        <v>93.2</v>
      </c>
      <c r="I334" s="266">
        <v>139.5</v>
      </c>
      <c r="J334" s="266">
        <v>232.7</v>
      </c>
      <c r="K334" s="266">
        <f t="shared" si="81"/>
        <v>353</v>
      </c>
      <c r="L334" s="320"/>
    </row>
    <row r="335" spans="1:12" ht="15.75" hidden="1" thickBot="1">
      <c r="A335" s="177">
        <f t="shared" si="82"/>
        <v>2057</v>
      </c>
      <c r="B335" s="178" t="str">
        <f t="shared" si="83"/>
        <v>3</v>
      </c>
      <c r="C335" s="231">
        <f t="shared" si="84"/>
        <v>20573</v>
      </c>
      <c r="D335" s="16">
        <v>57589</v>
      </c>
      <c r="E335" s="266">
        <v>68.400000000000006</v>
      </c>
      <c r="F335" s="266">
        <v>51.9</v>
      </c>
      <c r="G335" s="266">
        <v>120.3</v>
      </c>
      <c r="H335" s="266">
        <v>93.2</v>
      </c>
      <c r="I335" s="266">
        <v>139.5</v>
      </c>
      <c r="J335" s="266">
        <v>232.7</v>
      </c>
      <c r="K335" s="266">
        <f t="shared" si="81"/>
        <v>353</v>
      </c>
      <c r="L335" s="320"/>
    </row>
    <row r="336" spans="1:12" ht="15.75" hidden="1" thickBot="1">
      <c r="A336" s="177">
        <f t="shared" si="82"/>
        <v>2057</v>
      </c>
      <c r="B336" s="178" t="str">
        <f t="shared" si="83"/>
        <v>4</v>
      </c>
      <c r="C336" s="231">
        <f t="shared" si="84"/>
        <v>20574</v>
      </c>
      <c r="D336" s="16">
        <v>57680</v>
      </c>
      <c r="E336" s="266">
        <v>68.400000000000006</v>
      </c>
      <c r="F336" s="266">
        <v>51.9</v>
      </c>
      <c r="G336" s="266">
        <v>120.3</v>
      </c>
      <c r="H336" s="266">
        <v>93.2</v>
      </c>
      <c r="I336" s="266">
        <v>139.5</v>
      </c>
      <c r="J336" s="266">
        <v>232.7</v>
      </c>
      <c r="K336" s="266">
        <f t="shared" si="81"/>
        <v>353</v>
      </c>
      <c r="L336" s="320"/>
    </row>
    <row r="337" spans="1:12" ht="15.75" hidden="1" thickBot="1">
      <c r="A337" s="177">
        <f t="shared" si="82"/>
        <v>2058</v>
      </c>
      <c r="B337" s="178" t="str">
        <f t="shared" si="83"/>
        <v>1</v>
      </c>
      <c r="C337" s="231">
        <f t="shared" si="84"/>
        <v>20581</v>
      </c>
      <c r="D337" s="16">
        <v>57770</v>
      </c>
      <c r="E337" s="266">
        <v>68.400000000000006</v>
      </c>
      <c r="F337" s="266">
        <v>51.9</v>
      </c>
      <c r="G337" s="266">
        <v>120.3</v>
      </c>
      <c r="H337" s="266">
        <v>93.2</v>
      </c>
      <c r="I337" s="266">
        <v>139.5</v>
      </c>
      <c r="J337" s="266">
        <v>232.7</v>
      </c>
      <c r="K337" s="266">
        <f t="shared" si="81"/>
        <v>353</v>
      </c>
      <c r="L337" s="320"/>
    </row>
    <row r="338" spans="1:12" ht="15.75" hidden="1" thickBot="1">
      <c r="A338" s="177">
        <f t="shared" si="82"/>
        <v>2058</v>
      </c>
      <c r="B338" s="178" t="str">
        <f t="shared" si="83"/>
        <v>2</v>
      </c>
      <c r="C338" s="231">
        <f t="shared" si="84"/>
        <v>20582</v>
      </c>
      <c r="D338" s="16">
        <v>57862</v>
      </c>
      <c r="E338" s="266">
        <v>68.400000000000006</v>
      </c>
      <c r="F338" s="266">
        <v>51.9</v>
      </c>
      <c r="G338" s="266">
        <v>120.3</v>
      </c>
      <c r="H338" s="266">
        <v>93.2</v>
      </c>
      <c r="I338" s="266">
        <v>139.5</v>
      </c>
      <c r="J338" s="266">
        <v>232.7</v>
      </c>
      <c r="K338" s="266">
        <f t="shared" si="81"/>
        <v>353</v>
      </c>
      <c r="L338" s="320"/>
    </row>
    <row r="339" spans="1:12" ht="15.75" hidden="1" thickBot="1">
      <c r="A339" s="177">
        <f t="shared" si="82"/>
        <v>2058</v>
      </c>
      <c r="B339" s="178" t="str">
        <f t="shared" si="83"/>
        <v>3</v>
      </c>
      <c r="C339" s="231">
        <f t="shared" si="84"/>
        <v>20583</v>
      </c>
      <c r="D339" s="16">
        <v>57954</v>
      </c>
      <c r="E339" s="266">
        <v>68.400000000000006</v>
      </c>
      <c r="F339" s="266">
        <v>51.9</v>
      </c>
      <c r="G339" s="266">
        <v>120.3</v>
      </c>
      <c r="H339" s="266">
        <v>93.2</v>
      </c>
      <c r="I339" s="266">
        <v>139.5</v>
      </c>
      <c r="J339" s="266">
        <v>232.7</v>
      </c>
      <c r="K339" s="266">
        <f t="shared" si="81"/>
        <v>353</v>
      </c>
      <c r="L339" s="320"/>
    </row>
    <row r="340" spans="1:12" ht="15.75" hidden="1" thickBot="1">
      <c r="A340" s="177">
        <f t="shared" si="82"/>
        <v>2058</v>
      </c>
      <c r="B340" s="178" t="str">
        <f t="shared" si="83"/>
        <v>4</v>
      </c>
      <c r="C340" s="231">
        <f t="shared" si="84"/>
        <v>20584</v>
      </c>
      <c r="D340" s="16">
        <v>58045</v>
      </c>
      <c r="E340" s="266">
        <v>68.400000000000006</v>
      </c>
      <c r="F340" s="266">
        <v>51.9</v>
      </c>
      <c r="G340" s="266">
        <v>120.3</v>
      </c>
      <c r="H340" s="266">
        <v>93.2</v>
      </c>
      <c r="I340" s="266">
        <v>139.5</v>
      </c>
      <c r="J340" s="266">
        <v>232.7</v>
      </c>
      <c r="K340" s="266">
        <f t="shared" si="81"/>
        <v>353</v>
      </c>
      <c r="L340" s="320"/>
    </row>
    <row r="341" spans="1:12" ht="15.75" hidden="1" thickBot="1">
      <c r="A341" s="177">
        <f t="shared" si="82"/>
        <v>2059</v>
      </c>
      <c r="B341" s="178" t="str">
        <f t="shared" si="83"/>
        <v>1</v>
      </c>
      <c r="C341" s="231">
        <f t="shared" si="84"/>
        <v>20591</v>
      </c>
      <c r="D341" s="16">
        <v>58135</v>
      </c>
      <c r="E341" s="266">
        <v>68.400000000000006</v>
      </c>
      <c r="F341" s="266">
        <v>51.9</v>
      </c>
      <c r="G341" s="266">
        <v>120.3</v>
      </c>
      <c r="H341" s="266">
        <v>93.2</v>
      </c>
      <c r="I341" s="266">
        <v>139.5</v>
      </c>
      <c r="J341" s="266">
        <v>232.7</v>
      </c>
      <c r="K341" s="266">
        <f t="shared" si="81"/>
        <v>353</v>
      </c>
      <c r="L341" s="320"/>
    </row>
    <row r="342" spans="1:12" ht="15.75" hidden="1" thickBot="1">
      <c r="A342" s="177">
        <f t="shared" si="82"/>
        <v>2059</v>
      </c>
      <c r="B342" s="178" t="str">
        <f t="shared" si="83"/>
        <v>2</v>
      </c>
      <c r="C342" s="231">
        <f t="shared" si="84"/>
        <v>20592</v>
      </c>
      <c r="D342" s="16">
        <v>58227</v>
      </c>
      <c r="E342" s="266">
        <v>68.400000000000006</v>
      </c>
      <c r="F342" s="266">
        <v>51.9</v>
      </c>
      <c r="G342" s="266">
        <v>120.3</v>
      </c>
      <c r="H342" s="266">
        <v>93.2</v>
      </c>
      <c r="I342" s="266">
        <v>139.5</v>
      </c>
      <c r="J342" s="266">
        <v>232.7</v>
      </c>
      <c r="K342" s="266">
        <f t="shared" si="81"/>
        <v>353</v>
      </c>
      <c r="L342" s="320"/>
    </row>
    <row r="343" spans="1:12" ht="15.75" hidden="1" thickBot="1">
      <c r="A343" s="177">
        <f t="shared" si="82"/>
        <v>2059</v>
      </c>
      <c r="B343" s="178" t="str">
        <f t="shared" si="83"/>
        <v>3</v>
      </c>
      <c r="C343" s="231">
        <f t="shared" si="84"/>
        <v>20593</v>
      </c>
      <c r="D343" s="16">
        <v>58319</v>
      </c>
      <c r="E343" s="266">
        <v>68.400000000000006</v>
      </c>
      <c r="F343" s="266">
        <v>51.9</v>
      </c>
      <c r="G343" s="266">
        <v>120.3</v>
      </c>
      <c r="H343" s="266">
        <v>93.2</v>
      </c>
      <c r="I343" s="266">
        <v>139.5</v>
      </c>
      <c r="J343" s="266">
        <v>232.7</v>
      </c>
      <c r="K343" s="266">
        <f t="shared" si="81"/>
        <v>353</v>
      </c>
      <c r="L343" s="320"/>
    </row>
    <row r="344" spans="1:12" ht="15.75" hidden="1" thickBot="1">
      <c r="A344" s="177">
        <f t="shared" ref="A344:A407" si="85">YEAR(D344)</f>
        <v>2059</v>
      </c>
      <c r="B344" s="178" t="str">
        <f t="shared" ref="B344:B407" si="86">IF(MONTH(D344)&lt;4,"1",IF(MONTH(D344)&lt;7,"2",IF(MONTH(D344)&lt;10,"3","4")))</f>
        <v>4</v>
      </c>
      <c r="C344" s="231">
        <f t="shared" si="84"/>
        <v>20594</v>
      </c>
      <c r="D344" s="16">
        <v>58410</v>
      </c>
      <c r="E344" s="266">
        <v>68.400000000000006</v>
      </c>
      <c r="F344" s="266">
        <v>51.9</v>
      </c>
      <c r="G344" s="266">
        <v>120.3</v>
      </c>
      <c r="H344" s="266">
        <v>93.2</v>
      </c>
      <c r="I344" s="266">
        <v>139.5</v>
      </c>
      <c r="J344" s="266">
        <v>232.7</v>
      </c>
      <c r="K344" s="266">
        <f t="shared" si="81"/>
        <v>353</v>
      </c>
      <c r="L344" s="320"/>
    </row>
    <row r="345" spans="1:12" ht="15.75" hidden="1" thickBot="1">
      <c r="A345" s="177">
        <f t="shared" si="85"/>
        <v>2060</v>
      </c>
      <c r="B345" s="178" t="str">
        <f t="shared" si="86"/>
        <v>1</v>
      </c>
      <c r="C345" s="231">
        <f t="shared" si="84"/>
        <v>20601</v>
      </c>
      <c r="D345" s="16">
        <v>58501</v>
      </c>
      <c r="E345" s="266">
        <v>68.400000000000006</v>
      </c>
      <c r="F345" s="266">
        <v>51.9</v>
      </c>
      <c r="G345" s="266">
        <v>120.3</v>
      </c>
      <c r="H345" s="266">
        <v>93.2</v>
      </c>
      <c r="I345" s="266">
        <v>139.5</v>
      </c>
      <c r="J345" s="266">
        <v>232.7</v>
      </c>
      <c r="K345" s="266">
        <f t="shared" si="81"/>
        <v>353</v>
      </c>
      <c r="L345" s="320"/>
    </row>
    <row r="346" spans="1:12" ht="15.75" hidden="1" thickBot="1">
      <c r="A346" s="177">
        <f t="shared" si="85"/>
        <v>2060</v>
      </c>
      <c r="B346" s="178" t="str">
        <f t="shared" si="86"/>
        <v>2</v>
      </c>
      <c r="C346" s="231">
        <f t="shared" si="84"/>
        <v>20602</v>
      </c>
      <c r="D346" s="16">
        <v>58593</v>
      </c>
      <c r="E346" s="266">
        <v>68.400000000000006</v>
      </c>
      <c r="F346" s="266">
        <v>51.9</v>
      </c>
      <c r="G346" s="266">
        <v>120.3</v>
      </c>
      <c r="H346" s="266">
        <v>93.2</v>
      </c>
      <c r="I346" s="266">
        <v>139.5</v>
      </c>
      <c r="J346" s="266">
        <v>232.7</v>
      </c>
      <c r="K346" s="266">
        <f t="shared" si="81"/>
        <v>353</v>
      </c>
      <c r="L346" s="320"/>
    </row>
    <row r="347" spans="1:12" ht="15.75" hidden="1" thickBot="1">
      <c r="A347" s="177">
        <f t="shared" si="85"/>
        <v>2060</v>
      </c>
      <c r="B347" s="178" t="str">
        <f t="shared" si="86"/>
        <v>3</v>
      </c>
      <c r="C347" s="231">
        <f t="shared" si="84"/>
        <v>20603</v>
      </c>
      <c r="D347" s="16">
        <v>58685</v>
      </c>
      <c r="E347" s="266">
        <v>68.400000000000006</v>
      </c>
      <c r="F347" s="266">
        <v>51.9</v>
      </c>
      <c r="G347" s="266">
        <v>120.3</v>
      </c>
      <c r="H347" s="266">
        <v>93.2</v>
      </c>
      <c r="I347" s="266">
        <v>139.5</v>
      </c>
      <c r="J347" s="266">
        <v>232.7</v>
      </c>
      <c r="K347" s="266">
        <f t="shared" si="81"/>
        <v>353</v>
      </c>
      <c r="L347" s="320"/>
    </row>
    <row r="348" spans="1:12" ht="15.75" hidden="1" thickBot="1">
      <c r="A348" s="177">
        <f t="shared" si="85"/>
        <v>2060</v>
      </c>
      <c r="B348" s="178" t="str">
        <f t="shared" si="86"/>
        <v>4</v>
      </c>
      <c r="C348" s="231">
        <f t="shared" si="84"/>
        <v>20604</v>
      </c>
      <c r="D348" s="16">
        <v>58776</v>
      </c>
      <c r="E348" s="266">
        <v>68.400000000000006</v>
      </c>
      <c r="F348" s="266">
        <v>51.9</v>
      </c>
      <c r="G348" s="266">
        <v>120.3</v>
      </c>
      <c r="H348" s="266">
        <v>93.2</v>
      </c>
      <c r="I348" s="266">
        <v>139.5</v>
      </c>
      <c r="J348" s="266">
        <v>232.7</v>
      </c>
      <c r="K348" s="266">
        <f t="shared" si="81"/>
        <v>353</v>
      </c>
      <c r="L348" s="320"/>
    </row>
    <row r="349" spans="1:12" hidden="1">
      <c r="A349" s="177">
        <f t="shared" si="85"/>
        <v>1900</v>
      </c>
      <c r="B349" s="178" t="str">
        <f t="shared" si="86"/>
        <v>1</v>
      </c>
      <c r="C349" s="231">
        <f t="shared" si="84"/>
        <v>19001</v>
      </c>
    </row>
    <row r="350" spans="1:12" ht="12" hidden="1" customHeight="1">
      <c r="A350" s="177">
        <f t="shared" si="85"/>
        <v>1900</v>
      </c>
      <c r="B350" s="178" t="str">
        <f t="shared" si="86"/>
        <v>1</v>
      </c>
      <c r="C350" s="231">
        <f t="shared" si="84"/>
        <v>19001</v>
      </c>
    </row>
    <row r="351" spans="1:12" hidden="1">
      <c r="A351" s="177">
        <f t="shared" si="85"/>
        <v>1900</v>
      </c>
      <c r="B351" s="178" t="str">
        <f t="shared" si="86"/>
        <v>1</v>
      </c>
      <c r="C351" s="231">
        <f t="shared" si="84"/>
        <v>19001</v>
      </c>
    </row>
    <row r="352" spans="1:12" hidden="1">
      <c r="A352" s="177">
        <f t="shared" si="85"/>
        <v>1900</v>
      </c>
      <c r="B352" s="178" t="str">
        <f t="shared" si="86"/>
        <v>1</v>
      </c>
      <c r="C352" s="231">
        <f t="shared" si="84"/>
        <v>19001</v>
      </c>
    </row>
    <row r="353" spans="1:9" hidden="1">
      <c r="A353" s="177">
        <f t="shared" si="85"/>
        <v>1900</v>
      </c>
      <c r="B353" s="178" t="str">
        <f t="shared" si="86"/>
        <v>1</v>
      </c>
      <c r="C353" s="231">
        <f t="shared" si="84"/>
        <v>19001</v>
      </c>
    </row>
    <row r="354" spans="1:9" hidden="1">
      <c r="A354" s="177">
        <f t="shared" si="85"/>
        <v>1900</v>
      </c>
      <c r="B354" s="178" t="str">
        <f t="shared" si="86"/>
        <v>1</v>
      </c>
      <c r="C354" s="231">
        <f t="shared" si="84"/>
        <v>19001</v>
      </c>
    </row>
    <row r="355" spans="1:9" hidden="1">
      <c r="A355" s="177">
        <f t="shared" si="85"/>
        <v>1900</v>
      </c>
      <c r="B355" s="178" t="str">
        <f t="shared" si="86"/>
        <v>1</v>
      </c>
      <c r="C355" s="231">
        <f t="shared" si="84"/>
        <v>19001</v>
      </c>
      <c r="E355" s="238"/>
      <c r="F355" s="238"/>
      <c r="G355" s="238"/>
      <c r="H355" s="238"/>
      <c r="I355" s="238"/>
    </row>
    <row r="356" spans="1:9" hidden="1">
      <c r="A356" s="177">
        <f t="shared" si="85"/>
        <v>1900</v>
      </c>
      <c r="B356" s="178" t="str">
        <f t="shared" si="86"/>
        <v>1</v>
      </c>
      <c r="C356" s="231">
        <f t="shared" si="84"/>
        <v>19001</v>
      </c>
      <c r="E356" s="238"/>
      <c r="F356" s="238"/>
      <c r="G356" s="238"/>
      <c r="H356" s="238"/>
      <c r="I356" s="238"/>
    </row>
    <row r="357" spans="1:9" hidden="1">
      <c r="A357" s="177">
        <f t="shared" si="85"/>
        <v>1900</v>
      </c>
      <c r="B357" s="178" t="str">
        <f t="shared" si="86"/>
        <v>1</v>
      </c>
      <c r="C357" s="231">
        <f t="shared" si="84"/>
        <v>19001</v>
      </c>
      <c r="E357" s="238"/>
      <c r="F357" s="238"/>
      <c r="G357" s="238"/>
      <c r="H357" s="238"/>
      <c r="I357" s="238"/>
    </row>
    <row r="358" spans="1:9" hidden="1">
      <c r="A358" s="177">
        <f t="shared" si="85"/>
        <v>1900</v>
      </c>
      <c r="B358" s="178" t="str">
        <f t="shared" si="86"/>
        <v>1</v>
      </c>
      <c r="C358" s="231">
        <f t="shared" si="84"/>
        <v>19001</v>
      </c>
      <c r="E358" s="238"/>
      <c r="F358" s="238"/>
      <c r="G358" s="238"/>
      <c r="H358" s="238"/>
      <c r="I358" s="238"/>
    </row>
    <row r="359" spans="1:9" hidden="1">
      <c r="A359" s="177">
        <f t="shared" si="85"/>
        <v>1900</v>
      </c>
      <c r="B359" s="178" t="str">
        <f t="shared" si="86"/>
        <v>1</v>
      </c>
      <c r="C359" s="231">
        <f t="shared" si="84"/>
        <v>19001</v>
      </c>
      <c r="E359" s="238"/>
      <c r="F359" s="238"/>
      <c r="G359" s="238"/>
      <c r="H359" s="238"/>
      <c r="I359" s="238"/>
    </row>
    <row r="360" spans="1:9" hidden="1">
      <c r="A360" s="177">
        <f t="shared" si="85"/>
        <v>1900</v>
      </c>
      <c r="B360" s="178" t="str">
        <f t="shared" si="86"/>
        <v>1</v>
      </c>
      <c r="C360" s="231">
        <f t="shared" si="84"/>
        <v>19001</v>
      </c>
      <c r="E360" s="238"/>
      <c r="F360" s="238"/>
      <c r="G360" s="238"/>
      <c r="H360" s="238"/>
      <c r="I360" s="238"/>
    </row>
    <row r="361" spans="1:9" hidden="1">
      <c r="A361" s="177">
        <f t="shared" si="85"/>
        <v>1900</v>
      </c>
      <c r="B361" s="178" t="str">
        <f t="shared" si="86"/>
        <v>1</v>
      </c>
      <c r="C361" s="231">
        <f t="shared" si="84"/>
        <v>19001</v>
      </c>
      <c r="E361" s="238"/>
      <c r="F361" s="238"/>
      <c r="G361" s="238"/>
      <c r="H361" s="238"/>
      <c r="I361" s="238"/>
    </row>
    <row r="362" spans="1:9" hidden="1">
      <c r="A362" s="177">
        <f t="shared" si="85"/>
        <v>1900</v>
      </c>
      <c r="B362" s="178" t="str">
        <f t="shared" si="86"/>
        <v>1</v>
      </c>
      <c r="C362" s="231">
        <f t="shared" si="84"/>
        <v>19001</v>
      </c>
      <c r="E362" s="238"/>
      <c r="F362" s="238"/>
      <c r="G362" s="238"/>
      <c r="H362" s="238"/>
      <c r="I362" s="238"/>
    </row>
    <row r="363" spans="1:9" hidden="1">
      <c r="A363" s="177">
        <f t="shared" si="85"/>
        <v>1900</v>
      </c>
      <c r="B363" s="178" t="str">
        <f t="shared" si="86"/>
        <v>1</v>
      </c>
      <c r="C363" s="231">
        <f t="shared" si="84"/>
        <v>19001</v>
      </c>
      <c r="E363" s="238"/>
      <c r="F363" s="238"/>
      <c r="G363" s="238"/>
      <c r="H363" s="238"/>
      <c r="I363" s="238"/>
    </row>
    <row r="364" spans="1:9" hidden="1">
      <c r="A364" s="177">
        <f t="shared" si="85"/>
        <v>1900</v>
      </c>
      <c r="B364" s="178" t="str">
        <f t="shared" si="86"/>
        <v>1</v>
      </c>
      <c r="C364" s="231">
        <f t="shared" si="84"/>
        <v>19001</v>
      </c>
      <c r="E364" s="238"/>
      <c r="F364" s="238"/>
      <c r="G364" s="238"/>
      <c r="H364" s="238"/>
      <c r="I364" s="238"/>
    </row>
    <row r="365" spans="1:9" hidden="1">
      <c r="A365" s="177">
        <f t="shared" si="85"/>
        <v>1900</v>
      </c>
      <c r="B365" s="178" t="str">
        <f t="shared" si="86"/>
        <v>1</v>
      </c>
      <c r="C365" s="231">
        <f t="shared" si="84"/>
        <v>19001</v>
      </c>
      <c r="E365" s="238"/>
      <c r="F365" s="238"/>
      <c r="G365" s="238"/>
      <c r="H365" s="238"/>
      <c r="I365" s="238"/>
    </row>
    <row r="366" spans="1:9" hidden="1">
      <c r="A366" s="177">
        <f t="shared" si="85"/>
        <v>1900</v>
      </c>
      <c r="B366" s="178" t="str">
        <f t="shared" si="86"/>
        <v>1</v>
      </c>
      <c r="C366" s="231">
        <f t="shared" si="84"/>
        <v>19001</v>
      </c>
      <c r="E366" s="238"/>
      <c r="F366" s="238"/>
      <c r="G366" s="238"/>
      <c r="H366" s="238"/>
      <c r="I366" s="238"/>
    </row>
    <row r="367" spans="1:9" hidden="1">
      <c r="A367" s="177">
        <f t="shared" si="85"/>
        <v>1900</v>
      </c>
      <c r="B367" s="178" t="str">
        <f t="shared" si="86"/>
        <v>1</v>
      </c>
      <c r="C367" s="231">
        <f t="shared" si="84"/>
        <v>19001</v>
      </c>
      <c r="E367" s="238"/>
      <c r="F367" s="238"/>
      <c r="G367" s="238"/>
      <c r="H367" s="238"/>
      <c r="I367" s="238"/>
    </row>
    <row r="368" spans="1:9" hidden="1">
      <c r="A368" s="177">
        <f t="shared" si="85"/>
        <v>1900</v>
      </c>
      <c r="B368" s="178" t="str">
        <f t="shared" si="86"/>
        <v>1</v>
      </c>
      <c r="C368" s="231">
        <f t="shared" si="84"/>
        <v>19001</v>
      </c>
      <c r="E368" s="238"/>
      <c r="F368" s="238"/>
      <c r="G368" s="238"/>
      <c r="H368" s="238"/>
      <c r="I368" s="238"/>
    </row>
    <row r="369" spans="1:9" hidden="1">
      <c r="A369" s="177">
        <f t="shared" si="85"/>
        <v>1900</v>
      </c>
      <c r="B369" s="178" t="str">
        <f t="shared" si="86"/>
        <v>1</v>
      </c>
      <c r="C369" s="231">
        <f t="shared" si="84"/>
        <v>19001</v>
      </c>
      <c r="E369" s="238"/>
      <c r="F369" s="238"/>
      <c r="G369" s="238"/>
      <c r="H369" s="238"/>
      <c r="I369" s="238"/>
    </row>
    <row r="370" spans="1:9" hidden="1">
      <c r="A370" s="177">
        <f t="shared" si="85"/>
        <v>1900</v>
      </c>
      <c r="B370" s="178" t="str">
        <f t="shared" si="86"/>
        <v>1</v>
      </c>
      <c r="C370" s="231">
        <f t="shared" si="84"/>
        <v>19001</v>
      </c>
      <c r="E370" s="238"/>
      <c r="F370" s="238"/>
      <c r="G370" s="238"/>
      <c r="H370" s="238"/>
      <c r="I370" s="238"/>
    </row>
    <row r="371" spans="1:9" hidden="1">
      <c r="A371" s="177">
        <f t="shared" si="85"/>
        <v>1900</v>
      </c>
      <c r="B371" s="178" t="str">
        <f t="shared" si="86"/>
        <v>1</v>
      </c>
      <c r="C371" s="231">
        <f t="shared" si="84"/>
        <v>19001</v>
      </c>
      <c r="E371" s="238"/>
      <c r="F371" s="238"/>
      <c r="G371" s="238"/>
      <c r="H371" s="238"/>
      <c r="I371" s="238"/>
    </row>
    <row r="372" spans="1:9" hidden="1">
      <c r="A372" s="177">
        <f t="shared" si="85"/>
        <v>1900</v>
      </c>
      <c r="B372" s="178" t="str">
        <f t="shared" si="86"/>
        <v>1</v>
      </c>
      <c r="C372" s="231">
        <f t="shared" si="84"/>
        <v>19001</v>
      </c>
      <c r="E372" s="238"/>
      <c r="F372" s="238"/>
      <c r="G372" s="238"/>
      <c r="H372" s="238"/>
      <c r="I372" s="238"/>
    </row>
    <row r="373" spans="1:9" hidden="1">
      <c r="A373" s="177">
        <f t="shared" si="85"/>
        <v>1900</v>
      </c>
      <c r="B373" s="178" t="str">
        <f t="shared" si="86"/>
        <v>1</v>
      </c>
      <c r="C373" s="231">
        <f t="shared" si="84"/>
        <v>19001</v>
      </c>
      <c r="E373" s="238"/>
      <c r="F373" s="238"/>
      <c r="G373" s="238"/>
      <c r="H373" s="238"/>
      <c r="I373" s="238"/>
    </row>
    <row r="374" spans="1:9" hidden="1">
      <c r="A374" s="177">
        <f t="shared" si="85"/>
        <v>1900</v>
      </c>
      <c r="B374" s="178" t="str">
        <f t="shared" si="86"/>
        <v>1</v>
      </c>
      <c r="C374" s="231">
        <f t="shared" si="84"/>
        <v>19001</v>
      </c>
      <c r="E374" s="238"/>
      <c r="F374" s="238"/>
      <c r="G374" s="238"/>
      <c r="H374" s="238"/>
      <c r="I374" s="238"/>
    </row>
    <row r="375" spans="1:9" hidden="1">
      <c r="A375" s="177">
        <f t="shared" si="85"/>
        <v>1900</v>
      </c>
      <c r="B375" s="178" t="str">
        <f t="shared" si="86"/>
        <v>1</v>
      </c>
      <c r="C375" s="231">
        <f t="shared" si="84"/>
        <v>19001</v>
      </c>
      <c r="E375" s="238"/>
      <c r="F375" s="238"/>
      <c r="G375" s="238"/>
      <c r="H375" s="238"/>
      <c r="I375" s="238"/>
    </row>
    <row r="376" spans="1:9" hidden="1">
      <c r="A376" s="177">
        <f t="shared" si="85"/>
        <v>1900</v>
      </c>
      <c r="B376" s="178" t="str">
        <f t="shared" si="86"/>
        <v>1</v>
      </c>
      <c r="C376" s="231">
        <f t="shared" si="84"/>
        <v>19001</v>
      </c>
    </row>
    <row r="377" spans="1:9" hidden="1">
      <c r="A377" s="177">
        <f t="shared" si="85"/>
        <v>1900</v>
      </c>
      <c r="B377" s="178" t="str">
        <f t="shared" si="86"/>
        <v>1</v>
      </c>
      <c r="C377" s="231">
        <f t="shared" si="84"/>
        <v>19001</v>
      </c>
      <c r="E377" s="239"/>
      <c r="F377" s="239"/>
      <c r="H377" s="239"/>
      <c r="I377" s="239"/>
    </row>
    <row r="378" spans="1:9" hidden="1">
      <c r="A378" s="177">
        <f t="shared" si="85"/>
        <v>1900</v>
      </c>
      <c r="B378" s="178" t="str">
        <f t="shared" si="86"/>
        <v>1</v>
      </c>
      <c r="C378" s="231">
        <f t="shared" si="84"/>
        <v>19001</v>
      </c>
    </row>
    <row r="379" spans="1:9" hidden="1">
      <c r="A379" s="177">
        <f t="shared" si="85"/>
        <v>1900</v>
      </c>
      <c r="B379" s="178" t="str">
        <f t="shared" si="86"/>
        <v>1</v>
      </c>
      <c r="C379" s="231">
        <f t="shared" si="84"/>
        <v>19001</v>
      </c>
    </row>
    <row r="380" spans="1:9" hidden="1">
      <c r="A380" s="177">
        <f t="shared" si="85"/>
        <v>1900</v>
      </c>
      <c r="B380" s="178" t="str">
        <f t="shared" si="86"/>
        <v>1</v>
      </c>
      <c r="C380" s="231">
        <f t="shared" ref="C380:C429" si="87">_xlfn.NUMBERVALUE(CONCATENATE(A380,B380))</f>
        <v>19001</v>
      </c>
    </row>
    <row r="381" spans="1:9" hidden="1">
      <c r="A381" s="177">
        <f t="shared" si="85"/>
        <v>1900</v>
      </c>
      <c r="B381" s="178" t="str">
        <f t="shared" si="86"/>
        <v>1</v>
      </c>
      <c r="C381" s="231">
        <f t="shared" si="87"/>
        <v>19001</v>
      </c>
    </row>
    <row r="382" spans="1:9" hidden="1">
      <c r="A382" s="177">
        <f t="shared" si="85"/>
        <v>1900</v>
      </c>
      <c r="B382" s="178" t="str">
        <f t="shared" si="86"/>
        <v>1</v>
      </c>
      <c r="C382" s="231">
        <f t="shared" si="87"/>
        <v>19001</v>
      </c>
    </row>
    <row r="383" spans="1:9" hidden="1">
      <c r="A383" s="177">
        <f t="shared" si="85"/>
        <v>1900</v>
      </c>
      <c r="B383" s="178" t="str">
        <f t="shared" si="86"/>
        <v>1</v>
      </c>
      <c r="C383" s="231">
        <f t="shared" si="87"/>
        <v>19001</v>
      </c>
    </row>
    <row r="384" spans="1:9" hidden="1">
      <c r="A384" s="177">
        <f t="shared" si="85"/>
        <v>1900</v>
      </c>
      <c r="B384" s="178" t="str">
        <f t="shared" si="86"/>
        <v>1</v>
      </c>
      <c r="C384" s="231">
        <f t="shared" si="87"/>
        <v>19001</v>
      </c>
    </row>
    <row r="385" spans="1:3" hidden="1">
      <c r="A385" s="177">
        <f t="shared" si="85"/>
        <v>1900</v>
      </c>
      <c r="B385" s="178" t="str">
        <f t="shared" si="86"/>
        <v>1</v>
      </c>
      <c r="C385" s="231">
        <f t="shared" si="87"/>
        <v>19001</v>
      </c>
    </row>
    <row r="386" spans="1:3" hidden="1">
      <c r="A386" s="177">
        <f t="shared" si="85"/>
        <v>1900</v>
      </c>
      <c r="B386" s="178" t="str">
        <f t="shared" si="86"/>
        <v>1</v>
      </c>
      <c r="C386" s="231">
        <f t="shared" si="87"/>
        <v>19001</v>
      </c>
    </row>
    <row r="387" spans="1:3" hidden="1">
      <c r="A387" s="177">
        <f t="shared" si="85"/>
        <v>1900</v>
      </c>
      <c r="B387" s="178" t="str">
        <f t="shared" si="86"/>
        <v>1</v>
      </c>
      <c r="C387" s="231">
        <f t="shared" si="87"/>
        <v>19001</v>
      </c>
    </row>
    <row r="388" spans="1:3" hidden="1">
      <c r="A388" s="177">
        <f t="shared" si="85"/>
        <v>1900</v>
      </c>
      <c r="B388" s="178" t="str">
        <f t="shared" si="86"/>
        <v>1</v>
      </c>
      <c r="C388" s="231">
        <f t="shared" si="87"/>
        <v>19001</v>
      </c>
    </row>
    <row r="389" spans="1:3" hidden="1">
      <c r="A389" s="177">
        <f t="shared" si="85"/>
        <v>1900</v>
      </c>
      <c r="B389" s="178" t="str">
        <f t="shared" si="86"/>
        <v>1</v>
      </c>
      <c r="C389" s="231">
        <f t="shared" si="87"/>
        <v>19001</v>
      </c>
    </row>
    <row r="390" spans="1:3" hidden="1">
      <c r="A390" s="177">
        <f t="shared" si="85"/>
        <v>1900</v>
      </c>
      <c r="B390" s="178" t="str">
        <f t="shared" si="86"/>
        <v>1</v>
      </c>
      <c r="C390" s="231">
        <f t="shared" si="87"/>
        <v>19001</v>
      </c>
    </row>
    <row r="391" spans="1:3" hidden="1">
      <c r="A391" s="177">
        <f t="shared" si="85"/>
        <v>1900</v>
      </c>
      <c r="B391" s="178" t="str">
        <f t="shared" si="86"/>
        <v>1</v>
      </c>
      <c r="C391" s="231">
        <f t="shared" si="87"/>
        <v>19001</v>
      </c>
    </row>
    <row r="392" spans="1:3" hidden="1">
      <c r="A392" s="177">
        <f t="shared" si="85"/>
        <v>1900</v>
      </c>
      <c r="B392" s="178" t="str">
        <f t="shared" si="86"/>
        <v>1</v>
      </c>
      <c r="C392" s="231">
        <f t="shared" si="87"/>
        <v>19001</v>
      </c>
    </row>
    <row r="393" spans="1:3" hidden="1">
      <c r="A393" s="177">
        <f t="shared" si="85"/>
        <v>1900</v>
      </c>
      <c r="B393" s="178" t="str">
        <f t="shared" si="86"/>
        <v>1</v>
      </c>
      <c r="C393" s="231">
        <f t="shared" si="87"/>
        <v>19001</v>
      </c>
    </row>
    <row r="394" spans="1:3" hidden="1">
      <c r="A394" s="177">
        <f t="shared" si="85"/>
        <v>1900</v>
      </c>
      <c r="B394" s="178" t="str">
        <f t="shared" si="86"/>
        <v>1</v>
      </c>
      <c r="C394" s="231">
        <f t="shared" si="87"/>
        <v>19001</v>
      </c>
    </row>
    <row r="395" spans="1:3" hidden="1">
      <c r="A395" s="177">
        <f t="shared" si="85"/>
        <v>1900</v>
      </c>
      <c r="B395" s="178" t="str">
        <f t="shared" si="86"/>
        <v>1</v>
      </c>
      <c r="C395" s="231">
        <f t="shared" si="87"/>
        <v>19001</v>
      </c>
    </row>
    <row r="396" spans="1:3" hidden="1">
      <c r="A396" s="177">
        <f t="shared" si="85"/>
        <v>1900</v>
      </c>
      <c r="B396" s="178" t="str">
        <f t="shared" si="86"/>
        <v>1</v>
      </c>
      <c r="C396" s="231">
        <f t="shared" si="87"/>
        <v>19001</v>
      </c>
    </row>
    <row r="397" spans="1:3" hidden="1">
      <c r="A397" s="177">
        <f t="shared" si="85"/>
        <v>1900</v>
      </c>
      <c r="B397" s="178" t="str">
        <f t="shared" si="86"/>
        <v>1</v>
      </c>
      <c r="C397" s="231">
        <f t="shared" si="87"/>
        <v>19001</v>
      </c>
    </row>
    <row r="398" spans="1:3" hidden="1">
      <c r="A398" s="177">
        <f t="shared" si="85"/>
        <v>1900</v>
      </c>
      <c r="B398" s="178" t="str">
        <f t="shared" si="86"/>
        <v>1</v>
      </c>
      <c r="C398" s="231">
        <f t="shared" si="87"/>
        <v>19001</v>
      </c>
    </row>
    <row r="399" spans="1:3" hidden="1">
      <c r="A399" s="177">
        <f t="shared" si="85"/>
        <v>1900</v>
      </c>
      <c r="B399" s="178" t="str">
        <f t="shared" si="86"/>
        <v>1</v>
      </c>
      <c r="C399" s="231">
        <f t="shared" si="87"/>
        <v>19001</v>
      </c>
    </row>
    <row r="400" spans="1:3" hidden="1">
      <c r="A400" s="177">
        <f t="shared" si="85"/>
        <v>1900</v>
      </c>
      <c r="B400" s="178" t="str">
        <f t="shared" si="86"/>
        <v>1</v>
      </c>
      <c r="C400" s="231">
        <f t="shared" si="87"/>
        <v>19001</v>
      </c>
    </row>
    <row r="401" spans="1:3" hidden="1">
      <c r="A401" s="177">
        <f t="shared" si="85"/>
        <v>1900</v>
      </c>
      <c r="B401" s="178" t="str">
        <f t="shared" si="86"/>
        <v>1</v>
      </c>
      <c r="C401" s="231">
        <f t="shared" si="87"/>
        <v>19001</v>
      </c>
    </row>
    <row r="402" spans="1:3" hidden="1">
      <c r="A402" s="177">
        <f t="shared" si="85"/>
        <v>1900</v>
      </c>
      <c r="B402" s="178" t="str">
        <f t="shared" si="86"/>
        <v>1</v>
      </c>
      <c r="C402" s="231">
        <f t="shared" si="87"/>
        <v>19001</v>
      </c>
    </row>
    <row r="403" spans="1:3" hidden="1">
      <c r="A403" s="177">
        <f t="shared" si="85"/>
        <v>1900</v>
      </c>
      <c r="B403" s="178" t="str">
        <f t="shared" si="86"/>
        <v>1</v>
      </c>
      <c r="C403" s="231">
        <f t="shared" si="87"/>
        <v>19001</v>
      </c>
    </row>
    <row r="404" spans="1:3" hidden="1">
      <c r="A404" s="177">
        <f t="shared" si="85"/>
        <v>1900</v>
      </c>
      <c r="B404" s="178" t="str">
        <f t="shared" si="86"/>
        <v>1</v>
      </c>
      <c r="C404" s="231">
        <f t="shared" si="87"/>
        <v>19001</v>
      </c>
    </row>
    <row r="405" spans="1:3" hidden="1">
      <c r="A405" s="177">
        <f t="shared" si="85"/>
        <v>1900</v>
      </c>
      <c r="B405" s="178" t="str">
        <f t="shared" si="86"/>
        <v>1</v>
      </c>
      <c r="C405" s="231">
        <f t="shared" si="87"/>
        <v>19001</v>
      </c>
    </row>
    <row r="406" spans="1:3" hidden="1">
      <c r="A406" s="177">
        <f t="shared" si="85"/>
        <v>1900</v>
      </c>
      <c r="B406" s="178" t="str">
        <f t="shared" si="86"/>
        <v>1</v>
      </c>
      <c r="C406" s="231">
        <f t="shared" si="87"/>
        <v>19001</v>
      </c>
    </row>
    <row r="407" spans="1:3" hidden="1">
      <c r="A407" s="177">
        <f t="shared" si="85"/>
        <v>1900</v>
      </c>
      <c r="B407" s="178" t="str">
        <f t="shared" si="86"/>
        <v>1</v>
      </c>
      <c r="C407" s="231">
        <f t="shared" si="87"/>
        <v>19001</v>
      </c>
    </row>
    <row r="408" spans="1:3" hidden="1">
      <c r="A408" s="177">
        <f t="shared" ref="A408:A429" si="88">YEAR(D408)</f>
        <v>1900</v>
      </c>
      <c r="B408" s="178" t="str">
        <f t="shared" ref="B408:B429" si="89">IF(MONTH(D408)&lt;4,"1",IF(MONTH(D408)&lt;7,"2",IF(MONTH(D408)&lt;10,"3","4")))</f>
        <v>1</v>
      </c>
      <c r="C408" s="231">
        <f t="shared" si="87"/>
        <v>19001</v>
      </c>
    </row>
    <row r="409" spans="1:3" hidden="1">
      <c r="A409" s="177">
        <f t="shared" si="88"/>
        <v>1900</v>
      </c>
      <c r="B409" s="178" t="str">
        <f t="shared" si="89"/>
        <v>1</v>
      </c>
      <c r="C409" s="231">
        <f t="shared" si="87"/>
        <v>19001</v>
      </c>
    </row>
    <row r="410" spans="1:3" hidden="1">
      <c r="A410" s="177">
        <f t="shared" si="88"/>
        <v>1900</v>
      </c>
      <c r="B410" s="178" t="str">
        <f t="shared" si="89"/>
        <v>1</v>
      </c>
      <c r="C410" s="231">
        <f t="shared" si="87"/>
        <v>19001</v>
      </c>
    </row>
    <row r="411" spans="1:3" hidden="1">
      <c r="A411" s="177">
        <f t="shared" si="88"/>
        <v>1900</v>
      </c>
      <c r="B411" s="178" t="str">
        <f t="shared" si="89"/>
        <v>1</v>
      </c>
      <c r="C411" s="231">
        <f t="shared" si="87"/>
        <v>19001</v>
      </c>
    </row>
    <row r="412" spans="1:3" hidden="1">
      <c r="A412" s="177">
        <f t="shared" si="88"/>
        <v>1900</v>
      </c>
      <c r="B412" s="178" t="str">
        <f t="shared" si="89"/>
        <v>1</v>
      </c>
      <c r="C412" s="231">
        <f t="shared" si="87"/>
        <v>19001</v>
      </c>
    </row>
    <row r="413" spans="1:3" hidden="1">
      <c r="A413" s="177">
        <f t="shared" si="88"/>
        <v>1900</v>
      </c>
      <c r="B413" s="178" t="str">
        <f t="shared" si="89"/>
        <v>1</v>
      </c>
      <c r="C413" s="231">
        <f t="shared" si="87"/>
        <v>19001</v>
      </c>
    </row>
    <row r="414" spans="1:3" hidden="1">
      <c r="A414" s="177">
        <f t="shared" si="88"/>
        <v>1900</v>
      </c>
      <c r="B414" s="178" t="str">
        <f t="shared" si="89"/>
        <v>1</v>
      </c>
      <c r="C414" s="231">
        <f t="shared" si="87"/>
        <v>19001</v>
      </c>
    </row>
    <row r="415" spans="1:3" hidden="1">
      <c r="A415" s="177">
        <f t="shared" si="88"/>
        <v>1900</v>
      </c>
      <c r="B415" s="178" t="str">
        <f t="shared" si="89"/>
        <v>1</v>
      </c>
      <c r="C415" s="231">
        <f t="shared" si="87"/>
        <v>19001</v>
      </c>
    </row>
    <row r="416" spans="1:3" hidden="1">
      <c r="A416" s="177">
        <f t="shared" si="88"/>
        <v>1900</v>
      </c>
      <c r="B416" s="178" t="str">
        <f t="shared" si="89"/>
        <v>1</v>
      </c>
      <c r="C416" s="231">
        <f t="shared" si="87"/>
        <v>19001</v>
      </c>
    </row>
    <row r="417" spans="1:3" hidden="1">
      <c r="A417" s="177">
        <f t="shared" si="88"/>
        <v>1900</v>
      </c>
      <c r="B417" s="178" t="str">
        <f t="shared" si="89"/>
        <v>1</v>
      </c>
      <c r="C417" s="231">
        <f t="shared" si="87"/>
        <v>19001</v>
      </c>
    </row>
    <row r="418" spans="1:3" hidden="1">
      <c r="A418" s="177">
        <f t="shared" si="88"/>
        <v>1900</v>
      </c>
      <c r="B418" s="178" t="str">
        <f t="shared" si="89"/>
        <v>1</v>
      </c>
      <c r="C418" s="231">
        <f t="shared" si="87"/>
        <v>19001</v>
      </c>
    </row>
    <row r="419" spans="1:3" hidden="1">
      <c r="A419" s="177">
        <f t="shared" si="88"/>
        <v>1900</v>
      </c>
      <c r="B419" s="178" t="str">
        <f t="shared" si="89"/>
        <v>1</v>
      </c>
      <c r="C419" s="231">
        <f t="shared" si="87"/>
        <v>19001</v>
      </c>
    </row>
    <row r="420" spans="1:3" hidden="1">
      <c r="A420" s="177">
        <f t="shared" si="88"/>
        <v>1900</v>
      </c>
      <c r="B420" s="178" t="str">
        <f t="shared" si="89"/>
        <v>1</v>
      </c>
      <c r="C420" s="231">
        <f t="shared" si="87"/>
        <v>19001</v>
      </c>
    </row>
    <row r="421" spans="1:3" hidden="1">
      <c r="A421" s="177">
        <f t="shared" si="88"/>
        <v>1900</v>
      </c>
      <c r="B421" s="178" t="str">
        <f t="shared" si="89"/>
        <v>1</v>
      </c>
      <c r="C421" s="231">
        <f t="shared" si="87"/>
        <v>19001</v>
      </c>
    </row>
    <row r="422" spans="1:3" hidden="1">
      <c r="A422" s="177">
        <f t="shared" si="88"/>
        <v>1900</v>
      </c>
      <c r="B422" s="178" t="str">
        <f t="shared" si="89"/>
        <v>1</v>
      </c>
      <c r="C422" s="231">
        <f t="shared" si="87"/>
        <v>19001</v>
      </c>
    </row>
    <row r="423" spans="1:3" hidden="1">
      <c r="A423" s="177">
        <f t="shared" si="88"/>
        <v>1900</v>
      </c>
      <c r="B423" s="178" t="str">
        <f t="shared" si="89"/>
        <v>1</v>
      </c>
      <c r="C423" s="231">
        <f t="shared" si="87"/>
        <v>19001</v>
      </c>
    </row>
    <row r="424" spans="1:3" hidden="1">
      <c r="A424" s="177">
        <f t="shared" si="88"/>
        <v>1900</v>
      </c>
      <c r="B424" s="178" t="str">
        <f t="shared" si="89"/>
        <v>1</v>
      </c>
      <c r="C424" s="231">
        <f t="shared" si="87"/>
        <v>19001</v>
      </c>
    </row>
    <row r="425" spans="1:3" hidden="1">
      <c r="A425" s="177">
        <f t="shared" si="88"/>
        <v>1900</v>
      </c>
      <c r="B425" s="178" t="str">
        <f t="shared" si="89"/>
        <v>1</v>
      </c>
      <c r="C425" s="231">
        <f t="shared" si="87"/>
        <v>19001</v>
      </c>
    </row>
    <row r="426" spans="1:3" hidden="1">
      <c r="A426" s="177">
        <f t="shared" si="88"/>
        <v>1900</v>
      </c>
      <c r="B426" s="178" t="str">
        <f t="shared" si="89"/>
        <v>1</v>
      </c>
      <c r="C426" s="231">
        <f t="shared" si="87"/>
        <v>19001</v>
      </c>
    </row>
    <row r="427" spans="1:3" hidden="1">
      <c r="A427" s="177">
        <f t="shared" si="88"/>
        <v>1900</v>
      </c>
      <c r="B427" s="178" t="str">
        <f t="shared" si="89"/>
        <v>1</v>
      </c>
      <c r="C427" s="231">
        <f t="shared" si="87"/>
        <v>19001</v>
      </c>
    </row>
    <row r="428" spans="1:3" hidden="1">
      <c r="A428" s="177">
        <f t="shared" si="88"/>
        <v>1900</v>
      </c>
      <c r="B428" s="178" t="str">
        <f t="shared" si="89"/>
        <v>1</v>
      </c>
      <c r="C428" s="231">
        <f t="shared" si="87"/>
        <v>19001</v>
      </c>
    </row>
    <row r="429" spans="1:3" hidden="1">
      <c r="A429" s="177">
        <f t="shared" si="88"/>
        <v>1900</v>
      </c>
      <c r="B429" s="178" t="str">
        <f t="shared" si="89"/>
        <v>1</v>
      </c>
      <c r="C429" s="231">
        <f t="shared" si="87"/>
        <v>19001</v>
      </c>
    </row>
  </sheetData>
  <mergeCells count="5">
    <mergeCell ref="N185:T185"/>
    <mergeCell ref="W184:AC184"/>
    <mergeCell ref="W6:AD6"/>
    <mergeCell ref="N6:U6"/>
    <mergeCell ref="D6:L6"/>
  </mergeCells>
  <pageMargins left="0.75" right="0.75" top="1" bottom="1" header="0.5" footer="0.5"/>
  <pageSetup paperSize="9" orientation="portrait" r:id="rId1"/>
  <headerFooter alignWithMargins="0"/>
  <ignoredErrors>
    <ignoredError sqref="O8:T15 O16:T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8"/>
  <sheetViews>
    <sheetView showGridLines="0" zoomScaleNormal="100" workbookViewId="0">
      <selection activeCell="D72" sqref="D72"/>
    </sheetView>
  </sheetViews>
  <sheetFormatPr defaultColWidth="9.140625" defaultRowHeight="15"/>
  <cols>
    <col min="1" max="1" width="32.7109375" style="165" customWidth="1"/>
    <col min="2" max="2" width="16.7109375" style="165" bestFit="1" customWidth="1"/>
    <col min="3" max="3" width="18.42578125" style="165" customWidth="1"/>
    <col min="4" max="4" width="17.85546875" style="165" bestFit="1" customWidth="1"/>
    <col min="5" max="5" width="13.28515625" style="165" bestFit="1" customWidth="1"/>
    <col min="6" max="16384" width="9.140625" style="165"/>
  </cols>
  <sheetData>
    <row r="1" spans="1:22" ht="15.75" thickBot="1">
      <c r="B1" s="205"/>
      <c r="D1" s="139" t="s">
        <v>193</v>
      </c>
      <c r="E1" s="138" t="s">
        <v>194</v>
      </c>
      <c r="U1" s="137" t="s">
        <v>194</v>
      </c>
      <c r="V1" s="137" t="s">
        <v>194</v>
      </c>
    </row>
    <row r="2" spans="1:22">
      <c r="U2" s="137" t="s">
        <v>195</v>
      </c>
    </row>
    <row r="5" spans="1:22">
      <c r="A5" s="33"/>
      <c r="B5" s="33"/>
      <c r="C5" s="33"/>
      <c r="D5" s="33"/>
      <c r="E5" s="33"/>
    </row>
    <row r="6" spans="1:22" ht="18.75" customHeight="1" thickBot="1">
      <c r="A6" s="1051" t="str">
        <f ca="1">CONCATENATE("Royalty Receipts And North West Shelf Grants ",B7," and ",C7)</f>
        <v>Royalty Receipts And North West Shelf Grants 2019-20 and 2020-21</v>
      </c>
      <c r="B6" s="1051"/>
      <c r="C6" s="1051"/>
      <c r="D6" s="1051"/>
      <c r="E6" s="1051"/>
    </row>
    <row r="7" spans="1:22">
      <c r="A7" s="117"/>
      <c r="B7" s="118" t="str">
        <f ca="1">IF(E1="Calendar Year",LARGE('Royalties Historic'!B25:DD25,2),INDIRECT(CONCATENATE("'Royalties Historic'!",ADDRESS(8,('Royalties Historic'!A3-2),1,))))</f>
        <v>2019-20</v>
      </c>
      <c r="C7" s="118" t="str">
        <f ca="1">IF(E1="Calendar Year",LARGE('Royalties Historic'!B25:DD25,1),INDIRECT(CONCATENATE("'Royalties Historic'!",ADDRESS(8,('Royalties Historic'!A3-1),1,))))</f>
        <v>2020-21</v>
      </c>
      <c r="D7" s="1052" t="str">
        <f ca="1">CONCATENATE(C7," Growth")</f>
        <v>2020-21 Growth</v>
      </c>
      <c r="E7" s="1053"/>
      <c r="T7" s="137" t="str">
        <f ca="1">CONCATENATE("Royalty Revenue Growth "&amp;CHAR(10)&amp;B7&amp;" to "&amp;C7)</f>
        <v>Royalty Revenue Growth 
2019-20 to 2020-21</v>
      </c>
      <c r="U7" s="137" t="str">
        <f ca="1">CONCATENATE("Royalty Receipts And North West Shelf Grants "&amp;CHAR(10)&amp;C7)</f>
        <v>Royalty Receipts And North West Shelf Grants 
2020-21</v>
      </c>
    </row>
    <row r="8" spans="1:22">
      <c r="A8" s="119" t="s">
        <v>95</v>
      </c>
      <c r="B8" s="120" t="s">
        <v>103</v>
      </c>
      <c r="C8" s="120" t="s">
        <v>103</v>
      </c>
      <c r="D8" s="121" t="s">
        <v>4</v>
      </c>
      <c r="E8" s="140" t="s">
        <v>104</v>
      </c>
    </row>
    <row r="9" spans="1:22">
      <c r="A9" s="122" t="s">
        <v>6</v>
      </c>
      <c r="B9" s="497">
        <f>IF($E$1="Financial Year", 'Royalties Historic'!AL16,'Royalties Historic'!AK33)*1000000</f>
        <v>113602584.14</v>
      </c>
      <c r="C9" s="497">
        <f>IF($E$1="Financial Year", 'Royalties Historic'!AM16,'Royalties Historic'!AL33)*1000000</f>
        <v>92446233.109999985</v>
      </c>
      <c r="D9" s="498">
        <f>C9-B9</f>
        <v>-21156351.030000016</v>
      </c>
      <c r="E9" s="499">
        <f>D9/B9</f>
        <v>-0.18623124808435379</v>
      </c>
      <c r="F9" s="237"/>
      <c r="J9" s="165" t="str">
        <f ca="1">"Royalty Receipts and North West Shelf Grants"&amp;CHAR(10)&amp;C7</f>
        <v>Royalty Receipts and North West Shelf Grants
2020-21</v>
      </c>
    </row>
    <row r="10" spans="1:22">
      <c r="A10" s="122" t="s">
        <v>105</v>
      </c>
      <c r="B10" s="500">
        <f>IF($E$1="Financial Year", 'Royalties Historic'!AL18,'Royalties Historic'!AK35)*1000000</f>
        <v>67643884.63000001</v>
      </c>
      <c r="C10" s="500">
        <f>IF($E$1="Financial Year", 'Royalties Historic'!AM18,'Royalties Historic'!AL35)*1000000</f>
        <v>70545597.280000061</v>
      </c>
      <c r="D10" s="501">
        <f t="shared" ref="D10:D21" si="0">C10-B10</f>
        <v>2901712.6500000507</v>
      </c>
      <c r="E10" s="502">
        <f t="shared" ref="E10:E21" si="1">D10/B10</f>
        <v>4.2896895497233807E-2</v>
      </c>
      <c r="F10" s="237"/>
    </row>
    <row r="11" spans="1:22">
      <c r="A11" s="122" t="s">
        <v>45</v>
      </c>
      <c r="B11" s="503">
        <f>IF($E$1="Financial Year", 'Royalties Historic'!AL14,'Royalties Historic'!AK31)*1000000</f>
        <v>11335631.65</v>
      </c>
      <c r="C11" s="503">
        <f>IF($E$1="Financial Year", 'Royalties Historic'!AM14,'Royalties Historic'!AL31)*1000000</f>
        <v>9432108.5500000007</v>
      </c>
      <c r="D11" s="498">
        <f t="shared" si="0"/>
        <v>-1903523.0999999996</v>
      </c>
      <c r="E11" s="504">
        <f t="shared" si="1"/>
        <v>-0.16792386686276981</v>
      </c>
      <c r="F11" s="237"/>
    </row>
    <row r="12" spans="1:22">
      <c r="A12" s="122" t="s">
        <v>8</v>
      </c>
      <c r="B12" s="500">
        <f>IF($E$1="Financial Year", 'Royalties Historic'!AL12,'Royalties Historic'!AK29)*1000000</f>
        <v>361428949.1000005</v>
      </c>
      <c r="C12" s="500">
        <f>IF($E$1="Financial Year", 'Royalties Historic'!AM12,'Royalties Historic'!AL29)*1000000</f>
        <v>415650663.54000014</v>
      </c>
      <c r="D12" s="501">
        <f t="shared" si="0"/>
        <v>54221714.43999964</v>
      </c>
      <c r="E12" s="502">
        <f t="shared" si="1"/>
        <v>0.15002039702413966</v>
      </c>
      <c r="F12" s="237"/>
    </row>
    <row r="13" spans="1:22">
      <c r="A13" s="122" t="s">
        <v>196</v>
      </c>
      <c r="B13" s="503">
        <f>IF($E$1="Financial Year", 'Royalties Historic'!AL19,'Royalties Historic'!AK36)*1000000</f>
        <v>23004162.609999996</v>
      </c>
      <c r="C13" s="503">
        <f>IF($E$1="Financial Year", 'Royalties Historic'!AM19,'Royalties Historic'!AL36)*1000000</f>
        <v>31042373.709999993</v>
      </c>
      <c r="D13" s="498">
        <f t="shared" si="0"/>
        <v>8038211.0999999978</v>
      </c>
      <c r="E13" s="504">
        <f t="shared" si="1"/>
        <v>0.34942419927538493</v>
      </c>
      <c r="F13" s="237"/>
      <c r="M13" s="137" t="str">
        <f ca="1">CONCATENATE("Royalty Receipts and North West Shelf Grants ",C7)</f>
        <v>Royalty Receipts and North West Shelf Grants 2020-21</v>
      </c>
    </row>
    <row r="14" spans="1:22">
      <c r="A14" s="122" t="s">
        <v>53</v>
      </c>
      <c r="B14" s="500">
        <f>IF($E$1="Financial Year", 'Royalties Historic'!AL13,'Royalties Historic'!AK30)*1000000</f>
        <v>7802720538.6000042</v>
      </c>
      <c r="C14" s="500">
        <f>IF($E$1="Financial Year", 'Royalties Historic'!AM13,'Royalties Historic'!AL30)*1000000</f>
        <v>9796786333.8000069</v>
      </c>
      <c r="D14" s="501">
        <f t="shared" si="0"/>
        <v>1994065795.2000027</v>
      </c>
      <c r="E14" s="502">
        <f t="shared" si="1"/>
        <v>0.25556032480406971</v>
      </c>
      <c r="F14" s="123"/>
      <c r="G14" s="141"/>
    </row>
    <row r="15" spans="1:22" s="247" customFormat="1">
      <c r="A15" s="122" t="s">
        <v>911</v>
      </c>
      <c r="B15" s="503">
        <f>IF($E$1="Financial Year", 'Royalties Historic'!AL17,'Royalties Historic'!AK34)*1000000</f>
        <v>66311831.10999997</v>
      </c>
      <c r="C15" s="503">
        <f>IF($E$1="Financial Year", 'Royalties Historic'!AM17,'Royalties Historic'!AL34)*1000000</f>
        <v>43324947.219999999</v>
      </c>
      <c r="D15" s="498">
        <f t="shared" ref="D15" si="2">C15-B15</f>
        <v>-22986883.889999971</v>
      </c>
      <c r="E15" s="504">
        <f t="shared" ref="E15" si="3">D15/B15</f>
        <v>-0.34664830551683407</v>
      </c>
      <c r="F15" s="124"/>
      <c r="G15" s="142"/>
    </row>
    <row r="16" spans="1:22">
      <c r="A16" s="122" t="s">
        <v>10</v>
      </c>
      <c r="B16" s="500">
        <f>IF($E$1="Financial Year", 'Royalties Historic'!AL15,'Royalties Historic'!AK32)*1000000</f>
        <v>76155816.980000004</v>
      </c>
      <c r="C16" s="500">
        <f>IF($E$1="Financial Year", 'Royalties Historic'!AM15,'Royalties Historic'!AL32)*1000000</f>
        <v>83530749.110000029</v>
      </c>
      <c r="D16" s="501">
        <f t="shared" si="0"/>
        <v>7374932.130000025</v>
      </c>
      <c r="E16" s="502">
        <f t="shared" si="1"/>
        <v>9.6840036946052657E-2</v>
      </c>
      <c r="F16" s="237"/>
    </row>
    <row r="17" spans="1:13">
      <c r="A17" s="122" t="s">
        <v>139</v>
      </c>
      <c r="B17" s="503">
        <f>IF($E$1="Financial Year", 'Royalties Historic'!AL11,'Royalties Historic'!AK28)*1000000</f>
        <v>6922254.3400000008</v>
      </c>
      <c r="C17" s="503">
        <f>IF($E$1="Financial Year", 'Royalties Historic'!AM11,'Royalties Historic'!AL28)*1000000</f>
        <v>2426255.5299999993</v>
      </c>
      <c r="D17" s="498">
        <f t="shared" si="0"/>
        <v>-4495998.8100000015</v>
      </c>
      <c r="E17" s="504">
        <f t="shared" si="1"/>
        <v>-0.64949922224325563</v>
      </c>
      <c r="F17" s="237"/>
    </row>
    <row r="18" spans="1:13">
      <c r="A18" s="122" t="s">
        <v>48</v>
      </c>
      <c r="B18" s="500">
        <f>IF($E$1="Financial Year", 'Royalties Historic'!AL10,'Royalties Historic'!AK27)*1000000</f>
        <v>78304997.259999976</v>
      </c>
      <c r="C18" s="500">
        <f>IF($E$1="Financial Year", 'Royalties Historic'!AM10,'Royalties Historic'!AL27)*1000000</f>
        <v>73271480.099999979</v>
      </c>
      <c r="D18" s="501">
        <f t="shared" si="0"/>
        <v>-5033517.1599999964</v>
      </c>
      <c r="E18" s="502">
        <f t="shared" si="1"/>
        <v>-6.4280918665854225E-2</v>
      </c>
      <c r="F18" s="237"/>
      <c r="M18" s="165" t="str">
        <f ca="1">"Revenue Growth"&amp;CHAR(10)&amp;B7&amp;" to "&amp;C7</f>
        <v>Revenue Growth
2019-20 to 2020-21</v>
      </c>
    </row>
    <row r="19" spans="1:13">
      <c r="A19" s="122" t="s">
        <v>1154</v>
      </c>
      <c r="B19" s="505">
        <f>IF($E$1="Financial Year", 'Royalties Historic'!AL21,'Royalties Historic'!AK38)*1000000</f>
        <v>8607430650.4200058</v>
      </c>
      <c r="C19" s="505">
        <f>IF($E$1="Financial Year", 'Royalties Historic'!AM21,'Royalties Historic'!AL38)*1000000</f>
        <v>10618456741.950016</v>
      </c>
      <c r="D19" s="506">
        <f t="shared" si="0"/>
        <v>2011026091.5300102</v>
      </c>
      <c r="E19" s="507">
        <f t="shared" si="1"/>
        <v>0.23363837284380337</v>
      </c>
    </row>
    <row r="20" spans="1:13" ht="15.75" thickBot="1">
      <c r="A20" s="122" t="s">
        <v>106</v>
      </c>
      <c r="B20" s="508">
        <f>IF($E$1="Financial Year", 'Royalties Historic'!AL20,'Royalties Historic'!AK37)*1000000</f>
        <v>690202283.90999997</v>
      </c>
      <c r="C20" s="508">
        <f>IF($E$1="Financial Year", 'Royalties Historic'!AM20,'Royalties Historic'!AL37)*1000000</f>
        <v>386231534.63</v>
      </c>
      <c r="D20" s="509">
        <f t="shared" si="0"/>
        <v>-303970749.27999997</v>
      </c>
      <c r="E20" s="510">
        <f t="shared" si="1"/>
        <v>-0.44040820548724341</v>
      </c>
      <c r="F20" s="237"/>
    </row>
    <row r="21" spans="1:13" ht="16.5" thickTop="1" thickBot="1">
      <c r="A21" s="125" t="s">
        <v>1155</v>
      </c>
      <c r="B21" s="511">
        <f>IF($E$1="Financial Year", 'Royalties Historic'!AL22,'Royalties Historic'!AK39)*1000000</f>
        <v>9297632934.3300056</v>
      </c>
      <c r="C21" s="511">
        <f>IF($E$1="Financial Year", 'Royalties Historic'!AM22,'Royalties Historic'!AL39)*1000000</f>
        <v>11004688276.580017</v>
      </c>
      <c r="D21" s="512">
        <f t="shared" si="0"/>
        <v>1707055342.2500114</v>
      </c>
      <c r="E21" s="513">
        <f t="shared" si="1"/>
        <v>0.18360106860607345</v>
      </c>
    </row>
    <row r="22" spans="1:13" ht="40.5" customHeight="1">
      <c r="A22" s="1054" t="str">
        <f ca="1">IF(E1="Calendar Year",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Regulation 86A of the Mining Regulations 1981 requires that royalties be paid within 30 days following the end of a quarter. As a result, the cash receipts are necessarily offset by one quarter, i.e. the 2020-21 financial year royalty receipts reflect the 2020 June, September and December quarters, and the 2021 March quarter.</v>
      </c>
      <c r="B22" s="1054"/>
      <c r="C22" s="1054"/>
      <c r="D22" s="1054"/>
      <c r="E22" s="1054"/>
      <c r="F22" s="89"/>
    </row>
    <row r="23" spans="1:13">
      <c r="F23" s="89"/>
    </row>
    <row r="24" spans="1:13">
      <c r="A24" s="1054"/>
      <c r="B24" s="1054"/>
      <c r="C24" s="1054"/>
      <c r="D24" s="1054"/>
      <c r="E24" s="1054"/>
    </row>
    <row r="25" spans="1:13">
      <c r="A25" s="190"/>
      <c r="B25" s="126"/>
      <c r="C25" s="126"/>
      <c r="D25" s="126"/>
      <c r="E25" s="126"/>
    </row>
    <row r="26" spans="1:13">
      <c r="A26" s="191"/>
    </row>
    <row r="27" spans="1:13">
      <c r="A27" s="191"/>
    </row>
    <row r="31" spans="1:13">
      <c r="C31" s="210"/>
    </row>
    <row r="33" spans="1:14">
      <c r="N33" s="202"/>
    </row>
    <row r="37" spans="1:14">
      <c r="A37" s="203"/>
    </row>
    <row r="237" spans="2:2">
      <c r="B237" s="202">
        <v>63.54</v>
      </c>
    </row>
    <row r="238" spans="2:2">
      <c r="B238" s="202">
        <v>63.86</v>
      </c>
    </row>
    <row r="239" spans="2:2">
      <c r="B239" s="202">
        <v>63.7</v>
      </c>
    </row>
    <row r="240" spans="2:2">
      <c r="B240" s="202">
        <v>64.67</v>
      </c>
    </row>
    <row r="241" spans="1:2">
      <c r="B241" s="202">
        <v>65.03</v>
      </c>
    </row>
    <row r="242" spans="1:2">
      <c r="A242" s="202"/>
      <c r="B242" s="202">
        <v>64.67</v>
      </c>
    </row>
    <row r="243" spans="1:2">
      <c r="A243" s="202"/>
      <c r="B243" s="202">
        <v>65.260000000000005</v>
      </c>
    </row>
    <row r="244" spans="1:2">
      <c r="A244" s="202"/>
      <c r="B244" s="202">
        <v>66.599999999999994</v>
      </c>
    </row>
    <row r="245" spans="1:2">
      <c r="A245" s="202"/>
      <c r="B245" s="202">
        <v>66.28</v>
      </c>
    </row>
    <row r="246" spans="1:2">
      <c r="A246" s="202"/>
      <c r="B246" s="202">
        <v>65.11</v>
      </c>
    </row>
    <row r="247" spans="1:2">
      <c r="A247" s="202"/>
      <c r="B247" s="202">
        <v>64.040000000000006</v>
      </c>
    </row>
    <row r="248" spans="1:2">
      <c r="A248" s="202"/>
      <c r="B248" s="202">
        <v>64.569999999999993</v>
      </c>
    </row>
  </sheetData>
  <mergeCells count="4">
    <mergeCell ref="A6:E6"/>
    <mergeCell ref="D7:E7"/>
    <mergeCell ref="A22:E22"/>
    <mergeCell ref="A24:E24"/>
  </mergeCells>
  <conditionalFormatting sqref="D9:E10 D19:E21">
    <cfRule type="cellIs" dxfId="2" priority="4" operator="lessThan">
      <formula>0</formula>
    </cfRule>
  </conditionalFormatting>
  <conditionalFormatting sqref="F14:G15">
    <cfRule type="cellIs" dxfId="1" priority="2" operator="lessThan">
      <formula>0</formula>
    </cfRule>
  </conditionalFormatting>
  <conditionalFormatting sqref="D11:E18">
    <cfRule type="cellIs" dxfId="0" priority="1"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15"/>
  <sheetViews>
    <sheetView showGridLines="0" zoomScaleNormal="100" workbookViewId="0">
      <pane xSplit="1" topLeftCell="B1" activePane="topRight" state="frozen"/>
      <selection pane="topRight" activeCell="C67" sqref="C67"/>
    </sheetView>
  </sheetViews>
  <sheetFormatPr defaultColWidth="9.140625" defaultRowHeight="15"/>
  <cols>
    <col min="1" max="1" width="66.85546875" style="33" customWidth="1"/>
    <col min="2" max="25" width="12.7109375" style="33" bestFit="1" customWidth="1"/>
    <col min="26" max="26" width="13.28515625" style="33" bestFit="1" customWidth="1"/>
    <col min="27" max="27" width="13.140625" style="33" bestFit="1" customWidth="1"/>
    <col min="28" max="28" width="14.140625" style="33" customWidth="1"/>
    <col min="29" max="32" width="13.140625" style="33" bestFit="1" customWidth="1"/>
    <col min="33" max="33" width="13.28515625" style="33" bestFit="1" customWidth="1"/>
    <col min="34" max="35" width="12.42578125" style="33" bestFit="1" customWidth="1"/>
    <col min="36" max="39" width="12.42578125" style="33" customWidth="1"/>
    <col min="40" max="40" width="15.85546875" style="33" bestFit="1" customWidth="1"/>
    <col min="41" max="41" width="10.85546875" style="33" bestFit="1" customWidth="1"/>
    <col min="42" max="42" width="19.28515625" style="33" customWidth="1"/>
    <col min="43" max="43" width="39.7109375" style="33" customWidth="1"/>
    <col min="44" max="16384" width="9.140625" style="33"/>
  </cols>
  <sheetData>
    <row r="1" spans="1:58">
      <c r="B1" s="168">
        <f t="shared" ref="B1:AK1" ca="1" si="0">IFERROR(SUM(LEFT(INDIRECT(ADDRESS(8,COLUMN(),1,0),FALSE),4)),"")</f>
        <v>1983</v>
      </c>
      <c r="C1" s="168">
        <f t="shared" ca="1" si="0"/>
        <v>1984</v>
      </c>
      <c r="D1" s="168">
        <f t="shared" ca="1" si="0"/>
        <v>1985</v>
      </c>
      <c r="E1" s="168">
        <f t="shared" ca="1" si="0"/>
        <v>1986</v>
      </c>
      <c r="F1" s="168">
        <f t="shared" ca="1" si="0"/>
        <v>1987</v>
      </c>
      <c r="G1" s="168">
        <f t="shared" ca="1" si="0"/>
        <v>1988</v>
      </c>
      <c r="H1" s="168">
        <f t="shared" ca="1" si="0"/>
        <v>1989</v>
      </c>
      <c r="I1" s="168">
        <f t="shared" ca="1" si="0"/>
        <v>1990</v>
      </c>
      <c r="J1" s="168">
        <f t="shared" ca="1" si="0"/>
        <v>1991</v>
      </c>
      <c r="K1" s="168">
        <f t="shared" ca="1" si="0"/>
        <v>1992</v>
      </c>
      <c r="L1" s="168">
        <f t="shared" ca="1" si="0"/>
        <v>1993</v>
      </c>
      <c r="M1" s="168">
        <f t="shared" ca="1" si="0"/>
        <v>1994</v>
      </c>
      <c r="N1" s="168">
        <f t="shared" ca="1" si="0"/>
        <v>1995</v>
      </c>
      <c r="O1" s="168">
        <f t="shared" ca="1" si="0"/>
        <v>1996</v>
      </c>
      <c r="P1" s="168">
        <f t="shared" ca="1" si="0"/>
        <v>1997</v>
      </c>
      <c r="Q1" s="168">
        <f t="shared" ca="1" si="0"/>
        <v>1998</v>
      </c>
      <c r="R1" s="168">
        <f t="shared" ca="1" si="0"/>
        <v>1999</v>
      </c>
      <c r="S1" s="168">
        <f t="shared" ca="1" si="0"/>
        <v>2000</v>
      </c>
      <c r="T1" s="168">
        <f t="shared" ca="1" si="0"/>
        <v>2001</v>
      </c>
      <c r="U1" s="168">
        <f t="shared" ca="1" si="0"/>
        <v>2002</v>
      </c>
      <c r="V1" s="168">
        <f t="shared" ca="1" si="0"/>
        <v>2003</v>
      </c>
      <c r="W1" s="168">
        <f t="shared" ca="1" si="0"/>
        <v>2004</v>
      </c>
      <c r="X1" s="168">
        <f t="shared" ca="1" si="0"/>
        <v>2005</v>
      </c>
      <c r="Y1" s="168">
        <f t="shared" ca="1" si="0"/>
        <v>2006</v>
      </c>
      <c r="Z1" s="168">
        <f t="shared" ca="1" si="0"/>
        <v>2007</v>
      </c>
      <c r="AA1" s="168">
        <f t="shared" ca="1" si="0"/>
        <v>2008</v>
      </c>
      <c r="AB1" s="168">
        <f t="shared" ca="1" si="0"/>
        <v>2009</v>
      </c>
      <c r="AC1" s="168">
        <f t="shared" ca="1" si="0"/>
        <v>2010</v>
      </c>
      <c r="AD1" s="168">
        <f t="shared" ca="1" si="0"/>
        <v>2011</v>
      </c>
      <c r="AE1" s="168">
        <f t="shared" ca="1" si="0"/>
        <v>2012</v>
      </c>
      <c r="AF1" s="168">
        <f t="shared" ca="1" si="0"/>
        <v>2013</v>
      </c>
      <c r="AG1" s="168">
        <f t="shared" ca="1" si="0"/>
        <v>2014</v>
      </c>
      <c r="AH1" s="168">
        <f t="shared" ca="1" si="0"/>
        <v>2015</v>
      </c>
      <c r="AI1" s="168">
        <f t="shared" ca="1" si="0"/>
        <v>2016</v>
      </c>
      <c r="AJ1" s="168">
        <f t="shared" ca="1" si="0"/>
        <v>2017</v>
      </c>
      <c r="AK1" s="168">
        <f t="shared" ca="1" si="0"/>
        <v>2018</v>
      </c>
      <c r="AL1" s="168"/>
      <c r="AM1" s="168"/>
      <c r="AN1" s="168" t="str">
        <f t="shared" ref="AN1:BF1" ca="1" si="1">IFERROR(SUM(LEFT(INDIRECT(ADDRESS(8,COLUMN(),1,0),FALSE),4)),"")</f>
        <v/>
      </c>
      <c r="AO1" s="8" t="str">
        <f t="shared" ca="1" si="1"/>
        <v/>
      </c>
      <c r="AP1" s="8" t="str">
        <f t="shared" ca="1" si="1"/>
        <v/>
      </c>
      <c r="AQ1" s="8" t="str">
        <f t="shared" ca="1" si="1"/>
        <v/>
      </c>
      <c r="AR1" s="8" t="str">
        <f t="shared" ca="1" si="1"/>
        <v/>
      </c>
      <c r="AS1" s="8" t="str">
        <f t="shared" ca="1" si="1"/>
        <v/>
      </c>
      <c r="AT1" s="8" t="str">
        <f t="shared" ca="1" si="1"/>
        <v/>
      </c>
      <c r="AU1" s="8" t="str">
        <f t="shared" ca="1" si="1"/>
        <v/>
      </c>
      <c r="AV1" s="8" t="str">
        <f t="shared" ca="1" si="1"/>
        <v/>
      </c>
      <c r="AW1" s="8" t="str">
        <f t="shared" ca="1" si="1"/>
        <v/>
      </c>
      <c r="AX1" s="8" t="str">
        <f t="shared" ca="1" si="1"/>
        <v/>
      </c>
      <c r="AY1" s="8" t="str">
        <f t="shared" ca="1" si="1"/>
        <v/>
      </c>
      <c r="AZ1" s="8" t="str">
        <f t="shared" ca="1" si="1"/>
        <v/>
      </c>
      <c r="BA1" s="8" t="str">
        <f t="shared" ca="1" si="1"/>
        <v/>
      </c>
      <c r="BB1" s="8" t="str">
        <f t="shared" ca="1" si="1"/>
        <v/>
      </c>
      <c r="BC1" s="8" t="str">
        <f t="shared" ca="1" si="1"/>
        <v/>
      </c>
      <c r="BD1" s="8" t="str">
        <f t="shared" ca="1" si="1"/>
        <v/>
      </c>
      <c r="BE1" s="8" t="str">
        <f t="shared" ca="1" si="1"/>
        <v/>
      </c>
      <c r="BF1" s="8" t="str">
        <f t="shared" ca="1" si="1"/>
        <v/>
      </c>
    </row>
    <row r="2" spans="1:58">
      <c r="A2" s="60" t="str">
        <f>ADDRESS(8,(A3-1),1,)</f>
        <v>$AM$8</v>
      </c>
      <c r="B2" s="556"/>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row>
    <row r="3" spans="1:58">
      <c r="A3" s="495">
        <f>MATCH("Cumulative Total",A8:DC8)</f>
        <v>40</v>
      </c>
      <c r="B3" s="556"/>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row>
    <row r="4" spans="1:58">
      <c r="B4" s="556"/>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row>
    <row r="5" spans="1:58">
      <c r="AB5" s="1056"/>
      <c r="AC5" s="1056"/>
      <c r="AD5" s="1056"/>
      <c r="AE5" s="1056"/>
      <c r="AF5" s="1056"/>
      <c r="AG5" s="1056"/>
      <c r="AH5" s="1056"/>
      <c r="AI5" s="1056"/>
      <c r="AJ5" s="1056"/>
      <c r="AK5" s="1056"/>
      <c r="AL5" s="1056"/>
      <c r="AM5" s="1056"/>
      <c r="AN5" s="1056"/>
      <c r="AO5" s="1056"/>
      <c r="AP5" s="1056"/>
    </row>
    <row r="6" spans="1:58">
      <c r="AB6" s="54"/>
      <c r="AC6" s="55"/>
      <c r="AD6" s="55"/>
      <c r="AE6" s="55"/>
      <c r="AF6" s="55"/>
      <c r="AG6" s="55"/>
      <c r="AH6" s="55"/>
      <c r="AI6" s="55"/>
      <c r="AJ6" s="55"/>
      <c r="AK6" s="55"/>
      <c r="AL6" s="55"/>
      <c r="AM6" s="55"/>
      <c r="AN6" s="55"/>
      <c r="AO6" s="55"/>
    </row>
    <row r="7" spans="1:58" ht="15.75" thickBot="1">
      <c r="A7" s="56" t="s">
        <v>1158</v>
      </c>
    </row>
    <row r="8" spans="1:58" s="60" customFormat="1">
      <c r="A8" s="1057" t="s">
        <v>95</v>
      </c>
      <c r="B8" s="66" t="s">
        <v>107</v>
      </c>
      <c r="C8" s="66" t="s">
        <v>108</v>
      </c>
      <c r="D8" s="66" t="s">
        <v>109</v>
      </c>
      <c r="E8" s="67" t="s">
        <v>110</v>
      </c>
      <c r="F8" s="66" t="s">
        <v>111</v>
      </c>
      <c r="G8" s="67" t="s">
        <v>112</v>
      </c>
      <c r="H8" s="66" t="s">
        <v>113</v>
      </c>
      <c r="I8" s="67" t="s">
        <v>114</v>
      </c>
      <c r="J8" s="66" t="s">
        <v>115</v>
      </c>
      <c r="K8" s="67" t="s">
        <v>116</v>
      </c>
      <c r="L8" s="67" t="s">
        <v>117</v>
      </c>
      <c r="M8" s="67" t="s">
        <v>118</v>
      </c>
      <c r="N8" s="67" t="s">
        <v>119</v>
      </c>
      <c r="O8" s="67" t="s">
        <v>120</v>
      </c>
      <c r="P8" s="68" t="s">
        <v>121</v>
      </c>
      <c r="Q8" s="68" t="s">
        <v>122</v>
      </c>
      <c r="R8" s="69" t="s">
        <v>123</v>
      </c>
      <c r="S8" s="69" t="s">
        <v>124</v>
      </c>
      <c r="T8" s="69" t="s">
        <v>125</v>
      </c>
      <c r="U8" s="69" t="s">
        <v>126</v>
      </c>
      <c r="V8" s="69" t="s">
        <v>127</v>
      </c>
      <c r="W8" s="69" t="s">
        <v>128</v>
      </c>
      <c r="X8" s="69" t="s">
        <v>129</v>
      </c>
      <c r="Y8" s="69" t="s">
        <v>130</v>
      </c>
      <c r="Z8" s="71" t="s">
        <v>131</v>
      </c>
      <c r="AA8" s="71" t="s">
        <v>132</v>
      </c>
      <c r="AB8" s="71" t="s">
        <v>133</v>
      </c>
      <c r="AC8" s="71" t="s">
        <v>134</v>
      </c>
      <c r="AD8" s="71" t="s">
        <v>135</v>
      </c>
      <c r="AE8" s="71" t="s">
        <v>136</v>
      </c>
      <c r="AF8" s="71" t="s">
        <v>137</v>
      </c>
      <c r="AG8" s="71" t="s">
        <v>138</v>
      </c>
      <c r="AH8" s="70" t="s">
        <v>199</v>
      </c>
      <c r="AI8" s="70" t="s">
        <v>457</v>
      </c>
      <c r="AJ8" s="71" t="s">
        <v>821</v>
      </c>
      <c r="AK8" s="71" t="s">
        <v>870</v>
      </c>
      <c r="AL8" s="71" t="s">
        <v>1088</v>
      </c>
      <c r="AM8" s="71" t="s">
        <v>1314</v>
      </c>
      <c r="AN8" s="1061" t="s">
        <v>1090</v>
      </c>
      <c r="AO8" s="1062"/>
    </row>
    <row r="9" spans="1:58" s="60" customFormat="1">
      <c r="A9" s="1058"/>
      <c r="B9" s="57" t="s">
        <v>1157</v>
      </c>
      <c r="C9" s="57" t="s">
        <v>1157</v>
      </c>
      <c r="D9" s="57" t="s">
        <v>1157</v>
      </c>
      <c r="E9" s="58" t="s">
        <v>1157</v>
      </c>
      <c r="F9" s="57" t="s">
        <v>1157</v>
      </c>
      <c r="G9" s="58" t="s">
        <v>1157</v>
      </c>
      <c r="H9" s="57" t="s">
        <v>1157</v>
      </c>
      <c r="I9" s="58" t="s">
        <v>1157</v>
      </c>
      <c r="J9" s="57" t="s">
        <v>1157</v>
      </c>
      <c r="K9" s="58" t="s">
        <v>1157</v>
      </c>
      <c r="L9" s="58" t="s">
        <v>1157</v>
      </c>
      <c r="M9" s="58" t="s">
        <v>1157</v>
      </c>
      <c r="N9" s="58" t="s">
        <v>1157</v>
      </c>
      <c r="O9" s="58" t="s">
        <v>1157</v>
      </c>
      <c r="P9" s="59" t="s">
        <v>1157</v>
      </c>
      <c r="Q9" s="59" t="s">
        <v>1157</v>
      </c>
      <c r="R9" s="73" t="s">
        <v>1157</v>
      </c>
      <c r="S9" s="73" t="s">
        <v>1157</v>
      </c>
      <c r="T9" s="73" t="s">
        <v>1157</v>
      </c>
      <c r="U9" s="73" t="s">
        <v>1157</v>
      </c>
      <c r="V9" s="73" t="s">
        <v>1157</v>
      </c>
      <c r="W9" s="73" t="s">
        <v>1157</v>
      </c>
      <c r="X9" s="73" t="s">
        <v>1157</v>
      </c>
      <c r="Y9" s="73" t="s">
        <v>1157</v>
      </c>
      <c r="Z9" s="74" t="s">
        <v>1157</v>
      </c>
      <c r="AA9" s="74" t="s">
        <v>1157</v>
      </c>
      <c r="AB9" s="74" t="s">
        <v>1157</v>
      </c>
      <c r="AC9" s="74" t="s">
        <v>1157</v>
      </c>
      <c r="AD9" s="74" t="s">
        <v>1157</v>
      </c>
      <c r="AE9" s="74" t="s">
        <v>1157</v>
      </c>
      <c r="AF9" s="74" t="s">
        <v>1157</v>
      </c>
      <c r="AG9" s="74" t="s">
        <v>1157</v>
      </c>
      <c r="AH9" s="74" t="s">
        <v>1157</v>
      </c>
      <c r="AI9" s="74" t="s">
        <v>1157</v>
      </c>
      <c r="AJ9" s="74" t="s">
        <v>1157</v>
      </c>
      <c r="AK9" s="74" t="s">
        <v>1157</v>
      </c>
      <c r="AL9" s="74" t="s">
        <v>1157</v>
      </c>
      <c r="AM9" s="74" t="s">
        <v>1157</v>
      </c>
      <c r="AN9" s="514" t="s">
        <v>1157</v>
      </c>
      <c r="AO9" s="72" t="s">
        <v>1091</v>
      </c>
    </row>
    <row r="10" spans="1:58">
      <c r="A10" s="410" t="s">
        <v>48</v>
      </c>
      <c r="B10" s="515">
        <v>5.5610059999999999</v>
      </c>
      <c r="C10" s="515">
        <v>6.3930509999999998</v>
      </c>
      <c r="D10" s="515">
        <v>8.0271319999999999</v>
      </c>
      <c r="E10" s="515">
        <v>7.9095449999999996</v>
      </c>
      <c r="F10" s="515">
        <v>13.068519999999999</v>
      </c>
      <c r="G10" s="515">
        <v>20.034945</v>
      </c>
      <c r="H10" s="515">
        <v>28.046506000000001</v>
      </c>
      <c r="I10" s="515">
        <v>28.849383</v>
      </c>
      <c r="J10" s="515">
        <v>33.842216999999998</v>
      </c>
      <c r="K10" s="515">
        <v>37.293396999999999</v>
      </c>
      <c r="L10" s="515">
        <v>33.044978999999998</v>
      </c>
      <c r="M10" s="515">
        <v>36.107399999999998</v>
      </c>
      <c r="N10" s="515">
        <v>51.626274000000002</v>
      </c>
      <c r="O10" s="515">
        <v>48.774479999999997</v>
      </c>
      <c r="P10" s="515">
        <v>49.092109000000001</v>
      </c>
      <c r="Q10" s="515">
        <v>52.704507999999997</v>
      </c>
      <c r="R10" s="515">
        <v>59.839576000000001</v>
      </c>
      <c r="S10" s="515">
        <v>69.642539999999997</v>
      </c>
      <c r="T10" s="515">
        <v>70.628006999999997</v>
      </c>
      <c r="U10" s="515">
        <v>74.150046000000003</v>
      </c>
      <c r="V10" s="515">
        <v>76.273469000000006</v>
      </c>
      <c r="W10" s="515">
        <v>77.409141000000005</v>
      </c>
      <c r="X10" s="515">
        <v>101.51466000000001</v>
      </c>
      <c r="Y10" s="515">
        <v>140.46548799999999</v>
      </c>
      <c r="Z10" s="515">
        <v>118.23414699999999</v>
      </c>
      <c r="AA10" s="515">
        <v>104.42389</v>
      </c>
      <c r="AB10" s="515">
        <v>107.688425</v>
      </c>
      <c r="AC10" s="515">
        <v>145.17455899999999</v>
      </c>
      <c r="AD10" s="515">
        <v>116.56926199999999</v>
      </c>
      <c r="AE10" s="515">
        <v>142.10414299999999</v>
      </c>
      <c r="AF10" s="515">
        <v>73.008505999999997</v>
      </c>
      <c r="AG10" s="515">
        <v>72.449831000000003</v>
      </c>
      <c r="AH10" s="515">
        <v>69.691999999999993</v>
      </c>
      <c r="AI10" s="515">
        <v>68.540999999999997</v>
      </c>
      <c r="AJ10" s="515">
        <v>69.636230979999993</v>
      </c>
      <c r="AK10" s="515">
        <v>86.701748360000011</v>
      </c>
      <c r="AL10" s="515">
        <v>78.304997259999979</v>
      </c>
      <c r="AM10" s="515">
        <v>73.271480099999977</v>
      </c>
      <c r="AN10" s="742">
        <f>SUM(B10:AM10)</f>
        <v>2456.0985987000004</v>
      </c>
      <c r="AO10" s="421">
        <f t="shared" ref="AO10:AO19" si="2">AN10/AN$22</f>
        <v>2.5805113881921873E-2</v>
      </c>
    </row>
    <row r="11" spans="1:58">
      <c r="A11" s="410" t="s">
        <v>139</v>
      </c>
      <c r="B11" s="516">
        <v>18.141971999999999</v>
      </c>
      <c r="C11" s="516">
        <v>17.555803000000001</v>
      </c>
      <c r="D11" s="516">
        <v>34.023504000000003</v>
      </c>
      <c r="E11" s="516">
        <v>27.409625999999999</v>
      </c>
      <c r="F11" s="516">
        <v>30.044163999999999</v>
      </c>
      <c r="G11" s="516">
        <v>20.579606999999999</v>
      </c>
      <c r="H11" s="516">
        <v>51.777318999999999</v>
      </c>
      <c r="I11" s="516">
        <v>92.427104999999997</v>
      </c>
      <c r="J11" s="516">
        <v>86.520780999999999</v>
      </c>
      <c r="K11" s="516">
        <v>79.728049999999996</v>
      </c>
      <c r="L11" s="516">
        <v>72.886319</v>
      </c>
      <c r="M11" s="516">
        <v>113.736997</v>
      </c>
      <c r="N11" s="516">
        <v>159.405226</v>
      </c>
      <c r="O11" s="516">
        <v>229.74677199999999</v>
      </c>
      <c r="P11" s="516">
        <v>247.40349000000001</v>
      </c>
      <c r="Q11" s="516">
        <v>176.94987699999999</v>
      </c>
      <c r="R11" s="516">
        <v>344.89695799999998</v>
      </c>
      <c r="S11" s="516">
        <v>526.71487500000001</v>
      </c>
      <c r="T11" s="516">
        <v>428.286945</v>
      </c>
      <c r="U11" s="516">
        <v>488.56950000000001</v>
      </c>
      <c r="V11" s="516">
        <v>416.33150599999999</v>
      </c>
      <c r="W11" s="516">
        <v>549.66091300000005</v>
      </c>
      <c r="X11" s="516">
        <v>678.82588699999997</v>
      </c>
      <c r="Y11" s="516">
        <v>714.09106699999995</v>
      </c>
      <c r="Z11" s="516">
        <v>811.02602400000001</v>
      </c>
      <c r="AA11" s="516">
        <v>868.76158099999998</v>
      </c>
      <c r="AB11" s="516">
        <v>21.925331</v>
      </c>
      <c r="AC11" s="516">
        <v>21.535059</v>
      </c>
      <c r="AD11" s="516">
        <v>18.749521999999999</v>
      </c>
      <c r="AE11" s="516">
        <v>18.187507</v>
      </c>
      <c r="AF11" s="516">
        <v>11.493467000000001</v>
      </c>
      <c r="AG11" s="516">
        <v>8.7168390000000002</v>
      </c>
      <c r="AH11" s="516">
        <v>7.2389999999999999</v>
      </c>
      <c r="AI11" s="516">
        <v>3.4319999999999999</v>
      </c>
      <c r="AJ11" s="516">
        <v>3.2120000000000002</v>
      </c>
      <c r="AK11" s="516">
        <v>11.676</v>
      </c>
      <c r="AL11" s="516">
        <v>6.9222543400000012</v>
      </c>
      <c r="AM11" s="516">
        <v>2.4262555299999993</v>
      </c>
      <c r="AN11" s="743">
        <f t="shared" ref="AN11:AN19" si="3">SUM(B11:AM11)</f>
        <v>7421.0171028699997</v>
      </c>
      <c r="AO11" s="422">
        <f t="shared" si="2"/>
        <v>7.7969260501435197E-2</v>
      </c>
    </row>
    <row r="12" spans="1:58">
      <c r="A12" s="411" t="s">
        <v>8</v>
      </c>
      <c r="B12" s="515">
        <v>8.7825E-2</v>
      </c>
      <c r="C12" s="515">
        <v>0.100622</v>
      </c>
      <c r="D12" s="515">
        <v>0.10366300000000001</v>
      </c>
      <c r="E12" s="515">
        <v>0.111974</v>
      </c>
      <c r="F12" s="515">
        <v>0.12281400000000001</v>
      </c>
      <c r="G12" s="515">
        <v>0.21961</v>
      </c>
      <c r="H12" s="515">
        <v>0.19936200000000001</v>
      </c>
      <c r="I12" s="515">
        <v>0.29169099999999998</v>
      </c>
      <c r="J12" s="515">
        <v>0.204375</v>
      </c>
      <c r="K12" s="515">
        <v>0.25411499999999998</v>
      </c>
      <c r="L12" s="515">
        <v>0.28651500000000002</v>
      </c>
      <c r="M12" s="515">
        <v>0.386544</v>
      </c>
      <c r="N12" s="515">
        <v>0.36636800000000003</v>
      </c>
      <c r="O12" s="515">
        <v>0.46406599999999998</v>
      </c>
      <c r="P12" s="515">
        <v>0.36513299999999999</v>
      </c>
      <c r="Q12" s="515">
        <v>28.296903</v>
      </c>
      <c r="R12" s="515">
        <v>33.446114000000001</v>
      </c>
      <c r="S12" s="515">
        <v>65.638722000000001</v>
      </c>
      <c r="T12" s="515">
        <v>79.808780999999996</v>
      </c>
      <c r="U12" s="515">
        <v>85.356088999999997</v>
      </c>
      <c r="V12" s="515">
        <v>79.500095000000002</v>
      </c>
      <c r="W12" s="515">
        <v>72.914303000000004</v>
      </c>
      <c r="X12" s="515">
        <v>81.622995000000003</v>
      </c>
      <c r="Y12" s="515">
        <v>104.88511099999999</v>
      </c>
      <c r="Z12" s="515">
        <v>99.481977000000001</v>
      </c>
      <c r="AA12" s="515">
        <v>116.420727</v>
      </c>
      <c r="AB12" s="515">
        <v>152.528649</v>
      </c>
      <c r="AC12" s="515">
        <v>197.79251600000001</v>
      </c>
      <c r="AD12" s="515">
        <v>224.72959499999999</v>
      </c>
      <c r="AE12" s="515">
        <v>220.13046399999999</v>
      </c>
      <c r="AF12" s="515">
        <v>215.830725</v>
      </c>
      <c r="AG12" s="515">
        <v>218.59672399999999</v>
      </c>
      <c r="AH12" s="515">
        <v>239.554</v>
      </c>
      <c r="AI12" s="515">
        <v>262.87400000000002</v>
      </c>
      <c r="AJ12" s="515">
        <v>272.77100000000002</v>
      </c>
      <c r="AK12" s="515">
        <v>291.416</v>
      </c>
      <c r="AL12" s="515">
        <v>361.42894910000052</v>
      </c>
      <c r="AM12" s="515">
        <v>415.65066354000015</v>
      </c>
      <c r="AN12" s="742">
        <f t="shared" si="3"/>
        <v>3924.239779640001</v>
      </c>
      <c r="AO12" s="421">
        <f t="shared" si="2"/>
        <v>4.1230207316260627E-2</v>
      </c>
    </row>
    <row r="13" spans="1:58">
      <c r="A13" s="410" t="s">
        <v>53</v>
      </c>
      <c r="B13" s="516">
        <v>78.165503000000001</v>
      </c>
      <c r="C13" s="516">
        <v>88.531268999999995</v>
      </c>
      <c r="D13" s="516">
        <v>101.950692</v>
      </c>
      <c r="E13" s="516">
        <v>92.780315000000002</v>
      </c>
      <c r="F13" s="516">
        <v>94.807770000000005</v>
      </c>
      <c r="G13" s="516">
        <v>92.722783000000007</v>
      </c>
      <c r="H13" s="516">
        <v>112.532211</v>
      </c>
      <c r="I13" s="516">
        <v>130.93514099999999</v>
      </c>
      <c r="J13" s="516">
        <v>152.88022799999999</v>
      </c>
      <c r="K13" s="516">
        <v>152.67407299999999</v>
      </c>
      <c r="L13" s="516">
        <v>173.90010899999999</v>
      </c>
      <c r="M13" s="516">
        <v>165.40684999999999</v>
      </c>
      <c r="N13" s="516">
        <v>181.10211000000001</v>
      </c>
      <c r="O13" s="516">
        <v>186.81940299999999</v>
      </c>
      <c r="P13" s="516">
        <v>224.58256499999999</v>
      </c>
      <c r="Q13" s="516">
        <v>231.977012</v>
      </c>
      <c r="R13" s="516">
        <v>198.95226500000001</v>
      </c>
      <c r="S13" s="516">
        <v>270.18821700000001</v>
      </c>
      <c r="T13" s="516">
        <v>276.08928600000002</v>
      </c>
      <c r="U13" s="516">
        <v>286.70755200000002</v>
      </c>
      <c r="V13" s="516">
        <v>293.67516599999999</v>
      </c>
      <c r="W13" s="516">
        <v>380.332086</v>
      </c>
      <c r="X13" s="516">
        <v>679.62847699999998</v>
      </c>
      <c r="Y13" s="516">
        <v>851.06961100000001</v>
      </c>
      <c r="Z13" s="516">
        <v>964.42994099999999</v>
      </c>
      <c r="AA13" s="516">
        <v>1946.717875</v>
      </c>
      <c r="AB13" s="516">
        <v>1495.438193</v>
      </c>
      <c r="AC13" s="516">
        <v>3358.6286759999998</v>
      </c>
      <c r="AD13" s="516">
        <v>3831.2677290000001</v>
      </c>
      <c r="AE13" s="516">
        <v>3654.716731</v>
      </c>
      <c r="AF13" s="516">
        <v>5307.5205509999996</v>
      </c>
      <c r="AG13" s="516">
        <v>4389.8428029999995</v>
      </c>
      <c r="AH13" s="516">
        <v>3472.7660000000001</v>
      </c>
      <c r="AI13" s="516">
        <v>4619.5510000000004</v>
      </c>
      <c r="AJ13" s="516">
        <v>4476.8710000000001</v>
      </c>
      <c r="AK13" s="516">
        <v>4884.1959999999999</v>
      </c>
      <c r="AL13" s="516">
        <v>7802.7205386000041</v>
      </c>
      <c r="AM13" s="516">
        <v>9796.7863338000061</v>
      </c>
      <c r="AN13" s="743">
        <f t="shared" si="3"/>
        <v>65499.864065400019</v>
      </c>
      <c r="AO13" s="422">
        <f t="shared" si="2"/>
        <v>0.68817736077561387</v>
      </c>
    </row>
    <row r="14" spans="1:58">
      <c r="A14" s="410" t="s">
        <v>45</v>
      </c>
      <c r="B14" s="515">
        <v>3.8021669999999999</v>
      </c>
      <c r="C14" s="515">
        <v>3.0626319999999998</v>
      </c>
      <c r="D14" s="515">
        <v>2.864655</v>
      </c>
      <c r="E14" s="515">
        <v>13.109394999999999</v>
      </c>
      <c r="F14" s="515">
        <v>12.221752</v>
      </c>
      <c r="G14" s="515">
        <v>12.055669999999999</v>
      </c>
      <c r="H14" s="515">
        <v>27.202476000000001</v>
      </c>
      <c r="I14" s="515">
        <v>27.289552</v>
      </c>
      <c r="J14" s="515">
        <v>30.985306000000001</v>
      </c>
      <c r="K14" s="515">
        <v>40.819425000000003</v>
      </c>
      <c r="L14" s="515">
        <v>40.201661999999999</v>
      </c>
      <c r="M14" s="515">
        <v>28.551514000000001</v>
      </c>
      <c r="N14" s="515">
        <v>37.972557000000002</v>
      </c>
      <c r="O14" s="515">
        <v>35.266731</v>
      </c>
      <c r="P14" s="515">
        <v>40.086339000000002</v>
      </c>
      <c r="Q14" s="515">
        <v>54.940671999999999</v>
      </c>
      <c r="R14" s="515">
        <v>62.496274999999997</v>
      </c>
      <c r="S14" s="515">
        <v>88.054636000000002</v>
      </c>
      <c r="T14" s="515">
        <v>62.636372000000001</v>
      </c>
      <c r="U14" s="515">
        <v>89.292743999999999</v>
      </c>
      <c r="V14" s="515">
        <v>45.022368999999998</v>
      </c>
      <c r="W14" s="515">
        <v>32.635114999999999</v>
      </c>
      <c r="X14" s="515">
        <v>48.225088</v>
      </c>
      <c r="Y14" s="515">
        <v>20.969208999999999</v>
      </c>
      <c r="Z14" s="515">
        <v>43.436045</v>
      </c>
      <c r="AA14" s="515">
        <v>18.838566</v>
      </c>
      <c r="AB14" s="515">
        <v>19.192682000000001</v>
      </c>
      <c r="AC14" s="515">
        <v>15.746836999999999</v>
      </c>
      <c r="AD14" s="515">
        <v>15.183261999999999</v>
      </c>
      <c r="AE14" s="515">
        <v>15.966746000000001</v>
      </c>
      <c r="AF14" s="515">
        <v>20.482859000000001</v>
      </c>
      <c r="AG14" s="515">
        <v>15.40889</v>
      </c>
      <c r="AH14" s="515">
        <v>18.324000000000002</v>
      </c>
      <c r="AI14" s="515">
        <v>13.02</v>
      </c>
      <c r="AJ14" s="515">
        <v>12.093999999999999</v>
      </c>
      <c r="AK14" s="515">
        <v>11.625</v>
      </c>
      <c r="AL14" s="515">
        <v>11.33563165</v>
      </c>
      <c r="AM14" s="515">
        <v>9.4321085500000006</v>
      </c>
      <c r="AN14" s="742">
        <f t="shared" si="3"/>
        <v>1099.8509402000002</v>
      </c>
      <c r="AO14" s="421">
        <f t="shared" si="2"/>
        <v>1.1555634932580546E-2</v>
      </c>
    </row>
    <row r="15" spans="1:58">
      <c r="A15" s="410" t="s">
        <v>10</v>
      </c>
      <c r="B15" s="516">
        <v>4.6538279999999999</v>
      </c>
      <c r="C15" s="516">
        <v>5.7121950000000004</v>
      </c>
      <c r="D15" s="516">
        <v>6.0884090000000004</v>
      </c>
      <c r="E15" s="516">
        <v>4.4207879999999999</v>
      </c>
      <c r="F15" s="516">
        <v>3.8279879999999999</v>
      </c>
      <c r="G15" s="516">
        <v>9.6334750000000007</v>
      </c>
      <c r="H15" s="516">
        <v>10.114608</v>
      </c>
      <c r="I15" s="516">
        <v>10.724031</v>
      </c>
      <c r="J15" s="516">
        <v>11.131740000000001</v>
      </c>
      <c r="K15" s="516">
        <v>9.6005939999999992</v>
      </c>
      <c r="L15" s="516">
        <v>8.3045650000000002</v>
      </c>
      <c r="M15" s="516">
        <v>18.810777999999999</v>
      </c>
      <c r="N15" s="516">
        <v>25.296064999999999</v>
      </c>
      <c r="O15" s="516">
        <v>26.009848999999999</v>
      </c>
      <c r="P15" s="516">
        <v>24.456824000000001</v>
      </c>
      <c r="Q15" s="516">
        <v>21.464409</v>
      </c>
      <c r="R15" s="516">
        <v>36.312728999999997</v>
      </c>
      <c r="S15" s="516">
        <v>60.573799999999999</v>
      </c>
      <c r="T15" s="516">
        <v>49.266666999999998</v>
      </c>
      <c r="U15" s="516">
        <v>59.950943000000002</v>
      </c>
      <c r="V15" s="516">
        <v>72.781351000000001</v>
      </c>
      <c r="W15" s="516">
        <v>88.353630999999993</v>
      </c>
      <c r="X15" s="516">
        <v>82.677958000000004</v>
      </c>
      <c r="Y15" s="516">
        <v>177.750033</v>
      </c>
      <c r="Z15" s="516">
        <v>158.40464700000001</v>
      </c>
      <c r="AA15" s="516">
        <v>81.829168999999993</v>
      </c>
      <c r="AB15" s="516">
        <v>83.359667999999999</v>
      </c>
      <c r="AC15" s="516">
        <v>112.934304</v>
      </c>
      <c r="AD15" s="516">
        <v>89.827389999999994</v>
      </c>
      <c r="AE15" s="516">
        <v>92.813249999999996</v>
      </c>
      <c r="AF15" s="516">
        <v>78.290452000000002</v>
      </c>
      <c r="AG15" s="516">
        <v>82.878023999999996</v>
      </c>
      <c r="AH15" s="516">
        <v>54.093000000000004</v>
      </c>
      <c r="AI15" s="516">
        <v>49.168999999999997</v>
      </c>
      <c r="AJ15" s="516">
        <v>56.957999999999998</v>
      </c>
      <c r="AK15" s="516">
        <v>65.991</v>
      </c>
      <c r="AL15" s="516">
        <v>76.155816979999997</v>
      </c>
      <c r="AM15" s="516">
        <v>83.530749110000031</v>
      </c>
      <c r="AN15" s="743">
        <f t="shared" si="3"/>
        <v>1994.1517280900005</v>
      </c>
      <c r="AO15" s="422">
        <f t="shared" si="2"/>
        <v>2.0951647653083189E-2</v>
      </c>
    </row>
    <row r="16" spans="1:58">
      <c r="A16" s="410" t="s">
        <v>6</v>
      </c>
      <c r="B16" s="515">
        <v>7.6971400000000001</v>
      </c>
      <c r="C16" s="515">
        <v>9.6387029999999996</v>
      </c>
      <c r="D16" s="515">
        <v>9.9236059999999995</v>
      </c>
      <c r="E16" s="515">
        <v>10.540225</v>
      </c>
      <c r="F16" s="515">
        <v>12.132982999999999</v>
      </c>
      <c r="G16" s="515">
        <v>20.797429999999999</v>
      </c>
      <c r="H16" s="515">
        <v>34.349514999999997</v>
      </c>
      <c r="I16" s="515">
        <v>33.894790999999998</v>
      </c>
      <c r="J16" s="515">
        <v>29.315957999999998</v>
      </c>
      <c r="K16" s="515">
        <v>28.715039000000001</v>
      </c>
      <c r="L16" s="515">
        <v>30.737151000000001</v>
      </c>
      <c r="M16" s="515">
        <v>27.484829000000001</v>
      </c>
      <c r="N16" s="515">
        <v>30.194089000000002</v>
      </c>
      <c r="O16" s="515">
        <v>33.739736000000001</v>
      </c>
      <c r="P16" s="515">
        <v>36.247579999999999</v>
      </c>
      <c r="Q16" s="515">
        <v>39.138672</v>
      </c>
      <c r="R16" s="515">
        <v>40.738370000000003</v>
      </c>
      <c r="S16" s="515">
        <v>55.512739000000003</v>
      </c>
      <c r="T16" s="515">
        <v>61.408085</v>
      </c>
      <c r="U16" s="515">
        <v>54.952314000000001</v>
      </c>
      <c r="V16" s="515">
        <v>49.998033</v>
      </c>
      <c r="W16" s="515">
        <v>54.578682000000001</v>
      </c>
      <c r="X16" s="515">
        <v>64.090699999999998</v>
      </c>
      <c r="Y16" s="515">
        <v>83.444013999999996</v>
      </c>
      <c r="Z16" s="515">
        <v>80.535398000000001</v>
      </c>
      <c r="AA16" s="515">
        <v>75.982727999999994</v>
      </c>
      <c r="AB16" s="515">
        <v>61.860134000000002</v>
      </c>
      <c r="AC16" s="515">
        <v>66.136236999999994</v>
      </c>
      <c r="AD16" s="515">
        <v>68.320773000000003</v>
      </c>
      <c r="AE16" s="515">
        <v>65.114003999999994</v>
      </c>
      <c r="AF16" s="515">
        <v>70.419138000000004</v>
      </c>
      <c r="AG16" s="515">
        <v>77.738389999999995</v>
      </c>
      <c r="AH16" s="515">
        <v>84.323999999999998</v>
      </c>
      <c r="AI16" s="515">
        <v>81.081999999999994</v>
      </c>
      <c r="AJ16" s="515">
        <v>99.231999999999999</v>
      </c>
      <c r="AK16" s="515">
        <v>135.00399999999999</v>
      </c>
      <c r="AL16" s="515">
        <v>113.60258414</v>
      </c>
      <c r="AM16" s="515">
        <v>92.44623310999998</v>
      </c>
      <c r="AN16" s="742">
        <f t="shared" si="3"/>
        <v>2031.0680032499995</v>
      </c>
      <c r="AO16" s="421">
        <f t="shared" si="2"/>
        <v>2.1339510210842211E-2</v>
      </c>
    </row>
    <row r="17" spans="1:54">
      <c r="A17" s="410" t="s">
        <v>911</v>
      </c>
      <c r="B17" s="516"/>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v>78.713769020000001</v>
      </c>
      <c r="AK17" s="516">
        <v>83.247251640000002</v>
      </c>
      <c r="AL17" s="516">
        <v>66.311831109999972</v>
      </c>
      <c r="AM17" s="516">
        <v>43.324947219999999</v>
      </c>
      <c r="AN17" s="743">
        <f t="shared" si="3"/>
        <v>271.59779899</v>
      </c>
      <c r="AO17" s="422">
        <f t="shared" si="2"/>
        <v>2.8535548763090769E-3</v>
      </c>
    </row>
    <row r="18" spans="1:54">
      <c r="A18" s="410" t="s">
        <v>105</v>
      </c>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v>77.128089000000003</v>
      </c>
      <c r="AG18" s="517">
        <v>67.389606000000001</v>
      </c>
      <c r="AH18" s="517">
        <v>59.238</v>
      </c>
      <c r="AI18" s="517">
        <v>59.915999999999997</v>
      </c>
      <c r="AJ18" s="517">
        <v>70.778000000000006</v>
      </c>
      <c r="AK18" s="517">
        <v>76.167000000000002</v>
      </c>
      <c r="AL18" s="517">
        <v>67.643884630000017</v>
      </c>
      <c r="AM18" s="517">
        <v>70.545597280000067</v>
      </c>
      <c r="AN18" s="744">
        <f t="shared" si="3"/>
        <v>548.80617691000009</v>
      </c>
      <c r="AO18" s="423">
        <f t="shared" si="2"/>
        <v>5.7660575604581137E-3</v>
      </c>
    </row>
    <row r="19" spans="1:54" ht="15.75" thickBot="1">
      <c r="A19" s="410" t="s">
        <v>191</v>
      </c>
      <c r="B19" s="518"/>
      <c r="C19" s="518"/>
      <c r="D19" s="518"/>
      <c r="E19" s="518"/>
      <c r="F19" s="518"/>
      <c r="G19" s="518"/>
      <c r="H19" s="518"/>
      <c r="I19" s="518"/>
      <c r="J19" s="518"/>
      <c r="K19" s="518"/>
      <c r="L19" s="518"/>
      <c r="M19" s="518"/>
      <c r="N19" s="518"/>
      <c r="O19" s="518"/>
      <c r="P19" s="518"/>
      <c r="Q19" s="518"/>
      <c r="R19" s="518"/>
      <c r="S19" s="518"/>
      <c r="T19" s="518"/>
      <c r="U19" s="518"/>
      <c r="V19" s="518"/>
      <c r="W19" s="518"/>
      <c r="X19" s="518"/>
      <c r="Y19" s="518"/>
      <c r="Z19" s="518">
        <v>21.110828000000001</v>
      </c>
      <c r="AA19" s="518">
        <v>26.681512999999999</v>
      </c>
      <c r="AB19" s="518">
        <v>22.008559000000002</v>
      </c>
      <c r="AC19" s="518">
        <v>19.937428000000001</v>
      </c>
      <c r="AD19" s="518">
        <v>19.220492</v>
      </c>
      <c r="AE19" s="518">
        <v>27.514333000000001</v>
      </c>
      <c r="AF19" s="518">
        <v>16.393497</v>
      </c>
      <c r="AG19" s="518">
        <v>11.965647000000001</v>
      </c>
      <c r="AH19" s="518">
        <v>16.818000000000001</v>
      </c>
      <c r="AI19" s="518">
        <v>14.317</v>
      </c>
      <c r="AJ19" s="518">
        <v>12.291</v>
      </c>
      <c r="AK19" s="519">
        <v>18.559999999999999</v>
      </c>
      <c r="AL19" s="516">
        <v>23.004162609999995</v>
      </c>
      <c r="AM19" s="516">
        <v>31.042373709999993</v>
      </c>
      <c r="AN19" s="743">
        <f t="shared" si="3"/>
        <v>280.86483332</v>
      </c>
      <c r="AO19" s="422">
        <f t="shared" si="2"/>
        <v>2.950919402456318E-3</v>
      </c>
    </row>
    <row r="20" spans="1:54" ht="15.75" thickTop="1">
      <c r="A20" s="410" t="s">
        <v>106</v>
      </c>
      <c r="B20" s="516"/>
      <c r="C20" s="516"/>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v>875.1</v>
      </c>
      <c r="AC20" s="516">
        <v>933.69310700000005</v>
      </c>
      <c r="AD20" s="516">
        <v>935.59844199999998</v>
      </c>
      <c r="AE20" s="516">
        <v>1019.886602</v>
      </c>
      <c r="AF20" s="516">
        <v>1106.892595</v>
      </c>
      <c r="AG20" s="516">
        <v>943.79589599999997</v>
      </c>
      <c r="AH20" s="516">
        <v>615.47500000000002</v>
      </c>
      <c r="AI20" s="516">
        <v>573</v>
      </c>
      <c r="AJ20" s="516">
        <v>681.96500000000003</v>
      </c>
      <c r="AK20" s="520">
        <v>889.35599999999999</v>
      </c>
      <c r="AL20" s="520">
        <v>690.20228391000001</v>
      </c>
      <c r="AM20" s="520">
        <v>386.23153463</v>
      </c>
      <c r="AN20" s="418">
        <f>SUM(B20:AM20)</f>
        <v>9651.1964605400008</v>
      </c>
      <c r="AO20" s="424"/>
      <c r="AS20" s="171"/>
    </row>
    <row r="21" spans="1:54" ht="15.75" thickBot="1">
      <c r="A21" s="410" t="s">
        <v>1160</v>
      </c>
      <c r="B21" s="521">
        <f t="shared" ref="B21:AG21" si="4">SUM(B10:B19)</f>
        <v>118.109441</v>
      </c>
      <c r="C21" s="521">
        <f t="shared" si="4"/>
        <v>130.99427499999999</v>
      </c>
      <c r="D21" s="521">
        <f t="shared" si="4"/>
        <v>162.98166100000003</v>
      </c>
      <c r="E21" s="521">
        <f t="shared" si="4"/>
        <v>156.28186799999997</v>
      </c>
      <c r="F21" s="521">
        <f t="shared" si="4"/>
        <v>166.22599100000002</v>
      </c>
      <c r="G21" s="521">
        <f t="shared" si="4"/>
        <v>176.04352</v>
      </c>
      <c r="H21" s="521">
        <f t="shared" si="4"/>
        <v>264.22199699999999</v>
      </c>
      <c r="I21" s="521">
        <f t="shared" si="4"/>
        <v>324.41169400000001</v>
      </c>
      <c r="J21" s="521">
        <f t="shared" si="4"/>
        <v>344.88060499999995</v>
      </c>
      <c r="K21" s="521">
        <f t="shared" si="4"/>
        <v>349.08469300000002</v>
      </c>
      <c r="L21" s="521">
        <f t="shared" si="4"/>
        <v>359.36129999999997</v>
      </c>
      <c r="M21" s="521">
        <f t="shared" si="4"/>
        <v>390.48491200000001</v>
      </c>
      <c r="N21" s="521">
        <f t="shared" si="4"/>
        <v>485.96268900000001</v>
      </c>
      <c r="O21" s="521">
        <f t="shared" si="4"/>
        <v>560.82103699999993</v>
      </c>
      <c r="P21" s="521">
        <f t="shared" si="4"/>
        <v>622.23403999999994</v>
      </c>
      <c r="Q21" s="521">
        <f t="shared" si="4"/>
        <v>605.47205300000007</v>
      </c>
      <c r="R21" s="521">
        <f t="shared" si="4"/>
        <v>776.68228700000009</v>
      </c>
      <c r="S21" s="521">
        <f t="shared" si="4"/>
        <v>1136.325529</v>
      </c>
      <c r="T21" s="521">
        <f t="shared" si="4"/>
        <v>1028.124143</v>
      </c>
      <c r="U21" s="521">
        <f t="shared" si="4"/>
        <v>1138.9791880000002</v>
      </c>
      <c r="V21" s="521">
        <f t="shared" si="4"/>
        <v>1033.581989</v>
      </c>
      <c r="W21" s="521">
        <f t="shared" si="4"/>
        <v>1255.8838710000002</v>
      </c>
      <c r="X21" s="521">
        <f t="shared" si="4"/>
        <v>1736.5857649999998</v>
      </c>
      <c r="Y21" s="521">
        <f t="shared" si="4"/>
        <v>2092.6745330000003</v>
      </c>
      <c r="Z21" s="521">
        <f t="shared" si="4"/>
        <v>2296.6590069999997</v>
      </c>
      <c r="AA21" s="521">
        <f t="shared" si="4"/>
        <v>3239.6560489999997</v>
      </c>
      <c r="AB21" s="521">
        <f t="shared" si="4"/>
        <v>1964.0016410000003</v>
      </c>
      <c r="AC21" s="521">
        <f t="shared" si="4"/>
        <v>3937.885616</v>
      </c>
      <c r="AD21" s="521">
        <f t="shared" si="4"/>
        <v>4383.8680250000007</v>
      </c>
      <c r="AE21" s="521">
        <f t="shared" si="4"/>
        <v>4236.5471779999998</v>
      </c>
      <c r="AF21" s="521">
        <f t="shared" si="4"/>
        <v>5870.5672839999997</v>
      </c>
      <c r="AG21" s="521">
        <f t="shared" si="4"/>
        <v>4944.9867539999987</v>
      </c>
      <c r="AH21" s="521">
        <v>4022.049</v>
      </c>
      <c r="AI21" s="521">
        <v>5171.902</v>
      </c>
      <c r="AJ21" s="521">
        <v>5152.5559999999996</v>
      </c>
      <c r="AK21" s="522">
        <v>5664.5829999999996</v>
      </c>
      <c r="AL21" s="741">
        <v>8607.4306504200049</v>
      </c>
      <c r="AM21" s="741">
        <v>10618.456741950016</v>
      </c>
      <c r="AN21" s="419">
        <f>SUM(B21:AM21)</f>
        <v>85527.558027370018</v>
      </c>
      <c r="AO21" s="425"/>
    </row>
    <row r="22" spans="1:54" ht="16.5" thickTop="1" thickBot="1">
      <c r="A22" s="412" t="s">
        <v>1155</v>
      </c>
      <c r="B22" s="523">
        <f t="shared" ref="B22:AG22" si="5">SUM(B20:B21)</f>
        <v>118.109441</v>
      </c>
      <c r="C22" s="523">
        <f t="shared" si="5"/>
        <v>130.99427499999999</v>
      </c>
      <c r="D22" s="523">
        <f t="shared" si="5"/>
        <v>162.98166100000003</v>
      </c>
      <c r="E22" s="523">
        <f t="shared" si="5"/>
        <v>156.28186799999997</v>
      </c>
      <c r="F22" s="523">
        <f t="shared" si="5"/>
        <v>166.22599100000002</v>
      </c>
      <c r="G22" s="523">
        <f t="shared" si="5"/>
        <v>176.04352</v>
      </c>
      <c r="H22" s="523">
        <f t="shared" si="5"/>
        <v>264.22199699999999</v>
      </c>
      <c r="I22" s="523">
        <f t="shared" si="5"/>
        <v>324.41169400000001</v>
      </c>
      <c r="J22" s="523">
        <f t="shared" si="5"/>
        <v>344.88060499999995</v>
      </c>
      <c r="K22" s="523">
        <f t="shared" si="5"/>
        <v>349.08469300000002</v>
      </c>
      <c r="L22" s="523">
        <f t="shared" si="5"/>
        <v>359.36129999999997</v>
      </c>
      <c r="M22" s="523">
        <f t="shared" si="5"/>
        <v>390.48491200000001</v>
      </c>
      <c r="N22" s="523">
        <f t="shared" si="5"/>
        <v>485.96268900000001</v>
      </c>
      <c r="O22" s="523">
        <f t="shared" si="5"/>
        <v>560.82103699999993</v>
      </c>
      <c r="P22" s="523">
        <f t="shared" si="5"/>
        <v>622.23403999999994</v>
      </c>
      <c r="Q22" s="523">
        <f t="shared" si="5"/>
        <v>605.47205300000007</v>
      </c>
      <c r="R22" s="523">
        <f t="shared" si="5"/>
        <v>776.68228700000009</v>
      </c>
      <c r="S22" s="523">
        <f t="shared" si="5"/>
        <v>1136.325529</v>
      </c>
      <c r="T22" s="523">
        <f t="shared" si="5"/>
        <v>1028.124143</v>
      </c>
      <c r="U22" s="523">
        <f t="shared" si="5"/>
        <v>1138.9791880000002</v>
      </c>
      <c r="V22" s="523">
        <f t="shared" si="5"/>
        <v>1033.581989</v>
      </c>
      <c r="W22" s="523">
        <f t="shared" si="5"/>
        <v>1255.8838710000002</v>
      </c>
      <c r="X22" s="523">
        <f t="shared" si="5"/>
        <v>1736.5857649999998</v>
      </c>
      <c r="Y22" s="523">
        <f t="shared" si="5"/>
        <v>2092.6745330000003</v>
      </c>
      <c r="Z22" s="523">
        <f t="shared" si="5"/>
        <v>2296.6590069999997</v>
      </c>
      <c r="AA22" s="523">
        <f t="shared" si="5"/>
        <v>3239.6560489999997</v>
      </c>
      <c r="AB22" s="523">
        <f t="shared" si="5"/>
        <v>2839.1016410000002</v>
      </c>
      <c r="AC22" s="523">
        <f t="shared" si="5"/>
        <v>4871.5787230000005</v>
      </c>
      <c r="AD22" s="523">
        <f t="shared" si="5"/>
        <v>5319.4664670000002</v>
      </c>
      <c r="AE22" s="523">
        <f t="shared" si="5"/>
        <v>5256.4337799999994</v>
      </c>
      <c r="AF22" s="523">
        <f t="shared" si="5"/>
        <v>6977.459879</v>
      </c>
      <c r="AG22" s="523">
        <f t="shared" si="5"/>
        <v>5888.7826499999983</v>
      </c>
      <c r="AH22" s="523">
        <v>4637.5240000000003</v>
      </c>
      <c r="AI22" s="523">
        <v>5744.9030000000002</v>
      </c>
      <c r="AJ22" s="523">
        <v>5834.5209999999997</v>
      </c>
      <c r="AK22" s="524">
        <v>6553.9380000000001</v>
      </c>
      <c r="AL22" s="524">
        <v>9297.6329343300058</v>
      </c>
      <c r="AM22" s="524">
        <v>11004.688276580016</v>
      </c>
      <c r="AN22" s="420">
        <f>SUM(B22:AM22)</f>
        <v>95178.754487910002</v>
      </c>
      <c r="AO22" s="426">
        <f>AN22/AN$22</f>
        <v>1</v>
      </c>
    </row>
    <row r="23" spans="1:54" s="18" customFormat="1">
      <c r="A23" s="61"/>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4"/>
      <c r="AG23" s="63"/>
      <c r="AH23" s="63"/>
      <c r="AI23" s="63"/>
      <c r="AJ23" s="63"/>
      <c r="AK23" s="63"/>
      <c r="AL23" s="494"/>
      <c r="AM23" s="494"/>
      <c r="AN23" s="63"/>
      <c r="AO23" s="62"/>
      <c r="AQ23" s="33"/>
      <c r="AR23" s="33"/>
    </row>
    <row r="24" spans="1:54" ht="15.75" thickBot="1">
      <c r="A24" s="134" t="s">
        <v>1159</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row>
    <row r="25" spans="1:54">
      <c r="A25" s="1057" t="s">
        <v>95</v>
      </c>
      <c r="B25" s="70">
        <v>1984</v>
      </c>
      <c r="C25" s="70">
        <v>1985</v>
      </c>
      <c r="D25" s="70">
        <v>1986</v>
      </c>
      <c r="E25" s="70">
        <v>1987</v>
      </c>
      <c r="F25" s="70">
        <v>1988</v>
      </c>
      <c r="G25" s="70">
        <v>1989</v>
      </c>
      <c r="H25" s="70">
        <v>1990</v>
      </c>
      <c r="I25" s="70">
        <v>1991</v>
      </c>
      <c r="J25" s="70">
        <v>1992</v>
      </c>
      <c r="K25" s="70">
        <v>1993</v>
      </c>
      <c r="L25" s="70">
        <v>1994</v>
      </c>
      <c r="M25" s="70">
        <v>1995</v>
      </c>
      <c r="N25" s="70">
        <v>1996</v>
      </c>
      <c r="O25" s="70">
        <v>1997</v>
      </c>
      <c r="P25" s="70">
        <v>1998</v>
      </c>
      <c r="Q25" s="70">
        <v>1999</v>
      </c>
      <c r="R25" s="70">
        <v>2000</v>
      </c>
      <c r="S25" s="70">
        <v>2001</v>
      </c>
      <c r="T25" s="70">
        <v>2002</v>
      </c>
      <c r="U25" s="70">
        <v>2003</v>
      </c>
      <c r="V25" s="70">
        <v>2004</v>
      </c>
      <c r="W25" s="70">
        <v>2005</v>
      </c>
      <c r="X25" s="70">
        <v>2006</v>
      </c>
      <c r="Y25" s="70">
        <v>2007</v>
      </c>
      <c r="Z25" s="70">
        <v>2008</v>
      </c>
      <c r="AA25" s="70">
        <v>2009</v>
      </c>
      <c r="AB25" s="70">
        <v>2010</v>
      </c>
      <c r="AC25" s="70">
        <v>2011</v>
      </c>
      <c r="AD25" s="70">
        <v>2012</v>
      </c>
      <c r="AE25" s="70">
        <v>2013</v>
      </c>
      <c r="AF25" s="70">
        <v>2014</v>
      </c>
      <c r="AG25" s="70">
        <v>2015</v>
      </c>
      <c r="AH25" s="70">
        <v>2016</v>
      </c>
      <c r="AI25" s="70">
        <v>2017</v>
      </c>
      <c r="AJ25" s="70">
        <v>2018</v>
      </c>
      <c r="AK25" s="70">
        <v>2019</v>
      </c>
      <c r="AL25" s="70">
        <v>2020</v>
      </c>
      <c r="AM25" s="1059" t="s">
        <v>1090</v>
      </c>
      <c r="AN25" s="1060"/>
    </row>
    <row r="26" spans="1:54">
      <c r="A26" s="1058"/>
      <c r="B26" s="57" t="s">
        <v>1157</v>
      </c>
      <c r="C26" s="57" t="s">
        <v>1157</v>
      </c>
      <c r="D26" s="57" t="s">
        <v>1157</v>
      </c>
      <c r="E26" s="58" t="s">
        <v>1157</v>
      </c>
      <c r="F26" s="57" t="s">
        <v>1157</v>
      </c>
      <c r="G26" s="58" t="s">
        <v>1157</v>
      </c>
      <c r="H26" s="57" t="s">
        <v>1157</v>
      </c>
      <c r="I26" s="58" t="s">
        <v>1157</v>
      </c>
      <c r="J26" s="57" t="s">
        <v>1157</v>
      </c>
      <c r="K26" s="58" t="s">
        <v>1157</v>
      </c>
      <c r="L26" s="58" t="s">
        <v>1157</v>
      </c>
      <c r="M26" s="58" t="s">
        <v>1157</v>
      </c>
      <c r="N26" s="58" t="s">
        <v>1157</v>
      </c>
      <c r="O26" s="58" t="s">
        <v>1157</v>
      </c>
      <c r="P26" s="59" t="s">
        <v>1157</v>
      </c>
      <c r="Q26" s="59" t="s">
        <v>1157</v>
      </c>
      <c r="R26" s="73" t="s">
        <v>1157</v>
      </c>
      <c r="S26" s="73" t="s">
        <v>1157</v>
      </c>
      <c r="T26" s="73" t="s">
        <v>1157</v>
      </c>
      <c r="U26" s="73" t="s">
        <v>1157</v>
      </c>
      <c r="V26" s="73" t="s">
        <v>1157</v>
      </c>
      <c r="W26" s="73" t="s">
        <v>1157</v>
      </c>
      <c r="X26" s="73" t="s">
        <v>1157</v>
      </c>
      <c r="Y26" s="73" t="s">
        <v>1157</v>
      </c>
      <c r="Z26" s="74" t="s">
        <v>1157</v>
      </c>
      <c r="AA26" s="74" t="s">
        <v>1157</v>
      </c>
      <c r="AB26" s="74" t="s">
        <v>1157</v>
      </c>
      <c r="AC26" s="74" t="s">
        <v>1157</v>
      </c>
      <c r="AD26" s="74" t="s">
        <v>1157</v>
      </c>
      <c r="AE26" s="74" t="s">
        <v>1157</v>
      </c>
      <c r="AF26" s="74" t="s">
        <v>1157</v>
      </c>
      <c r="AG26" s="74" t="s">
        <v>1157</v>
      </c>
      <c r="AH26" s="74" t="s">
        <v>1157</v>
      </c>
      <c r="AI26" s="74" t="s">
        <v>1157</v>
      </c>
      <c r="AJ26" s="74" t="s">
        <v>1157</v>
      </c>
      <c r="AK26" s="74" t="s">
        <v>1157</v>
      </c>
      <c r="AL26" s="74" t="s">
        <v>1157</v>
      </c>
      <c r="AM26" s="514" t="s">
        <v>1157</v>
      </c>
      <c r="AN26" s="72" t="s">
        <v>1091</v>
      </c>
      <c r="AQ26" s="204"/>
      <c r="AR26" s="204"/>
      <c r="AS26" s="204"/>
      <c r="AT26" s="204"/>
      <c r="AU26" s="204"/>
      <c r="AV26" s="204"/>
      <c r="AW26" s="204"/>
      <c r="AX26" s="204"/>
      <c r="AY26" s="204"/>
      <c r="AZ26" s="204"/>
      <c r="BA26" s="204"/>
    </row>
    <row r="27" spans="1:54">
      <c r="A27" s="410" t="s">
        <v>48</v>
      </c>
      <c r="B27" s="515">
        <v>7.3000670000000003</v>
      </c>
      <c r="C27" s="515">
        <v>8.2229519999999994</v>
      </c>
      <c r="D27" s="515">
        <v>7.8940830000000002</v>
      </c>
      <c r="E27" s="515">
        <v>8.8009199999999996</v>
      </c>
      <c r="F27" s="515">
        <v>17.862929999999999</v>
      </c>
      <c r="G27" s="515">
        <v>25.917968999999999</v>
      </c>
      <c r="H27" s="515">
        <v>27.917249999999999</v>
      </c>
      <c r="I27" s="515">
        <v>31.605571000000001</v>
      </c>
      <c r="J27" s="515">
        <v>36.102908999999997</v>
      </c>
      <c r="K27" s="515">
        <v>33.744779999999999</v>
      </c>
      <c r="L27" s="515">
        <v>33.088425000000001</v>
      </c>
      <c r="M27" s="515">
        <v>48.087128</v>
      </c>
      <c r="N27" s="515">
        <v>50.255875000000003</v>
      </c>
      <c r="O27" s="515">
        <v>48.443001000000002</v>
      </c>
      <c r="P27" s="515">
        <v>55.097645999999997</v>
      </c>
      <c r="Q27" s="515">
        <v>56.511277</v>
      </c>
      <c r="R27" s="515">
        <v>67.244718000000006</v>
      </c>
      <c r="S27" s="515">
        <v>76.107667000000006</v>
      </c>
      <c r="T27" s="515">
        <v>75.554355000000001</v>
      </c>
      <c r="U27" s="515">
        <v>77.110478000000001</v>
      </c>
      <c r="V27" s="515">
        <v>76.127526000000003</v>
      </c>
      <c r="W27" s="515">
        <v>84.339597999999995</v>
      </c>
      <c r="X27" s="515">
        <v>122.036845</v>
      </c>
      <c r="Y27" s="515">
        <v>183.56032400000001</v>
      </c>
      <c r="Z27" s="515">
        <v>147.95616899999999</v>
      </c>
      <c r="AA27" s="515">
        <v>85.733526999999995</v>
      </c>
      <c r="AB27" s="515">
        <v>106.02801599999999</v>
      </c>
      <c r="AC27" s="515">
        <v>139.40100200000001</v>
      </c>
      <c r="AD27" s="515">
        <v>136.91198199999999</v>
      </c>
      <c r="AE27" s="515">
        <v>142.803504</v>
      </c>
      <c r="AF27" s="515">
        <v>72.087712999999994</v>
      </c>
      <c r="AG27" s="515">
        <v>76.166966000000002</v>
      </c>
      <c r="AH27" s="515">
        <v>60.905999999999999</v>
      </c>
      <c r="AI27" s="515">
        <v>58.93083463</v>
      </c>
      <c r="AJ27" s="515">
        <v>83.57934929000001</v>
      </c>
      <c r="AK27" s="515">
        <v>83.106348809999986</v>
      </c>
      <c r="AL27" s="515">
        <v>72.792384989999945</v>
      </c>
      <c r="AM27" s="416">
        <f>SUM(B27:AL27)</f>
        <v>2525.3380907200003</v>
      </c>
      <c r="AN27" s="421">
        <f t="shared" ref="AN27:AN36" si="6">AM27/AM$39</f>
        <v>2.8396544773622391E-2</v>
      </c>
      <c r="AQ27" s="65"/>
      <c r="AR27" s="65"/>
      <c r="AS27" s="65"/>
      <c r="AT27" s="65"/>
      <c r="AU27" s="65"/>
      <c r="AV27" s="65"/>
      <c r="AW27" s="65"/>
      <c r="AX27" s="65"/>
      <c r="AY27" s="65"/>
      <c r="AZ27" s="65"/>
      <c r="BA27" s="65"/>
      <c r="BB27" s="65"/>
    </row>
    <row r="28" spans="1:54">
      <c r="A28" s="410" t="s">
        <v>139</v>
      </c>
      <c r="B28" s="516">
        <v>17.840906</v>
      </c>
      <c r="C28" s="516">
        <v>20.821733999999999</v>
      </c>
      <c r="D28" s="516">
        <v>31.243739000000001</v>
      </c>
      <c r="E28" s="516">
        <v>29.930962999999998</v>
      </c>
      <c r="F28" s="516">
        <v>28.430859000000002</v>
      </c>
      <c r="G28" s="516">
        <v>25.391576000000001</v>
      </c>
      <c r="H28" s="516">
        <v>85.807862</v>
      </c>
      <c r="I28" s="516">
        <v>88.291780000000003</v>
      </c>
      <c r="J28" s="516">
        <v>82.862410999999994</v>
      </c>
      <c r="K28" s="516">
        <v>77.885557000000006</v>
      </c>
      <c r="L28" s="516">
        <v>84.194806999999997</v>
      </c>
      <c r="M28" s="516">
        <v>154.57946999999999</v>
      </c>
      <c r="N28" s="516">
        <v>166.151815</v>
      </c>
      <c r="O28" s="516">
        <v>236.83548300000001</v>
      </c>
      <c r="P28" s="516">
        <v>228.77493999999999</v>
      </c>
      <c r="Q28" s="516">
        <v>190.128231</v>
      </c>
      <c r="R28" s="516">
        <v>510.72407299999998</v>
      </c>
      <c r="S28" s="516">
        <v>494.45031999999998</v>
      </c>
      <c r="T28" s="516">
        <v>438.49728499999998</v>
      </c>
      <c r="U28" s="516">
        <v>441.346858</v>
      </c>
      <c r="V28" s="516">
        <v>489.335936</v>
      </c>
      <c r="W28" s="516">
        <v>624.69057399999997</v>
      </c>
      <c r="X28" s="516">
        <v>700.83078899999998</v>
      </c>
      <c r="Y28" s="516">
        <v>737.11452199999997</v>
      </c>
      <c r="Z28" s="516">
        <v>929.25872200000003</v>
      </c>
      <c r="AA28" s="516">
        <v>17.851848</v>
      </c>
      <c r="AB28" s="516">
        <v>22.882171</v>
      </c>
      <c r="AC28" s="516">
        <v>21.987487999999999</v>
      </c>
      <c r="AD28" s="516">
        <v>17.220538999999999</v>
      </c>
      <c r="AE28" s="516">
        <v>14.427177</v>
      </c>
      <c r="AF28" s="516">
        <v>11.123224</v>
      </c>
      <c r="AG28" s="516">
        <v>8.9851310000000009</v>
      </c>
      <c r="AH28" s="516">
        <v>3.42</v>
      </c>
      <c r="AI28" s="516">
        <v>4.12857363</v>
      </c>
      <c r="AJ28" s="516">
        <v>8.3170000000000002</v>
      </c>
      <c r="AK28" s="516">
        <v>10.568204840000002</v>
      </c>
      <c r="AL28" s="516">
        <v>2.3277912099999996</v>
      </c>
      <c r="AM28" s="417">
        <f>SUM(B28:AL28)</f>
        <v>7058.6603596799996</v>
      </c>
      <c r="AN28" s="422">
        <f t="shared" si="6"/>
        <v>7.9372170277722559E-2</v>
      </c>
      <c r="AQ28" s="65"/>
      <c r="AR28" s="65"/>
      <c r="AS28" s="65"/>
      <c r="AT28" s="65"/>
      <c r="AU28" s="65"/>
      <c r="AV28" s="65"/>
      <c r="AW28" s="65"/>
      <c r="AX28" s="65"/>
      <c r="AY28" s="65"/>
      <c r="AZ28" s="65"/>
      <c r="BA28" s="65"/>
    </row>
    <row r="29" spans="1:54">
      <c r="A29" s="411" t="s">
        <v>8</v>
      </c>
      <c r="B29" s="515">
        <v>7.2142999999999999E-2</v>
      </c>
      <c r="C29" s="515">
        <v>9.2987E-2</v>
      </c>
      <c r="D29" s="515">
        <v>0.10014199999999999</v>
      </c>
      <c r="E29" s="515">
        <v>0.13852200000000001</v>
      </c>
      <c r="F29" s="515">
        <v>0.15553400000000001</v>
      </c>
      <c r="G29" s="515">
        <v>0.21237300000000001</v>
      </c>
      <c r="H29" s="515">
        <v>0.22845599999999999</v>
      </c>
      <c r="I29" s="515">
        <v>0.28478999999999999</v>
      </c>
      <c r="J29" s="515">
        <v>0.21290799999999999</v>
      </c>
      <c r="K29" s="515">
        <v>0.27401599999999998</v>
      </c>
      <c r="L29" s="515">
        <v>0.35212700000000002</v>
      </c>
      <c r="M29" s="515">
        <v>0.37231199999999998</v>
      </c>
      <c r="N29" s="515">
        <v>0.37588500000000002</v>
      </c>
      <c r="O29" s="515">
        <v>0.43601200000000001</v>
      </c>
      <c r="P29" s="515">
        <v>9.2709379999999992</v>
      </c>
      <c r="Q29" s="515">
        <v>35.152990000000003</v>
      </c>
      <c r="R29" s="515">
        <v>43.866770000000002</v>
      </c>
      <c r="S29" s="515">
        <v>79.146827000000002</v>
      </c>
      <c r="T29" s="515">
        <v>81.952568999999997</v>
      </c>
      <c r="U29" s="515">
        <v>83.599621999999997</v>
      </c>
      <c r="V29" s="515">
        <v>74.334581999999997</v>
      </c>
      <c r="W29" s="515">
        <v>74.081029999999998</v>
      </c>
      <c r="X29" s="515">
        <v>96.783541999999997</v>
      </c>
      <c r="Y29" s="515">
        <v>100.58320399999999</v>
      </c>
      <c r="Z29" s="515">
        <v>99.877858000000003</v>
      </c>
      <c r="AA29" s="515">
        <v>139.58882</v>
      </c>
      <c r="AB29" s="515">
        <v>175.68911299999999</v>
      </c>
      <c r="AC29" s="515">
        <v>210.97038499999999</v>
      </c>
      <c r="AD29" s="515">
        <v>218.91829100000001</v>
      </c>
      <c r="AE29" s="515">
        <v>222.800476</v>
      </c>
      <c r="AF29" s="515">
        <v>216.55936</v>
      </c>
      <c r="AG29" s="515">
        <v>228.700818</v>
      </c>
      <c r="AH29" s="515">
        <v>254.834</v>
      </c>
      <c r="AI29" s="515">
        <v>267.82795695999977</v>
      </c>
      <c r="AJ29" s="515">
        <v>279.41500000000002</v>
      </c>
      <c r="AK29" s="515">
        <v>312.67474553000022</v>
      </c>
      <c r="AL29" s="515">
        <v>410.57403921000014</v>
      </c>
      <c r="AM29" s="416">
        <f>SUM(B29:AL29)</f>
        <v>3720.5111437</v>
      </c>
      <c r="AN29" s="421">
        <f t="shared" si="6"/>
        <v>4.1835848301292708E-2</v>
      </c>
      <c r="AO29" s="701"/>
      <c r="AP29" s="701"/>
      <c r="AQ29" s="27"/>
      <c r="AR29" s="65"/>
      <c r="AS29" s="65"/>
      <c r="AT29" s="65"/>
      <c r="AU29" s="65"/>
      <c r="AV29" s="65"/>
      <c r="AW29" s="65"/>
      <c r="AX29" s="65"/>
      <c r="AY29" s="65"/>
      <c r="AZ29" s="65"/>
      <c r="BA29" s="65"/>
    </row>
    <row r="30" spans="1:54">
      <c r="A30" s="410" t="s">
        <v>53</v>
      </c>
      <c r="B30" s="516">
        <v>84.053077999999999</v>
      </c>
      <c r="C30" s="516">
        <v>94.497727999999995</v>
      </c>
      <c r="D30" s="516">
        <v>102.414688</v>
      </c>
      <c r="E30" s="516">
        <v>89.274396999999993</v>
      </c>
      <c r="F30" s="516">
        <v>99.783895999999999</v>
      </c>
      <c r="G30" s="516">
        <v>102.392765</v>
      </c>
      <c r="H30" s="516">
        <v>111.80137999999999</v>
      </c>
      <c r="I30" s="516">
        <v>144.74190200000001</v>
      </c>
      <c r="J30" s="516">
        <v>151.445144</v>
      </c>
      <c r="K30" s="516">
        <v>182.85987900000001</v>
      </c>
      <c r="L30" s="516">
        <v>164.83283399999999</v>
      </c>
      <c r="M30" s="516">
        <v>179.175207</v>
      </c>
      <c r="N30" s="516">
        <v>177.67747900000001</v>
      </c>
      <c r="O30" s="516">
        <v>206.98787400000001</v>
      </c>
      <c r="P30" s="516">
        <v>235.06343699999999</v>
      </c>
      <c r="Q30" s="516">
        <v>204.971947</v>
      </c>
      <c r="R30" s="516">
        <v>232.69292999999999</v>
      </c>
      <c r="S30" s="516">
        <v>285.62792400000001</v>
      </c>
      <c r="T30" s="516">
        <v>272.49998399999998</v>
      </c>
      <c r="U30" s="516">
        <v>290.64790399999998</v>
      </c>
      <c r="V30" s="516">
        <v>330.19448699999998</v>
      </c>
      <c r="W30" s="516">
        <v>534.95757700000001</v>
      </c>
      <c r="X30" s="516">
        <v>774.77279499999997</v>
      </c>
      <c r="Y30" s="516">
        <v>830.41280200000006</v>
      </c>
      <c r="Z30" s="516">
        <v>1518.472327</v>
      </c>
      <c r="AA30" s="516">
        <v>1701.6030490000001</v>
      </c>
      <c r="AB30" s="516">
        <v>2394.704119</v>
      </c>
      <c r="AC30" s="516">
        <v>3785.1195250000001</v>
      </c>
      <c r="AD30" s="516">
        <v>3535.4177709999999</v>
      </c>
      <c r="AE30" s="516">
        <v>4344.0157790000003</v>
      </c>
      <c r="AF30" s="516">
        <v>5226.5965159999996</v>
      </c>
      <c r="AG30" s="516">
        <v>3863.4417410000001</v>
      </c>
      <c r="AH30" s="516">
        <v>3642.5039999999999</v>
      </c>
      <c r="AI30" s="516">
        <v>4832.819519100005</v>
      </c>
      <c r="AJ30" s="516">
        <v>4470.8609999999999</v>
      </c>
      <c r="AK30" s="516">
        <v>6953.3065179500045</v>
      </c>
      <c r="AL30" s="516">
        <v>7812.8063570199956</v>
      </c>
      <c r="AM30" s="417">
        <f>SUM(B30:AL30)</f>
        <v>59965.448259069999</v>
      </c>
      <c r="AN30" s="422">
        <f t="shared" si="6"/>
        <v>0.67429052078865548</v>
      </c>
      <c r="AO30" s="701"/>
      <c r="AP30" s="1055"/>
      <c r="AQ30" s="702"/>
      <c r="AR30" s="65"/>
      <c r="AS30" s="65"/>
      <c r="AT30" s="65"/>
      <c r="AU30" s="65"/>
      <c r="AV30" s="65"/>
      <c r="AW30" s="65"/>
      <c r="AX30" s="65"/>
      <c r="AY30" s="65"/>
      <c r="AZ30" s="65"/>
      <c r="BA30" s="65"/>
    </row>
    <row r="31" spans="1:54">
      <c r="A31" s="410" t="s">
        <v>45</v>
      </c>
      <c r="B31" s="515">
        <v>3.4508830000000001</v>
      </c>
      <c r="C31" s="515">
        <v>2.1567259999999999</v>
      </c>
      <c r="D31" s="515">
        <v>7.474564</v>
      </c>
      <c r="E31" s="515">
        <v>14.522383</v>
      </c>
      <c r="F31" s="515">
        <v>9.9715330000000009</v>
      </c>
      <c r="G31" s="515">
        <v>17.415032</v>
      </c>
      <c r="H31" s="515">
        <v>31.173756999999998</v>
      </c>
      <c r="I31" s="515">
        <v>20.363022000000001</v>
      </c>
      <c r="J31" s="515">
        <v>42.342416999999998</v>
      </c>
      <c r="K31" s="515">
        <v>40.152290000000001</v>
      </c>
      <c r="L31" s="515">
        <v>39.937640999999999</v>
      </c>
      <c r="M31" s="515">
        <v>32.381880000000002</v>
      </c>
      <c r="N31" s="515">
        <v>34.781689999999998</v>
      </c>
      <c r="O31" s="515">
        <v>36.098081000000001</v>
      </c>
      <c r="P31" s="515">
        <v>45.192711000000003</v>
      </c>
      <c r="Q31" s="515">
        <v>53.713093999999998</v>
      </c>
      <c r="R31" s="515">
        <v>65.775672999999998</v>
      </c>
      <c r="S31" s="515">
        <v>84.697851</v>
      </c>
      <c r="T31" s="515">
        <v>77.106520000000003</v>
      </c>
      <c r="U31" s="515">
        <v>72.794516999999999</v>
      </c>
      <c r="V31" s="515">
        <v>36.539966</v>
      </c>
      <c r="W31" s="515">
        <v>50.335666000000003</v>
      </c>
      <c r="X31" s="515">
        <v>27.687850000000001</v>
      </c>
      <c r="Y31" s="515">
        <v>33.182993000000003</v>
      </c>
      <c r="Z31" s="515">
        <v>30.998567999999999</v>
      </c>
      <c r="AA31" s="515">
        <v>18.332882999999999</v>
      </c>
      <c r="AB31" s="515">
        <v>15.818955000000001</v>
      </c>
      <c r="AC31" s="515">
        <v>13.509606</v>
      </c>
      <c r="AD31" s="515">
        <v>16.194434000000001</v>
      </c>
      <c r="AE31" s="515">
        <v>18.137585000000001</v>
      </c>
      <c r="AF31" s="515">
        <v>19.137695999999998</v>
      </c>
      <c r="AG31" s="515">
        <v>15.963969000000001</v>
      </c>
      <c r="AH31" s="515">
        <v>15.667999999999999</v>
      </c>
      <c r="AI31" s="515">
        <v>12.526838660000001</v>
      </c>
      <c r="AJ31" s="515">
        <v>11.901999999999999</v>
      </c>
      <c r="AK31" s="515">
        <v>12.35870401</v>
      </c>
      <c r="AL31" s="515">
        <v>9.1200844399999994</v>
      </c>
      <c r="AM31" s="416">
        <f>SUM(B31:AL31)</f>
        <v>1088.91806311</v>
      </c>
      <c r="AN31" s="421">
        <f t="shared" si="6"/>
        <v>1.2244503279595819E-2</v>
      </c>
      <c r="AO31" s="701"/>
      <c r="AP31" s="1055"/>
      <c r="AQ31" s="494"/>
      <c r="AR31" s="65"/>
      <c r="AS31" s="65"/>
      <c r="AT31" s="65"/>
      <c r="AU31" s="65"/>
      <c r="AV31" s="65"/>
      <c r="AW31" s="65"/>
      <c r="AX31" s="65"/>
      <c r="AY31" s="65"/>
      <c r="AZ31" s="65"/>
      <c r="BA31" s="65"/>
    </row>
    <row r="32" spans="1:54">
      <c r="A32" s="410" t="s">
        <v>10</v>
      </c>
      <c r="B32" s="516">
        <v>3.9682089999999999</v>
      </c>
      <c r="C32" s="516">
        <v>5.0308330000000003</v>
      </c>
      <c r="D32" s="516">
        <v>5.8192750000000002</v>
      </c>
      <c r="E32" s="516">
        <v>3.3647079999999998</v>
      </c>
      <c r="F32" s="516">
        <v>6.5740340000000002</v>
      </c>
      <c r="G32" s="516">
        <v>10.694293</v>
      </c>
      <c r="H32" s="516">
        <v>9.9092339999999997</v>
      </c>
      <c r="I32" s="516">
        <v>10.082058</v>
      </c>
      <c r="J32" s="516">
        <v>10.846182000000001</v>
      </c>
      <c r="K32" s="516">
        <v>8.1570459999999994</v>
      </c>
      <c r="L32" s="516">
        <v>10.872023</v>
      </c>
      <c r="M32" s="516">
        <v>22.481707</v>
      </c>
      <c r="N32" s="516">
        <v>24.375886000000001</v>
      </c>
      <c r="O32" s="516">
        <v>21.581045</v>
      </c>
      <c r="P32" s="516">
        <v>24.60351</v>
      </c>
      <c r="Q32" s="516">
        <v>20.268521</v>
      </c>
      <c r="R32" s="516">
        <v>51.541488000000001</v>
      </c>
      <c r="S32" s="516">
        <v>53.134321999999997</v>
      </c>
      <c r="T32" s="516">
        <v>46.654437000000001</v>
      </c>
      <c r="U32" s="516">
        <v>63.881419000000001</v>
      </c>
      <c r="V32" s="516">
        <v>82.189510999999996</v>
      </c>
      <c r="W32" s="516">
        <v>87.554131999999996</v>
      </c>
      <c r="X32" s="516">
        <v>117.65648</v>
      </c>
      <c r="Y32" s="516">
        <v>197.97207599999999</v>
      </c>
      <c r="Z32" s="516">
        <v>116.720356</v>
      </c>
      <c r="AA32" s="516">
        <v>67.742963000000003</v>
      </c>
      <c r="AB32" s="516">
        <v>100.73661300000001</v>
      </c>
      <c r="AC32" s="516">
        <v>103.02030999999999</v>
      </c>
      <c r="AD32" s="516">
        <v>94.532049999999998</v>
      </c>
      <c r="AE32" s="516">
        <v>84.413621000000006</v>
      </c>
      <c r="AF32" s="516">
        <v>84.339056999999997</v>
      </c>
      <c r="AG32" s="516">
        <v>66.572766000000001</v>
      </c>
      <c r="AH32" s="516">
        <v>47.412999999999997</v>
      </c>
      <c r="AI32" s="516">
        <v>51.277232600000012</v>
      </c>
      <c r="AJ32" s="516">
        <v>66.715999999999994</v>
      </c>
      <c r="AK32" s="516">
        <v>73.107660920000029</v>
      </c>
      <c r="AL32" s="516">
        <v>74.741380270000008</v>
      </c>
      <c r="AM32" s="417">
        <f t="shared" ref="AM32:AM34" si="7">SUM(B32:AL32)</f>
        <v>1930.5454387899997</v>
      </c>
      <c r="AN32" s="422">
        <f t="shared" si="6"/>
        <v>2.1708309153362797E-2</v>
      </c>
      <c r="AO32" s="701"/>
      <c r="AP32" s="703"/>
      <c r="AQ32" s="517"/>
      <c r="AR32" s="65"/>
      <c r="AS32" s="65"/>
      <c r="AT32" s="65"/>
      <c r="AU32" s="65"/>
      <c r="AV32" s="65"/>
      <c r="AW32" s="65"/>
      <c r="AX32" s="65"/>
      <c r="AY32" s="65"/>
      <c r="AZ32" s="65"/>
      <c r="BA32" s="65"/>
    </row>
    <row r="33" spans="1:44">
      <c r="A33" s="410" t="s">
        <v>6</v>
      </c>
      <c r="B33" s="515">
        <v>8.8597769999999993</v>
      </c>
      <c r="C33" s="515">
        <v>9.9765149999999991</v>
      </c>
      <c r="D33" s="515">
        <v>10.368378</v>
      </c>
      <c r="E33" s="515">
        <v>10.484702</v>
      </c>
      <c r="F33" s="515">
        <v>15.693844</v>
      </c>
      <c r="G33" s="515">
        <v>28.799883000000001</v>
      </c>
      <c r="H33" s="515">
        <v>34.945118000000001</v>
      </c>
      <c r="I33" s="515">
        <v>30.697526</v>
      </c>
      <c r="J33" s="515">
        <v>28.084012000000001</v>
      </c>
      <c r="K33" s="515">
        <v>30.723077</v>
      </c>
      <c r="L33" s="515">
        <v>29.077739000000001</v>
      </c>
      <c r="M33" s="515">
        <v>28.353370999999999</v>
      </c>
      <c r="N33" s="515">
        <v>31.598661</v>
      </c>
      <c r="O33" s="515">
        <v>34.568199</v>
      </c>
      <c r="P33" s="515">
        <v>38.281457000000003</v>
      </c>
      <c r="Q33" s="515">
        <v>39.021614999999997</v>
      </c>
      <c r="R33" s="515">
        <v>47.244112000000001</v>
      </c>
      <c r="S33" s="515">
        <v>62.545602000000002</v>
      </c>
      <c r="T33" s="515">
        <v>57.229191999999998</v>
      </c>
      <c r="U33" s="515">
        <v>51.081237999999999</v>
      </c>
      <c r="V33" s="515">
        <v>52.514256000000003</v>
      </c>
      <c r="W33" s="515">
        <v>57.283451999999997</v>
      </c>
      <c r="X33" s="515">
        <v>74.832357000000002</v>
      </c>
      <c r="Y33" s="515">
        <v>85.152337000000003</v>
      </c>
      <c r="Z33" s="515">
        <v>78.222581000000005</v>
      </c>
      <c r="AA33" s="515">
        <v>66.627260000000007</v>
      </c>
      <c r="AB33" s="515">
        <v>64.564846000000003</v>
      </c>
      <c r="AC33" s="515">
        <v>68.402558999999997</v>
      </c>
      <c r="AD33" s="515">
        <v>65.293682000000004</v>
      </c>
      <c r="AE33" s="515">
        <v>66.744770000000003</v>
      </c>
      <c r="AF33" s="515">
        <v>71.724530999999999</v>
      </c>
      <c r="AG33" s="515">
        <v>87.731436000000002</v>
      </c>
      <c r="AH33" s="515">
        <v>77.259</v>
      </c>
      <c r="AI33" s="515">
        <v>87.380759660000024</v>
      </c>
      <c r="AJ33" s="515">
        <v>120.373</v>
      </c>
      <c r="AK33" s="515">
        <v>130.41165364</v>
      </c>
      <c r="AL33" s="515">
        <v>99.919503580000011</v>
      </c>
      <c r="AM33" s="416">
        <f t="shared" si="7"/>
        <v>1982.0720018800002</v>
      </c>
      <c r="AN33" s="421">
        <f t="shared" si="6"/>
        <v>2.2287707357980583E-2</v>
      </c>
      <c r="AO33" s="701"/>
      <c r="AP33" s="703"/>
      <c r="AQ33" s="517"/>
    </row>
    <row r="34" spans="1:44">
      <c r="A34" s="410" t="s">
        <v>911</v>
      </c>
      <c r="B34" s="516"/>
      <c r="C34" s="516"/>
      <c r="D34" s="516"/>
      <c r="E34" s="516"/>
      <c r="F34" s="516"/>
      <c r="G34" s="516"/>
      <c r="H34" s="516"/>
      <c r="I34" s="516"/>
      <c r="J34" s="516"/>
      <c r="K34" s="516"/>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v>44.404982330000003</v>
      </c>
      <c r="AJ34" s="516">
        <v>89.076650709999996</v>
      </c>
      <c r="AK34" s="516">
        <v>82.076538889999952</v>
      </c>
      <c r="AL34" s="516">
        <v>46.903377009999993</v>
      </c>
      <c r="AM34" s="417">
        <f t="shared" si="7"/>
        <v>262.46154893999994</v>
      </c>
      <c r="AN34" s="422">
        <f t="shared" si="6"/>
        <v>2.9512884445916168E-3</v>
      </c>
      <c r="AO34" s="701"/>
      <c r="AP34" s="704"/>
      <c r="AQ34" s="517"/>
    </row>
    <row r="35" spans="1:44">
      <c r="A35" s="410" t="s">
        <v>105</v>
      </c>
      <c r="B35" s="517"/>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517"/>
      <c r="AF35" s="517">
        <v>71.060969999999998</v>
      </c>
      <c r="AG35" s="517">
        <v>69.357085999999995</v>
      </c>
      <c r="AH35" s="517">
        <v>50.73</v>
      </c>
      <c r="AI35" s="517">
        <v>66.978288210000002</v>
      </c>
      <c r="AJ35" s="517">
        <v>76.313000000000002</v>
      </c>
      <c r="AK35" s="517">
        <v>74.181488959999996</v>
      </c>
      <c r="AL35" s="517">
        <v>63.683051429999985</v>
      </c>
      <c r="AM35" s="416">
        <f>SUM(B35:AL35)</f>
        <v>472.30388459999995</v>
      </c>
      <c r="AN35" s="423">
        <f t="shared" si="6"/>
        <v>5.3108922148225454E-3</v>
      </c>
      <c r="AO35" s="701"/>
      <c r="AP35" s="703"/>
      <c r="AQ35" s="517"/>
    </row>
    <row r="36" spans="1:44" ht="15.75" thickBot="1">
      <c r="A36" s="410" t="s">
        <v>191</v>
      </c>
      <c r="B36" s="518"/>
      <c r="C36" s="518"/>
      <c r="D36" s="518"/>
      <c r="E36" s="518"/>
      <c r="F36" s="518"/>
      <c r="G36" s="518"/>
      <c r="H36" s="518"/>
      <c r="I36" s="518"/>
      <c r="J36" s="518"/>
      <c r="K36" s="518"/>
      <c r="L36" s="518"/>
      <c r="M36" s="518"/>
      <c r="N36" s="518"/>
      <c r="O36" s="518"/>
      <c r="P36" s="518"/>
      <c r="Q36" s="518"/>
      <c r="R36" s="518"/>
      <c r="S36" s="518"/>
      <c r="T36" s="518"/>
      <c r="U36" s="518"/>
      <c r="V36" s="518"/>
      <c r="W36" s="518"/>
      <c r="X36" s="518"/>
      <c r="Y36" s="518"/>
      <c r="Z36" s="518"/>
      <c r="AA36" s="518">
        <v>21.462494</v>
      </c>
      <c r="AB36" s="518">
        <v>24.355874</v>
      </c>
      <c r="AC36" s="518">
        <v>19.222522999999999</v>
      </c>
      <c r="AD36" s="518">
        <v>25.124566000000002</v>
      </c>
      <c r="AE36" s="518">
        <v>20.032661000000001</v>
      </c>
      <c r="AF36" s="518">
        <v>13.867438999999999</v>
      </c>
      <c r="AG36" s="518">
        <v>12.902158</v>
      </c>
      <c r="AH36" s="518">
        <v>17.111000000000001</v>
      </c>
      <c r="AI36" s="518">
        <v>12.704224999999997</v>
      </c>
      <c r="AJ36" s="518">
        <v>15.432</v>
      </c>
      <c r="AK36" s="519">
        <v>21.114101730000002</v>
      </c>
      <c r="AL36" s="519">
        <v>27.519279089999994</v>
      </c>
      <c r="AM36" s="417">
        <f>SUM(B36:AL36)</f>
        <v>230.84832081999997</v>
      </c>
      <c r="AN36" s="422">
        <f t="shared" si="6"/>
        <v>2.5958087363310992E-3</v>
      </c>
      <c r="AO36" s="701"/>
      <c r="AP36" s="703"/>
      <c r="AQ36" s="517"/>
    </row>
    <row r="37" spans="1:44" ht="15.75" thickTop="1">
      <c r="A37" s="410" t="s">
        <v>106</v>
      </c>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v>673.84336599999995</v>
      </c>
      <c r="AB37" s="516">
        <v>962.19831699999997</v>
      </c>
      <c r="AC37" s="516">
        <v>927.12396799999999</v>
      </c>
      <c r="AD37" s="516">
        <v>985.83227699999998</v>
      </c>
      <c r="AE37" s="516">
        <v>1039.1903070000001</v>
      </c>
      <c r="AF37" s="516">
        <v>1079.461374</v>
      </c>
      <c r="AG37" s="516">
        <v>742.80582800000002</v>
      </c>
      <c r="AH37" s="516">
        <v>567.04499999999996</v>
      </c>
      <c r="AI37" s="516">
        <v>622.81438276999984</v>
      </c>
      <c r="AJ37" s="516">
        <v>832.39</v>
      </c>
      <c r="AK37" s="520">
        <v>766.41866484999991</v>
      </c>
      <c r="AL37" s="520">
        <v>494.94433580999998</v>
      </c>
      <c r="AM37" s="418">
        <f>SUM(B37:AL37)</f>
        <v>9694.0678204300002</v>
      </c>
      <c r="AN37" s="424"/>
      <c r="AO37" s="701"/>
      <c r="AP37" s="703"/>
      <c r="AQ37" s="517"/>
    </row>
    <row r="38" spans="1:44" ht="15.75" thickBot="1">
      <c r="A38" s="410" t="s">
        <v>1160</v>
      </c>
      <c r="B38" s="521">
        <f t="shared" ref="B38:AF38" si="8">SUM(B27:B36)</f>
        <v>125.545063</v>
      </c>
      <c r="C38" s="521">
        <f t="shared" si="8"/>
        <v>140.799475</v>
      </c>
      <c r="D38" s="521">
        <f t="shared" si="8"/>
        <v>165.31486899999999</v>
      </c>
      <c r="E38" s="521">
        <f t="shared" si="8"/>
        <v>156.516595</v>
      </c>
      <c r="F38" s="521">
        <f t="shared" si="8"/>
        <v>178.47263000000004</v>
      </c>
      <c r="G38" s="521">
        <f t="shared" si="8"/>
        <v>210.82389099999997</v>
      </c>
      <c r="H38" s="521">
        <f t="shared" si="8"/>
        <v>301.78305699999999</v>
      </c>
      <c r="I38" s="521">
        <f t="shared" si="8"/>
        <v>326.06664899999998</v>
      </c>
      <c r="J38" s="521">
        <f t="shared" si="8"/>
        <v>351.895983</v>
      </c>
      <c r="K38" s="521">
        <f t="shared" si="8"/>
        <v>373.79664499999996</v>
      </c>
      <c r="L38" s="521">
        <f t="shared" si="8"/>
        <v>362.35559599999999</v>
      </c>
      <c r="M38" s="521">
        <f t="shared" si="8"/>
        <v>465.43107500000002</v>
      </c>
      <c r="N38" s="521">
        <f t="shared" si="8"/>
        <v>485.21729099999999</v>
      </c>
      <c r="O38" s="521">
        <f t="shared" si="8"/>
        <v>584.94969500000002</v>
      </c>
      <c r="P38" s="521">
        <f t="shared" si="8"/>
        <v>636.28463900000008</v>
      </c>
      <c r="Q38" s="521">
        <f t="shared" si="8"/>
        <v>599.76767499999994</v>
      </c>
      <c r="R38" s="521">
        <f t="shared" si="8"/>
        <v>1019.0897639999999</v>
      </c>
      <c r="S38" s="521">
        <f t="shared" si="8"/>
        <v>1135.710513</v>
      </c>
      <c r="T38" s="521">
        <f t="shared" si="8"/>
        <v>1049.494342</v>
      </c>
      <c r="U38" s="521">
        <f t="shared" si="8"/>
        <v>1080.4620359999999</v>
      </c>
      <c r="V38" s="521">
        <f t="shared" si="8"/>
        <v>1141.2362639999999</v>
      </c>
      <c r="W38" s="521">
        <f t="shared" si="8"/>
        <v>1513.242029</v>
      </c>
      <c r="X38" s="521">
        <f t="shared" si="8"/>
        <v>1914.6006580000001</v>
      </c>
      <c r="Y38" s="521">
        <f t="shared" si="8"/>
        <v>2167.9782580000001</v>
      </c>
      <c r="Z38" s="521">
        <f t="shared" si="8"/>
        <v>2921.5065809999996</v>
      </c>
      <c r="AA38" s="521">
        <f t="shared" si="8"/>
        <v>2118.9428440000002</v>
      </c>
      <c r="AB38" s="521">
        <f t="shared" si="8"/>
        <v>2904.7797070000001</v>
      </c>
      <c r="AC38" s="521">
        <f t="shared" si="8"/>
        <v>4361.6333979999999</v>
      </c>
      <c r="AD38" s="521">
        <f t="shared" si="8"/>
        <v>4109.6133149999996</v>
      </c>
      <c r="AE38" s="521">
        <f t="shared" si="8"/>
        <v>4913.3755730000012</v>
      </c>
      <c r="AF38" s="521">
        <f t="shared" si="8"/>
        <v>5786.4965059999995</v>
      </c>
      <c r="AG38" s="521">
        <f t="shared" ref="AG38:AL38" si="9">SUM(AG27:AG36)</f>
        <v>4429.8220710000005</v>
      </c>
      <c r="AH38" s="521">
        <f t="shared" si="9"/>
        <v>4169.8449999999993</v>
      </c>
      <c r="AI38" s="521">
        <f t="shared" si="9"/>
        <v>5438.9792107800058</v>
      </c>
      <c r="AJ38" s="521">
        <f t="shared" si="9"/>
        <v>5221.9849999999997</v>
      </c>
      <c r="AK38" s="522">
        <f t="shared" si="9"/>
        <v>7752.9059652800042</v>
      </c>
      <c r="AL38" s="522">
        <f t="shared" si="9"/>
        <v>8620.3872482499937</v>
      </c>
      <c r="AM38" s="419">
        <f>SUM(B38:AL38)</f>
        <v>79237.107111310004</v>
      </c>
      <c r="AN38" s="425"/>
      <c r="AO38" s="701"/>
      <c r="AP38" s="703"/>
      <c r="AQ38" s="517"/>
    </row>
    <row r="39" spans="1:44" ht="16.5" thickTop="1" thickBot="1">
      <c r="A39" s="412" t="s">
        <v>1155</v>
      </c>
      <c r="B39" s="523">
        <f>SUM(B37:B38)</f>
        <v>125.545063</v>
      </c>
      <c r="C39" s="523">
        <f t="shared" ref="C39:AI39" si="10">SUM(C37:C38)</f>
        <v>140.799475</v>
      </c>
      <c r="D39" s="523">
        <f t="shared" si="10"/>
        <v>165.31486899999999</v>
      </c>
      <c r="E39" s="523">
        <f t="shared" si="10"/>
        <v>156.516595</v>
      </c>
      <c r="F39" s="523">
        <f t="shared" si="10"/>
        <v>178.47263000000004</v>
      </c>
      <c r="G39" s="523">
        <f t="shared" si="10"/>
        <v>210.82389099999997</v>
      </c>
      <c r="H39" s="523">
        <f t="shared" si="10"/>
        <v>301.78305699999999</v>
      </c>
      <c r="I39" s="523">
        <f t="shared" si="10"/>
        <v>326.06664899999998</v>
      </c>
      <c r="J39" s="523">
        <f t="shared" si="10"/>
        <v>351.895983</v>
      </c>
      <c r="K39" s="523">
        <f t="shared" si="10"/>
        <v>373.79664499999996</v>
      </c>
      <c r="L39" s="523">
        <f t="shared" si="10"/>
        <v>362.35559599999999</v>
      </c>
      <c r="M39" s="523">
        <f t="shared" si="10"/>
        <v>465.43107500000002</v>
      </c>
      <c r="N39" s="523">
        <f t="shared" si="10"/>
        <v>485.21729099999999</v>
      </c>
      <c r="O39" s="523">
        <f t="shared" si="10"/>
        <v>584.94969500000002</v>
      </c>
      <c r="P39" s="523">
        <f t="shared" si="10"/>
        <v>636.28463900000008</v>
      </c>
      <c r="Q39" s="523">
        <f t="shared" si="10"/>
        <v>599.76767499999994</v>
      </c>
      <c r="R39" s="523">
        <f t="shared" si="10"/>
        <v>1019.0897639999999</v>
      </c>
      <c r="S39" s="523">
        <f t="shared" si="10"/>
        <v>1135.710513</v>
      </c>
      <c r="T39" s="523">
        <f t="shared" si="10"/>
        <v>1049.494342</v>
      </c>
      <c r="U39" s="523">
        <f t="shared" si="10"/>
        <v>1080.4620359999999</v>
      </c>
      <c r="V39" s="523">
        <f t="shared" si="10"/>
        <v>1141.2362639999999</v>
      </c>
      <c r="W39" s="523">
        <f t="shared" si="10"/>
        <v>1513.242029</v>
      </c>
      <c r="X39" s="523">
        <f t="shared" si="10"/>
        <v>1914.6006580000001</v>
      </c>
      <c r="Y39" s="523">
        <f t="shared" si="10"/>
        <v>2167.9782580000001</v>
      </c>
      <c r="Z39" s="523">
        <f t="shared" si="10"/>
        <v>2921.5065809999996</v>
      </c>
      <c r="AA39" s="523">
        <f t="shared" si="10"/>
        <v>2792.7862100000002</v>
      </c>
      <c r="AB39" s="523">
        <f t="shared" si="10"/>
        <v>3866.978024</v>
      </c>
      <c r="AC39" s="523">
        <f t="shared" si="10"/>
        <v>5288.7573659999998</v>
      </c>
      <c r="AD39" s="523">
        <f t="shared" si="10"/>
        <v>5095.445592</v>
      </c>
      <c r="AE39" s="523">
        <f t="shared" si="10"/>
        <v>5952.565880000001</v>
      </c>
      <c r="AF39" s="523">
        <f t="shared" si="10"/>
        <v>6865.9578799999999</v>
      </c>
      <c r="AG39" s="523">
        <f t="shared" si="10"/>
        <v>5172.627899000001</v>
      </c>
      <c r="AH39" s="523">
        <f t="shared" si="10"/>
        <v>4736.8899999999994</v>
      </c>
      <c r="AI39" s="523">
        <f t="shared" si="10"/>
        <v>6061.7935935500054</v>
      </c>
      <c r="AJ39" s="523">
        <f>SUM(AJ37:AJ38)</f>
        <v>6054.375</v>
      </c>
      <c r="AK39" s="525">
        <f>SUM(AK37:AK38)</f>
        <v>8519.3246301300042</v>
      </c>
      <c r="AL39" s="525">
        <f>SUM(AL37:AL38)</f>
        <v>9115.3315840599935</v>
      </c>
      <c r="AM39" s="420">
        <f>SUM(B39:AL39)</f>
        <v>88931.17493174001</v>
      </c>
      <c r="AN39" s="426">
        <f>AM39/AM$39</f>
        <v>1</v>
      </c>
      <c r="AO39" s="701"/>
      <c r="AP39" s="703"/>
      <c r="AQ39" s="517"/>
    </row>
    <row r="40" spans="1:44">
      <c r="R40" s="65"/>
      <c r="S40" s="65"/>
      <c r="T40" s="65"/>
      <c r="U40" s="65"/>
      <c r="V40" s="65"/>
      <c r="W40" s="65"/>
      <c r="X40" s="65"/>
      <c r="Y40" s="65"/>
      <c r="Z40" s="65"/>
      <c r="AA40" s="65"/>
      <c r="AB40" s="65"/>
      <c r="AC40" s="65"/>
      <c r="AD40" s="65"/>
      <c r="AE40" s="65"/>
      <c r="AF40" s="65"/>
      <c r="AG40" s="65"/>
      <c r="AH40" s="65"/>
      <c r="AI40" s="65"/>
      <c r="AJ40" s="65"/>
      <c r="AK40" s="65"/>
      <c r="AL40" s="65"/>
      <c r="AM40" s="65"/>
      <c r="AP40" s="701"/>
      <c r="AQ40" s="703"/>
      <c r="AR40" s="517"/>
    </row>
    <row r="41" spans="1:44">
      <c r="A41" s="85"/>
      <c r="B41" s="18"/>
      <c r="C41" s="18"/>
      <c r="D41" s="18"/>
      <c r="E41" s="18"/>
      <c r="F41" s="18"/>
      <c r="G41" s="18"/>
      <c r="H41" s="18"/>
      <c r="I41" s="18"/>
      <c r="J41" s="18"/>
      <c r="K41" s="18"/>
      <c r="L41" s="18"/>
      <c r="M41" s="18"/>
      <c r="N41" s="18"/>
      <c r="O41" s="18"/>
      <c r="P41" s="18"/>
      <c r="Q41" s="18"/>
      <c r="R41" s="18"/>
      <c r="S41" s="18"/>
      <c r="T41" s="18"/>
      <c r="U41" s="18"/>
      <c r="V41" s="18"/>
      <c r="W41" s="18"/>
      <c r="X41" s="18"/>
      <c r="Y41" s="18"/>
      <c r="Z41" s="93"/>
      <c r="AA41" s="93"/>
      <c r="AB41" s="93"/>
      <c r="AC41" s="93"/>
      <c r="AD41" s="93"/>
      <c r="AE41" s="93"/>
      <c r="AF41" s="93"/>
      <c r="AG41" s="93"/>
      <c r="AH41" s="93"/>
      <c r="AI41" s="93"/>
      <c r="AJ41" s="93"/>
      <c r="AK41" s="93"/>
      <c r="AL41" s="93"/>
      <c r="AM41" s="93"/>
      <c r="AN41" s="76"/>
      <c r="AO41" s="18"/>
      <c r="AP41" s="701"/>
      <c r="AQ41" s="703"/>
      <c r="AR41" s="517"/>
    </row>
    <row r="42" spans="1:44">
      <c r="A42" s="85"/>
      <c r="B42" s="18"/>
      <c r="C42" s="18"/>
      <c r="D42" s="18"/>
      <c r="E42" s="18"/>
      <c r="F42" s="18"/>
      <c r="G42" s="18"/>
      <c r="H42" s="18"/>
      <c r="I42" s="18"/>
      <c r="J42" s="18"/>
      <c r="K42" s="18"/>
      <c r="L42" s="18"/>
      <c r="M42" s="18"/>
      <c r="N42" s="18"/>
      <c r="O42" s="18"/>
      <c r="P42" s="18"/>
      <c r="Q42" s="18"/>
      <c r="R42" s="18"/>
      <c r="S42" s="18"/>
      <c r="T42" s="18"/>
      <c r="U42" s="18"/>
      <c r="V42" s="18"/>
      <c r="W42" s="18"/>
      <c r="X42" s="18"/>
      <c r="Y42" s="18"/>
      <c r="Z42" s="93"/>
      <c r="AA42" s="93"/>
      <c r="AB42" s="94"/>
      <c r="AC42" s="94"/>
      <c r="AD42" s="94"/>
      <c r="AE42" s="94"/>
      <c r="AF42" s="94"/>
      <c r="AG42" s="94"/>
      <c r="AH42" s="94"/>
      <c r="AI42" s="94"/>
      <c r="AJ42" s="94"/>
      <c r="AK42" s="94"/>
      <c r="AL42" s="94"/>
      <c r="AM42" s="94"/>
      <c r="AN42" s="76"/>
      <c r="AO42" s="18"/>
      <c r="AP42" s="701"/>
      <c r="AQ42" s="703"/>
      <c r="AR42" s="517"/>
    </row>
    <row r="43" spans="1:44">
      <c r="A43" s="78"/>
      <c r="B43" s="18"/>
      <c r="C43" s="18"/>
      <c r="D43" s="18"/>
      <c r="E43" s="18"/>
      <c r="F43" s="18"/>
      <c r="G43" s="18"/>
      <c r="H43" s="18"/>
      <c r="I43" s="18"/>
      <c r="J43" s="18"/>
      <c r="K43" s="18"/>
      <c r="L43" s="18"/>
      <c r="M43" s="18"/>
      <c r="N43" s="18"/>
      <c r="O43" s="18"/>
      <c r="P43" s="18"/>
      <c r="Q43" s="18"/>
      <c r="R43" s="18"/>
      <c r="S43" s="18"/>
      <c r="T43" s="18"/>
      <c r="U43" s="18"/>
      <c r="V43" s="18"/>
      <c r="W43" s="18"/>
      <c r="X43" s="18"/>
      <c r="Y43" s="18"/>
      <c r="Z43" s="93"/>
      <c r="AA43" s="93"/>
      <c r="AB43" s="93"/>
      <c r="AC43" s="93"/>
      <c r="AD43" s="93"/>
      <c r="AE43" s="93"/>
      <c r="AF43" s="93"/>
      <c r="AG43" s="93"/>
      <c r="AH43" s="93"/>
      <c r="AI43" s="76"/>
      <c r="AJ43" s="76"/>
      <c r="AK43" s="76"/>
      <c r="AL43" s="76"/>
      <c r="AM43" s="76"/>
      <c r="AN43" s="18"/>
      <c r="AO43" s="18"/>
      <c r="AP43" s="701"/>
      <c r="AQ43" s="703"/>
      <c r="AR43" s="705"/>
    </row>
    <row r="44" spans="1:44">
      <c r="A44" s="85"/>
      <c r="B44" s="18"/>
      <c r="C44" s="18"/>
      <c r="D44" s="18"/>
      <c r="E44" s="18"/>
      <c r="F44" s="18"/>
      <c r="G44" s="18"/>
      <c r="H44" s="18"/>
      <c r="I44" s="18"/>
      <c r="J44" s="18"/>
      <c r="K44" s="18"/>
      <c r="L44" s="18"/>
      <c r="M44" s="18"/>
      <c r="N44" s="18"/>
      <c r="O44" s="18"/>
      <c r="P44" s="18"/>
      <c r="Q44" s="18"/>
      <c r="R44" s="18"/>
      <c r="S44" s="18"/>
      <c r="T44" s="18"/>
      <c r="U44" s="18"/>
      <c r="V44" s="18"/>
      <c r="W44" s="18"/>
      <c r="X44" s="18"/>
      <c r="Y44" s="18"/>
      <c r="Z44" s="93"/>
      <c r="AA44" s="93"/>
      <c r="AB44" s="93"/>
      <c r="AC44" s="93"/>
      <c r="AD44" s="93"/>
      <c r="AE44" s="93"/>
      <c r="AF44" s="93"/>
      <c r="AG44" s="93"/>
      <c r="AH44" s="93"/>
      <c r="AI44" s="76"/>
      <c r="AJ44" s="76"/>
      <c r="AK44" s="76"/>
      <c r="AL44" s="76"/>
      <c r="AM44" s="76"/>
      <c r="AN44" s="18"/>
      <c r="AO44" s="18"/>
      <c r="AP44" s="701"/>
      <c r="AQ44" s="703"/>
      <c r="AR44" s="705"/>
    </row>
    <row r="45" spans="1:44">
      <c r="A45" s="85"/>
      <c r="B45" s="18"/>
      <c r="C45" s="18"/>
      <c r="D45" s="18"/>
      <c r="E45" s="18"/>
      <c r="F45" s="18"/>
      <c r="G45" s="18"/>
      <c r="H45" s="18"/>
      <c r="I45" s="18"/>
      <c r="J45" s="18"/>
      <c r="K45" s="18"/>
      <c r="L45" s="18"/>
      <c r="M45" s="18"/>
      <c r="N45" s="18"/>
      <c r="O45" s="18"/>
      <c r="P45" s="18"/>
      <c r="Q45" s="18"/>
      <c r="R45" s="18"/>
      <c r="S45" s="18"/>
      <c r="T45" s="18"/>
      <c r="U45" s="18"/>
      <c r="V45" s="18"/>
      <c r="W45" s="18"/>
      <c r="X45" s="18"/>
      <c r="Y45" s="18"/>
      <c r="Z45" s="93"/>
      <c r="AA45" s="93"/>
      <c r="AB45" s="93"/>
      <c r="AC45" s="93"/>
      <c r="AD45" s="93"/>
      <c r="AE45" s="93"/>
      <c r="AF45" s="93"/>
      <c r="AG45" s="93"/>
      <c r="AH45" s="93"/>
      <c r="AI45" s="76"/>
      <c r="AJ45" s="76"/>
      <c r="AK45" s="76"/>
      <c r="AL45" s="76"/>
      <c r="AM45" s="76"/>
      <c r="AN45" s="18"/>
      <c r="AO45" s="18"/>
      <c r="AP45" s="701"/>
      <c r="AQ45" s="701"/>
      <c r="AR45" s="701"/>
    </row>
    <row r="46" spans="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93"/>
      <c r="AA46" s="93"/>
      <c r="AB46" s="93"/>
      <c r="AC46" s="93"/>
      <c r="AD46" s="93"/>
      <c r="AE46" s="93"/>
      <c r="AF46" s="93"/>
      <c r="AG46" s="93"/>
      <c r="AH46" s="93"/>
      <c r="AI46" s="76"/>
      <c r="AJ46" s="76"/>
      <c r="AK46" s="76"/>
      <c r="AL46" s="76"/>
      <c r="AM46" s="76"/>
      <c r="AN46" s="18"/>
      <c r="AO46" s="18"/>
      <c r="AP46" s="701"/>
      <c r="AQ46" s="701"/>
      <c r="AR46" s="701"/>
    </row>
    <row r="47" spans="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93"/>
      <c r="AA47" s="93"/>
      <c r="AB47" s="93"/>
      <c r="AC47" s="93"/>
      <c r="AD47" s="93"/>
      <c r="AE47" s="93"/>
      <c r="AF47" s="93"/>
      <c r="AG47" s="84"/>
      <c r="AH47" s="84"/>
      <c r="AI47" s="76"/>
      <c r="AJ47" s="76"/>
      <c r="AK47" s="76"/>
      <c r="AL47" s="76"/>
      <c r="AM47" s="76"/>
      <c r="AN47" s="18"/>
      <c r="AO47" s="18"/>
    </row>
    <row r="48" spans="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93"/>
      <c r="AA48" s="93"/>
      <c r="AB48" s="93"/>
      <c r="AC48" s="93"/>
      <c r="AD48" s="93"/>
      <c r="AE48" s="93"/>
      <c r="AF48" s="93"/>
      <c r="AG48" s="92"/>
      <c r="AH48" s="92"/>
      <c r="AI48" s="76"/>
      <c r="AJ48" s="76"/>
      <c r="AK48" s="76"/>
      <c r="AL48" s="76"/>
      <c r="AM48" s="76"/>
      <c r="AN48" s="18"/>
      <c r="AO48" s="18"/>
    </row>
    <row r="49" spans="1:4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93"/>
      <c r="AA49" s="93"/>
      <c r="AB49" s="93"/>
      <c r="AC49" s="93"/>
      <c r="AD49" s="93"/>
      <c r="AE49" s="93"/>
      <c r="AF49" s="93"/>
      <c r="AG49" s="93"/>
      <c r="AH49" s="93"/>
      <c r="AI49" s="76"/>
      <c r="AJ49" s="76"/>
      <c r="AK49" s="76"/>
      <c r="AL49" s="76"/>
      <c r="AM49" s="76"/>
      <c r="AN49" s="18"/>
      <c r="AO49" s="18"/>
    </row>
    <row r="50" spans="1:4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93"/>
      <c r="AA50" s="93"/>
      <c r="AB50" s="94"/>
      <c r="AC50" s="93"/>
      <c r="AD50" s="93"/>
      <c r="AE50" s="93"/>
      <c r="AF50" s="93"/>
      <c r="AG50" s="93"/>
      <c r="AH50" s="93"/>
      <c r="AI50" s="76"/>
      <c r="AJ50" s="76"/>
      <c r="AK50" s="76"/>
      <c r="AL50" s="76"/>
      <c r="AM50" s="76"/>
      <c r="AN50" s="18"/>
      <c r="AO50" s="18"/>
    </row>
    <row r="51" spans="1:4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95"/>
      <c r="AA51" s="95"/>
      <c r="AB51" s="95"/>
      <c r="AC51" s="95"/>
      <c r="AD51" s="95"/>
      <c r="AE51" s="95"/>
      <c r="AF51" s="95"/>
      <c r="AG51" s="95"/>
      <c r="AH51" s="95"/>
      <c r="AI51" s="87"/>
      <c r="AJ51" s="87"/>
      <c r="AK51" s="87"/>
      <c r="AL51" s="87"/>
      <c r="AM51" s="87"/>
      <c r="AN51" s="18"/>
      <c r="AO51" s="18"/>
    </row>
    <row r="52" spans="1:4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95"/>
      <c r="AA52" s="95"/>
      <c r="AB52" s="95"/>
      <c r="AC52" s="95"/>
      <c r="AD52" s="95"/>
      <c r="AE52" s="95"/>
      <c r="AF52" s="95"/>
      <c r="AG52" s="95"/>
      <c r="AH52" s="95"/>
      <c r="AI52" s="87"/>
      <c r="AJ52" s="87"/>
      <c r="AK52" s="87"/>
      <c r="AL52" s="87"/>
      <c r="AM52" s="87"/>
      <c r="AN52" s="18"/>
      <c r="AO52" s="18"/>
    </row>
    <row r="53" spans="1:4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89"/>
      <c r="AA53" s="89"/>
      <c r="AB53" s="89"/>
      <c r="AC53" s="89"/>
      <c r="AD53" s="89"/>
      <c r="AE53" s="89"/>
      <c r="AF53" s="89"/>
      <c r="AG53" s="89"/>
      <c r="AH53" s="89"/>
      <c r="AI53" s="76"/>
      <c r="AJ53" s="76"/>
      <c r="AK53" s="76"/>
      <c r="AL53" s="76"/>
      <c r="AM53" s="76"/>
      <c r="AN53" s="18"/>
      <c r="AO53" s="18"/>
    </row>
    <row r="54" spans="1:4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87"/>
      <c r="AA54" s="87"/>
      <c r="AB54" s="87"/>
      <c r="AC54" s="87"/>
      <c r="AD54" s="87"/>
      <c r="AE54" s="87"/>
      <c r="AF54" s="87"/>
      <c r="AG54" s="87"/>
      <c r="AH54" s="87"/>
      <c r="AI54" s="77"/>
      <c r="AJ54" s="77"/>
      <c r="AK54" s="77"/>
      <c r="AL54" s="77"/>
      <c r="AM54" s="77"/>
      <c r="AN54" s="18"/>
      <c r="AO54" s="18"/>
    </row>
    <row r="55" spans="1:4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87"/>
      <c r="AA55" s="87"/>
      <c r="AB55" s="87"/>
      <c r="AC55" s="87"/>
      <c r="AD55" s="87"/>
      <c r="AE55" s="87"/>
      <c r="AF55" s="87"/>
      <c r="AG55" s="87"/>
      <c r="AH55" s="87"/>
      <c r="AI55" s="77"/>
      <c r="AJ55" s="77"/>
      <c r="AK55" s="77"/>
      <c r="AL55" s="77"/>
      <c r="AM55" s="77"/>
      <c r="AN55" s="18"/>
      <c r="AO55" s="18"/>
    </row>
    <row r="56" spans="1:4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89"/>
      <c r="AA56" s="92"/>
      <c r="AB56" s="92"/>
      <c r="AC56" s="92"/>
      <c r="AD56" s="92"/>
      <c r="AE56" s="92"/>
      <c r="AF56" s="92"/>
      <c r="AG56" s="92"/>
      <c r="AH56" s="92"/>
      <c r="AI56" s="76"/>
      <c r="AJ56" s="76"/>
      <c r="AK56" s="76"/>
      <c r="AL56" s="76"/>
      <c r="AM56" s="76"/>
      <c r="AN56" s="18"/>
      <c r="AO56" s="18"/>
    </row>
    <row r="57" spans="1:4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89"/>
      <c r="AA57" s="92"/>
      <c r="AB57" s="92"/>
      <c r="AC57" s="92"/>
      <c r="AD57" s="92"/>
      <c r="AE57" s="92"/>
      <c r="AF57" s="92"/>
      <c r="AG57" s="92"/>
      <c r="AH57" s="92"/>
      <c r="AI57" s="76"/>
      <c r="AJ57" s="76"/>
      <c r="AK57" s="76"/>
      <c r="AL57" s="76"/>
      <c r="AM57" s="76"/>
      <c r="AN57" s="18"/>
      <c r="AO57" s="18"/>
    </row>
    <row r="58" spans="1:4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89"/>
      <c r="AA58" s="92"/>
      <c r="AB58" s="92"/>
      <c r="AC58" s="92"/>
      <c r="AD58" s="92"/>
      <c r="AE58" s="92"/>
      <c r="AF58" s="92"/>
      <c r="AG58" s="92"/>
      <c r="AH58" s="92"/>
      <c r="AI58" s="76"/>
      <c r="AJ58" s="76"/>
      <c r="AK58" s="76"/>
      <c r="AL58" s="76"/>
      <c r="AM58" s="76"/>
      <c r="AN58" s="18"/>
      <c r="AO58" s="18"/>
    </row>
    <row r="59" spans="1:4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89"/>
      <c r="AA59" s="92"/>
      <c r="AB59" s="92"/>
      <c r="AC59" s="92"/>
      <c r="AD59" s="92"/>
      <c r="AE59" s="92"/>
      <c r="AF59" s="92"/>
      <c r="AG59" s="92"/>
      <c r="AH59" s="92"/>
      <c r="AI59" s="76"/>
      <c r="AJ59" s="76"/>
      <c r="AK59" s="76"/>
      <c r="AL59" s="76"/>
      <c r="AM59" s="76"/>
      <c r="AN59" s="18"/>
      <c r="AO59" s="18"/>
    </row>
    <row r="60" spans="1:4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89"/>
      <c r="AA60" s="92"/>
      <c r="AB60" s="92"/>
      <c r="AC60" s="92"/>
      <c r="AD60" s="92"/>
      <c r="AE60" s="92"/>
      <c r="AF60" s="92"/>
      <c r="AG60" s="92"/>
      <c r="AH60" s="92"/>
      <c r="AI60" s="76"/>
      <c r="AJ60" s="76"/>
      <c r="AK60" s="76"/>
      <c r="AL60" s="76"/>
      <c r="AM60" s="76"/>
      <c r="AN60" s="18"/>
      <c r="AO60" s="18"/>
    </row>
    <row r="61" spans="1:4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89"/>
      <c r="AA61" s="92"/>
      <c r="AB61" s="92"/>
      <c r="AC61" s="92"/>
      <c r="AD61" s="92"/>
      <c r="AE61" s="92"/>
      <c r="AF61" s="92"/>
      <c r="AG61" s="92"/>
      <c r="AH61" s="92"/>
      <c r="AI61" s="76"/>
      <c r="AJ61" s="76"/>
      <c r="AK61" s="76"/>
      <c r="AL61" s="76"/>
      <c r="AM61" s="76"/>
      <c r="AN61" s="18"/>
      <c r="AO61" s="18"/>
    </row>
    <row r="62" spans="1:4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89"/>
      <c r="AA62" s="92"/>
      <c r="AB62" s="92"/>
      <c r="AC62" s="92"/>
      <c r="AD62" s="92"/>
      <c r="AE62" s="92"/>
      <c r="AF62" s="92"/>
      <c r="AG62" s="92"/>
      <c r="AH62" s="92"/>
      <c r="AI62" s="76"/>
      <c r="AJ62" s="76"/>
      <c r="AK62" s="76"/>
      <c r="AL62" s="76"/>
      <c r="AM62" s="76"/>
      <c r="AN62" s="18"/>
      <c r="AO62" s="18"/>
    </row>
    <row r="63" spans="1:41">
      <c r="E63" s="18"/>
      <c r="F63" s="18"/>
      <c r="G63" s="18"/>
      <c r="H63" s="18"/>
      <c r="I63" s="18"/>
      <c r="J63" s="18"/>
      <c r="K63" s="18"/>
      <c r="L63" s="18"/>
      <c r="M63" s="18"/>
      <c r="N63" s="18"/>
      <c r="O63" s="18"/>
      <c r="P63" s="18"/>
      <c r="Q63" s="18"/>
      <c r="R63" s="18"/>
      <c r="S63" s="18"/>
      <c r="T63" s="18"/>
      <c r="U63" s="18"/>
      <c r="V63" s="18"/>
      <c r="W63" s="18"/>
      <c r="X63" s="18"/>
      <c r="Y63" s="18"/>
      <c r="Z63" s="89"/>
      <c r="AA63" s="92"/>
      <c r="AB63" s="92"/>
      <c r="AC63" s="92"/>
      <c r="AD63" s="92"/>
      <c r="AE63" s="92"/>
      <c r="AF63" s="92"/>
      <c r="AG63" s="92"/>
      <c r="AH63" s="92"/>
      <c r="AI63" s="76"/>
      <c r="AJ63" s="76"/>
      <c r="AK63" s="76"/>
      <c r="AL63" s="76"/>
      <c r="AM63" s="76"/>
      <c r="AN63" s="18"/>
      <c r="AO63" s="18"/>
    </row>
    <row r="64" spans="1:41">
      <c r="E64" s="18"/>
      <c r="F64" s="18"/>
      <c r="G64" s="18"/>
      <c r="H64" s="18"/>
      <c r="I64" s="18"/>
      <c r="J64" s="18"/>
      <c r="K64" s="18"/>
      <c r="L64" s="18"/>
      <c r="M64" s="18"/>
      <c r="N64" s="18"/>
      <c r="O64" s="18"/>
      <c r="P64" s="18"/>
      <c r="Q64" s="18"/>
      <c r="R64" s="18"/>
      <c r="S64" s="18"/>
      <c r="T64" s="18"/>
      <c r="U64" s="18"/>
      <c r="V64" s="18"/>
      <c r="W64" s="18"/>
      <c r="X64" s="18"/>
      <c r="Y64" s="18"/>
      <c r="Z64" s="89"/>
      <c r="AA64" s="92"/>
      <c r="AB64" s="92"/>
      <c r="AC64" s="92"/>
      <c r="AD64" s="92"/>
      <c r="AE64" s="92"/>
      <c r="AF64" s="92"/>
      <c r="AG64" s="92"/>
      <c r="AH64" s="92"/>
      <c r="AI64" s="76"/>
      <c r="AJ64" s="76"/>
      <c r="AK64" s="76"/>
      <c r="AL64" s="76"/>
      <c r="AM64" s="76"/>
      <c r="AN64" s="18"/>
      <c r="AO64" s="18"/>
    </row>
    <row r="65" spans="5:41">
      <c r="E65" s="18"/>
      <c r="F65" s="18"/>
      <c r="G65" s="18"/>
      <c r="H65" s="18"/>
      <c r="I65" s="18"/>
      <c r="J65" s="18"/>
      <c r="K65" s="18"/>
      <c r="L65" s="18"/>
      <c r="M65" s="18"/>
      <c r="N65" s="18"/>
      <c r="O65" s="18"/>
      <c r="P65" s="18"/>
      <c r="Q65" s="18"/>
      <c r="R65" s="18"/>
      <c r="S65" s="18"/>
      <c r="T65" s="18"/>
      <c r="U65" s="18"/>
      <c r="V65" s="18"/>
      <c r="W65" s="18"/>
      <c r="X65" s="18"/>
      <c r="Y65" s="18"/>
      <c r="Z65" s="87"/>
      <c r="AA65" s="88"/>
      <c r="AB65" s="88"/>
      <c r="AC65" s="88"/>
      <c r="AD65" s="88"/>
      <c r="AE65" s="88"/>
      <c r="AF65" s="88"/>
      <c r="AG65" s="88"/>
      <c r="AH65" s="88"/>
      <c r="AI65" s="87"/>
      <c r="AJ65" s="87"/>
      <c r="AK65" s="87"/>
      <c r="AL65" s="87"/>
      <c r="AM65" s="87"/>
      <c r="AN65" s="18"/>
      <c r="AO65" s="18"/>
    </row>
    <row r="66" spans="5:41">
      <c r="E66" s="18"/>
      <c r="F66" s="18"/>
      <c r="G66" s="18"/>
      <c r="H66" s="18"/>
      <c r="I66" s="18"/>
      <c r="J66" s="18"/>
      <c r="K66" s="18"/>
      <c r="L66" s="18"/>
      <c r="M66" s="18"/>
      <c r="N66" s="18"/>
      <c r="O66" s="18"/>
      <c r="P66" s="18"/>
      <c r="Q66" s="18"/>
      <c r="R66" s="18"/>
      <c r="S66" s="18"/>
      <c r="T66" s="18"/>
      <c r="U66" s="18"/>
      <c r="V66" s="18"/>
      <c r="W66" s="18"/>
      <c r="X66" s="18"/>
      <c r="Y66" s="18"/>
      <c r="Z66" s="87"/>
      <c r="AA66" s="88"/>
      <c r="AB66" s="88"/>
      <c r="AC66" s="88"/>
      <c r="AD66" s="88"/>
      <c r="AE66" s="88"/>
      <c r="AF66" s="88"/>
      <c r="AG66" s="88"/>
      <c r="AH66" s="88"/>
      <c r="AI66" s="87"/>
      <c r="AJ66" s="87"/>
      <c r="AK66" s="87"/>
      <c r="AL66" s="87"/>
      <c r="AM66" s="87"/>
      <c r="AN66" s="18"/>
      <c r="AO66" s="18"/>
    </row>
    <row r="67" spans="5:41">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row>
    <row r="68" spans="5:41">
      <c r="E68" s="18"/>
      <c r="F68" s="18"/>
      <c r="G68" s="18"/>
      <c r="H68" s="18"/>
      <c r="I68" s="18"/>
      <c r="J68" s="18"/>
      <c r="K68" s="18"/>
      <c r="L68" s="18"/>
      <c r="M68" s="18"/>
      <c r="N68" s="18"/>
      <c r="O68" s="18"/>
      <c r="P68" s="18"/>
      <c r="Q68" s="18"/>
      <c r="R68" s="18"/>
      <c r="S68" s="18"/>
      <c r="T68" s="18"/>
      <c r="U68" s="18"/>
      <c r="V68" s="18"/>
      <c r="W68" s="18"/>
      <c r="X68" s="18"/>
      <c r="Y68" s="18"/>
      <c r="Z68" s="90"/>
      <c r="AA68" s="90"/>
      <c r="AB68" s="90"/>
      <c r="AC68" s="90"/>
      <c r="AD68" s="90"/>
      <c r="AE68" s="90"/>
      <c r="AF68" s="90"/>
      <c r="AG68" s="90"/>
      <c r="AH68" s="90"/>
      <c r="AI68" s="90"/>
      <c r="AJ68" s="90"/>
      <c r="AK68" s="90"/>
      <c r="AL68" s="90"/>
      <c r="AM68" s="90"/>
      <c r="AN68" s="18"/>
      <c r="AO68" s="18"/>
    </row>
    <row r="69" spans="5:41">
      <c r="E69" s="18"/>
      <c r="F69" s="18"/>
      <c r="G69" s="18"/>
      <c r="H69" s="18"/>
      <c r="I69" s="18"/>
      <c r="J69" s="18"/>
      <c r="K69" s="18"/>
      <c r="L69" s="18"/>
      <c r="M69" s="18"/>
      <c r="N69" s="18"/>
      <c r="O69" s="18"/>
      <c r="P69" s="18"/>
      <c r="Q69" s="18"/>
      <c r="R69" s="18"/>
      <c r="S69" s="18"/>
      <c r="T69" s="18"/>
      <c r="U69" s="18"/>
      <c r="V69" s="18"/>
      <c r="W69" s="18"/>
      <c r="X69" s="18"/>
      <c r="Y69" s="18"/>
      <c r="Z69" s="90"/>
      <c r="AA69" s="90"/>
      <c r="AB69" s="90"/>
      <c r="AC69" s="90"/>
      <c r="AD69" s="90"/>
      <c r="AE69" s="90"/>
      <c r="AF69" s="90"/>
      <c r="AG69" s="90"/>
      <c r="AH69" s="90"/>
      <c r="AI69" s="90"/>
      <c r="AJ69" s="90"/>
      <c r="AK69" s="90"/>
      <c r="AL69" s="90"/>
      <c r="AM69" s="90"/>
      <c r="AN69" s="18"/>
      <c r="AO69" s="18"/>
    </row>
    <row r="70" spans="5:41">
      <c r="E70" s="18"/>
      <c r="F70" s="18"/>
      <c r="G70" s="18"/>
      <c r="H70" s="18"/>
      <c r="I70" s="18"/>
      <c r="J70" s="18"/>
      <c r="K70" s="18"/>
      <c r="L70" s="18"/>
      <c r="M70" s="18"/>
      <c r="N70" s="18"/>
      <c r="O70" s="18"/>
      <c r="P70" s="18"/>
      <c r="Q70" s="18"/>
      <c r="R70" s="18"/>
      <c r="S70" s="18"/>
      <c r="T70" s="18"/>
      <c r="U70" s="18"/>
      <c r="V70" s="18"/>
      <c r="W70" s="18"/>
      <c r="X70" s="18"/>
      <c r="Y70" s="18"/>
      <c r="Z70" s="90"/>
      <c r="AA70" s="90"/>
      <c r="AB70" s="90"/>
      <c r="AC70" s="90"/>
      <c r="AD70" s="90"/>
      <c r="AE70" s="90"/>
      <c r="AF70" s="90"/>
      <c r="AG70" s="90"/>
      <c r="AH70" s="90"/>
      <c r="AI70" s="90"/>
      <c r="AJ70" s="90"/>
      <c r="AK70" s="90"/>
      <c r="AL70" s="90"/>
      <c r="AM70" s="90"/>
      <c r="AN70" s="18"/>
      <c r="AO70" s="18"/>
    </row>
    <row r="71" spans="5:41">
      <c r="E71" s="18"/>
      <c r="F71" s="18"/>
      <c r="G71" s="18"/>
      <c r="H71" s="18"/>
      <c r="I71" s="18"/>
      <c r="J71" s="18"/>
      <c r="K71" s="18"/>
      <c r="L71" s="18"/>
      <c r="M71" s="18"/>
      <c r="N71" s="18"/>
      <c r="O71" s="18"/>
      <c r="P71" s="18"/>
      <c r="Q71" s="18"/>
      <c r="R71" s="18"/>
      <c r="S71" s="18"/>
      <c r="T71" s="18"/>
      <c r="U71" s="18"/>
      <c r="V71" s="18"/>
      <c r="W71" s="18"/>
      <c r="X71" s="18"/>
      <c r="Y71" s="18"/>
      <c r="Z71" s="90"/>
      <c r="AA71" s="90"/>
      <c r="AB71" s="90"/>
      <c r="AC71" s="90"/>
      <c r="AD71" s="90"/>
      <c r="AE71" s="90"/>
      <c r="AF71" s="90"/>
      <c r="AG71" s="90"/>
      <c r="AH71" s="90"/>
      <c r="AI71" s="90"/>
      <c r="AJ71" s="90"/>
      <c r="AK71" s="90"/>
      <c r="AL71" s="90"/>
      <c r="AM71" s="90"/>
      <c r="AN71" s="18"/>
      <c r="AO71" s="18"/>
    </row>
    <row r="72" spans="5:41">
      <c r="E72" s="18"/>
      <c r="F72" s="18"/>
      <c r="G72" s="18"/>
      <c r="H72" s="18"/>
      <c r="I72" s="18"/>
      <c r="J72" s="18"/>
      <c r="K72" s="18"/>
      <c r="L72" s="18"/>
      <c r="M72" s="18"/>
      <c r="N72" s="18"/>
      <c r="O72" s="18"/>
      <c r="P72" s="18"/>
      <c r="Q72" s="18"/>
      <c r="R72" s="18"/>
      <c r="S72" s="18"/>
      <c r="T72" s="18"/>
      <c r="U72" s="18"/>
      <c r="V72" s="18"/>
      <c r="W72" s="18"/>
      <c r="X72" s="18"/>
      <c r="Y72" s="18"/>
      <c r="Z72" s="90"/>
      <c r="AA72" s="90"/>
      <c r="AB72" s="90"/>
      <c r="AC72" s="90"/>
      <c r="AD72" s="90"/>
      <c r="AE72" s="90"/>
      <c r="AF72" s="90"/>
      <c r="AG72" s="90"/>
      <c r="AH72" s="90"/>
      <c r="AI72" s="90"/>
      <c r="AJ72" s="90"/>
      <c r="AK72" s="90"/>
      <c r="AL72" s="90"/>
      <c r="AM72" s="90"/>
      <c r="AN72" s="18"/>
      <c r="AO72" s="18"/>
    </row>
    <row r="73" spans="5:41">
      <c r="E73" s="18"/>
      <c r="F73" s="18"/>
      <c r="G73" s="18"/>
      <c r="H73" s="18"/>
      <c r="I73" s="18"/>
      <c r="J73" s="18"/>
      <c r="K73" s="18"/>
      <c r="L73" s="18"/>
      <c r="M73" s="18"/>
      <c r="N73" s="18"/>
      <c r="O73" s="18"/>
      <c r="P73" s="18"/>
      <c r="Q73" s="18"/>
      <c r="R73" s="18"/>
      <c r="S73" s="18"/>
      <c r="T73" s="18"/>
      <c r="U73" s="18"/>
      <c r="V73" s="18"/>
      <c r="W73" s="18"/>
      <c r="X73" s="18"/>
      <c r="Y73" s="18"/>
      <c r="Z73" s="90"/>
      <c r="AA73" s="90"/>
      <c r="AB73" s="90"/>
      <c r="AC73" s="90"/>
      <c r="AD73" s="90"/>
      <c r="AE73" s="90"/>
      <c r="AF73" s="90"/>
      <c r="AG73" s="90"/>
      <c r="AH73" s="90"/>
      <c r="AI73" s="90"/>
      <c r="AJ73" s="90"/>
      <c r="AK73" s="90"/>
      <c r="AL73" s="90"/>
      <c r="AM73" s="90"/>
      <c r="AN73" s="18"/>
      <c r="AO73" s="18"/>
    </row>
    <row r="74" spans="5:41">
      <c r="E74" s="18"/>
      <c r="F74" s="18"/>
      <c r="G74" s="18"/>
      <c r="H74" s="18"/>
      <c r="I74" s="18"/>
      <c r="J74" s="18"/>
      <c r="K74" s="18"/>
      <c r="L74" s="18"/>
      <c r="M74" s="18"/>
      <c r="N74" s="18"/>
      <c r="O74" s="18"/>
      <c r="P74" s="18"/>
      <c r="Q74" s="18"/>
      <c r="R74" s="18"/>
      <c r="S74" s="18"/>
      <c r="T74" s="18"/>
      <c r="U74" s="18"/>
      <c r="V74" s="18"/>
      <c r="W74" s="18"/>
      <c r="X74" s="18"/>
      <c r="Y74" s="18"/>
      <c r="Z74" s="90"/>
      <c r="AA74" s="90"/>
      <c r="AB74" s="90"/>
      <c r="AC74" s="90"/>
      <c r="AD74" s="90"/>
      <c r="AE74" s="90"/>
      <c r="AF74" s="90"/>
      <c r="AG74" s="90"/>
      <c r="AH74" s="90"/>
      <c r="AI74" s="90"/>
      <c r="AJ74" s="90"/>
      <c r="AK74" s="90"/>
      <c r="AL74" s="90"/>
      <c r="AM74" s="90"/>
      <c r="AN74" s="18"/>
      <c r="AO74" s="18"/>
    </row>
    <row r="75" spans="5:41">
      <c r="E75" s="18"/>
      <c r="F75" s="18"/>
      <c r="G75" s="18"/>
      <c r="H75" s="18"/>
      <c r="I75" s="18"/>
      <c r="J75" s="18"/>
      <c r="K75" s="18"/>
      <c r="L75" s="18"/>
      <c r="M75" s="18"/>
      <c r="N75" s="18"/>
      <c r="O75" s="18"/>
      <c r="P75" s="18"/>
      <c r="Q75" s="18"/>
      <c r="R75" s="18"/>
      <c r="S75" s="18"/>
      <c r="T75" s="18"/>
      <c r="U75" s="18"/>
      <c r="V75" s="18"/>
      <c r="W75" s="18"/>
      <c r="X75" s="18"/>
      <c r="Y75" s="18"/>
      <c r="Z75" s="90"/>
      <c r="AA75" s="90"/>
      <c r="AB75" s="90"/>
      <c r="AC75" s="90"/>
      <c r="AD75" s="90"/>
      <c r="AE75" s="90"/>
      <c r="AF75" s="90"/>
      <c r="AG75" s="90"/>
      <c r="AH75" s="90"/>
      <c r="AI75" s="90"/>
      <c r="AJ75" s="90"/>
      <c r="AK75" s="90"/>
      <c r="AL75" s="90"/>
      <c r="AM75" s="90"/>
      <c r="AN75" s="18"/>
      <c r="AO75" s="18"/>
    </row>
    <row r="76" spans="5:41">
      <c r="E76" s="18"/>
      <c r="F76" s="18"/>
      <c r="G76" s="18"/>
      <c r="H76" s="18"/>
      <c r="I76" s="18"/>
      <c r="J76" s="18"/>
      <c r="K76" s="18"/>
      <c r="L76" s="18"/>
      <c r="M76" s="18"/>
      <c r="N76" s="18"/>
      <c r="O76" s="18"/>
      <c r="P76" s="18"/>
      <c r="Q76" s="18"/>
      <c r="R76" s="18"/>
      <c r="S76" s="18"/>
      <c r="T76" s="18"/>
      <c r="U76" s="18"/>
      <c r="V76" s="18"/>
      <c r="W76" s="18"/>
      <c r="X76" s="18"/>
      <c r="Y76" s="18"/>
      <c r="Z76" s="90"/>
      <c r="AA76" s="90"/>
      <c r="AB76" s="90"/>
      <c r="AC76" s="90"/>
      <c r="AD76" s="90"/>
      <c r="AE76" s="90"/>
      <c r="AF76" s="90"/>
      <c r="AG76" s="90"/>
      <c r="AH76" s="90"/>
      <c r="AI76" s="90"/>
      <c r="AJ76" s="90"/>
      <c r="AK76" s="90"/>
      <c r="AL76" s="90"/>
      <c r="AM76" s="90"/>
      <c r="AN76" s="18"/>
      <c r="AO76" s="18"/>
    </row>
    <row r="77" spans="5:41">
      <c r="E77" s="18"/>
      <c r="F77" s="18"/>
      <c r="G77" s="18"/>
      <c r="H77" s="18"/>
      <c r="I77" s="18"/>
      <c r="J77" s="18"/>
      <c r="K77" s="18"/>
      <c r="L77" s="18"/>
      <c r="M77" s="18"/>
      <c r="N77" s="18"/>
      <c r="O77" s="18"/>
      <c r="P77" s="18"/>
      <c r="Q77" s="18"/>
      <c r="R77" s="18"/>
      <c r="S77" s="18"/>
      <c r="T77" s="18"/>
      <c r="U77" s="18"/>
      <c r="V77" s="18"/>
      <c r="W77" s="18"/>
      <c r="X77" s="18"/>
      <c r="Y77" s="18"/>
      <c r="Z77" s="90"/>
      <c r="AA77" s="90"/>
      <c r="AB77" s="90"/>
      <c r="AC77" s="90"/>
      <c r="AD77" s="90"/>
      <c r="AE77" s="90"/>
      <c r="AF77" s="90"/>
      <c r="AG77" s="90"/>
      <c r="AH77" s="90"/>
      <c r="AI77" s="90"/>
      <c r="AJ77" s="90"/>
      <c r="AK77" s="90"/>
      <c r="AL77" s="90"/>
      <c r="AM77" s="90"/>
      <c r="AN77" s="18"/>
      <c r="AO77" s="18"/>
    </row>
    <row r="78" spans="5:41">
      <c r="E78" s="18"/>
      <c r="F78" s="18"/>
      <c r="G78" s="18"/>
      <c r="H78" s="18"/>
      <c r="I78" s="18"/>
      <c r="J78" s="18"/>
      <c r="K78" s="18"/>
      <c r="L78" s="18"/>
      <c r="M78" s="18"/>
      <c r="N78" s="18"/>
      <c r="O78" s="18"/>
      <c r="P78" s="18"/>
      <c r="Q78" s="18"/>
      <c r="R78" s="18"/>
      <c r="S78" s="18"/>
      <c r="T78" s="18"/>
      <c r="U78" s="18"/>
      <c r="V78" s="18"/>
      <c r="W78" s="18"/>
      <c r="X78" s="18"/>
      <c r="Y78" s="18"/>
      <c r="Z78" s="90"/>
      <c r="AA78" s="90"/>
      <c r="AB78" s="90"/>
      <c r="AC78" s="90"/>
      <c r="AD78" s="90"/>
      <c r="AE78" s="90"/>
      <c r="AF78" s="90"/>
      <c r="AG78" s="90"/>
      <c r="AH78" s="90"/>
      <c r="AI78" s="90"/>
      <c r="AJ78" s="90"/>
      <c r="AK78" s="90"/>
      <c r="AL78" s="90"/>
      <c r="AM78" s="90"/>
      <c r="AN78" s="18"/>
      <c r="AO78" s="18"/>
    </row>
    <row r="79" spans="5:41">
      <c r="E79" s="18"/>
      <c r="F79" s="18"/>
      <c r="G79" s="18"/>
      <c r="H79" s="18"/>
      <c r="I79" s="18"/>
      <c r="J79" s="18"/>
      <c r="K79" s="18"/>
      <c r="L79" s="18"/>
      <c r="M79" s="18"/>
      <c r="N79" s="18"/>
      <c r="O79" s="18"/>
      <c r="P79" s="18"/>
      <c r="Q79" s="18"/>
      <c r="R79" s="18"/>
      <c r="S79" s="18"/>
      <c r="T79" s="18"/>
      <c r="U79" s="18"/>
      <c r="V79" s="18"/>
      <c r="W79" s="18"/>
      <c r="X79" s="18"/>
      <c r="Y79" s="18"/>
      <c r="Z79" s="90"/>
      <c r="AA79" s="90"/>
      <c r="AB79" s="90"/>
      <c r="AC79" s="90"/>
      <c r="AD79" s="90"/>
      <c r="AE79" s="90"/>
      <c r="AF79" s="90"/>
      <c r="AG79" s="90"/>
      <c r="AH79" s="90"/>
      <c r="AI79" s="90"/>
      <c r="AJ79" s="90"/>
      <c r="AK79" s="90"/>
      <c r="AL79" s="90"/>
      <c r="AM79" s="90"/>
      <c r="AN79" s="18"/>
      <c r="AO79" s="18"/>
    </row>
    <row r="80" spans="5:41">
      <c r="E80" s="18"/>
      <c r="F80" s="18"/>
      <c r="G80" s="18"/>
      <c r="H80" s="18"/>
      <c r="I80" s="18"/>
      <c r="J80" s="18"/>
      <c r="K80" s="18"/>
      <c r="L80" s="18"/>
      <c r="M80" s="18"/>
      <c r="N80" s="18"/>
      <c r="O80" s="18"/>
      <c r="P80" s="18"/>
      <c r="Q80" s="18"/>
      <c r="R80" s="18"/>
      <c r="S80" s="18"/>
      <c r="T80" s="18"/>
      <c r="U80" s="18"/>
      <c r="V80" s="18"/>
      <c r="W80" s="18"/>
      <c r="X80" s="18"/>
      <c r="Y80" s="18"/>
      <c r="Z80" s="90"/>
      <c r="AA80" s="90"/>
      <c r="AB80" s="90"/>
      <c r="AC80" s="90"/>
      <c r="AD80" s="90"/>
      <c r="AE80" s="90"/>
      <c r="AF80" s="90"/>
      <c r="AG80" s="90"/>
      <c r="AH80" s="90"/>
      <c r="AI80" s="90"/>
      <c r="AJ80" s="90"/>
      <c r="AK80" s="90"/>
      <c r="AL80" s="90"/>
      <c r="AM80" s="90"/>
      <c r="AN80" s="18"/>
      <c r="AO80" s="18"/>
    </row>
    <row r="81" spans="5:42">
      <c r="E81" s="18"/>
      <c r="F81" s="18"/>
      <c r="G81" s="18"/>
      <c r="H81" s="18"/>
      <c r="I81" s="18"/>
      <c r="J81" s="18"/>
      <c r="K81" s="18"/>
      <c r="L81" s="18"/>
      <c r="M81" s="18"/>
      <c r="N81" s="18"/>
      <c r="O81" s="18"/>
      <c r="P81" s="18"/>
      <c r="Q81" s="18"/>
      <c r="R81" s="18"/>
      <c r="S81" s="18"/>
      <c r="T81" s="18"/>
      <c r="U81" s="18"/>
      <c r="V81" s="18"/>
      <c r="W81" s="18"/>
      <c r="X81" s="18"/>
      <c r="Y81" s="18"/>
      <c r="Z81" s="90"/>
      <c r="AA81" s="90"/>
      <c r="AB81" s="90"/>
      <c r="AC81" s="90"/>
      <c r="AD81" s="90"/>
      <c r="AE81" s="90"/>
      <c r="AF81" s="90"/>
      <c r="AG81" s="90"/>
      <c r="AH81" s="90"/>
      <c r="AI81" s="90"/>
      <c r="AJ81" s="90"/>
      <c r="AK81" s="90"/>
      <c r="AL81" s="90"/>
      <c r="AM81" s="90"/>
      <c r="AN81" s="18"/>
      <c r="AO81" s="18"/>
    </row>
    <row r="82" spans="5:42">
      <c r="E82" s="18"/>
      <c r="F82" s="18"/>
      <c r="G82" s="18"/>
      <c r="H82" s="18"/>
      <c r="I82" s="18"/>
      <c r="J82" s="18"/>
      <c r="K82" s="18"/>
      <c r="L82" s="18"/>
      <c r="M82" s="18"/>
      <c r="N82" s="18"/>
      <c r="O82" s="18"/>
      <c r="P82" s="18"/>
      <c r="Q82" s="18"/>
      <c r="R82" s="18"/>
      <c r="S82" s="18"/>
      <c r="T82" s="18"/>
      <c r="U82" s="18"/>
      <c r="V82" s="18"/>
      <c r="W82" s="18"/>
      <c r="X82" s="18"/>
      <c r="Y82" s="18"/>
      <c r="Z82" s="90"/>
      <c r="AA82" s="90"/>
      <c r="AB82" s="90"/>
      <c r="AC82" s="90"/>
      <c r="AD82" s="90"/>
      <c r="AE82" s="90"/>
      <c r="AF82" s="90"/>
      <c r="AG82" s="90"/>
      <c r="AH82" s="90"/>
      <c r="AI82" s="90"/>
      <c r="AJ82" s="90"/>
      <c r="AK82" s="90"/>
      <c r="AL82" s="90"/>
      <c r="AM82" s="90"/>
      <c r="AN82" s="18"/>
      <c r="AO82" s="18"/>
    </row>
    <row r="83" spans="5:42">
      <c r="E83" s="18"/>
      <c r="F83" s="18"/>
      <c r="G83" s="18"/>
      <c r="H83" s="18"/>
      <c r="I83" s="18"/>
      <c r="J83" s="18"/>
      <c r="K83" s="18"/>
      <c r="L83" s="18"/>
      <c r="M83" s="18"/>
      <c r="N83" s="18"/>
      <c r="O83" s="18"/>
      <c r="P83" s="18"/>
      <c r="Q83" s="18"/>
      <c r="R83" s="18"/>
      <c r="S83" s="18"/>
      <c r="T83" s="18"/>
      <c r="U83" s="18"/>
      <c r="V83" s="18"/>
      <c r="W83" s="18"/>
      <c r="X83" s="18"/>
      <c r="Y83" s="18"/>
      <c r="Z83" s="90"/>
      <c r="AA83" s="90"/>
      <c r="AB83" s="90"/>
      <c r="AC83" s="90"/>
      <c r="AD83" s="90"/>
      <c r="AE83" s="90"/>
      <c r="AF83" s="90"/>
      <c r="AG83" s="90"/>
      <c r="AH83" s="90"/>
      <c r="AI83" s="90"/>
      <c r="AJ83" s="90"/>
      <c r="AK83" s="90"/>
      <c r="AL83" s="90"/>
      <c r="AM83" s="90"/>
      <c r="AN83" s="18"/>
      <c r="AO83" s="18"/>
      <c r="AP83" s="18"/>
    </row>
    <row r="84" spans="5:42">
      <c r="E84" s="18"/>
      <c r="F84" s="18"/>
      <c r="G84" s="18"/>
      <c r="H84" s="18"/>
      <c r="I84" s="18"/>
      <c r="J84" s="18"/>
      <c r="K84" s="18"/>
      <c r="L84" s="18"/>
      <c r="M84" s="18"/>
      <c r="N84" s="18"/>
      <c r="O84" s="18"/>
      <c r="P84" s="18"/>
      <c r="Q84" s="18"/>
      <c r="R84" s="18"/>
      <c r="S84" s="18"/>
      <c r="T84" s="18"/>
      <c r="U84" s="18"/>
      <c r="V84" s="18"/>
      <c r="W84" s="18"/>
      <c r="X84" s="18"/>
      <c r="Y84" s="18"/>
      <c r="Z84" s="90"/>
      <c r="AA84" s="90"/>
      <c r="AB84" s="90"/>
      <c r="AC84" s="90"/>
      <c r="AD84" s="90"/>
      <c r="AE84" s="90"/>
      <c r="AF84" s="90"/>
      <c r="AG84" s="90"/>
      <c r="AH84" s="90"/>
      <c r="AI84" s="90"/>
      <c r="AJ84" s="90"/>
      <c r="AK84" s="90"/>
      <c r="AL84" s="90"/>
      <c r="AM84" s="90"/>
      <c r="AN84" s="18"/>
      <c r="AO84" s="18"/>
      <c r="AP84" s="18"/>
    </row>
    <row r="85" spans="5:42">
      <c r="E85" s="18"/>
      <c r="F85" s="18"/>
      <c r="G85" s="18"/>
      <c r="H85" s="18"/>
      <c r="I85" s="18"/>
      <c r="J85" s="18"/>
      <c r="K85" s="18"/>
      <c r="L85" s="18"/>
      <c r="M85" s="18"/>
      <c r="N85" s="18"/>
      <c r="O85" s="18"/>
      <c r="P85" s="18"/>
      <c r="Q85" s="18"/>
      <c r="R85" s="18"/>
      <c r="S85" s="18"/>
      <c r="T85" s="18"/>
      <c r="U85" s="18"/>
      <c r="V85" s="18"/>
      <c r="W85" s="18"/>
      <c r="X85" s="18"/>
      <c r="Y85" s="18"/>
      <c r="Z85" s="90"/>
      <c r="AA85" s="90"/>
      <c r="AB85" s="90"/>
      <c r="AC85" s="90"/>
      <c r="AD85" s="90"/>
      <c r="AE85" s="90"/>
      <c r="AF85" s="90"/>
      <c r="AG85" s="90"/>
      <c r="AH85" s="90"/>
      <c r="AI85" s="90"/>
      <c r="AJ85" s="90"/>
      <c r="AK85" s="90"/>
      <c r="AL85" s="90"/>
      <c r="AM85" s="90"/>
      <c r="AN85" s="18"/>
      <c r="AO85" s="18"/>
      <c r="AP85" s="18"/>
    </row>
    <row r="86" spans="5:42">
      <c r="E86" s="18"/>
      <c r="F86" s="18"/>
      <c r="G86" s="18"/>
      <c r="H86" s="18"/>
      <c r="I86" s="18"/>
      <c r="J86" s="18"/>
      <c r="K86" s="18"/>
      <c r="L86" s="18"/>
      <c r="M86" s="18"/>
      <c r="N86" s="18"/>
      <c r="O86" s="18"/>
      <c r="P86" s="18"/>
      <c r="Q86" s="18"/>
      <c r="R86" s="18"/>
      <c r="S86" s="18"/>
      <c r="T86" s="18"/>
      <c r="U86" s="18"/>
      <c r="V86" s="18"/>
      <c r="W86" s="18"/>
      <c r="X86" s="18"/>
      <c r="Y86" s="18"/>
      <c r="Z86" s="90"/>
      <c r="AA86" s="90"/>
      <c r="AB86" s="90"/>
      <c r="AC86" s="90"/>
      <c r="AD86" s="90"/>
      <c r="AE86" s="90"/>
      <c r="AF86" s="90"/>
      <c r="AG86" s="90"/>
      <c r="AH86" s="90"/>
      <c r="AI86" s="90"/>
      <c r="AJ86" s="90"/>
      <c r="AK86" s="90"/>
      <c r="AL86" s="90"/>
      <c r="AM86" s="90"/>
      <c r="AN86" s="18"/>
      <c r="AO86" s="18"/>
      <c r="AP86" s="18"/>
    </row>
    <row r="87" spans="5:42">
      <c r="E87" s="18"/>
      <c r="F87" s="18"/>
      <c r="G87" s="18"/>
      <c r="H87" s="18"/>
      <c r="I87" s="18"/>
      <c r="J87" s="18"/>
      <c r="K87" s="18"/>
      <c r="L87" s="18"/>
      <c r="M87" s="18"/>
      <c r="N87" s="18"/>
      <c r="O87" s="18"/>
      <c r="P87" s="18"/>
      <c r="Q87" s="18"/>
      <c r="R87" s="18"/>
      <c r="S87" s="18"/>
      <c r="T87" s="18"/>
      <c r="U87" s="18"/>
      <c r="V87" s="18"/>
      <c r="W87" s="18"/>
      <c r="X87" s="18"/>
      <c r="Y87" s="18"/>
      <c r="Z87" s="90"/>
      <c r="AA87" s="90"/>
      <c r="AB87" s="90"/>
      <c r="AC87" s="90"/>
      <c r="AD87" s="90"/>
      <c r="AE87" s="90"/>
      <c r="AF87" s="90"/>
      <c r="AG87" s="90"/>
      <c r="AH87" s="90"/>
      <c r="AI87" s="90"/>
      <c r="AJ87" s="90"/>
      <c r="AK87" s="90"/>
      <c r="AL87" s="90"/>
      <c r="AM87" s="90"/>
      <c r="AN87" s="18"/>
      <c r="AO87" s="18"/>
      <c r="AP87" s="18"/>
    </row>
    <row r="88" spans="5:42">
      <c r="E88" s="18"/>
      <c r="F88" s="18"/>
      <c r="G88" s="18"/>
      <c r="H88" s="18"/>
      <c r="I88" s="18"/>
      <c r="J88" s="18"/>
      <c r="K88" s="18"/>
      <c r="L88" s="18"/>
      <c r="M88" s="18"/>
      <c r="N88" s="18"/>
      <c r="O88" s="18"/>
      <c r="P88" s="18"/>
      <c r="Q88" s="18"/>
      <c r="R88" s="18"/>
      <c r="S88" s="18"/>
      <c r="T88" s="18"/>
      <c r="U88" s="18"/>
      <c r="V88" s="18"/>
      <c r="W88" s="18"/>
      <c r="X88" s="18"/>
      <c r="Y88" s="18"/>
      <c r="Z88" s="90"/>
      <c r="AA88" s="90"/>
      <c r="AB88" s="90"/>
      <c r="AC88" s="90"/>
      <c r="AD88" s="90"/>
      <c r="AE88" s="90"/>
      <c r="AF88" s="90"/>
      <c r="AG88" s="90"/>
      <c r="AH88" s="90"/>
      <c r="AI88" s="90"/>
      <c r="AJ88" s="90"/>
      <c r="AK88" s="90"/>
      <c r="AL88" s="90"/>
      <c r="AM88" s="90"/>
      <c r="AN88" s="18"/>
      <c r="AO88" s="18"/>
      <c r="AP88" s="18"/>
    </row>
    <row r="89" spans="5:42">
      <c r="E89" s="18"/>
      <c r="F89" s="18"/>
      <c r="G89" s="18"/>
      <c r="H89" s="18"/>
      <c r="I89" s="18"/>
      <c r="J89" s="18"/>
      <c r="K89" s="18"/>
      <c r="L89" s="18"/>
      <c r="M89" s="18"/>
      <c r="N89" s="18"/>
      <c r="O89" s="18"/>
      <c r="P89" s="18"/>
      <c r="Q89" s="18"/>
      <c r="R89" s="18"/>
      <c r="S89" s="18"/>
      <c r="T89" s="18"/>
      <c r="U89" s="18"/>
      <c r="V89" s="18"/>
      <c r="W89" s="18"/>
      <c r="X89" s="18"/>
      <c r="Y89" s="18"/>
      <c r="Z89" s="90"/>
      <c r="AA89" s="90"/>
      <c r="AB89" s="90"/>
      <c r="AC89" s="90"/>
      <c r="AD89" s="90"/>
      <c r="AE89" s="90"/>
      <c r="AF89" s="90"/>
      <c r="AG89" s="90"/>
      <c r="AH89" s="90"/>
      <c r="AI89" s="90"/>
      <c r="AJ89" s="90"/>
      <c r="AK89" s="90"/>
      <c r="AL89" s="90"/>
      <c r="AM89" s="90"/>
      <c r="AN89" s="18"/>
      <c r="AO89" s="18"/>
      <c r="AP89" s="18"/>
    </row>
    <row r="90" spans="5:42">
      <c r="E90" s="18"/>
      <c r="F90" s="18"/>
      <c r="G90" s="18"/>
      <c r="H90" s="18"/>
      <c r="I90" s="18"/>
      <c r="J90" s="18"/>
      <c r="K90" s="18"/>
      <c r="L90" s="18"/>
      <c r="M90" s="18"/>
      <c r="N90" s="18"/>
      <c r="O90" s="18"/>
      <c r="P90" s="18"/>
      <c r="Q90" s="18"/>
      <c r="R90" s="18"/>
      <c r="S90" s="18"/>
      <c r="T90" s="18"/>
      <c r="U90" s="18"/>
      <c r="V90" s="18"/>
      <c r="W90" s="18"/>
      <c r="X90" s="18"/>
      <c r="Y90" s="18"/>
      <c r="Z90" s="90"/>
      <c r="AA90" s="90"/>
      <c r="AB90" s="90"/>
      <c r="AC90" s="90"/>
      <c r="AD90" s="90"/>
      <c r="AE90" s="90"/>
      <c r="AF90" s="90"/>
      <c r="AG90" s="90"/>
      <c r="AH90" s="90"/>
      <c r="AI90" s="90"/>
      <c r="AJ90" s="90"/>
      <c r="AK90" s="90"/>
      <c r="AL90" s="90"/>
      <c r="AM90" s="90"/>
      <c r="AN90" s="18"/>
      <c r="AO90" s="18"/>
      <c r="AP90" s="18"/>
    </row>
    <row r="91" spans="5:42">
      <c r="E91" s="18"/>
      <c r="F91" s="18"/>
      <c r="G91" s="18"/>
      <c r="H91" s="18"/>
      <c r="I91" s="18"/>
      <c r="J91" s="18"/>
      <c r="K91" s="18"/>
      <c r="L91" s="18"/>
      <c r="M91" s="18"/>
      <c r="N91" s="18"/>
      <c r="O91" s="18"/>
      <c r="P91" s="18"/>
      <c r="Q91" s="18"/>
      <c r="R91" s="18"/>
      <c r="S91" s="18"/>
      <c r="T91" s="18"/>
      <c r="U91" s="18"/>
      <c r="V91" s="18"/>
      <c r="W91" s="18"/>
      <c r="X91" s="18"/>
      <c r="Y91" s="18"/>
      <c r="Z91" s="90"/>
      <c r="AA91" s="90"/>
      <c r="AB91" s="90"/>
      <c r="AC91" s="90"/>
      <c r="AD91" s="90"/>
      <c r="AE91" s="90"/>
      <c r="AF91" s="90"/>
      <c r="AG91" s="90"/>
      <c r="AH91" s="90"/>
      <c r="AI91" s="90"/>
      <c r="AJ91" s="90"/>
      <c r="AK91" s="90"/>
      <c r="AL91" s="90"/>
      <c r="AM91" s="90"/>
      <c r="AN91" s="18"/>
      <c r="AO91" s="18"/>
      <c r="AP91" s="18"/>
    </row>
    <row r="92" spans="5:42">
      <c r="E92" s="18"/>
      <c r="F92" s="18"/>
      <c r="G92" s="18"/>
      <c r="H92" s="18"/>
      <c r="I92" s="18"/>
      <c r="J92" s="18"/>
      <c r="K92" s="18"/>
      <c r="L92" s="18"/>
      <c r="M92" s="18"/>
      <c r="N92" s="18"/>
      <c r="O92" s="18"/>
      <c r="P92" s="18"/>
      <c r="Q92" s="18"/>
      <c r="R92" s="18"/>
      <c r="S92" s="18"/>
      <c r="T92" s="18"/>
      <c r="U92" s="18"/>
      <c r="V92" s="18"/>
      <c r="W92" s="18"/>
      <c r="X92" s="18"/>
      <c r="Y92" s="18"/>
      <c r="Z92" s="90"/>
      <c r="AA92" s="18"/>
      <c r="AB92" s="18"/>
      <c r="AC92" s="18"/>
      <c r="AD92" s="18"/>
      <c r="AE92" s="18"/>
      <c r="AF92" s="18"/>
      <c r="AG92" s="18"/>
      <c r="AH92" s="18"/>
      <c r="AI92" s="18"/>
      <c r="AJ92" s="18"/>
      <c r="AK92" s="18"/>
      <c r="AL92" s="18"/>
      <c r="AM92" s="18"/>
      <c r="AN92" s="18"/>
      <c r="AO92" s="18"/>
      <c r="AP92" s="18"/>
    </row>
    <row r="93" spans="5:42">
      <c r="E93" s="18"/>
      <c r="F93" s="18"/>
      <c r="G93" s="18"/>
      <c r="H93" s="18"/>
      <c r="I93" s="18"/>
      <c r="J93" s="18"/>
      <c r="K93" s="18"/>
      <c r="L93" s="18"/>
      <c r="M93" s="18"/>
      <c r="N93" s="18"/>
      <c r="O93" s="18"/>
      <c r="P93" s="18"/>
      <c r="Q93" s="18"/>
      <c r="R93" s="18"/>
      <c r="S93" s="18"/>
      <c r="T93" s="18"/>
      <c r="U93" s="18"/>
      <c r="V93" s="18"/>
      <c r="W93" s="18"/>
      <c r="X93" s="18"/>
      <c r="Y93" s="18"/>
      <c r="Z93" s="90"/>
      <c r="AA93" s="18"/>
      <c r="AB93" s="18"/>
      <c r="AC93" s="18"/>
      <c r="AD93" s="18"/>
      <c r="AE93" s="18"/>
      <c r="AF93" s="18"/>
      <c r="AG93" s="18"/>
      <c r="AH93" s="18"/>
      <c r="AI93" s="18"/>
      <c r="AJ93" s="18"/>
      <c r="AK93" s="18"/>
      <c r="AL93" s="18"/>
      <c r="AM93" s="18"/>
      <c r="AN93" s="18"/>
      <c r="AO93" s="18"/>
      <c r="AP93" s="18"/>
    </row>
    <row r="94" spans="5:42">
      <c r="E94" s="18"/>
      <c r="F94" s="18"/>
      <c r="G94" s="18"/>
      <c r="H94" s="18"/>
      <c r="I94" s="18"/>
      <c r="J94" s="18"/>
      <c r="K94" s="18"/>
      <c r="L94" s="18"/>
      <c r="M94" s="18"/>
      <c r="N94" s="18"/>
      <c r="O94" s="18"/>
      <c r="P94" s="18"/>
      <c r="Q94" s="18"/>
      <c r="R94" s="18"/>
      <c r="S94" s="18"/>
      <c r="T94" s="18"/>
      <c r="U94" s="18"/>
      <c r="V94" s="18"/>
      <c r="W94" s="18"/>
      <c r="X94" s="18"/>
      <c r="Y94" s="18"/>
      <c r="Z94" s="90"/>
      <c r="AA94" s="18"/>
      <c r="AB94" s="18"/>
      <c r="AC94" s="18"/>
      <c r="AD94" s="18"/>
      <c r="AE94" s="18"/>
      <c r="AF94" s="18"/>
      <c r="AG94" s="18"/>
      <c r="AH94" s="18"/>
      <c r="AI94" s="18"/>
      <c r="AJ94" s="18"/>
      <c r="AK94" s="18"/>
      <c r="AL94" s="18"/>
      <c r="AM94" s="18"/>
      <c r="AN94" s="18"/>
      <c r="AO94" s="18"/>
      <c r="AP94" s="18"/>
    </row>
    <row r="95" spans="5:42">
      <c r="E95" s="18"/>
      <c r="F95" s="18"/>
      <c r="G95" s="18"/>
      <c r="H95" s="18"/>
      <c r="I95" s="18"/>
      <c r="J95" s="18"/>
      <c r="K95" s="18"/>
      <c r="L95" s="18"/>
      <c r="M95" s="18"/>
      <c r="N95" s="18"/>
      <c r="O95" s="18"/>
      <c r="P95" s="18"/>
      <c r="Q95" s="18"/>
      <c r="R95" s="18"/>
      <c r="S95" s="18"/>
      <c r="T95" s="18"/>
      <c r="U95" s="18"/>
      <c r="V95" s="18"/>
      <c r="W95" s="18"/>
      <c r="X95" s="18"/>
      <c r="Y95" s="18"/>
      <c r="Z95" s="90"/>
      <c r="AA95" s="18"/>
      <c r="AB95" s="18"/>
      <c r="AC95" s="18"/>
      <c r="AD95" s="18"/>
      <c r="AE95" s="18"/>
      <c r="AF95" s="18"/>
      <c r="AG95" s="18"/>
      <c r="AH95" s="18"/>
      <c r="AI95" s="18"/>
      <c r="AJ95" s="18"/>
      <c r="AK95" s="18"/>
      <c r="AL95" s="18"/>
      <c r="AM95" s="18"/>
      <c r="AN95" s="18"/>
      <c r="AO95" s="18"/>
      <c r="AP95" s="18"/>
    </row>
    <row r="96" spans="5:42">
      <c r="E96" s="18"/>
      <c r="F96" s="18"/>
      <c r="G96" s="18"/>
      <c r="H96" s="18"/>
      <c r="I96" s="18"/>
      <c r="J96" s="18"/>
      <c r="K96" s="18"/>
      <c r="L96" s="18"/>
      <c r="M96" s="18"/>
      <c r="N96" s="18"/>
      <c r="O96" s="18"/>
      <c r="P96" s="18"/>
      <c r="Q96" s="18"/>
      <c r="R96" s="18"/>
      <c r="S96" s="18"/>
      <c r="T96" s="18"/>
      <c r="U96" s="18"/>
      <c r="V96" s="18"/>
      <c r="W96" s="18"/>
      <c r="X96" s="18"/>
      <c r="Y96" s="18"/>
      <c r="Z96" s="90"/>
      <c r="AA96" s="18"/>
      <c r="AB96" s="18"/>
      <c r="AC96" s="18"/>
      <c r="AD96" s="18"/>
      <c r="AE96" s="18"/>
      <c r="AF96" s="18"/>
      <c r="AG96" s="18"/>
      <c r="AH96" s="18"/>
      <c r="AI96" s="18"/>
      <c r="AJ96" s="18"/>
      <c r="AK96" s="18"/>
      <c r="AL96" s="18"/>
      <c r="AM96" s="18"/>
      <c r="AN96" s="18"/>
      <c r="AO96" s="18"/>
      <c r="AP96" s="18"/>
    </row>
    <row r="97" spans="26:26">
      <c r="Z97" s="75"/>
    </row>
    <row r="98" spans="26:26">
      <c r="Z98" s="75"/>
    </row>
    <row r="99" spans="26:26">
      <c r="Z99" s="75"/>
    </row>
    <row r="204" spans="2:2">
      <c r="B204" s="33">
        <v>63.54</v>
      </c>
    </row>
    <row r="205" spans="2:2">
      <c r="B205" s="33">
        <v>63.86</v>
      </c>
    </row>
    <row r="206" spans="2:2">
      <c r="B206" s="33">
        <v>63.7</v>
      </c>
    </row>
    <row r="207" spans="2:2">
      <c r="B207" s="33">
        <v>64.67</v>
      </c>
    </row>
    <row r="208" spans="2:2">
      <c r="B208" s="33">
        <v>65.03</v>
      </c>
    </row>
    <row r="209" spans="2:2">
      <c r="B209" s="33">
        <v>64.67</v>
      </c>
    </row>
    <row r="210" spans="2:2">
      <c r="B210" s="33">
        <v>65.260000000000005</v>
      </c>
    </row>
    <row r="211" spans="2:2">
      <c r="B211" s="33">
        <v>66.599999999999994</v>
      </c>
    </row>
    <row r="212" spans="2:2">
      <c r="B212" s="33">
        <v>66.28</v>
      </c>
    </row>
    <row r="213" spans="2:2">
      <c r="B213" s="33">
        <v>65.11</v>
      </c>
    </row>
    <row r="214" spans="2:2">
      <c r="B214" s="33">
        <v>64.040000000000006</v>
      </c>
    </row>
    <row r="215" spans="2:2">
      <c r="B215" s="33">
        <v>64.569999999999993</v>
      </c>
    </row>
  </sheetData>
  <mergeCells count="6">
    <mergeCell ref="AP30:AP31"/>
    <mergeCell ref="AB5:AP5"/>
    <mergeCell ref="A8:A9"/>
    <mergeCell ref="A25:A26"/>
    <mergeCell ref="AM25:AN25"/>
    <mergeCell ref="AN8:AO8"/>
  </mergeCells>
  <pageMargins left="0.7" right="0.7" top="0.75" bottom="0.75" header="0.3" footer="0.3"/>
  <pageSetup paperSize="9" orientation="portrait" r:id="rId1"/>
  <ignoredErrors>
    <ignoredError sqref="AM36" formula="1"/>
    <ignoredError sqref="AF38:AL38 AF21:AG21 AB21:AE21 AA38:AE38"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showGridLines="0" workbookViewId="0">
      <selection activeCell="A78" sqref="A78"/>
    </sheetView>
  </sheetViews>
  <sheetFormatPr defaultColWidth="9.140625" defaultRowHeight="15"/>
  <cols>
    <col min="1" max="1" width="175.140625" style="18" bestFit="1" customWidth="1"/>
    <col min="2" max="2" width="1.42578125" style="18" bestFit="1" customWidth="1"/>
    <col min="3" max="3" width="72.140625" style="18" bestFit="1" customWidth="1"/>
    <col min="4" max="4" width="108.42578125" style="18" customWidth="1"/>
    <col min="5" max="5" width="73.85546875" style="18" bestFit="1" customWidth="1"/>
    <col min="6" max="16384" width="9.140625" style="18"/>
  </cols>
  <sheetData>
    <row r="1" spans="1:20">
      <c r="A1" s="206"/>
      <c r="B1" s="206"/>
      <c r="C1" s="206"/>
      <c r="D1" s="206"/>
      <c r="E1" s="206"/>
      <c r="F1" s="206"/>
      <c r="G1" s="206"/>
      <c r="H1" s="206"/>
      <c r="I1" s="206"/>
      <c r="J1" s="206"/>
      <c r="K1" s="206"/>
      <c r="L1" s="206"/>
      <c r="M1" s="206"/>
      <c r="N1" s="206"/>
      <c r="O1" s="206"/>
      <c r="P1" s="206"/>
      <c r="Q1" s="206"/>
      <c r="R1" s="206"/>
      <c r="S1" s="206"/>
      <c r="T1" s="206"/>
    </row>
    <row r="2" spans="1:20">
      <c r="A2" s="206"/>
      <c r="B2" s="206"/>
      <c r="C2" s="206"/>
      <c r="D2" s="206"/>
      <c r="E2" s="206"/>
      <c r="F2" s="206"/>
      <c r="G2" s="206"/>
      <c r="H2" s="206"/>
      <c r="I2" s="206"/>
      <c r="J2" s="206"/>
      <c r="K2" s="206"/>
      <c r="L2" s="206"/>
      <c r="M2" s="206"/>
      <c r="N2" s="206"/>
      <c r="O2" s="206"/>
      <c r="P2" s="206"/>
      <c r="Q2" s="206"/>
      <c r="R2" s="206"/>
      <c r="S2" s="206"/>
      <c r="T2" s="206"/>
    </row>
    <row r="3" spans="1:20">
      <c r="A3" s="206"/>
      <c r="B3" s="206"/>
      <c r="C3" s="206"/>
      <c r="D3" s="206"/>
      <c r="E3" s="206"/>
      <c r="F3" s="206"/>
      <c r="G3" s="206"/>
      <c r="H3" s="206"/>
      <c r="I3" s="206"/>
      <c r="J3" s="206"/>
      <c r="K3" s="206"/>
      <c r="L3" s="206"/>
      <c r="M3" s="206"/>
      <c r="N3" s="206"/>
      <c r="O3" s="206"/>
      <c r="P3" s="206"/>
      <c r="Q3" s="206"/>
      <c r="R3" s="206"/>
      <c r="S3" s="206"/>
      <c r="T3" s="206"/>
    </row>
    <row r="4" spans="1:20">
      <c r="A4" s="206"/>
      <c r="B4" s="206"/>
      <c r="C4" s="206"/>
      <c r="D4" s="206"/>
      <c r="E4" s="206"/>
      <c r="F4" s="206"/>
      <c r="G4" s="206"/>
      <c r="H4" s="206"/>
      <c r="I4" s="206"/>
      <c r="J4" s="206"/>
      <c r="K4" s="206"/>
      <c r="L4" s="206"/>
      <c r="M4" s="206"/>
      <c r="N4" s="206"/>
      <c r="O4" s="206"/>
      <c r="P4" s="206"/>
      <c r="Q4" s="206"/>
      <c r="R4" s="206"/>
      <c r="S4" s="206"/>
      <c r="T4" s="206"/>
    </row>
    <row r="6" spans="1:20">
      <c r="A6" s="269" t="s">
        <v>31</v>
      </c>
      <c r="B6" s="269"/>
      <c r="C6" s="269" t="s">
        <v>21</v>
      </c>
      <c r="D6" s="269" t="s">
        <v>32</v>
      </c>
    </row>
    <row r="7" spans="1:20">
      <c r="A7" s="18" t="s">
        <v>925</v>
      </c>
      <c r="B7" s="18" t="s">
        <v>22</v>
      </c>
      <c r="C7" s="18" t="s">
        <v>941</v>
      </c>
      <c r="D7" s="618"/>
      <c r="E7" s="618"/>
      <c r="F7" s="618"/>
      <c r="G7" s="618"/>
      <c r="H7" s="618"/>
    </row>
    <row r="8" spans="1:20">
      <c r="A8" s="18" t="s">
        <v>1057</v>
      </c>
      <c r="B8" s="18" t="s">
        <v>22</v>
      </c>
      <c r="C8" s="18" t="s">
        <v>1025</v>
      </c>
      <c r="D8" s="273" t="s">
        <v>940</v>
      </c>
    </row>
    <row r="9" spans="1:20">
      <c r="A9" s="18" t="s">
        <v>26</v>
      </c>
      <c r="B9" s="18" t="s">
        <v>22</v>
      </c>
      <c r="C9" s="18" t="s">
        <v>28</v>
      </c>
      <c r="D9" s="273" t="s">
        <v>30</v>
      </c>
    </row>
    <row r="10" spans="1:20">
      <c r="A10" s="18" t="s">
        <v>922</v>
      </c>
      <c r="B10" s="18" t="s">
        <v>22</v>
      </c>
      <c r="C10" s="18" t="s">
        <v>924</v>
      </c>
      <c r="D10" s="273" t="s">
        <v>29</v>
      </c>
    </row>
    <row r="11" spans="1:20">
      <c r="A11" s="18" t="s">
        <v>932</v>
      </c>
      <c r="B11" s="18" t="s">
        <v>22</v>
      </c>
      <c r="C11" s="619" t="s">
        <v>923</v>
      </c>
      <c r="D11" s="273" t="s">
        <v>934</v>
      </c>
    </row>
    <row r="12" spans="1:20">
      <c r="A12" s="18" t="s">
        <v>933</v>
      </c>
      <c r="B12" s="18" t="s">
        <v>22</v>
      </c>
      <c r="C12" s="18" t="s">
        <v>927</v>
      </c>
      <c r="D12" s="273" t="s">
        <v>934</v>
      </c>
    </row>
    <row r="13" spans="1:20">
      <c r="A13" s="18" t="s">
        <v>1195</v>
      </c>
      <c r="B13" s="18" t="s">
        <v>22</v>
      </c>
      <c r="C13" s="18" t="s">
        <v>1196</v>
      </c>
      <c r="D13" s="273"/>
    </row>
    <row r="14" spans="1:20">
      <c r="A14" s="18" t="s">
        <v>1199</v>
      </c>
      <c r="B14" s="18" t="s">
        <v>22</v>
      </c>
      <c r="C14" s="18" t="s">
        <v>1196</v>
      </c>
      <c r="D14" s="273"/>
    </row>
    <row r="15" spans="1:20">
      <c r="A15" s="18" t="s">
        <v>1197</v>
      </c>
      <c r="B15" s="18" t="s">
        <v>22</v>
      </c>
      <c r="C15" s="18" t="s">
        <v>1024</v>
      </c>
      <c r="D15" s="273" t="s">
        <v>931</v>
      </c>
      <c r="E15" s="620"/>
    </row>
    <row r="16" spans="1:20">
      <c r="A16" s="18" t="s">
        <v>1198</v>
      </c>
      <c r="B16" s="18" t="s">
        <v>22</v>
      </c>
      <c r="C16" s="18" t="s">
        <v>935</v>
      </c>
      <c r="D16" s="273" t="s">
        <v>937</v>
      </c>
      <c r="E16" s="620"/>
    </row>
    <row r="17" spans="1:5">
      <c r="A17" s="18" t="s">
        <v>1200</v>
      </c>
      <c r="B17" s="18" t="s">
        <v>22</v>
      </c>
      <c r="C17" s="18" t="s">
        <v>936</v>
      </c>
      <c r="D17" s="273" t="s">
        <v>939</v>
      </c>
      <c r="E17" s="620"/>
    </row>
    <row r="18" spans="1:5">
      <c r="A18" s="18" t="s">
        <v>1191</v>
      </c>
      <c r="B18" s="18" t="s">
        <v>22</v>
      </c>
      <c r="C18" s="18" t="s">
        <v>935</v>
      </c>
      <c r="D18" s="273" t="s">
        <v>937</v>
      </c>
      <c r="E18" s="620"/>
    </row>
    <row r="19" spans="1:5">
      <c r="A19" s="18" t="s">
        <v>1192</v>
      </c>
      <c r="B19" s="18" t="s">
        <v>22</v>
      </c>
      <c r="C19" s="18" t="s">
        <v>1193</v>
      </c>
      <c r="D19" s="273" t="s">
        <v>1194</v>
      </c>
      <c r="E19" s="620"/>
    </row>
    <row r="20" spans="1:5" ht="14.25" customHeight="1">
      <c r="A20" s="18" t="s">
        <v>342</v>
      </c>
      <c r="B20" s="18" t="s">
        <v>22</v>
      </c>
      <c r="C20" s="18" t="s">
        <v>927</v>
      </c>
      <c r="D20" s="273" t="s">
        <v>930</v>
      </c>
    </row>
    <row r="21" spans="1:5">
      <c r="A21" s="18" t="s">
        <v>920</v>
      </c>
      <c r="B21" s="18" t="s">
        <v>22</v>
      </c>
      <c r="C21" s="619" t="s">
        <v>927</v>
      </c>
      <c r="D21" s="273" t="s">
        <v>930</v>
      </c>
    </row>
    <row r="22" spans="1:5">
      <c r="A22" s="18" t="s">
        <v>1048</v>
      </c>
      <c r="B22" s="18" t="s">
        <v>22</v>
      </c>
      <c r="C22" s="18" t="s">
        <v>927</v>
      </c>
      <c r="D22" s="273" t="s">
        <v>929</v>
      </c>
    </row>
    <row r="23" spans="1:5">
      <c r="A23" s="18" t="s">
        <v>1046</v>
      </c>
      <c r="B23" s="18" t="s">
        <v>22</v>
      </c>
      <c r="C23" s="18" t="s">
        <v>926</v>
      </c>
      <c r="D23" s="273" t="s">
        <v>931</v>
      </c>
    </row>
    <row r="24" spans="1:5">
      <c r="A24" s="18" t="s">
        <v>1047</v>
      </c>
      <c r="B24" s="18" t="s">
        <v>22</v>
      </c>
      <c r="C24" s="619" t="s">
        <v>927</v>
      </c>
      <c r="D24" s="273" t="s">
        <v>928</v>
      </c>
    </row>
    <row r="25" spans="1:5">
      <c r="A25" s="18" t="s">
        <v>1038</v>
      </c>
      <c r="B25" s="18" t="s">
        <v>22</v>
      </c>
      <c r="C25" s="619" t="s">
        <v>927</v>
      </c>
      <c r="D25" s="273" t="s">
        <v>928</v>
      </c>
    </row>
    <row r="26" spans="1:5">
      <c r="A26" s="18" t="s">
        <v>162</v>
      </c>
      <c r="B26" s="18" t="s">
        <v>22</v>
      </c>
      <c r="C26" s="619" t="s">
        <v>938</v>
      </c>
      <c r="D26" s="206"/>
      <c r="E26" s="620"/>
    </row>
    <row r="39" spans="2:2" ht="15.75">
      <c r="B39" s="621"/>
    </row>
    <row r="40" spans="2:2" ht="15.75">
      <c r="B40" s="622"/>
    </row>
    <row r="41" spans="2:2" ht="15.75">
      <c r="B41" s="621"/>
    </row>
  </sheetData>
  <hyperlinks>
    <hyperlink ref="D10" r:id="rId1" display="RBA INDEX OF COMMODITY PRICES "/>
    <hyperlink ref="D24" r:id="rId2" display="ABS 8412.0"/>
    <hyperlink ref="D25" r:id="rId3" display="ABS 8412.0"/>
    <hyperlink ref="D9" r:id="rId4"/>
    <hyperlink ref="D22" r:id="rId5" display="ABS 5368.0"/>
    <hyperlink ref="D23" r:id="rId6" display="http://www.industry.gov.au/Office-of-the-Chief-Economist/Pages/default.aspx"/>
    <hyperlink ref="D15" r:id="rId7" display="http://www.industry.gov.au/Office-of-the-Chief-Economist/Pages/default.aspx"/>
    <hyperlink ref="D11" r:id="rId8"/>
    <hyperlink ref="D12" r:id="rId9"/>
    <hyperlink ref="D19" r:id="rId10"/>
    <hyperlink ref="D18" r:id="rId11"/>
    <hyperlink ref="D16" r:id="rId12"/>
    <hyperlink ref="D17" r:id="rId13"/>
  </hyperlinks>
  <pageMargins left="0.7" right="0.7" top="0.75" bottom="0.75" header="0.3" footer="0.3"/>
  <pageSetup paperSize="9" orientation="portrait" r:id="rId14"/>
  <drawing r:id="rId15"/>
  <legacyDrawing r:id="rId16"/>
  <oleObjects>
    <mc:AlternateContent xmlns:mc="http://schemas.openxmlformats.org/markup-compatibility/2006">
      <mc:Choice Requires="x14">
        <oleObject progId="Word.Document.12" shapeId="26625" r:id="rId17">
          <objectPr defaultSize="0" r:id="rId18">
            <anchor moveWithCells="1">
              <from>
                <xdr:col>0</xdr:col>
                <xdr:colOff>76200</xdr:colOff>
                <xdr:row>27</xdr:row>
                <xdr:rowOff>28575</xdr:rowOff>
              </from>
              <to>
                <xdr:col>0</xdr:col>
                <xdr:colOff>5629275</xdr:colOff>
                <xdr:row>57</xdr:row>
                <xdr:rowOff>9525</xdr:rowOff>
              </to>
            </anchor>
          </objectPr>
        </oleObject>
      </mc:Choice>
      <mc:Fallback>
        <oleObject progId="Word.Document.12" shapeId="26625" r:id="rId17"/>
      </mc:Fallback>
    </mc:AlternateContent>
    <mc:AlternateContent xmlns:mc="http://schemas.openxmlformats.org/markup-compatibility/2006">
      <mc:Choice Requires="x14">
        <oleObject progId="Word.Document.12" shapeId="26626" r:id="rId19">
          <objectPr defaultSize="0" autoPict="0" r:id="rId20">
            <anchor moveWithCells="1">
              <from>
                <xdr:col>0</xdr:col>
                <xdr:colOff>5800725</xdr:colOff>
                <xdr:row>27</xdr:row>
                <xdr:rowOff>38100</xdr:rowOff>
              </from>
              <to>
                <xdr:col>0</xdr:col>
                <xdr:colOff>11363325</xdr:colOff>
                <xdr:row>45</xdr:row>
                <xdr:rowOff>114300</xdr:rowOff>
              </to>
            </anchor>
          </objectPr>
        </oleObject>
      </mc:Choice>
      <mc:Fallback>
        <oleObject progId="Word.Document.12" shapeId="26626" r:id="rId19"/>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249"/>
  <sheetViews>
    <sheetView showGridLines="0" zoomScaleNormal="100" workbookViewId="0">
      <selection activeCell="G71" sqref="G71"/>
    </sheetView>
  </sheetViews>
  <sheetFormatPr defaultColWidth="9.140625" defaultRowHeight="15"/>
  <cols>
    <col min="1" max="1" width="66.85546875" style="165" customWidth="1"/>
    <col min="2" max="2" width="3.28515625" style="165" hidden="1" customWidth="1"/>
    <col min="3" max="21" width="10.28515625" style="165" customWidth="1"/>
    <col min="22" max="16384" width="9.140625" style="165"/>
  </cols>
  <sheetData>
    <row r="1" spans="1:191">
      <c r="C1" s="127" t="str">
        <f t="shared" ref="C1:AH1" ca="1" si="0">INDIRECT(ADDRESS(MATCH($Q$53,$A$1:$A$23,0),COLUMN(C$2)))</f>
        <v>N/A</v>
      </c>
      <c r="D1" s="127" t="str">
        <f t="shared" ca="1" si="0"/>
        <v>N/A</v>
      </c>
      <c r="E1" s="127" t="str">
        <f t="shared" ca="1" si="0"/>
        <v>N/A</v>
      </c>
      <c r="F1" s="127" t="str">
        <f t="shared" ca="1" si="0"/>
        <v>N/A</v>
      </c>
      <c r="G1" s="127" t="str">
        <f t="shared" ca="1" si="0"/>
        <v>N/A</v>
      </c>
      <c r="H1" s="127" t="str">
        <f t="shared" ca="1" si="0"/>
        <v>N/A</v>
      </c>
      <c r="I1" s="127" t="str">
        <f t="shared" ca="1" si="0"/>
        <v>N/A</v>
      </c>
      <c r="J1" s="127" t="str">
        <f t="shared" ca="1" si="0"/>
        <v>N/A</v>
      </c>
      <c r="K1" s="127" t="str">
        <f t="shared" ca="1" si="0"/>
        <v>N/A</v>
      </c>
      <c r="L1" s="127">
        <f t="shared" ca="1" si="0"/>
        <v>81203.666666666657</v>
      </c>
      <c r="M1" s="127">
        <f t="shared" ca="1" si="0"/>
        <v>94188.583333333328</v>
      </c>
      <c r="N1" s="127">
        <f t="shared" ca="1" si="0"/>
        <v>109271.66666666669</v>
      </c>
      <c r="O1" s="127">
        <f t="shared" ca="1" si="0"/>
        <v>113430.58333333333</v>
      </c>
      <c r="P1" s="127">
        <f t="shared" ca="1" si="0"/>
        <v>111599.91666666667</v>
      </c>
      <c r="Q1" s="127">
        <f t="shared" ca="1" si="0"/>
        <v>107022.33333333333</v>
      </c>
      <c r="R1" s="127">
        <f t="shared" ca="1" si="0"/>
        <v>106139.75000000001</v>
      </c>
      <c r="S1" s="127">
        <f t="shared" ca="1" si="0"/>
        <v>113061.91666666666</v>
      </c>
      <c r="T1" s="127">
        <f t="shared" ca="1" si="0"/>
        <v>121803.66666666667</v>
      </c>
      <c r="U1" s="127">
        <f t="shared" ca="1" si="0"/>
        <v>134522.91666666666</v>
      </c>
      <c r="V1" s="127">
        <f t="shared" ca="1" si="0"/>
        <v>143616.83333333331</v>
      </c>
      <c r="W1" s="127">
        <f t="shared" ca="1" si="0"/>
        <v>0</v>
      </c>
      <c r="X1" s="127">
        <f t="shared" ca="1" si="0"/>
        <v>0</v>
      </c>
      <c r="Y1" s="127">
        <f t="shared" ca="1" si="0"/>
        <v>0</v>
      </c>
      <c r="Z1" s="127">
        <f t="shared" ca="1" si="0"/>
        <v>0</v>
      </c>
      <c r="AA1" s="127">
        <f t="shared" ca="1" si="0"/>
        <v>0</v>
      </c>
      <c r="AB1" s="127">
        <f t="shared" ca="1" si="0"/>
        <v>0</v>
      </c>
      <c r="AC1" s="127">
        <f t="shared" ca="1" si="0"/>
        <v>0</v>
      </c>
      <c r="AD1" s="127">
        <f t="shared" ca="1" si="0"/>
        <v>0</v>
      </c>
      <c r="AE1" s="127">
        <f t="shared" ca="1" si="0"/>
        <v>0</v>
      </c>
      <c r="AF1" s="127">
        <f t="shared" ca="1" si="0"/>
        <v>0</v>
      </c>
      <c r="AG1" s="127">
        <f t="shared" ca="1" si="0"/>
        <v>0</v>
      </c>
      <c r="AH1" s="127">
        <f t="shared" ca="1" si="0"/>
        <v>0</v>
      </c>
      <c r="AI1" s="127">
        <f t="shared" ref="AI1:BN1" ca="1" si="1">INDIRECT(ADDRESS(MATCH($Q$53,$A$1:$A$23,0),COLUMN(AI$2)))</f>
        <v>0</v>
      </c>
      <c r="AJ1" s="127">
        <f t="shared" ca="1" si="1"/>
        <v>0</v>
      </c>
      <c r="AK1" s="127">
        <f t="shared" ca="1" si="1"/>
        <v>0</v>
      </c>
      <c r="AL1" s="127">
        <f t="shared" ca="1" si="1"/>
        <v>0</v>
      </c>
      <c r="AM1" s="127">
        <f t="shared" ca="1" si="1"/>
        <v>0</v>
      </c>
      <c r="AN1" s="127">
        <f t="shared" ca="1" si="1"/>
        <v>0</v>
      </c>
      <c r="AO1" s="127">
        <f t="shared" ca="1" si="1"/>
        <v>0</v>
      </c>
      <c r="AP1" s="127">
        <f t="shared" ca="1" si="1"/>
        <v>0</v>
      </c>
      <c r="AQ1" s="127">
        <f t="shared" ca="1" si="1"/>
        <v>0</v>
      </c>
      <c r="AR1" s="127">
        <f t="shared" ca="1" si="1"/>
        <v>0</v>
      </c>
      <c r="AS1" s="127">
        <f t="shared" ca="1" si="1"/>
        <v>0</v>
      </c>
      <c r="AT1" s="127">
        <f t="shared" ca="1" si="1"/>
        <v>0</v>
      </c>
      <c r="AU1" s="127">
        <f t="shared" ca="1" si="1"/>
        <v>0</v>
      </c>
      <c r="AV1" s="127">
        <f t="shared" ca="1" si="1"/>
        <v>0</v>
      </c>
      <c r="AW1" s="127">
        <f t="shared" ca="1" si="1"/>
        <v>0</v>
      </c>
      <c r="AX1" s="127">
        <f t="shared" ca="1" si="1"/>
        <v>0</v>
      </c>
      <c r="AY1" s="127">
        <f t="shared" ca="1" si="1"/>
        <v>0</v>
      </c>
      <c r="AZ1" s="127">
        <f t="shared" ca="1" si="1"/>
        <v>0</v>
      </c>
      <c r="BA1" s="127">
        <f t="shared" ca="1" si="1"/>
        <v>0</v>
      </c>
      <c r="BB1" s="127">
        <f t="shared" ca="1" si="1"/>
        <v>0</v>
      </c>
      <c r="BC1" s="127">
        <f t="shared" ca="1" si="1"/>
        <v>0</v>
      </c>
      <c r="BD1" s="127">
        <f t="shared" ca="1" si="1"/>
        <v>0</v>
      </c>
      <c r="BE1" s="127">
        <f t="shared" ca="1" si="1"/>
        <v>0</v>
      </c>
      <c r="BF1" s="127">
        <f t="shared" ca="1" si="1"/>
        <v>0</v>
      </c>
      <c r="BG1" s="127">
        <f t="shared" ca="1" si="1"/>
        <v>0</v>
      </c>
      <c r="BH1" s="127">
        <f t="shared" ca="1" si="1"/>
        <v>0</v>
      </c>
      <c r="BI1" s="127">
        <f t="shared" ca="1" si="1"/>
        <v>0</v>
      </c>
      <c r="BJ1" s="127">
        <f t="shared" ca="1" si="1"/>
        <v>0</v>
      </c>
      <c r="BK1" s="127">
        <f t="shared" ca="1" si="1"/>
        <v>0</v>
      </c>
      <c r="BL1" s="127">
        <f t="shared" ca="1" si="1"/>
        <v>0</v>
      </c>
      <c r="BM1" s="127">
        <f t="shared" ca="1" si="1"/>
        <v>0</v>
      </c>
      <c r="BN1" s="127">
        <f t="shared" ca="1" si="1"/>
        <v>0</v>
      </c>
      <c r="BO1" s="127">
        <f t="shared" ref="BO1:CT1" ca="1" si="2">INDIRECT(ADDRESS(MATCH($Q$53,$A$1:$A$23,0),COLUMN(BO$2)))</f>
        <v>0</v>
      </c>
      <c r="BP1" s="127">
        <f t="shared" ca="1" si="2"/>
        <v>0</v>
      </c>
      <c r="BQ1" s="127">
        <f t="shared" ca="1" si="2"/>
        <v>0</v>
      </c>
      <c r="BR1" s="127">
        <f t="shared" ca="1" si="2"/>
        <v>0</v>
      </c>
      <c r="BS1" s="127">
        <f t="shared" ca="1" si="2"/>
        <v>0</v>
      </c>
      <c r="BT1" s="127">
        <f t="shared" ca="1" si="2"/>
        <v>0</v>
      </c>
      <c r="BU1" s="127">
        <f t="shared" ca="1" si="2"/>
        <v>0</v>
      </c>
      <c r="BV1" s="127">
        <f t="shared" ca="1" si="2"/>
        <v>0</v>
      </c>
      <c r="BW1" s="127">
        <f t="shared" ca="1" si="2"/>
        <v>0</v>
      </c>
      <c r="BX1" s="127">
        <f t="shared" ca="1" si="2"/>
        <v>0</v>
      </c>
      <c r="BY1" s="127">
        <f t="shared" ca="1" si="2"/>
        <v>0</v>
      </c>
      <c r="BZ1" s="127">
        <f t="shared" ca="1" si="2"/>
        <v>0</v>
      </c>
      <c r="CA1" s="127">
        <f t="shared" ca="1" si="2"/>
        <v>0</v>
      </c>
      <c r="CB1" s="127">
        <f t="shared" ca="1" si="2"/>
        <v>0</v>
      </c>
      <c r="CC1" s="127">
        <f t="shared" ca="1" si="2"/>
        <v>0</v>
      </c>
      <c r="CD1" s="127">
        <f t="shared" ca="1" si="2"/>
        <v>0</v>
      </c>
      <c r="CE1" s="127">
        <f t="shared" ca="1" si="2"/>
        <v>0</v>
      </c>
      <c r="CF1" s="127">
        <f t="shared" ca="1" si="2"/>
        <v>0</v>
      </c>
      <c r="CG1" s="127">
        <f t="shared" ca="1" si="2"/>
        <v>0</v>
      </c>
      <c r="CH1" s="127">
        <f t="shared" ca="1" si="2"/>
        <v>0</v>
      </c>
      <c r="CI1" s="127">
        <f t="shared" ca="1" si="2"/>
        <v>0</v>
      </c>
      <c r="CJ1" s="127">
        <f t="shared" ca="1" si="2"/>
        <v>0</v>
      </c>
      <c r="CK1" s="127">
        <f t="shared" ca="1" si="2"/>
        <v>0</v>
      </c>
      <c r="CL1" s="127">
        <f t="shared" ca="1" si="2"/>
        <v>0</v>
      </c>
      <c r="CM1" s="127">
        <f t="shared" ca="1" si="2"/>
        <v>0</v>
      </c>
      <c r="CN1" s="127">
        <f t="shared" ca="1" si="2"/>
        <v>0</v>
      </c>
      <c r="CO1" s="127">
        <f t="shared" ca="1" si="2"/>
        <v>0</v>
      </c>
      <c r="CP1" s="127">
        <f t="shared" ca="1" si="2"/>
        <v>0</v>
      </c>
      <c r="CQ1" s="127">
        <f t="shared" ca="1" si="2"/>
        <v>0</v>
      </c>
      <c r="CR1" s="127">
        <f t="shared" ca="1" si="2"/>
        <v>0</v>
      </c>
      <c r="CS1" s="127">
        <f t="shared" ca="1" si="2"/>
        <v>0</v>
      </c>
      <c r="CT1" s="127">
        <f t="shared" ca="1" si="2"/>
        <v>0</v>
      </c>
      <c r="CU1" s="127">
        <f t="shared" ref="CU1:DZ1" ca="1" si="3">INDIRECT(ADDRESS(MATCH($Q$53,$A$1:$A$23,0),COLUMN(CU$2)))</f>
        <v>0</v>
      </c>
      <c r="CV1" s="127">
        <f t="shared" ca="1" si="3"/>
        <v>0</v>
      </c>
      <c r="CW1" s="127">
        <f t="shared" ca="1" si="3"/>
        <v>0</v>
      </c>
      <c r="CX1" s="127">
        <f t="shared" ca="1" si="3"/>
        <v>0</v>
      </c>
      <c r="CY1" s="127">
        <f t="shared" ca="1" si="3"/>
        <v>0</v>
      </c>
      <c r="CZ1" s="127">
        <f t="shared" ca="1" si="3"/>
        <v>0</v>
      </c>
      <c r="DA1" s="127">
        <f t="shared" ca="1" si="3"/>
        <v>0</v>
      </c>
      <c r="DB1" s="127">
        <f t="shared" ca="1" si="3"/>
        <v>0</v>
      </c>
      <c r="DC1" s="127">
        <f t="shared" ca="1" si="3"/>
        <v>0</v>
      </c>
      <c r="DD1" s="127">
        <f t="shared" ca="1" si="3"/>
        <v>0</v>
      </c>
      <c r="DE1" s="127">
        <f t="shared" ca="1" si="3"/>
        <v>0</v>
      </c>
      <c r="DF1" s="127">
        <f t="shared" ca="1" si="3"/>
        <v>0</v>
      </c>
      <c r="DG1" s="127">
        <f t="shared" ca="1" si="3"/>
        <v>0</v>
      </c>
      <c r="DH1" s="127">
        <f t="shared" ca="1" si="3"/>
        <v>0</v>
      </c>
      <c r="DI1" s="127">
        <f t="shared" ca="1" si="3"/>
        <v>0</v>
      </c>
      <c r="DJ1" s="127">
        <f t="shared" ca="1" si="3"/>
        <v>0</v>
      </c>
      <c r="DK1" s="127">
        <f t="shared" ca="1" si="3"/>
        <v>0</v>
      </c>
      <c r="DL1" s="127">
        <f t="shared" ca="1" si="3"/>
        <v>0</v>
      </c>
      <c r="DM1" s="127">
        <f t="shared" ca="1" si="3"/>
        <v>0</v>
      </c>
      <c r="DN1" s="127">
        <f t="shared" ca="1" si="3"/>
        <v>0</v>
      </c>
      <c r="DO1" s="127">
        <f t="shared" ca="1" si="3"/>
        <v>0</v>
      </c>
      <c r="DP1" s="127">
        <f t="shared" ca="1" si="3"/>
        <v>0</v>
      </c>
      <c r="DQ1" s="127">
        <f t="shared" ca="1" si="3"/>
        <v>0</v>
      </c>
      <c r="DR1" s="127">
        <f t="shared" ca="1" si="3"/>
        <v>0</v>
      </c>
      <c r="DS1" s="127">
        <f t="shared" ca="1" si="3"/>
        <v>0</v>
      </c>
      <c r="DT1" s="127">
        <f t="shared" ca="1" si="3"/>
        <v>0</v>
      </c>
      <c r="DU1" s="127">
        <f t="shared" ca="1" si="3"/>
        <v>0</v>
      </c>
      <c r="DV1" s="127">
        <f t="shared" ca="1" si="3"/>
        <v>0</v>
      </c>
      <c r="DW1" s="127">
        <f t="shared" ca="1" si="3"/>
        <v>0</v>
      </c>
      <c r="DX1" s="127">
        <f t="shared" ca="1" si="3"/>
        <v>0</v>
      </c>
      <c r="DY1" s="127">
        <f t="shared" ca="1" si="3"/>
        <v>0</v>
      </c>
      <c r="DZ1" s="127">
        <f t="shared" ca="1" si="3"/>
        <v>0</v>
      </c>
      <c r="EA1" s="127">
        <f t="shared" ref="EA1:FF1" ca="1" si="4">INDIRECT(ADDRESS(MATCH($Q$53,$A$1:$A$23,0),COLUMN(EA$2)))</f>
        <v>0</v>
      </c>
      <c r="EB1" s="127">
        <f t="shared" ca="1" si="4"/>
        <v>0</v>
      </c>
      <c r="EC1" s="127">
        <f t="shared" ca="1" si="4"/>
        <v>0</v>
      </c>
      <c r="ED1" s="127">
        <f t="shared" ca="1" si="4"/>
        <v>0</v>
      </c>
      <c r="EE1" s="127">
        <f t="shared" ca="1" si="4"/>
        <v>0</v>
      </c>
      <c r="EF1" s="127">
        <f t="shared" ca="1" si="4"/>
        <v>0</v>
      </c>
      <c r="EG1" s="127">
        <f t="shared" ca="1" si="4"/>
        <v>0</v>
      </c>
      <c r="EH1" s="127">
        <f t="shared" ca="1" si="4"/>
        <v>0</v>
      </c>
      <c r="EI1" s="127">
        <f t="shared" ca="1" si="4"/>
        <v>0</v>
      </c>
      <c r="EJ1" s="127">
        <f t="shared" ca="1" si="4"/>
        <v>0</v>
      </c>
      <c r="EK1" s="127">
        <f t="shared" ca="1" si="4"/>
        <v>0</v>
      </c>
      <c r="EL1" s="127">
        <f t="shared" ca="1" si="4"/>
        <v>0</v>
      </c>
      <c r="EM1" s="127">
        <f t="shared" ca="1" si="4"/>
        <v>0</v>
      </c>
      <c r="EN1" s="127">
        <f t="shared" ca="1" si="4"/>
        <v>0</v>
      </c>
      <c r="EO1" s="127">
        <f t="shared" ca="1" si="4"/>
        <v>0</v>
      </c>
      <c r="EP1" s="127">
        <f t="shared" ca="1" si="4"/>
        <v>0</v>
      </c>
      <c r="EQ1" s="127">
        <f t="shared" ca="1" si="4"/>
        <v>0</v>
      </c>
      <c r="ER1" s="127">
        <f t="shared" ca="1" si="4"/>
        <v>0</v>
      </c>
      <c r="ES1" s="127">
        <f t="shared" ca="1" si="4"/>
        <v>0</v>
      </c>
      <c r="ET1" s="127">
        <f t="shared" ca="1" si="4"/>
        <v>0</v>
      </c>
      <c r="EU1" s="127">
        <f t="shared" ca="1" si="4"/>
        <v>0</v>
      </c>
      <c r="EV1" s="127">
        <f t="shared" ca="1" si="4"/>
        <v>0</v>
      </c>
      <c r="EW1" s="127">
        <f t="shared" ca="1" si="4"/>
        <v>0</v>
      </c>
      <c r="EX1" s="127">
        <f t="shared" ca="1" si="4"/>
        <v>0</v>
      </c>
      <c r="EY1" s="127">
        <f t="shared" ca="1" si="4"/>
        <v>0</v>
      </c>
      <c r="EZ1" s="127">
        <f t="shared" ca="1" si="4"/>
        <v>0</v>
      </c>
      <c r="FA1" s="127">
        <f t="shared" ca="1" si="4"/>
        <v>0</v>
      </c>
      <c r="FB1" s="127">
        <f t="shared" ca="1" si="4"/>
        <v>0</v>
      </c>
      <c r="FC1" s="127">
        <f t="shared" ca="1" si="4"/>
        <v>0</v>
      </c>
      <c r="FD1" s="127">
        <f t="shared" ca="1" si="4"/>
        <v>0</v>
      </c>
      <c r="FE1" s="127">
        <f t="shared" ca="1" si="4"/>
        <v>0</v>
      </c>
      <c r="FF1" s="127">
        <f t="shared" ca="1" si="4"/>
        <v>0</v>
      </c>
      <c r="FG1" s="127">
        <f t="shared" ref="FG1:GI1" ca="1" si="5">INDIRECT(ADDRESS(MATCH($Q$53,$A$1:$A$23,0),COLUMN(FG$2)))</f>
        <v>0</v>
      </c>
      <c r="FH1" s="127">
        <f t="shared" ca="1" si="5"/>
        <v>0</v>
      </c>
      <c r="FI1" s="127">
        <f t="shared" ca="1" si="5"/>
        <v>0</v>
      </c>
      <c r="FJ1" s="127">
        <f t="shared" ca="1" si="5"/>
        <v>0</v>
      </c>
      <c r="FK1" s="127">
        <f t="shared" ca="1" si="5"/>
        <v>0</v>
      </c>
      <c r="FL1" s="127">
        <f t="shared" ca="1" si="5"/>
        <v>0</v>
      </c>
      <c r="FM1" s="127">
        <f t="shared" ca="1" si="5"/>
        <v>0</v>
      </c>
      <c r="FN1" s="127">
        <f t="shared" ca="1" si="5"/>
        <v>0</v>
      </c>
      <c r="FO1" s="127">
        <f t="shared" ca="1" si="5"/>
        <v>0</v>
      </c>
      <c r="FP1" s="127">
        <f t="shared" ca="1" si="5"/>
        <v>0</v>
      </c>
      <c r="FQ1" s="127">
        <f t="shared" ca="1" si="5"/>
        <v>0</v>
      </c>
      <c r="FR1" s="127">
        <f t="shared" ca="1" si="5"/>
        <v>0</v>
      </c>
      <c r="FS1" s="127">
        <f t="shared" ca="1" si="5"/>
        <v>0</v>
      </c>
      <c r="FT1" s="127">
        <f t="shared" ca="1" si="5"/>
        <v>0</v>
      </c>
      <c r="FU1" s="127">
        <f t="shared" ca="1" si="5"/>
        <v>0</v>
      </c>
      <c r="FV1" s="127">
        <f t="shared" ca="1" si="5"/>
        <v>0</v>
      </c>
      <c r="FW1" s="127">
        <f t="shared" ca="1" si="5"/>
        <v>0</v>
      </c>
      <c r="FX1" s="127">
        <f t="shared" ca="1" si="5"/>
        <v>0</v>
      </c>
      <c r="FY1" s="127">
        <f t="shared" ca="1" si="5"/>
        <v>0</v>
      </c>
      <c r="FZ1" s="127">
        <f t="shared" ca="1" si="5"/>
        <v>0</v>
      </c>
      <c r="GA1" s="127">
        <f t="shared" ca="1" si="5"/>
        <v>0</v>
      </c>
      <c r="GB1" s="127">
        <f t="shared" ca="1" si="5"/>
        <v>0</v>
      </c>
      <c r="GC1" s="127">
        <f t="shared" ca="1" si="5"/>
        <v>0</v>
      </c>
      <c r="GD1" s="127">
        <f t="shared" ca="1" si="5"/>
        <v>0</v>
      </c>
      <c r="GE1" s="127">
        <f t="shared" ca="1" si="5"/>
        <v>0</v>
      </c>
      <c r="GF1" s="127">
        <f t="shared" ca="1" si="5"/>
        <v>0</v>
      </c>
      <c r="GG1" s="127">
        <f t="shared" ca="1" si="5"/>
        <v>0</v>
      </c>
      <c r="GH1" s="127">
        <f t="shared" ca="1" si="5"/>
        <v>0</v>
      </c>
      <c r="GI1" s="127">
        <f t="shared" ca="1" si="5"/>
        <v>0</v>
      </c>
    </row>
    <row r="2" spans="1:191">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row>
    <row r="5" spans="1:191" s="55" customFormat="1">
      <c r="B5" s="188"/>
    </row>
    <row r="6" spans="1:191" s="55" customFormat="1" ht="15.75" thickBot="1">
      <c r="A6" s="188" t="s">
        <v>1161</v>
      </c>
      <c r="B6" s="188"/>
    </row>
    <row r="7" spans="1:191" s="55" customFormat="1" ht="15.75" thickBot="1">
      <c r="A7" s="2" t="s">
        <v>95</v>
      </c>
      <c r="B7" s="47"/>
      <c r="C7" s="47">
        <v>2001</v>
      </c>
      <c r="D7" s="47">
        <v>2002</v>
      </c>
      <c r="E7" s="47">
        <v>2003</v>
      </c>
      <c r="F7" s="47">
        <v>2004</v>
      </c>
      <c r="G7" s="47">
        <v>2005</v>
      </c>
      <c r="H7" s="47">
        <v>2006</v>
      </c>
      <c r="I7" s="47">
        <v>2007</v>
      </c>
      <c r="J7" s="47">
        <v>2008</v>
      </c>
      <c r="K7" s="47">
        <v>2009</v>
      </c>
      <c r="L7" s="47">
        <v>2010</v>
      </c>
      <c r="M7" s="47">
        <v>2011</v>
      </c>
      <c r="N7" s="47">
        <v>2012</v>
      </c>
      <c r="O7" s="47">
        <v>2013</v>
      </c>
      <c r="P7" s="47">
        <v>2014</v>
      </c>
      <c r="Q7" s="47">
        <v>2015</v>
      </c>
      <c r="R7" s="47">
        <v>2016</v>
      </c>
      <c r="S7" s="47">
        <v>2017</v>
      </c>
      <c r="T7" s="47">
        <v>2018</v>
      </c>
      <c r="U7" s="47">
        <v>2019</v>
      </c>
      <c r="V7" s="48">
        <v>2020</v>
      </c>
    </row>
    <row r="8" spans="1:191" s="55" customFormat="1">
      <c r="A8" s="49" t="s">
        <v>1027</v>
      </c>
      <c r="B8" s="130"/>
      <c r="C8" s="128">
        <f>IF($A$25=$A$102, AVERAGEIF('Mining Employment Monthly'!$B$2:$SU$2,'Employment Calendar Year'!C$7,'Mining Employment Monthly'!$B44:$SU44),AVERAGEIF('Mining Employment Monthly'!$B$2:$SU$2,'Employment Calendar Year'!C$7,'Mining Employment Monthly'!$B123:$SU123))</f>
        <v>6365.833333333333</v>
      </c>
      <c r="D8" s="128">
        <f>IF($A$25=$A$102, AVERAGEIF('Mining Employment Monthly'!$B$2:$SU$2,'Employment Calendar Year'!D$7,'Mining Employment Monthly'!$B44:$SU44),AVERAGEIF('Mining Employment Monthly'!$B$2:$SU$2,'Employment Calendar Year'!D$7,'Mining Employment Monthly'!$B123:$SU123))</f>
        <v>6467.416666666667</v>
      </c>
      <c r="E8" s="128">
        <f>IF($A$25=$A$102, AVERAGEIF('Mining Employment Monthly'!$B$2:$SU$2,'Employment Calendar Year'!E$7,'Mining Employment Monthly'!$B44:$SU44),AVERAGEIF('Mining Employment Monthly'!$B$2:$SU$2,'Employment Calendar Year'!E$7,'Mining Employment Monthly'!$B123:$SU123))</f>
        <v>6799.166666666667</v>
      </c>
      <c r="F8" s="128">
        <f>IF($A$25=$A$102, AVERAGEIF('Mining Employment Monthly'!$B$2:$SU$2,'Employment Calendar Year'!F$7,'Mining Employment Monthly'!$B44:$SU44),AVERAGEIF('Mining Employment Monthly'!$B$2:$SU$2,'Employment Calendar Year'!F$7,'Mining Employment Monthly'!$B123:$SU123))</f>
        <v>7399.333333333333</v>
      </c>
      <c r="G8" s="128">
        <f>IF($A$25=$A$102, AVERAGEIF('Mining Employment Monthly'!$B$2:$SU$2,'Employment Calendar Year'!G$7,'Mining Employment Monthly'!$B44:$SU44),AVERAGEIF('Mining Employment Monthly'!$B$2:$SU$2,'Employment Calendar Year'!G$7,'Mining Employment Monthly'!$B123:$SU123))</f>
        <v>9621.4166666666661</v>
      </c>
      <c r="H8" s="128">
        <f>IF($A$25=$A$102, AVERAGEIF('Mining Employment Monthly'!$B$2:$SU$2,'Employment Calendar Year'!H$7,'Mining Employment Monthly'!$B44:$SU44),AVERAGEIF('Mining Employment Monthly'!$B$2:$SU$2,'Employment Calendar Year'!H$7,'Mining Employment Monthly'!$B123:$SU123))</f>
        <v>8915.9166666666661</v>
      </c>
      <c r="I8" s="128">
        <f>IF($A$25=$A$102, AVERAGEIF('Mining Employment Monthly'!$B$2:$SU$2,'Employment Calendar Year'!I$7,'Mining Employment Monthly'!$B44:$SU44),AVERAGEIF('Mining Employment Monthly'!$B$2:$SU$2,'Employment Calendar Year'!I$7,'Mining Employment Monthly'!$B123:$SU123))</f>
        <v>8467.75</v>
      </c>
      <c r="J8" s="128">
        <f>IF($A$25=$A$102, AVERAGEIF('Mining Employment Monthly'!$B$2:$SU$2,'Employment Calendar Year'!J$7,'Mining Employment Monthly'!$B44:$SU44),AVERAGEIF('Mining Employment Monthly'!$B$2:$SU$2,'Employment Calendar Year'!J$7,'Mining Employment Monthly'!$B123:$SU123))</f>
        <v>8114.333333333333</v>
      </c>
      <c r="K8" s="128">
        <f>IF($A$25=$A$102, AVERAGEIF('Mining Employment Monthly'!$B$2:$SU$2,'Employment Calendar Year'!K$7,'Mining Employment Monthly'!$B44:$SU44),AVERAGEIF('Mining Employment Monthly'!$B$2:$SU$2,'Employment Calendar Year'!K$7,'Mining Employment Monthly'!$B123:$SU123))</f>
        <v>8360.1666666666661</v>
      </c>
      <c r="L8" s="128">
        <f>IF($A$25=$A$102, AVERAGEIF('Mining Employment Monthly'!$B$2:$SU$2,'Employment Calendar Year'!L$7,'Mining Employment Monthly'!$B44:$SU44),AVERAGEIF('Mining Employment Monthly'!$B$2:$SU$2,'Employment Calendar Year'!L$7,'Mining Employment Monthly'!$B123:$SU123))</f>
        <v>9650.5</v>
      </c>
      <c r="M8" s="128">
        <f>IF($A$25=$A$102, AVERAGEIF('Mining Employment Monthly'!$B$2:$SU$2,'Employment Calendar Year'!M$7,'Mining Employment Monthly'!$B44:$SU44),AVERAGEIF('Mining Employment Monthly'!$B$2:$SU$2,'Employment Calendar Year'!M$7,'Mining Employment Monthly'!$B123:$SU123))</f>
        <v>11289.833333333334</v>
      </c>
      <c r="N8" s="128">
        <f>IF($A$25=$A$102, AVERAGEIF('Mining Employment Monthly'!$B$2:$SU$2,'Employment Calendar Year'!N$7,'Mining Employment Monthly'!$B44:$SU44),AVERAGEIF('Mining Employment Monthly'!$B$2:$SU$2,'Employment Calendar Year'!N$7,'Mining Employment Monthly'!$B123:$SU123))</f>
        <v>8290.25</v>
      </c>
      <c r="O8" s="128">
        <f>IF($A$25=$A$102, AVERAGEIF('Mining Employment Monthly'!$B$2:$SU$2,'Employment Calendar Year'!O$7,'Mining Employment Monthly'!$B44:$SU44),AVERAGEIF('Mining Employment Monthly'!$B$2:$SU$2,'Employment Calendar Year'!O$7,'Mining Employment Monthly'!$B123:$SU123))</f>
        <v>7356.166666666667</v>
      </c>
      <c r="P8" s="128">
        <f>IF($A$25=$A$102, AVERAGEIF('Mining Employment Monthly'!$B$2:$SU$2,'Employment Calendar Year'!P$7,'Mining Employment Monthly'!$B44:$SU44),AVERAGEIF('Mining Employment Monthly'!$B$2:$SU$2,'Employment Calendar Year'!P$7,'Mining Employment Monthly'!$B123:$SU123))</f>
        <v>7453.333333333333</v>
      </c>
      <c r="Q8" s="128">
        <f>IF($A$25=$A$102, AVERAGEIF('Mining Employment Monthly'!$B$2:$SU$2,'Employment Calendar Year'!Q$7,'Mining Employment Monthly'!$B44:$SU44),AVERAGEIF('Mining Employment Monthly'!$B$2:$SU$2,'Employment Calendar Year'!Q$7,'Mining Employment Monthly'!$B123:$SU123))</f>
        <v>7596.5</v>
      </c>
      <c r="R8" s="282">
        <f>IF($A$25=$A$102, AVERAGEIF('Mining Employment Monthly'!$B$2:$SU$2,'Employment Calendar Year'!R$7,'Mining Employment Monthly'!$B44:$SU44),AVERAGEIF('Mining Employment Monthly'!$B$2:$SU$2,'Employment Calendar Year'!R$7,'Mining Employment Monthly'!$B123:$SU123))</f>
        <v>6718.833333333333</v>
      </c>
      <c r="S8" s="282">
        <f>IF($A$25=$A$102, AVERAGEIF('Mining Employment Monthly'!$B$2:$SU$2,'Employment Calendar Year'!S$7,'Mining Employment Monthly'!$B44:$SU44),AVERAGEIF('Mining Employment Monthly'!$B$2:$SU$2,'Employment Calendar Year'!S$7,'Mining Employment Monthly'!$B123:$SU123))</f>
        <v>6688.5</v>
      </c>
      <c r="T8" s="282">
        <f>IF($A$25=$A$102, AVERAGEIF('Mining Employment Monthly'!$B$2:$SU$2,'Employment Calendar Year'!T$7,'Mining Employment Monthly'!$B44:$SU44),AVERAGEIF('Mining Employment Monthly'!$B$2:$SU$2,'Employment Calendar Year'!T$7,'Mining Employment Monthly'!$B123:$SU123))</f>
        <v>7049.166666666667</v>
      </c>
      <c r="U8" s="282">
        <f>IF($A$25=$A$102, AVERAGEIF('Mining Employment Monthly'!$B$2:$SU$2,'Employment Calendar Year'!U$7,'Mining Employment Monthly'!$B44:$SU44),AVERAGEIF('Mining Employment Monthly'!$B$2:$SU$2,'Employment Calendar Year'!U$7,'Mining Employment Monthly'!$B123:$SU123))</f>
        <v>7384.416666666667</v>
      </c>
      <c r="V8" s="283">
        <f>IF($A$25=$A$102, AVERAGEIF('Mining Employment Monthly'!$B$2:$SU$2,'Employment Calendar Year'!V$7,'Mining Employment Monthly'!$B44:$SU44),AVERAGEIF('Mining Employment Monthly'!$B$2:$SU$2,'Employment Calendar Year'!V$7,'Mining Employment Monthly'!$B123:$SU123))</f>
        <v>9921</v>
      </c>
      <c r="W8" s="43"/>
    </row>
    <row r="9" spans="1:191" s="55" customFormat="1">
      <c r="A9" s="49" t="s">
        <v>43</v>
      </c>
      <c r="B9" s="129"/>
      <c r="C9" s="170">
        <f>IF($A$25=$A$102, AVERAGEIF('Mining Employment Monthly'!$B$2:$SU$2,'Employment Calendar Year'!C$7,'Mining Employment Monthly'!$B45:$SU45),AVERAGEIF('Mining Employment Monthly'!$B$2:$SU$2,'Employment Calendar Year'!C$7,'Mining Employment Monthly'!$B124:$SU124))</f>
        <v>1102.8333333333333</v>
      </c>
      <c r="D9" s="170">
        <f>IF($A$25=$A$102, AVERAGEIF('Mining Employment Monthly'!$B$2:$SU$2,'Employment Calendar Year'!D$7,'Mining Employment Monthly'!$B45:$SU45),AVERAGEIF('Mining Employment Monthly'!$B$2:$SU$2,'Employment Calendar Year'!D$7,'Mining Employment Monthly'!$B124:$SU124))</f>
        <v>1089.25</v>
      </c>
      <c r="E9" s="170">
        <f>IF($A$25=$A$102, AVERAGEIF('Mining Employment Monthly'!$B$2:$SU$2,'Employment Calendar Year'!E$7,'Mining Employment Monthly'!$B45:$SU45),AVERAGEIF('Mining Employment Monthly'!$B$2:$SU$2,'Employment Calendar Year'!E$7,'Mining Employment Monthly'!$B124:$SU124))</f>
        <v>1099.4166666666667</v>
      </c>
      <c r="F9" s="170">
        <f>IF($A$25=$A$102, AVERAGEIF('Mining Employment Monthly'!$B$2:$SU$2,'Employment Calendar Year'!F$7,'Mining Employment Monthly'!$B45:$SU45),AVERAGEIF('Mining Employment Monthly'!$B$2:$SU$2,'Employment Calendar Year'!F$7,'Mining Employment Monthly'!$B124:$SU124))</f>
        <v>918.58333333333337</v>
      </c>
      <c r="G9" s="170">
        <f>IF($A$25=$A$102, AVERAGEIF('Mining Employment Monthly'!$B$2:$SU$2,'Employment Calendar Year'!G$7,'Mining Employment Monthly'!$B45:$SU45),AVERAGEIF('Mining Employment Monthly'!$B$2:$SU$2,'Employment Calendar Year'!G$7,'Mining Employment Monthly'!$B124:$SU124))</f>
        <v>1499.8333333333333</v>
      </c>
      <c r="H9" s="170">
        <f>IF($A$25=$A$102, AVERAGEIF('Mining Employment Monthly'!$B$2:$SU$2,'Employment Calendar Year'!H$7,'Mining Employment Monthly'!$B45:$SU45),AVERAGEIF('Mining Employment Monthly'!$B$2:$SU$2,'Employment Calendar Year'!H$7,'Mining Employment Monthly'!$B124:$SU124))</f>
        <v>2021.5833333333333</v>
      </c>
      <c r="I9" s="170">
        <f>IF($A$25=$A$102, AVERAGEIF('Mining Employment Monthly'!$B$2:$SU$2,'Employment Calendar Year'!I$7,'Mining Employment Monthly'!$B45:$SU45),AVERAGEIF('Mining Employment Monthly'!$B$2:$SU$2,'Employment Calendar Year'!I$7,'Mining Employment Monthly'!$B124:$SU124))</f>
        <v>2240.5833333333335</v>
      </c>
      <c r="J9" s="170">
        <f>IF($A$25=$A$102, AVERAGEIF('Mining Employment Monthly'!$B$2:$SU$2,'Employment Calendar Year'!J$7,'Mining Employment Monthly'!$B45:$SU45),AVERAGEIF('Mining Employment Monthly'!$B$2:$SU$2,'Employment Calendar Year'!J$7,'Mining Employment Monthly'!$B124:$SU124))</f>
        <v>2353.25</v>
      </c>
      <c r="K9" s="170">
        <f>IF($A$25=$A$102, AVERAGEIF('Mining Employment Monthly'!$B$2:$SU$2,'Employment Calendar Year'!K$7,'Mining Employment Monthly'!$B45:$SU45),AVERAGEIF('Mining Employment Monthly'!$B$2:$SU$2,'Employment Calendar Year'!K$7,'Mining Employment Monthly'!$B124:$SU124))</f>
        <v>1643.3333333333333</v>
      </c>
      <c r="L9" s="170">
        <f>IF($A$25=$A$102, AVERAGEIF('Mining Employment Monthly'!$B$2:$SU$2,'Employment Calendar Year'!L$7,'Mining Employment Monthly'!$B45:$SU45),AVERAGEIF('Mining Employment Monthly'!$B$2:$SU$2,'Employment Calendar Year'!L$7,'Mining Employment Monthly'!$B124:$SU124))</f>
        <v>2200.8333333333335</v>
      </c>
      <c r="M9" s="170">
        <f>IF($A$25=$A$102, AVERAGEIF('Mining Employment Monthly'!$B$2:$SU$2,'Employment Calendar Year'!M$7,'Mining Employment Monthly'!$B45:$SU45),AVERAGEIF('Mining Employment Monthly'!$B$2:$SU$2,'Employment Calendar Year'!M$7,'Mining Employment Monthly'!$B124:$SU124))</f>
        <v>2578.25</v>
      </c>
      <c r="N9" s="170">
        <f>IF($A$25=$A$102, AVERAGEIF('Mining Employment Monthly'!$B$2:$SU$2,'Employment Calendar Year'!N$7,'Mining Employment Monthly'!$B45:$SU45),AVERAGEIF('Mining Employment Monthly'!$B$2:$SU$2,'Employment Calendar Year'!N$7,'Mining Employment Monthly'!$B124:$SU124))</f>
        <v>3039.5</v>
      </c>
      <c r="O9" s="170">
        <f>IF($A$25=$A$102, AVERAGEIF('Mining Employment Monthly'!$B$2:$SU$2,'Employment Calendar Year'!O$7,'Mining Employment Monthly'!$B45:$SU45),AVERAGEIF('Mining Employment Monthly'!$B$2:$SU$2,'Employment Calendar Year'!O$7,'Mining Employment Monthly'!$B124:$SU124))</f>
        <v>2804.5</v>
      </c>
      <c r="P9" s="170">
        <f>IF($A$25=$A$102, AVERAGEIF('Mining Employment Monthly'!$B$2:$SU$2,'Employment Calendar Year'!P$7,'Mining Employment Monthly'!$B45:$SU45),AVERAGEIF('Mining Employment Monthly'!$B$2:$SU$2,'Employment Calendar Year'!P$7,'Mining Employment Monthly'!$B124:$SU124))</f>
        <v>2508</v>
      </c>
      <c r="Q9" s="170">
        <f>IF($A$25=$A$102, AVERAGEIF('Mining Employment Monthly'!$B$2:$SU$2,'Employment Calendar Year'!Q$7,'Mining Employment Monthly'!$B45:$SU45),AVERAGEIF('Mining Employment Monthly'!$B$2:$SU$2,'Employment Calendar Year'!Q$7,'Mining Employment Monthly'!$B124:$SU124))</f>
        <v>2498.9166666666665</v>
      </c>
      <c r="R9" s="233">
        <f>IF($A$25=$A$102, AVERAGEIF('Mining Employment Monthly'!$B$2:$SU$2,'Employment Calendar Year'!R$7,'Mining Employment Monthly'!$B45:$SU45),AVERAGEIF('Mining Employment Monthly'!$B$2:$SU$2,'Employment Calendar Year'!R$7,'Mining Employment Monthly'!$B124:$SU124))</f>
        <v>2234.3333333333335</v>
      </c>
      <c r="S9" s="233">
        <f>IF($A$25=$A$102, AVERAGEIF('Mining Employment Monthly'!$B$2:$SU$2,'Employment Calendar Year'!S$7,'Mining Employment Monthly'!$B45:$SU45),AVERAGEIF('Mining Employment Monthly'!$B$2:$SU$2,'Employment Calendar Year'!S$7,'Mining Employment Monthly'!$B124:$SU124))</f>
        <v>2414.8333333333335</v>
      </c>
      <c r="T9" s="233">
        <f>IF($A$25=$A$102, AVERAGEIF('Mining Employment Monthly'!$B$2:$SU$2,'Employment Calendar Year'!T$7,'Mining Employment Monthly'!$B45:$SU45),AVERAGEIF('Mining Employment Monthly'!$B$2:$SU$2,'Employment Calendar Year'!T$7,'Mining Employment Monthly'!$B124:$SU124))</f>
        <v>2530.4166666666665</v>
      </c>
      <c r="U9" s="233">
        <f>IF($A$25=$A$102, AVERAGEIF('Mining Employment Monthly'!$B$2:$SU$2,'Employment Calendar Year'!U$7,'Mining Employment Monthly'!$B45:$SU45),AVERAGEIF('Mining Employment Monthly'!$B$2:$SU$2,'Employment Calendar Year'!U$7,'Mining Employment Monthly'!$B124:$SU124))</f>
        <v>2848.9166666666665</v>
      </c>
      <c r="V9" s="131">
        <f>IF($A$25=$A$102, AVERAGEIF('Mining Employment Monthly'!$B$2:$SU$2,'Employment Calendar Year'!V$7,'Mining Employment Monthly'!$B45:$SU45),AVERAGEIF('Mining Employment Monthly'!$B$2:$SU$2,'Employment Calendar Year'!V$7,'Mining Employment Monthly'!$B124:$SU124))</f>
        <v>2339.5</v>
      </c>
      <c r="W9" s="43"/>
    </row>
    <row r="10" spans="1:191" s="55" customFormat="1">
      <c r="A10" s="49" t="s">
        <v>44</v>
      </c>
      <c r="B10" s="129"/>
      <c r="C10" s="128">
        <f>IF($A$25=$A$102, AVERAGEIF('Mining Employment Monthly'!$B$2:$SU$2,'Employment Calendar Year'!C$7,'Mining Employment Monthly'!$B46:$SU46),AVERAGEIF('Mining Employment Monthly'!$B$2:$SU$2,'Employment Calendar Year'!C$7,'Mining Employment Monthly'!$B125:$SU125))</f>
        <v>676.5</v>
      </c>
      <c r="D10" s="128">
        <f>IF($A$25=$A$102, AVERAGEIF('Mining Employment Monthly'!$B$2:$SU$2,'Employment Calendar Year'!D$7,'Mining Employment Monthly'!$B46:$SU46),AVERAGEIF('Mining Employment Monthly'!$B$2:$SU$2,'Employment Calendar Year'!D$7,'Mining Employment Monthly'!$B125:$SU125))</f>
        <v>648.75</v>
      </c>
      <c r="E10" s="128">
        <f>IF($A$25=$A$102, AVERAGEIF('Mining Employment Monthly'!$B$2:$SU$2,'Employment Calendar Year'!E$7,'Mining Employment Monthly'!$B46:$SU46),AVERAGEIF('Mining Employment Monthly'!$B$2:$SU$2,'Employment Calendar Year'!E$7,'Mining Employment Monthly'!$B125:$SU125))</f>
        <v>640.5</v>
      </c>
      <c r="F10" s="128">
        <f>IF($A$25=$A$102, AVERAGEIF('Mining Employment Monthly'!$B$2:$SU$2,'Employment Calendar Year'!F$7,'Mining Employment Monthly'!$B46:$SU46),AVERAGEIF('Mining Employment Monthly'!$B$2:$SU$2,'Employment Calendar Year'!F$7,'Mining Employment Monthly'!$B125:$SU125))</f>
        <v>650.66666666666663</v>
      </c>
      <c r="G10" s="128">
        <f>IF($A$25=$A$102, AVERAGEIF('Mining Employment Monthly'!$B$2:$SU$2,'Employment Calendar Year'!G$7,'Mining Employment Monthly'!$B46:$SU46),AVERAGEIF('Mining Employment Monthly'!$B$2:$SU$2,'Employment Calendar Year'!G$7,'Mining Employment Monthly'!$B125:$SU125))</f>
        <v>716.83333333333337</v>
      </c>
      <c r="H10" s="128">
        <f>IF($A$25=$A$102, AVERAGEIF('Mining Employment Monthly'!$B$2:$SU$2,'Employment Calendar Year'!H$7,'Mining Employment Monthly'!$B46:$SU46),AVERAGEIF('Mining Employment Monthly'!$B$2:$SU$2,'Employment Calendar Year'!H$7,'Mining Employment Monthly'!$B125:$SU125))</f>
        <v>771</v>
      </c>
      <c r="I10" s="128">
        <f>IF($A$25=$A$102, AVERAGEIF('Mining Employment Monthly'!$B$2:$SU$2,'Employment Calendar Year'!I$7,'Mining Employment Monthly'!$B46:$SU46),AVERAGEIF('Mining Employment Monthly'!$B$2:$SU$2,'Employment Calendar Year'!I$7,'Mining Employment Monthly'!$B125:$SU125))</f>
        <v>808.25</v>
      </c>
      <c r="J10" s="128">
        <f>IF($A$25=$A$102, AVERAGEIF('Mining Employment Monthly'!$B$2:$SU$2,'Employment Calendar Year'!J$7,'Mining Employment Monthly'!$B46:$SU46),AVERAGEIF('Mining Employment Monthly'!$B$2:$SU$2,'Employment Calendar Year'!J$7,'Mining Employment Monthly'!$B125:$SU125))</f>
        <v>896.66666666666663</v>
      </c>
      <c r="K10" s="128">
        <f>IF($A$25=$A$102, AVERAGEIF('Mining Employment Monthly'!$B$2:$SU$2,'Employment Calendar Year'!K$7,'Mining Employment Monthly'!$B46:$SU46),AVERAGEIF('Mining Employment Monthly'!$B$2:$SU$2,'Employment Calendar Year'!K$7,'Mining Employment Monthly'!$B125:$SU125))</f>
        <v>927.16666666666663</v>
      </c>
      <c r="L10" s="128">
        <f>IF($A$25=$A$102, AVERAGEIF('Mining Employment Monthly'!$B$2:$SU$2,'Employment Calendar Year'!L$7,'Mining Employment Monthly'!$B46:$SU46),AVERAGEIF('Mining Employment Monthly'!$B$2:$SU$2,'Employment Calendar Year'!L$7,'Mining Employment Monthly'!$B125:$SU125))</f>
        <v>1019.9166666666666</v>
      </c>
      <c r="M10" s="128">
        <f>IF($A$25=$A$102, AVERAGEIF('Mining Employment Monthly'!$B$2:$SU$2,'Employment Calendar Year'!M$7,'Mining Employment Monthly'!$B46:$SU46),AVERAGEIF('Mining Employment Monthly'!$B$2:$SU$2,'Employment Calendar Year'!M$7,'Mining Employment Monthly'!$B125:$SU125))</f>
        <v>799.66666666666663</v>
      </c>
      <c r="N10" s="128">
        <f>IF($A$25=$A$102, AVERAGEIF('Mining Employment Monthly'!$B$2:$SU$2,'Employment Calendar Year'!N$7,'Mining Employment Monthly'!$B46:$SU46),AVERAGEIF('Mining Employment Monthly'!$B$2:$SU$2,'Employment Calendar Year'!N$7,'Mining Employment Monthly'!$B125:$SU125))</f>
        <v>458.25</v>
      </c>
      <c r="O10" s="128">
        <f>IF($A$25=$A$102, AVERAGEIF('Mining Employment Monthly'!$B$2:$SU$2,'Employment Calendar Year'!O$7,'Mining Employment Monthly'!$B46:$SU46),AVERAGEIF('Mining Employment Monthly'!$B$2:$SU$2,'Employment Calendar Year'!O$7,'Mining Employment Monthly'!$B125:$SU125))</f>
        <v>443.08333333333331</v>
      </c>
      <c r="P10" s="128">
        <f>IF($A$25=$A$102, AVERAGEIF('Mining Employment Monthly'!$B$2:$SU$2,'Employment Calendar Year'!P$7,'Mining Employment Monthly'!$B46:$SU46),AVERAGEIF('Mining Employment Monthly'!$B$2:$SU$2,'Employment Calendar Year'!P$7,'Mining Employment Monthly'!$B125:$SU125))</f>
        <v>896.58333333333337</v>
      </c>
      <c r="Q10" s="128">
        <f>IF($A$25=$A$102, AVERAGEIF('Mining Employment Monthly'!$B$2:$SU$2,'Employment Calendar Year'!Q$7,'Mining Employment Monthly'!$B46:$SU46),AVERAGEIF('Mining Employment Monthly'!$B$2:$SU$2,'Employment Calendar Year'!Q$7,'Mining Employment Monthly'!$B125:$SU125))</f>
        <v>1035.3333333333333</v>
      </c>
      <c r="R10" s="282">
        <f>IF($A$25=$A$102, AVERAGEIF('Mining Employment Monthly'!$B$2:$SU$2,'Employment Calendar Year'!R$7,'Mining Employment Monthly'!$B46:$SU46),AVERAGEIF('Mining Employment Monthly'!$B$2:$SU$2,'Employment Calendar Year'!R$7,'Mining Employment Monthly'!$B125:$SU125))</f>
        <v>1107.5</v>
      </c>
      <c r="S10" s="282">
        <f>IF($A$25=$A$102, AVERAGEIF('Mining Employment Monthly'!$B$2:$SU$2,'Employment Calendar Year'!S$7,'Mining Employment Monthly'!$B46:$SU46),AVERAGEIF('Mining Employment Monthly'!$B$2:$SU$2,'Employment Calendar Year'!S$7,'Mining Employment Monthly'!$B125:$SU125))</f>
        <v>1107.6666666666667</v>
      </c>
      <c r="T10" s="282">
        <f>IF($A$25=$A$102, AVERAGEIF('Mining Employment Monthly'!$B$2:$SU$2,'Employment Calendar Year'!T$7,'Mining Employment Monthly'!$B46:$SU46),AVERAGEIF('Mining Employment Monthly'!$B$2:$SU$2,'Employment Calendar Year'!T$7,'Mining Employment Monthly'!$B125:$SU125))</f>
        <v>1174.1666666666667</v>
      </c>
      <c r="U10" s="282">
        <f>IF($A$25=$A$102, AVERAGEIF('Mining Employment Monthly'!$B$2:$SU$2,'Employment Calendar Year'!U$7,'Mining Employment Monthly'!$B46:$SU46),AVERAGEIF('Mining Employment Monthly'!$B$2:$SU$2,'Employment Calendar Year'!U$7,'Mining Employment Monthly'!$B125:$SU125))</f>
        <v>1239.25</v>
      </c>
      <c r="V10" s="283">
        <f>IF($A$25=$A$102, AVERAGEIF('Mining Employment Monthly'!$B$2:$SU$2,'Employment Calendar Year'!V$7,'Mining Employment Monthly'!$B46:$SU46),AVERAGEIF('Mining Employment Monthly'!$B$2:$SU$2,'Employment Calendar Year'!V$7,'Mining Employment Monthly'!$B125:$SU125))</f>
        <v>1100.8333333333333</v>
      </c>
      <c r="W10" s="43"/>
    </row>
    <row r="11" spans="1:191" s="55" customFormat="1">
      <c r="A11" s="49" t="s">
        <v>69</v>
      </c>
      <c r="B11" s="130"/>
      <c r="C11" s="170">
        <f>IF($A$25=$A$102, AVERAGEIF('Mining Employment Monthly'!$B$2:$SU$2,'Employment Calendar Year'!C$7,'Mining Employment Monthly'!$B47:$SU47),AVERAGEIF('Mining Employment Monthly'!$B$2:$SU$2,'Employment Calendar Year'!C$7,'Mining Employment Monthly'!$B126:$SU126))</f>
        <v>692.33333333333337</v>
      </c>
      <c r="D11" s="170">
        <f>IF($A$25=$A$102, AVERAGEIF('Mining Employment Monthly'!$B$2:$SU$2,'Employment Calendar Year'!D$7,'Mining Employment Monthly'!$B47:$SU47),AVERAGEIF('Mining Employment Monthly'!$B$2:$SU$2,'Employment Calendar Year'!D$7,'Mining Employment Monthly'!$B126:$SU126))</f>
        <v>406.33333333333331</v>
      </c>
      <c r="E11" s="170">
        <f>IF($A$25=$A$102, AVERAGEIF('Mining Employment Monthly'!$B$2:$SU$2,'Employment Calendar Year'!E$7,'Mining Employment Monthly'!$B47:$SU47),AVERAGEIF('Mining Employment Monthly'!$B$2:$SU$2,'Employment Calendar Year'!E$7,'Mining Employment Monthly'!$B126:$SU126))</f>
        <v>304.25</v>
      </c>
      <c r="F11" s="170">
        <f>IF($A$25=$A$102, AVERAGEIF('Mining Employment Monthly'!$B$2:$SU$2,'Employment Calendar Year'!F$7,'Mining Employment Monthly'!$B47:$SU47),AVERAGEIF('Mining Employment Monthly'!$B$2:$SU$2,'Employment Calendar Year'!F$7,'Mining Employment Monthly'!$B126:$SU126))</f>
        <v>302.83333333333331</v>
      </c>
      <c r="G11" s="170">
        <f>IF($A$25=$A$102, AVERAGEIF('Mining Employment Monthly'!$B$2:$SU$2,'Employment Calendar Year'!G$7,'Mining Employment Monthly'!$B47:$SU47),AVERAGEIF('Mining Employment Monthly'!$B$2:$SU$2,'Employment Calendar Year'!G$7,'Mining Employment Monthly'!$B126:$SU126))</f>
        <v>342.08333333333331</v>
      </c>
      <c r="H11" s="170">
        <f>IF($A$25=$A$102, AVERAGEIF('Mining Employment Monthly'!$B$2:$SU$2,'Employment Calendar Year'!H$7,'Mining Employment Monthly'!$B47:$SU47),AVERAGEIF('Mining Employment Monthly'!$B$2:$SU$2,'Employment Calendar Year'!H$7,'Mining Employment Monthly'!$B126:$SU126))</f>
        <v>416.91666666666669</v>
      </c>
      <c r="I11" s="170">
        <f>IF($A$25=$A$102, AVERAGEIF('Mining Employment Monthly'!$B$2:$SU$2,'Employment Calendar Year'!I$7,'Mining Employment Monthly'!$B47:$SU47),AVERAGEIF('Mining Employment Monthly'!$B$2:$SU$2,'Employment Calendar Year'!I$7,'Mining Employment Monthly'!$B126:$SU126))</f>
        <v>523.25</v>
      </c>
      <c r="J11" s="170">
        <f>IF($A$25=$A$102, AVERAGEIF('Mining Employment Monthly'!$B$2:$SU$2,'Employment Calendar Year'!J$7,'Mining Employment Monthly'!$B47:$SU47),AVERAGEIF('Mining Employment Monthly'!$B$2:$SU$2,'Employment Calendar Year'!J$7,'Mining Employment Monthly'!$B126:$SU126))</f>
        <v>601.25</v>
      </c>
      <c r="K11" s="170">
        <f>IF($A$25=$A$102, AVERAGEIF('Mining Employment Monthly'!$B$2:$SU$2,'Employment Calendar Year'!K$7,'Mining Employment Monthly'!$B47:$SU47),AVERAGEIF('Mining Employment Monthly'!$B$2:$SU$2,'Employment Calendar Year'!K$7,'Mining Employment Monthly'!$B126:$SU126))</f>
        <v>569.58333333333337</v>
      </c>
      <c r="L11" s="170">
        <f>IF($A$25=$A$102, AVERAGEIF('Mining Employment Monthly'!$B$2:$SU$2,'Employment Calendar Year'!L$7,'Mining Employment Monthly'!$B47:$SU47),AVERAGEIF('Mining Employment Monthly'!$B$2:$SU$2,'Employment Calendar Year'!L$7,'Mining Employment Monthly'!$B126:$SU126))</f>
        <v>655.58333333333337</v>
      </c>
      <c r="M11" s="170">
        <f>IF($A$25=$A$102, AVERAGEIF('Mining Employment Monthly'!$B$2:$SU$2,'Employment Calendar Year'!M$7,'Mining Employment Monthly'!$B47:$SU47),AVERAGEIF('Mining Employment Monthly'!$B$2:$SU$2,'Employment Calendar Year'!M$7,'Mining Employment Monthly'!$B126:$SU126))</f>
        <v>786.66666666666663</v>
      </c>
      <c r="N11" s="170">
        <f>IF($A$25=$A$102, AVERAGEIF('Mining Employment Monthly'!$B$2:$SU$2,'Employment Calendar Year'!N$7,'Mining Employment Monthly'!$B47:$SU47),AVERAGEIF('Mining Employment Monthly'!$B$2:$SU$2,'Employment Calendar Year'!N$7,'Mining Employment Monthly'!$B126:$SU126))</f>
        <v>961.83333333333337</v>
      </c>
      <c r="O11" s="170">
        <f>IF($A$25=$A$102, AVERAGEIF('Mining Employment Monthly'!$B$2:$SU$2,'Employment Calendar Year'!O$7,'Mining Employment Monthly'!$B47:$SU47),AVERAGEIF('Mining Employment Monthly'!$B$2:$SU$2,'Employment Calendar Year'!O$7,'Mining Employment Monthly'!$B126:$SU126))</f>
        <v>935.08333333333337</v>
      </c>
      <c r="P11" s="170">
        <f>IF($A$25=$A$102, AVERAGEIF('Mining Employment Monthly'!$B$2:$SU$2,'Employment Calendar Year'!P$7,'Mining Employment Monthly'!$B47:$SU47),AVERAGEIF('Mining Employment Monthly'!$B$2:$SU$2,'Employment Calendar Year'!P$7,'Mining Employment Monthly'!$B126:$SU126))</f>
        <v>1317.0833333333333</v>
      </c>
      <c r="Q11" s="170">
        <f>IF($A$25=$A$102, AVERAGEIF('Mining Employment Monthly'!$B$2:$SU$2,'Employment Calendar Year'!Q$7,'Mining Employment Monthly'!$B47:$SU47),AVERAGEIF('Mining Employment Monthly'!$B$2:$SU$2,'Employment Calendar Year'!Q$7,'Mining Employment Monthly'!$B126:$SU126))</f>
        <v>1450.3333333333333</v>
      </c>
      <c r="R11" s="233">
        <f>IF($A$25=$A$102, AVERAGEIF('Mining Employment Monthly'!$B$2:$SU$2,'Employment Calendar Year'!R$7,'Mining Employment Monthly'!$B47:$SU47),AVERAGEIF('Mining Employment Monthly'!$B$2:$SU$2,'Employment Calendar Year'!R$7,'Mining Employment Monthly'!$B126:$SU126))</f>
        <v>1977.4166666666667</v>
      </c>
      <c r="S11" s="233">
        <f>IF($A$25=$A$102, AVERAGEIF('Mining Employment Monthly'!$B$2:$SU$2,'Employment Calendar Year'!S$7,'Mining Employment Monthly'!$B47:$SU47),AVERAGEIF('Mining Employment Monthly'!$B$2:$SU$2,'Employment Calendar Year'!S$7,'Mining Employment Monthly'!$B126:$SU126))</f>
        <v>2621.9166666666665</v>
      </c>
      <c r="T11" s="233">
        <f>IF($A$25=$A$102, AVERAGEIF('Mining Employment Monthly'!$B$2:$SU$2,'Employment Calendar Year'!T$7,'Mining Employment Monthly'!$B47:$SU47),AVERAGEIF('Mining Employment Monthly'!$B$2:$SU$2,'Employment Calendar Year'!T$7,'Mining Employment Monthly'!$B126:$SU126))</f>
        <v>2655.5</v>
      </c>
      <c r="U11" s="233">
        <f>IF($A$25=$A$102, AVERAGEIF('Mining Employment Monthly'!$B$2:$SU$2,'Employment Calendar Year'!U$7,'Mining Employment Monthly'!$B47:$SU47),AVERAGEIF('Mining Employment Monthly'!$B$2:$SU$2,'Employment Calendar Year'!U$7,'Mining Employment Monthly'!$B126:$SU126))</f>
        <v>2732</v>
      </c>
      <c r="V11" s="131">
        <f>IF($A$25=$A$102, AVERAGEIF('Mining Employment Monthly'!$B$2:$SU$2,'Employment Calendar Year'!V$7,'Mining Employment Monthly'!$B47:$SU47),AVERAGEIF('Mining Employment Monthly'!$B$2:$SU$2,'Employment Calendar Year'!V$7,'Mining Employment Monthly'!$B126:$SU126))</f>
        <v>2614.3333333333335</v>
      </c>
      <c r="W11" s="43"/>
    </row>
    <row r="12" spans="1:191" s="55" customFormat="1">
      <c r="A12" s="49" t="s">
        <v>45</v>
      </c>
      <c r="B12" s="129"/>
      <c r="C12" s="128">
        <f>IF($A$25=$A$102, AVERAGEIF('Mining Employment Monthly'!$B$2:$SU$2,'Employment Calendar Year'!C$7,'Mining Employment Monthly'!$B48:$SU48),AVERAGEIF('Mining Employment Monthly'!$B$2:$SU$2,'Employment Calendar Year'!C$7,'Mining Employment Monthly'!$B127:$SU127))</f>
        <v>1009</v>
      </c>
      <c r="D12" s="128">
        <f>IF($A$25=$A$102, AVERAGEIF('Mining Employment Monthly'!$B$2:$SU$2,'Employment Calendar Year'!D$7,'Mining Employment Monthly'!$B48:$SU48),AVERAGEIF('Mining Employment Monthly'!$B$2:$SU$2,'Employment Calendar Year'!D$7,'Mining Employment Monthly'!$B127:$SU127))</f>
        <v>1100.6666666666667</v>
      </c>
      <c r="E12" s="128">
        <f>IF($A$25=$A$102, AVERAGEIF('Mining Employment Monthly'!$B$2:$SU$2,'Employment Calendar Year'!E$7,'Mining Employment Monthly'!$B48:$SU48),AVERAGEIF('Mining Employment Monthly'!$B$2:$SU$2,'Employment Calendar Year'!E$7,'Mining Employment Monthly'!$B127:$SU127))</f>
        <v>1093.75</v>
      </c>
      <c r="F12" s="128">
        <f>IF($A$25=$A$102, AVERAGEIF('Mining Employment Monthly'!$B$2:$SU$2,'Employment Calendar Year'!F$7,'Mining Employment Monthly'!$B48:$SU48),AVERAGEIF('Mining Employment Monthly'!$B$2:$SU$2,'Employment Calendar Year'!F$7,'Mining Employment Monthly'!$B127:$SU127))</f>
        <v>1397.1666666666667</v>
      </c>
      <c r="G12" s="128">
        <f>IF($A$25=$A$102, AVERAGEIF('Mining Employment Monthly'!$B$2:$SU$2,'Employment Calendar Year'!G$7,'Mining Employment Monthly'!$B48:$SU48),AVERAGEIF('Mining Employment Monthly'!$B$2:$SU$2,'Employment Calendar Year'!G$7,'Mining Employment Monthly'!$B127:$SU127))</f>
        <v>1478.1666666666667</v>
      </c>
      <c r="H12" s="128">
        <f>IF($A$25=$A$102, AVERAGEIF('Mining Employment Monthly'!$B$2:$SU$2,'Employment Calendar Year'!H$7,'Mining Employment Monthly'!$B48:$SU48),AVERAGEIF('Mining Employment Monthly'!$B$2:$SU$2,'Employment Calendar Year'!H$7,'Mining Employment Monthly'!$B127:$SU127))</f>
        <v>1616.1666666666667</v>
      </c>
      <c r="I12" s="128">
        <f>IF($A$25=$A$102, AVERAGEIF('Mining Employment Monthly'!$B$2:$SU$2,'Employment Calendar Year'!I$7,'Mining Employment Monthly'!$B48:$SU48),AVERAGEIF('Mining Employment Monthly'!$B$2:$SU$2,'Employment Calendar Year'!I$7,'Mining Employment Monthly'!$B127:$SU127))</f>
        <v>1863.75</v>
      </c>
      <c r="J12" s="128">
        <f>IF($A$25=$A$102, AVERAGEIF('Mining Employment Monthly'!$B$2:$SU$2,'Employment Calendar Year'!J$7,'Mining Employment Monthly'!$B48:$SU48),AVERAGEIF('Mining Employment Monthly'!$B$2:$SU$2,'Employment Calendar Year'!J$7,'Mining Employment Monthly'!$B127:$SU127))</f>
        <v>2217.9166666666665</v>
      </c>
      <c r="K12" s="128">
        <f>IF($A$25=$A$102, AVERAGEIF('Mining Employment Monthly'!$B$2:$SU$2,'Employment Calendar Year'!K$7,'Mining Employment Monthly'!$B48:$SU48),AVERAGEIF('Mining Employment Monthly'!$B$2:$SU$2,'Employment Calendar Year'!K$7,'Mining Employment Monthly'!$B127:$SU127))</f>
        <v>1377.75</v>
      </c>
      <c r="L12" s="128">
        <f>IF($A$25=$A$102, AVERAGEIF('Mining Employment Monthly'!$B$2:$SU$2,'Employment Calendar Year'!L$7,'Mining Employment Monthly'!$B48:$SU48),AVERAGEIF('Mining Employment Monthly'!$B$2:$SU$2,'Employment Calendar Year'!L$7,'Mining Employment Monthly'!$B127:$SU127))</f>
        <v>1502.9166666666667</v>
      </c>
      <c r="M12" s="128">
        <f>IF($A$25=$A$102, AVERAGEIF('Mining Employment Monthly'!$B$2:$SU$2,'Employment Calendar Year'!M$7,'Mining Employment Monthly'!$B48:$SU48),AVERAGEIF('Mining Employment Monthly'!$B$2:$SU$2,'Employment Calendar Year'!M$7,'Mining Employment Monthly'!$B127:$SU127))</f>
        <v>1942.5</v>
      </c>
      <c r="N12" s="128">
        <f>IF($A$25=$A$102, AVERAGEIF('Mining Employment Monthly'!$B$2:$SU$2,'Employment Calendar Year'!N$7,'Mining Employment Monthly'!$B48:$SU48),AVERAGEIF('Mining Employment Monthly'!$B$2:$SU$2,'Employment Calendar Year'!N$7,'Mining Employment Monthly'!$B127:$SU127))</f>
        <v>2457.5</v>
      </c>
      <c r="O12" s="128">
        <f>IF($A$25=$A$102, AVERAGEIF('Mining Employment Monthly'!$B$2:$SU$2,'Employment Calendar Year'!O$7,'Mining Employment Monthly'!$B48:$SU48),AVERAGEIF('Mining Employment Monthly'!$B$2:$SU$2,'Employment Calendar Year'!O$7,'Mining Employment Monthly'!$B127:$SU127))</f>
        <v>1906</v>
      </c>
      <c r="P12" s="128">
        <f>IF($A$25=$A$102, AVERAGEIF('Mining Employment Monthly'!$B$2:$SU$2,'Employment Calendar Year'!P$7,'Mining Employment Monthly'!$B48:$SU48),AVERAGEIF('Mining Employment Monthly'!$B$2:$SU$2,'Employment Calendar Year'!P$7,'Mining Employment Monthly'!$B127:$SU127))</f>
        <v>1513.25</v>
      </c>
      <c r="Q12" s="128">
        <f>IF($A$25=$A$102, AVERAGEIF('Mining Employment Monthly'!$B$2:$SU$2,'Employment Calendar Year'!Q$7,'Mining Employment Monthly'!$B48:$SU48),AVERAGEIF('Mining Employment Monthly'!$B$2:$SU$2,'Employment Calendar Year'!Q$7,'Mining Employment Monthly'!$B127:$SU127))</f>
        <v>1193.9166666666667</v>
      </c>
      <c r="R12" s="282">
        <f>IF($A$25=$A$102, AVERAGEIF('Mining Employment Monthly'!$B$2:$SU$2,'Employment Calendar Year'!R$7,'Mining Employment Monthly'!$B48:$SU48),AVERAGEIF('Mining Employment Monthly'!$B$2:$SU$2,'Employment Calendar Year'!R$7,'Mining Employment Monthly'!$B127:$SU127))</f>
        <v>873</v>
      </c>
      <c r="S12" s="282">
        <f>IF($A$25=$A$102, AVERAGEIF('Mining Employment Monthly'!$B$2:$SU$2,'Employment Calendar Year'!S$7,'Mining Employment Monthly'!$B48:$SU48),AVERAGEIF('Mining Employment Monthly'!$B$2:$SU$2,'Employment Calendar Year'!S$7,'Mining Employment Monthly'!$B127:$SU127))</f>
        <v>817.25</v>
      </c>
      <c r="T12" s="282">
        <f>IF($A$25=$A$102, AVERAGEIF('Mining Employment Monthly'!$B$2:$SU$2,'Employment Calendar Year'!T$7,'Mining Employment Monthly'!$B48:$SU48),AVERAGEIF('Mining Employment Monthly'!$B$2:$SU$2,'Employment Calendar Year'!T$7,'Mining Employment Monthly'!$B127:$SU127))</f>
        <v>867.08333333333337</v>
      </c>
      <c r="U12" s="282">
        <f>IF($A$25=$A$102, AVERAGEIF('Mining Employment Monthly'!$B$2:$SU$2,'Employment Calendar Year'!U$7,'Mining Employment Monthly'!$B48:$SU48),AVERAGEIF('Mining Employment Monthly'!$B$2:$SU$2,'Employment Calendar Year'!U$7,'Mining Employment Monthly'!$B127:$SU127))</f>
        <v>827.33333333333337</v>
      </c>
      <c r="V12" s="283">
        <f>IF($A$25=$A$102, AVERAGEIF('Mining Employment Monthly'!$B$2:$SU$2,'Employment Calendar Year'!V$7,'Mining Employment Monthly'!$B48:$SU48),AVERAGEIF('Mining Employment Monthly'!$B$2:$SU$2,'Employment Calendar Year'!V$7,'Mining Employment Monthly'!$B127:$SU127))</f>
        <v>359.66666666666669</v>
      </c>
      <c r="W12" s="43"/>
    </row>
    <row r="13" spans="1:191" s="55" customFormat="1">
      <c r="A13" s="49" t="s">
        <v>8</v>
      </c>
      <c r="B13" s="130"/>
      <c r="C13" s="170">
        <f>IF($A$25=$A$102, AVERAGEIF('Mining Employment Monthly'!$B$2:$SU$2,'Employment Calendar Year'!C$7,'Mining Employment Monthly'!$B49:$SU49),AVERAGEIF('Mining Employment Monthly'!$B$2:$SU$2,'Employment Calendar Year'!C$7,'Mining Employment Monthly'!$B128:$SU128))</f>
        <v>12230.75</v>
      </c>
      <c r="D13" s="170">
        <f>IF($A$25=$A$102, AVERAGEIF('Mining Employment Monthly'!$B$2:$SU$2,'Employment Calendar Year'!D$7,'Mining Employment Monthly'!$B49:$SU49),AVERAGEIF('Mining Employment Monthly'!$B$2:$SU$2,'Employment Calendar Year'!D$7,'Mining Employment Monthly'!$B128:$SU128))</f>
        <v>12766</v>
      </c>
      <c r="E13" s="170">
        <f>IF($A$25=$A$102, AVERAGEIF('Mining Employment Monthly'!$B$2:$SU$2,'Employment Calendar Year'!E$7,'Mining Employment Monthly'!$B49:$SU49),AVERAGEIF('Mining Employment Monthly'!$B$2:$SU$2,'Employment Calendar Year'!E$7,'Mining Employment Monthly'!$B128:$SU128))</f>
        <v>12877.333333333334</v>
      </c>
      <c r="F13" s="170">
        <f>IF($A$25=$A$102, AVERAGEIF('Mining Employment Monthly'!$B$2:$SU$2,'Employment Calendar Year'!F$7,'Mining Employment Monthly'!$B49:$SU49),AVERAGEIF('Mining Employment Monthly'!$B$2:$SU$2,'Employment Calendar Year'!F$7,'Mining Employment Monthly'!$B128:$SU128))</f>
        <v>13154.666666666666</v>
      </c>
      <c r="G13" s="170">
        <f>IF($A$25=$A$102, AVERAGEIF('Mining Employment Monthly'!$B$2:$SU$2,'Employment Calendar Year'!G$7,'Mining Employment Monthly'!$B49:$SU49),AVERAGEIF('Mining Employment Monthly'!$B$2:$SU$2,'Employment Calendar Year'!G$7,'Mining Employment Monthly'!$B128:$SU128))</f>
        <v>12202.583333333334</v>
      </c>
      <c r="H13" s="170">
        <f>IF($A$25=$A$102, AVERAGEIF('Mining Employment Monthly'!$B$2:$SU$2,'Employment Calendar Year'!H$7,'Mining Employment Monthly'!$B49:$SU49),AVERAGEIF('Mining Employment Monthly'!$B$2:$SU$2,'Employment Calendar Year'!H$7,'Mining Employment Monthly'!$B128:$SU128))</f>
        <v>12338.916666666666</v>
      </c>
      <c r="I13" s="170">
        <f>IF($A$25=$A$102, AVERAGEIF('Mining Employment Monthly'!$B$2:$SU$2,'Employment Calendar Year'!I$7,'Mining Employment Monthly'!$B49:$SU49),AVERAGEIF('Mining Employment Monthly'!$B$2:$SU$2,'Employment Calendar Year'!I$7,'Mining Employment Monthly'!$B128:$SU128))</f>
        <v>13740.416666666666</v>
      </c>
      <c r="J13" s="170">
        <f>IF($A$25=$A$102, AVERAGEIF('Mining Employment Monthly'!$B$2:$SU$2,'Employment Calendar Year'!J$7,'Mining Employment Monthly'!$B49:$SU49),AVERAGEIF('Mining Employment Monthly'!$B$2:$SU$2,'Employment Calendar Year'!J$7,'Mining Employment Monthly'!$B128:$SU128))</f>
        <v>14494</v>
      </c>
      <c r="K13" s="170">
        <f>IF($A$25=$A$102, AVERAGEIF('Mining Employment Monthly'!$B$2:$SU$2,'Employment Calendar Year'!K$7,'Mining Employment Monthly'!$B49:$SU49),AVERAGEIF('Mining Employment Monthly'!$B$2:$SU$2,'Employment Calendar Year'!K$7,'Mining Employment Monthly'!$B128:$SU128))</f>
        <v>16601.833333333332</v>
      </c>
      <c r="L13" s="170">
        <f>IF($A$25=$A$102, AVERAGEIF('Mining Employment Monthly'!$B$2:$SU$2,'Employment Calendar Year'!L$7,'Mining Employment Monthly'!$B49:$SU49),AVERAGEIF('Mining Employment Monthly'!$B$2:$SU$2,'Employment Calendar Year'!L$7,'Mining Employment Monthly'!$B128:$SU128))</f>
        <v>17884.333333333332</v>
      </c>
      <c r="M13" s="170">
        <f>IF($A$25=$A$102, AVERAGEIF('Mining Employment Monthly'!$B$2:$SU$2,'Employment Calendar Year'!M$7,'Mining Employment Monthly'!$B49:$SU49),AVERAGEIF('Mining Employment Monthly'!$B$2:$SU$2,'Employment Calendar Year'!M$7,'Mining Employment Monthly'!$B128:$SU128))</f>
        <v>20660.25</v>
      </c>
      <c r="N13" s="170">
        <f>IF($A$25=$A$102, AVERAGEIF('Mining Employment Monthly'!$B$2:$SU$2,'Employment Calendar Year'!N$7,'Mining Employment Monthly'!$B49:$SU49),AVERAGEIF('Mining Employment Monthly'!$B$2:$SU$2,'Employment Calendar Year'!N$7,'Mining Employment Monthly'!$B128:$SU128))</f>
        <v>22790.416666666668</v>
      </c>
      <c r="O13" s="170">
        <f>IF($A$25=$A$102, AVERAGEIF('Mining Employment Monthly'!$B$2:$SU$2,'Employment Calendar Year'!O$7,'Mining Employment Monthly'!$B49:$SU49),AVERAGEIF('Mining Employment Monthly'!$B$2:$SU$2,'Employment Calendar Year'!O$7,'Mining Employment Monthly'!$B128:$SU128))</f>
        <v>20567.25</v>
      </c>
      <c r="P13" s="170">
        <f>IF($A$25=$A$102, AVERAGEIF('Mining Employment Monthly'!$B$2:$SU$2,'Employment Calendar Year'!P$7,'Mining Employment Monthly'!$B49:$SU49),AVERAGEIF('Mining Employment Monthly'!$B$2:$SU$2,'Employment Calendar Year'!P$7,'Mining Employment Monthly'!$B128:$SU128))</f>
        <v>18356.083333333332</v>
      </c>
      <c r="Q13" s="170">
        <f>IF($A$25=$A$102, AVERAGEIF('Mining Employment Monthly'!$B$2:$SU$2,'Employment Calendar Year'!Q$7,'Mining Employment Monthly'!$B49:$SU49),AVERAGEIF('Mining Employment Monthly'!$B$2:$SU$2,'Employment Calendar Year'!Q$7,'Mining Employment Monthly'!$B128:$SU128))</f>
        <v>21372.75</v>
      </c>
      <c r="R13" s="233">
        <f>IF($A$25=$A$102, AVERAGEIF('Mining Employment Monthly'!$B$2:$SU$2,'Employment Calendar Year'!R$7,'Mining Employment Monthly'!$B49:$SU49),AVERAGEIF('Mining Employment Monthly'!$B$2:$SU$2,'Employment Calendar Year'!R$7,'Mining Employment Monthly'!$B128:$SU128))</f>
        <v>25488.166666666668</v>
      </c>
      <c r="S13" s="233">
        <f>IF($A$25=$A$102, AVERAGEIF('Mining Employment Monthly'!$B$2:$SU$2,'Employment Calendar Year'!S$7,'Mining Employment Monthly'!$B49:$SU49),AVERAGEIF('Mining Employment Monthly'!$B$2:$SU$2,'Employment Calendar Year'!S$7,'Mining Employment Monthly'!$B128:$SU128))</f>
        <v>28206.083333333332</v>
      </c>
      <c r="T13" s="233">
        <f>IF($A$25=$A$102, AVERAGEIF('Mining Employment Monthly'!$B$2:$SU$2,'Employment Calendar Year'!T$7,'Mining Employment Monthly'!$B49:$SU49),AVERAGEIF('Mining Employment Monthly'!$B$2:$SU$2,'Employment Calendar Year'!T$7,'Mining Employment Monthly'!$B128:$SU128))</f>
        <v>30681.5</v>
      </c>
      <c r="U13" s="233">
        <f>IF($A$25=$A$102, AVERAGEIF('Mining Employment Monthly'!$B$2:$SU$2,'Employment Calendar Year'!U$7,'Mining Employment Monthly'!$B49:$SU49),AVERAGEIF('Mining Employment Monthly'!$B$2:$SU$2,'Employment Calendar Year'!U$7,'Mining Employment Monthly'!$B128:$SU128))</f>
        <v>31590.166666666668</v>
      </c>
      <c r="V13" s="131">
        <f>IF($A$25=$A$102, AVERAGEIF('Mining Employment Monthly'!$B$2:$SU$2,'Employment Calendar Year'!V$7,'Mining Employment Monthly'!$B49:$SU49),AVERAGEIF('Mining Employment Monthly'!$B$2:$SU$2,'Employment Calendar Year'!V$7,'Mining Employment Monthly'!$B128:$SU128))</f>
        <v>33155.333333333336</v>
      </c>
      <c r="W13" s="43"/>
    </row>
    <row r="14" spans="1:191" s="55" customFormat="1">
      <c r="A14" s="49" t="s">
        <v>53</v>
      </c>
      <c r="B14" s="130"/>
      <c r="C14" s="128">
        <f>IF($A$25=$A$102, AVERAGEIF('Mining Employment Monthly'!$B$2:$SU$2,'Employment Calendar Year'!C$7,'Mining Employment Monthly'!$B50:$SU50),AVERAGEIF('Mining Employment Monthly'!$B$2:$SU$2,'Employment Calendar Year'!C$7,'Mining Employment Monthly'!$B129:$SU129))</f>
        <v>8750.4166666666661</v>
      </c>
      <c r="D14" s="128">
        <f>IF($A$25=$A$102, AVERAGEIF('Mining Employment Monthly'!$B$2:$SU$2,'Employment Calendar Year'!D$7,'Mining Employment Monthly'!$B50:$SU50),AVERAGEIF('Mining Employment Monthly'!$B$2:$SU$2,'Employment Calendar Year'!D$7,'Mining Employment Monthly'!$B129:$SU129))</f>
        <v>9226.4166666666661</v>
      </c>
      <c r="E14" s="128">
        <f>IF($A$25=$A$102, AVERAGEIF('Mining Employment Monthly'!$B$2:$SU$2,'Employment Calendar Year'!E$7,'Mining Employment Monthly'!$B50:$SU50),AVERAGEIF('Mining Employment Monthly'!$B$2:$SU$2,'Employment Calendar Year'!E$7,'Mining Employment Monthly'!$B129:$SU129))</f>
        <v>10880.583333333334</v>
      </c>
      <c r="F14" s="128">
        <f>IF($A$25=$A$102, AVERAGEIF('Mining Employment Monthly'!$B$2:$SU$2,'Employment Calendar Year'!F$7,'Mining Employment Monthly'!$B50:$SU50),AVERAGEIF('Mining Employment Monthly'!$B$2:$SU$2,'Employment Calendar Year'!F$7,'Mining Employment Monthly'!$B129:$SU129))</f>
        <v>12178.166666666666</v>
      </c>
      <c r="G14" s="128">
        <f>IF($A$25=$A$102, AVERAGEIF('Mining Employment Monthly'!$B$2:$SU$2,'Employment Calendar Year'!G$7,'Mining Employment Monthly'!$B50:$SU50),AVERAGEIF('Mining Employment Monthly'!$B$2:$SU$2,'Employment Calendar Year'!G$7,'Mining Employment Monthly'!$B129:$SU129))</f>
        <v>13245.416666666666</v>
      </c>
      <c r="H14" s="128">
        <f>IF($A$25=$A$102, AVERAGEIF('Mining Employment Monthly'!$B$2:$SU$2,'Employment Calendar Year'!H$7,'Mining Employment Monthly'!$B50:$SU50),AVERAGEIF('Mining Employment Monthly'!$B$2:$SU$2,'Employment Calendar Year'!H$7,'Mining Employment Monthly'!$B129:$SU129))</f>
        <v>15576.5</v>
      </c>
      <c r="I14" s="128">
        <f>IF($A$25=$A$102, AVERAGEIF('Mining Employment Monthly'!$B$2:$SU$2,'Employment Calendar Year'!I$7,'Mining Employment Monthly'!$B50:$SU50),AVERAGEIF('Mining Employment Monthly'!$B$2:$SU$2,'Employment Calendar Year'!I$7,'Mining Employment Monthly'!$B129:$SU129))</f>
        <v>17798.833333333332</v>
      </c>
      <c r="J14" s="128">
        <f>IF($A$25=$A$102, AVERAGEIF('Mining Employment Monthly'!$B$2:$SU$2,'Employment Calendar Year'!J$7,'Mining Employment Monthly'!$B50:$SU50),AVERAGEIF('Mining Employment Monthly'!$B$2:$SU$2,'Employment Calendar Year'!J$7,'Mining Employment Monthly'!$B129:$SU129))</f>
        <v>22354.083333333332</v>
      </c>
      <c r="K14" s="128">
        <f>IF($A$25=$A$102, AVERAGEIF('Mining Employment Monthly'!$B$2:$SU$2,'Employment Calendar Year'!K$7,'Mining Employment Monthly'!$B50:$SU50),AVERAGEIF('Mining Employment Monthly'!$B$2:$SU$2,'Employment Calendar Year'!K$7,'Mining Employment Monthly'!$B129:$SU129))</f>
        <v>25000.083333333332</v>
      </c>
      <c r="L14" s="128">
        <f>IF($A$25=$A$102, AVERAGEIF('Mining Employment Monthly'!$B$2:$SU$2,'Employment Calendar Year'!L$7,'Mining Employment Monthly'!$B50:$SU50),AVERAGEIF('Mining Employment Monthly'!$B$2:$SU$2,'Employment Calendar Year'!L$7,'Mining Employment Monthly'!$B129:$SU129))</f>
        <v>27510.75</v>
      </c>
      <c r="M14" s="128">
        <f>IF($A$25=$A$102, AVERAGEIF('Mining Employment Monthly'!$B$2:$SU$2,'Employment Calendar Year'!M$7,'Mining Employment Monthly'!$B50:$SU50),AVERAGEIF('Mining Employment Monthly'!$B$2:$SU$2,'Employment Calendar Year'!M$7,'Mining Employment Monthly'!$B129:$SU129))</f>
        <v>33522.166666666664</v>
      </c>
      <c r="N14" s="128">
        <f>IF($A$25=$A$102, AVERAGEIF('Mining Employment Monthly'!$B$2:$SU$2,'Employment Calendar Year'!N$7,'Mining Employment Monthly'!$B50:$SU50),AVERAGEIF('Mining Employment Monthly'!$B$2:$SU$2,'Employment Calendar Year'!N$7,'Mining Employment Monthly'!$B129:$SU129))</f>
        <v>49345.333333333336</v>
      </c>
      <c r="O14" s="128">
        <f>IF($A$25=$A$102, AVERAGEIF('Mining Employment Monthly'!$B$2:$SU$2,'Employment Calendar Year'!O$7,'Mining Employment Monthly'!$B50:$SU50),AVERAGEIF('Mining Employment Monthly'!$B$2:$SU$2,'Employment Calendar Year'!O$7,'Mining Employment Monthly'!$B129:$SU129))</f>
        <v>60292.416666666664</v>
      </c>
      <c r="P14" s="128">
        <f>IF($A$25=$A$102, AVERAGEIF('Mining Employment Monthly'!$B$2:$SU$2,'Employment Calendar Year'!P$7,'Mining Employment Monthly'!$B50:$SU50),AVERAGEIF('Mining Employment Monthly'!$B$2:$SU$2,'Employment Calendar Year'!P$7,'Mining Employment Monthly'!$B129:$SU129))</f>
        <v>61948.083333333336</v>
      </c>
      <c r="Q14" s="128">
        <f>IF($A$25=$A$102, AVERAGEIF('Mining Employment Monthly'!$B$2:$SU$2,'Employment Calendar Year'!Q$7,'Mining Employment Monthly'!$B50:$SU50),AVERAGEIF('Mining Employment Monthly'!$B$2:$SU$2,'Employment Calendar Year'!Q$7,'Mining Employment Monthly'!$B129:$SU129))</f>
        <v>54947.5</v>
      </c>
      <c r="R14" s="282">
        <f>IF($A$25=$A$102, AVERAGEIF('Mining Employment Monthly'!$B$2:$SU$2,'Employment Calendar Year'!R$7,'Mining Employment Monthly'!$B50:$SU50),AVERAGEIF('Mining Employment Monthly'!$B$2:$SU$2,'Employment Calendar Year'!R$7,'Mining Employment Monthly'!$B129:$SU129))</f>
        <v>52306</v>
      </c>
      <c r="S14" s="282">
        <f>IF($A$25=$A$102, AVERAGEIF('Mining Employment Monthly'!$B$2:$SU$2,'Employment Calendar Year'!S$7,'Mining Employment Monthly'!$B50:$SU50),AVERAGEIF('Mining Employment Monthly'!$B$2:$SU$2,'Employment Calendar Year'!S$7,'Mining Employment Monthly'!$B129:$SU129))</f>
        <v>53283</v>
      </c>
      <c r="T14" s="282">
        <f>IF($A$25=$A$102, AVERAGEIF('Mining Employment Monthly'!$B$2:$SU$2,'Employment Calendar Year'!T$7,'Mining Employment Monthly'!$B50:$SU50),AVERAGEIF('Mining Employment Monthly'!$B$2:$SU$2,'Employment Calendar Year'!T$7,'Mining Employment Monthly'!$B129:$SU129))</f>
        <v>56349.75</v>
      </c>
      <c r="U14" s="282">
        <f>IF($A$25=$A$102, AVERAGEIF('Mining Employment Monthly'!$B$2:$SU$2,'Employment Calendar Year'!U$7,'Mining Employment Monthly'!$B50:$SU50),AVERAGEIF('Mining Employment Monthly'!$B$2:$SU$2,'Employment Calendar Year'!U$7,'Mining Employment Monthly'!$B129:$SU129))</f>
        <v>64618.416666666664</v>
      </c>
      <c r="V14" s="283">
        <f>IF($A$25=$A$102, AVERAGEIF('Mining Employment Monthly'!$B$2:$SU$2,'Employment Calendar Year'!V$7,'Mining Employment Monthly'!$B50:$SU50),AVERAGEIF('Mining Employment Monthly'!$B$2:$SU$2,'Employment Calendar Year'!V$7,'Mining Employment Monthly'!$B129:$SU129))</f>
        <v>71856.5</v>
      </c>
      <c r="W14" s="43"/>
    </row>
    <row r="15" spans="1:191" s="55" customFormat="1">
      <c r="A15" s="49" t="s">
        <v>911</v>
      </c>
      <c r="B15" s="129"/>
      <c r="C15" s="170">
        <f>IF($A$25=$A$102, AVERAGEIF('Mining Employment Monthly'!$B$2:$SU$2,'Employment Calendar Year'!C$7,'Mining Employment Monthly'!$B51:$SU51),AVERAGEIF('Mining Employment Monthly'!$B$2:$SU$2,'Employment Calendar Year'!C$7,'Mining Employment Monthly'!$B130:$SU130))</f>
        <v>503.25</v>
      </c>
      <c r="D15" s="170">
        <f>IF($A$25=$A$102, AVERAGEIF('Mining Employment Monthly'!$B$2:$SU$2,'Employment Calendar Year'!D$7,'Mining Employment Monthly'!$B51:$SU51),AVERAGEIF('Mining Employment Monthly'!$B$2:$SU$2,'Employment Calendar Year'!D$7,'Mining Employment Monthly'!$B130:$SU130))</f>
        <v>508.16666666666669</v>
      </c>
      <c r="E15" s="170">
        <f>IF($A$25=$A$102, AVERAGEIF('Mining Employment Monthly'!$B$2:$SU$2,'Employment Calendar Year'!E$7,'Mining Employment Monthly'!$B51:$SU51),AVERAGEIF('Mining Employment Monthly'!$B$2:$SU$2,'Employment Calendar Year'!E$7,'Mining Employment Monthly'!$B130:$SU130))</f>
        <v>450.5</v>
      </c>
      <c r="F15" s="170">
        <f>IF($A$25=$A$102, AVERAGEIF('Mining Employment Monthly'!$B$2:$SU$2,'Employment Calendar Year'!F$7,'Mining Employment Monthly'!$B51:$SU51),AVERAGEIF('Mining Employment Monthly'!$B$2:$SU$2,'Employment Calendar Year'!F$7,'Mining Employment Monthly'!$B130:$SU130))</f>
        <v>483.08333333333331</v>
      </c>
      <c r="G15" s="170">
        <f>IF($A$25=$A$102, AVERAGEIF('Mining Employment Monthly'!$B$2:$SU$2,'Employment Calendar Year'!G$7,'Mining Employment Monthly'!$B51:$SU51),AVERAGEIF('Mining Employment Monthly'!$B$2:$SU$2,'Employment Calendar Year'!G$7,'Mining Employment Monthly'!$B130:$SU130))</f>
        <v>572</v>
      </c>
      <c r="H15" s="170">
        <f>IF($A$25=$A$102, AVERAGEIF('Mining Employment Monthly'!$B$2:$SU$2,'Employment Calendar Year'!H$7,'Mining Employment Monthly'!$B51:$SU51),AVERAGEIF('Mining Employment Monthly'!$B$2:$SU$2,'Employment Calendar Year'!H$7,'Mining Employment Monthly'!$B130:$SU130))</f>
        <v>465</v>
      </c>
      <c r="I15" s="170">
        <f>IF($A$25=$A$102, AVERAGEIF('Mining Employment Monthly'!$B$2:$SU$2,'Employment Calendar Year'!I$7,'Mining Employment Monthly'!$B51:$SU51),AVERAGEIF('Mining Employment Monthly'!$B$2:$SU$2,'Employment Calendar Year'!I$7,'Mining Employment Monthly'!$B130:$SU130))</f>
        <v>430.83333333333331</v>
      </c>
      <c r="J15" s="170">
        <f>IF($A$25=$A$102, AVERAGEIF('Mining Employment Monthly'!$B$2:$SU$2,'Employment Calendar Year'!J$7,'Mining Employment Monthly'!$B51:$SU51),AVERAGEIF('Mining Employment Monthly'!$B$2:$SU$2,'Employment Calendar Year'!J$7,'Mining Employment Monthly'!$B130:$SU130))</f>
        <v>464.5</v>
      </c>
      <c r="K15" s="170">
        <f>IF($A$25=$A$102, AVERAGEIF('Mining Employment Monthly'!$B$2:$SU$2,'Employment Calendar Year'!K$7,'Mining Employment Monthly'!$B51:$SU51),AVERAGEIF('Mining Employment Monthly'!$B$2:$SU$2,'Employment Calendar Year'!K$7,'Mining Employment Monthly'!$B130:$SU130))</f>
        <v>265.25</v>
      </c>
      <c r="L15" s="170">
        <f>IF($A$25=$A$102, AVERAGEIF('Mining Employment Monthly'!$B$2:$SU$2,'Employment Calendar Year'!L$7,'Mining Employment Monthly'!$B51:$SU51),AVERAGEIF('Mining Employment Monthly'!$B$2:$SU$2,'Employment Calendar Year'!L$7,'Mining Employment Monthly'!$B130:$SU130))</f>
        <v>463</v>
      </c>
      <c r="M15" s="170">
        <f>IF($A$25=$A$102, AVERAGEIF('Mining Employment Monthly'!$B$2:$SU$2,'Employment Calendar Year'!M$7,'Mining Employment Monthly'!$B51:$SU51),AVERAGEIF('Mining Employment Monthly'!$B$2:$SU$2,'Employment Calendar Year'!M$7,'Mining Employment Monthly'!$B130:$SU130))</f>
        <v>607.91666666666663</v>
      </c>
      <c r="N15" s="170">
        <f>IF($A$25=$A$102, AVERAGEIF('Mining Employment Monthly'!$B$2:$SU$2,'Employment Calendar Year'!N$7,'Mining Employment Monthly'!$B51:$SU51),AVERAGEIF('Mining Employment Monthly'!$B$2:$SU$2,'Employment Calendar Year'!N$7,'Mining Employment Monthly'!$B130:$SU130))</f>
        <v>573.25</v>
      </c>
      <c r="O15" s="170">
        <f>IF($A$25=$A$102, AVERAGEIF('Mining Employment Monthly'!$B$2:$SU$2,'Employment Calendar Year'!O$7,'Mining Employment Monthly'!$B51:$SU51),AVERAGEIF('Mining Employment Monthly'!$B$2:$SU$2,'Employment Calendar Year'!O$7,'Mining Employment Monthly'!$B130:$SU130))</f>
        <v>389.41666666666669</v>
      </c>
      <c r="P15" s="170">
        <f>IF($A$25=$A$102, AVERAGEIF('Mining Employment Monthly'!$B$2:$SU$2,'Employment Calendar Year'!P$7,'Mining Employment Monthly'!$B51:$SU51),AVERAGEIF('Mining Employment Monthly'!$B$2:$SU$2,'Employment Calendar Year'!P$7,'Mining Employment Monthly'!$B130:$SU130))</f>
        <v>454.91666666666669</v>
      </c>
      <c r="Q15" s="170">
        <f>IF($A$25=$A$102, AVERAGEIF('Mining Employment Monthly'!$B$2:$SU$2,'Employment Calendar Year'!Q$7,'Mining Employment Monthly'!$B51:$SU51),AVERAGEIF('Mining Employment Monthly'!$B$2:$SU$2,'Employment Calendar Year'!Q$7,'Mining Employment Monthly'!$B130:$SU130))</f>
        <v>667.83333333333337</v>
      </c>
      <c r="R15" s="233">
        <f>IF($A$25=$A$102, AVERAGEIF('Mining Employment Monthly'!$B$2:$SU$2,'Employment Calendar Year'!R$7,'Mining Employment Monthly'!$B51:$SU51),AVERAGEIF('Mining Employment Monthly'!$B$2:$SU$2,'Employment Calendar Year'!R$7,'Mining Employment Monthly'!$B130:$SU130))</f>
        <v>865.41666666666663</v>
      </c>
      <c r="S15" s="233">
        <f>IF($A$25=$A$102, AVERAGEIF('Mining Employment Monthly'!$B$2:$SU$2,'Employment Calendar Year'!S$7,'Mining Employment Monthly'!$B51:$SU51),AVERAGEIF('Mining Employment Monthly'!$B$2:$SU$2,'Employment Calendar Year'!S$7,'Mining Employment Monthly'!$B130:$SU130))</f>
        <v>1569.1666666666667</v>
      </c>
      <c r="T15" s="233">
        <f>IF($A$25=$A$102, AVERAGEIF('Mining Employment Monthly'!$B$2:$SU$2,'Employment Calendar Year'!T$7,'Mining Employment Monthly'!$B51:$SU51),AVERAGEIF('Mining Employment Monthly'!$B$2:$SU$2,'Employment Calendar Year'!T$7,'Mining Employment Monthly'!$B130:$SU130))</f>
        <v>3137.3333333333335</v>
      </c>
      <c r="U15" s="233">
        <f>IF($A$25=$A$102, AVERAGEIF('Mining Employment Monthly'!$B$2:$SU$2,'Employment Calendar Year'!U$7,'Mining Employment Monthly'!$B51:$SU51),AVERAGEIF('Mining Employment Monthly'!$B$2:$SU$2,'Employment Calendar Year'!U$7,'Mining Employment Monthly'!$B130:$SU130))</f>
        <v>3566</v>
      </c>
      <c r="V15" s="131">
        <f>IF($A$25=$A$102, AVERAGEIF('Mining Employment Monthly'!$B$2:$SU$2,'Employment Calendar Year'!V$7,'Mining Employment Monthly'!$B51:$SU51),AVERAGEIF('Mining Employment Monthly'!$B$2:$SU$2,'Employment Calendar Year'!V$7,'Mining Employment Monthly'!$B130:$SU130))</f>
        <v>2386.0833333333335</v>
      </c>
      <c r="W15" s="43"/>
    </row>
    <row r="16" spans="1:191" s="55" customFormat="1">
      <c r="A16" s="49" t="s">
        <v>191</v>
      </c>
      <c r="B16" s="129"/>
      <c r="C16" s="128">
        <f>IF($A$25=$A$102, AVERAGEIF('Mining Employment Monthly'!$B$2:$SU$2,'Employment Calendar Year'!C$7,'Mining Employment Monthly'!$B52:$SU52),AVERAGEIF('Mining Employment Monthly'!$B$2:$SU$2,'Employment Calendar Year'!C$7,'Mining Employment Monthly'!$B131:$SU131))</f>
        <v>2259.75</v>
      </c>
      <c r="D16" s="128">
        <f>IF($A$25=$A$102, AVERAGEIF('Mining Employment Monthly'!$B$2:$SU$2,'Employment Calendar Year'!D$7,'Mining Employment Monthly'!$B52:$SU52),AVERAGEIF('Mining Employment Monthly'!$B$2:$SU$2,'Employment Calendar Year'!D$7,'Mining Employment Monthly'!$B131:$SU131))</f>
        <v>2141.5</v>
      </c>
      <c r="E16" s="128">
        <f>IF($A$25=$A$102, AVERAGEIF('Mining Employment Monthly'!$B$2:$SU$2,'Employment Calendar Year'!E$7,'Mining Employment Monthly'!$B52:$SU52),AVERAGEIF('Mining Employment Monthly'!$B$2:$SU$2,'Employment Calendar Year'!E$7,'Mining Employment Monthly'!$B131:$SU131))</f>
        <v>2209.5</v>
      </c>
      <c r="F16" s="128">
        <f>IF($A$25=$A$102, AVERAGEIF('Mining Employment Monthly'!$B$2:$SU$2,'Employment Calendar Year'!F$7,'Mining Employment Monthly'!$B52:$SU52),AVERAGEIF('Mining Employment Monthly'!$B$2:$SU$2,'Employment Calendar Year'!F$7,'Mining Employment Monthly'!$B131:$SU131))</f>
        <v>2408.8333333333335</v>
      </c>
      <c r="G16" s="128">
        <f>IF($A$25=$A$102, AVERAGEIF('Mining Employment Monthly'!$B$2:$SU$2,'Employment Calendar Year'!G$7,'Mining Employment Monthly'!$B52:$SU52),AVERAGEIF('Mining Employment Monthly'!$B$2:$SU$2,'Employment Calendar Year'!G$7,'Mining Employment Monthly'!$B131:$SU131))</f>
        <v>2628.25</v>
      </c>
      <c r="H16" s="128">
        <f>IF($A$25=$A$102, AVERAGEIF('Mining Employment Monthly'!$B$2:$SU$2,'Employment Calendar Year'!H$7,'Mining Employment Monthly'!$B52:$SU52),AVERAGEIF('Mining Employment Monthly'!$B$2:$SU$2,'Employment Calendar Year'!H$7,'Mining Employment Monthly'!$B131:$SU131))</f>
        <v>2900.9166666666665</v>
      </c>
      <c r="I16" s="128">
        <f>IF($A$25=$A$102, AVERAGEIF('Mining Employment Monthly'!$B$2:$SU$2,'Employment Calendar Year'!I$7,'Mining Employment Monthly'!$B52:$SU52),AVERAGEIF('Mining Employment Monthly'!$B$2:$SU$2,'Employment Calendar Year'!I$7,'Mining Employment Monthly'!$B131:$SU131))</f>
        <v>2839.9166666666665</v>
      </c>
      <c r="J16" s="128">
        <f>IF($A$25=$A$102, AVERAGEIF('Mining Employment Monthly'!$B$2:$SU$2,'Employment Calendar Year'!J$7,'Mining Employment Monthly'!$B52:$SU52),AVERAGEIF('Mining Employment Monthly'!$B$2:$SU$2,'Employment Calendar Year'!J$7,'Mining Employment Monthly'!$B131:$SU131))</f>
        <v>2688.25</v>
      </c>
      <c r="K16" s="128">
        <f>IF($A$25=$A$102, AVERAGEIF('Mining Employment Monthly'!$B$2:$SU$2,'Employment Calendar Year'!K$7,'Mining Employment Monthly'!$B52:$SU52),AVERAGEIF('Mining Employment Monthly'!$B$2:$SU$2,'Employment Calendar Year'!K$7,'Mining Employment Monthly'!$B131:$SU131))</f>
        <v>2093.0833333333335</v>
      </c>
      <c r="L16" s="128">
        <f>IF($A$25=$A$102, AVERAGEIF('Mining Employment Monthly'!$B$2:$SU$2,'Employment Calendar Year'!L$7,'Mining Employment Monthly'!$B52:$SU52),AVERAGEIF('Mining Employment Monthly'!$B$2:$SU$2,'Employment Calendar Year'!L$7,'Mining Employment Monthly'!$B131:$SU131))</f>
        <v>1783.4166666666667</v>
      </c>
      <c r="M16" s="128">
        <f>IF($A$25=$A$102, AVERAGEIF('Mining Employment Monthly'!$B$2:$SU$2,'Employment Calendar Year'!M$7,'Mining Employment Monthly'!$B52:$SU52),AVERAGEIF('Mining Employment Monthly'!$B$2:$SU$2,'Employment Calendar Year'!M$7,'Mining Employment Monthly'!$B131:$SU131))</f>
        <v>2019.5</v>
      </c>
      <c r="N16" s="128">
        <f>IF($A$25=$A$102, AVERAGEIF('Mining Employment Monthly'!$B$2:$SU$2,'Employment Calendar Year'!N$7,'Mining Employment Monthly'!$B52:$SU52),AVERAGEIF('Mining Employment Monthly'!$B$2:$SU$2,'Employment Calendar Year'!N$7,'Mining Employment Monthly'!$B131:$SU131))</f>
        <v>2202.5833333333335</v>
      </c>
      <c r="O16" s="128">
        <f>IF($A$25=$A$102, AVERAGEIF('Mining Employment Monthly'!$B$2:$SU$2,'Employment Calendar Year'!O$7,'Mining Employment Monthly'!$B52:$SU52),AVERAGEIF('Mining Employment Monthly'!$B$2:$SU$2,'Employment Calendar Year'!O$7,'Mining Employment Monthly'!$B131:$SU131))</f>
        <v>2500.5</v>
      </c>
      <c r="P16" s="128">
        <f>IF($A$25=$A$102, AVERAGEIF('Mining Employment Monthly'!$B$2:$SU$2,'Employment Calendar Year'!P$7,'Mining Employment Monthly'!$B52:$SU52),AVERAGEIF('Mining Employment Monthly'!$B$2:$SU$2,'Employment Calendar Year'!P$7,'Mining Employment Monthly'!$B131:$SU131))</f>
        <v>2237.25</v>
      </c>
      <c r="Q16" s="128">
        <f>IF($A$25=$A$102, AVERAGEIF('Mining Employment Monthly'!$B$2:$SU$2,'Employment Calendar Year'!Q$7,'Mining Employment Monthly'!$B52:$SU52),AVERAGEIF('Mining Employment Monthly'!$B$2:$SU$2,'Employment Calendar Year'!Q$7,'Mining Employment Monthly'!$B131:$SU131))</f>
        <v>2301.25</v>
      </c>
      <c r="R16" s="282">
        <f>IF($A$25=$A$102, AVERAGEIF('Mining Employment Monthly'!$B$2:$SU$2,'Employment Calendar Year'!R$7,'Mining Employment Monthly'!$B52:$SU52),AVERAGEIF('Mining Employment Monthly'!$B$2:$SU$2,'Employment Calendar Year'!R$7,'Mining Employment Monthly'!$B131:$SU131))</f>
        <v>2396.5</v>
      </c>
      <c r="S16" s="282">
        <f>IF($A$25=$A$102, AVERAGEIF('Mining Employment Monthly'!$B$2:$SU$2,'Employment Calendar Year'!S$7,'Mining Employment Monthly'!$B52:$SU52),AVERAGEIF('Mining Employment Monthly'!$B$2:$SU$2,'Employment Calendar Year'!S$7,'Mining Employment Monthly'!$B131:$SU131))</f>
        <v>2277.3333333333335</v>
      </c>
      <c r="T16" s="282">
        <f>IF($A$25=$A$102, AVERAGEIF('Mining Employment Monthly'!$B$2:$SU$2,'Employment Calendar Year'!T$7,'Mining Employment Monthly'!$B52:$SU52),AVERAGEIF('Mining Employment Monthly'!$B$2:$SU$2,'Employment Calendar Year'!T$7,'Mining Employment Monthly'!$B131:$SU131))</f>
        <v>2772.8333333333335</v>
      </c>
      <c r="U16" s="282">
        <f>IF($A$25=$A$102, AVERAGEIF('Mining Employment Monthly'!$B$2:$SU$2,'Employment Calendar Year'!U$7,'Mining Employment Monthly'!$B52:$SU52),AVERAGEIF('Mining Employment Monthly'!$B$2:$SU$2,'Employment Calendar Year'!U$7,'Mining Employment Monthly'!$B131:$SU131))</f>
        <v>3086</v>
      </c>
      <c r="V16" s="283">
        <f>IF($A$25=$A$102, AVERAGEIF('Mining Employment Monthly'!$B$2:$SU$2,'Employment Calendar Year'!V$7,'Mining Employment Monthly'!$B52:$SU52),AVERAGEIF('Mining Employment Monthly'!$B$2:$SU$2,'Employment Calendar Year'!V$7,'Mining Employment Monthly'!$B131:$SU131))</f>
        <v>2990.8333333333335</v>
      </c>
      <c r="W16" s="43"/>
    </row>
    <row r="17" spans="1:23" s="55" customFormat="1">
      <c r="A17" s="49" t="s">
        <v>10</v>
      </c>
      <c r="B17" s="129"/>
      <c r="C17" s="170">
        <f>IF($A$25=$A$102, AVERAGEIF('Mining Employment Monthly'!$B$2:$SU$2,'Employment Calendar Year'!C$7,'Mining Employment Monthly'!$B53:$SU53),AVERAGEIF('Mining Employment Monthly'!$B$2:$SU$2,'Employment Calendar Year'!C$7,'Mining Employment Monthly'!$B132:$SU132))</f>
        <v>5304.083333333333</v>
      </c>
      <c r="D17" s="170">
        <f>IF($A$25=$A$102, AVERAGEIF('Mining Employment Monthly'!$B$2:$SU$2,'Employment Calendar Year'!D$7,'Mining Employment Monthly'!$B53:$SU53),AVERAGEIF('Mining Employment Monthly'!$B$2:$SU$2,'Employment Calendar Year'!D$7,'Mining Employment Monthly'!$B132:$SU132))</f>
        <v>4814.833333333333</v>
      </c>
      <c r="E17" s="170">
        <f>IF($A$25=$A$102, AVERAGEIF('Mining Employment Monthly'!$B$2:$SU$2,'Employment Calendar Year'!E$7,'Mining Employment Monthly'!$B53:$SU53),AVERAGEIF('Mining Employment Monthly'!$B$2:$SU$2,'Employment Calendar Year'!E$7,'Mining Employment Monthly'!$B132:$SU132))</f>
        <v>5648.166666666667</v>
      </c>
      <c r="F17" s="170">
        <f>IF($A$25=$A$102, AVERAGEIF('Mining Employment Monthly'!$B$2:$SU$2,'Employment Calendar Year'!F$7,'Mining Employment Monthly'!$B53:$SU53),AVERAGEIF('Mining Employment Monthly'!$B$2:$SU$2,'Employment Calendar Year'!F$7,'Mining Employment Monthly'!$B132:$SU132))</f>
        <v>6649.75</v>
      </c>
      <c r="G17" s="170">
        <f>IF($A$25=$A$102, AVERAGEIF('Mining Employment Monthly'!$B$2:$SU$2,'Employment Calendar Year'!G$7,'Mining Employment Monthly'!$B53:$SU53),AVERAGEIF('Mining Employment Monthly'!$B$2:$SU$2,'Employment Calendar Year'!G$7,'Mining Employment Monthly'!$B132:$SU132))</f>
        <v>9383.5</v>
      </c>
      <c r="H17" s="170">
        <f>IF($A$25=$A$102, AVERAGEIF('Mining Employment Monthly'!$B$2:$SU$2,'Employment Calendar Year'!H$7,'Mining Employment Monthly'!$B53:$SU53),AVERAGEIF('Mining Employment Monthly'!$B$2:$SU$2,'Employment Calendar Year'!H$7,'Mining Employment Monthly'!$B132:$SU132))</f>
        <v>10645.083333333334</v>
      </c>
      <c r="I17" s="170">
        <f>IF($A$25=$A$102, AVERAGEIF('Mining Employment Monthly'!$B$2:$SU$2,'Employment Calendar Year'!I$7,'Mining Employment Monthly'!$B53:$SU53),AVERAGEIF('Mining Employment Monthly'!$B$2:$SU$2,'Employment Calendar Year'!I$7,'Mining Employment Monthly'!$B132:$SU132))</f>
        <v>12539.916666666666</v>
      </c>
      <c r="J17" s="170">
        <f>IF($A$25=$A$102, AVERAGEIF('Mining Employment Monthly'!$B$2:$SU$2,'Employment Calendar Year'!J$7,'Mining Employment Monthly'!$B53:$SU53),AVERAGEIF('Mining Employment Monthly'!$B$2:$SU$2,'Employment Calendar Year'!J$7,'Mining Employment Monthly'!$B132:$SU132))</f>
        <v>12685.083333333334</v>
      </c>
      <c r="K17" s="170">
        <f>IF($A$25=$A$102, AVERAGEIF('Mining Employment Monthly'!$B$2:$SU$2,'Employment Calendar Year'!K$7,'Mining Employment Monthly'!$B53:$SU53),AVERAGEIF('Mining Employment Monthly'!$B$2:$SU$2,'Employment Calendar Year'!K$7,'Mining Employment Monthly'!$B132:$SU132))</f>
        <v>7345.916666666667</v>
      </c>
      <c r="L17" s="170">
        <f>IF($A$25=$A$102, AVERAGEIF('Mining Employment Monthly'!$B$2:$SU$2,'Employment Calendar Year'!L$7,'Mining Employment Monthly'!$B53:$SU53),AVERAGEIF('Mining Employment Monthly'!$B$2:$SU$2,'Employment Calendar Year'!L$7,'Mining Employment Monthly'!$B132:$SU132))</f>
        <v>7972.666666666667</v>
      </c>
      <c r="M17" s="170">
        <f>IF($A$25=$A$102, AVERAGEIF('Mining Employment Monthly'!$B$2:$SU$2,'Employment Calendar Year'!M$7,'Mining Employment Monthly'!$B53:$SU53),AVERAGEIF('Mining Employment Monthly'!$B$2:$SU$2,'Employment Calendar Year'!M$7,'Mining Employment Monthly'!$B132:$SU132))</f>
        <v>9403.3333333333339</v>
      </c>
      <c r="N17" s="170">
        <f>IF($A$25=$A$102, AVERAGEIF('Mining Employment Monthly'!$B$2:$SU$2,'Employment Calendar Year'!N$7,'Mining Employment Monthly'!$B53:$SU53),AVERAGEIF('Mining Employment Monthly'!$B$2:$SU$2,'Employment Calendar Year'!N$7,'Mining Employment Monthly'!$B132:$SU132))</f>
        <v>8136.416666666667</v>
      </c>
      <c r="O17" s="170">
        <f>IF($A$25=$A$102, AVERAGEIF('Mining Employment Monthly'!$B$2:$SU$2,'Employment Calendar Year'!O$7,'Mining Employment Monthly'!$B53:$SU53),AVERAGEIF('Mining Employment Monthly'!$B$2:$SU$2,'Employment Calendar Year'!O$7,'Mining Employment Monthly'!$B132:$SU132))</f>
        <v>6994.333333333333</v>
      </c>
      <c r="P17" s="170">
        <f>IF($A$25=$A$102, AVERAGEIF('Mining Employment Monthly'!$B$2:$SU$2,'Employment Calendar Year'!P$7,'Mining Employment Monthly'!$B53:$SU53),AVERAGEIF('Mining Employment Monthly'!$B$2:$SU$2,'Employment Calendar Year'!P$7,'Mining Employment Monthly'!$B132:$SU132))</f>
        <v>6156.166666666667</v>
      </c>
      <c r="Q17" s="170">
        <f>IF($A$25=$A$102, AVERAGEIF('Mining Employment Monthly'!$B$2:$SU$2,'Employment Calendar Year'!Q$7,'Mining Employment Monthly'!$B53:$SU53),AVERAGEIF('Mining Employment Monthly'!$B$2:$SU$2,'Employment Calendar Year'!Q$7,'Mining Employment Monthly'!$B132:$SU132))</f>
        <v>6042.333333333333</v>
      </c>
      <c r="R17" s="233">
        <f>IF($A$25=$A$102, AVERAGEIF('Mining Employment Monthly'!$B$2:$SU$2,'Employment Calendar Year'!R$7,'Mining Employment Monthly'!$B53:$SU53),AVERAGEIF('Mining Employment Monthly'!$B$2:$SU$2,'Employment Calendar Year'!R$7,'Mining Employment Monthly'!$B132:$SU132))</f>
        <v>5451.916666666667</v>
      </c>
      <c r="S17" s="233">
        <f>IF($A$25=$A$102, AVERAGEIF('Mining Employment Monthly'!$B$2:$SU$2,'Employment Calendar Year'!S$7,'Mining Employment Monthly'!$B53:$SU53),AVERAGEIF('Mining Employment Monthly'!$B$2:$SU$2,'Employment Calendar Year'!S$7,'Mining Employment Monthly'!$B132:$SU132))</f>
        <v>5927.916666666667</v>
      </c>
      <c r="T17" s="233">
        <f>IF($A$25=$A$102, AVERAGEIF('Mining Employment Monthly'!$B$2:$SU$2,'Employment Calendar Year'!T$7,'Mining Employment Monthly'!$B53:$SU53),AVERAGEIF('Mining Employment Monthly'!$B$2:$SU$2,'Employment Calendar Year'!T$7,'Mining Employment Monthly'!$B132:$SU132))</f>
        <v>5575.166666666667</v>
      </c>
      <c r="U17" s="233">
        <f>IF($A$25=$A$102, AVERAGEIF('Mining Employment Monthly'!$B$2:$SU$2,'Employment Calendar Year'!U$7,'Mining Employment Monthly'!$B53:$SU53),AVERAGEIF('Mining Employment Monthly'!$B$2:$SU$2,'Employment Calendar Year'!U$7,'Mining Employment Monthly'!$B132:$SU132))</f>
        <v>6923.5</v>
      </c>
      <c r="V17" s="131">
        <f>IF($A$25=$A$102, AVERAGEIF('Mining Employment Monthly'!$B$2:$SU$2,'Employment Calendar Year'!V$7,'Mining Employment Monthly'!$B53:$SU53),AVERAGEIF('Mining Employment Monthly'!$B$2:$SU$2,'Employment Calendar Year'!V$7,'Mining Employment Monthly'!$B132:$SU132))</f>
        <v>7293.916666666667</v>
      </c>
      <c r="W17" s="43"/>
    </row>
    <row r="18" spans="1:23" s="55" customFormat="1">
      <c r="A18" s="49" t="s">
        <v>63</v>
      </c>
      <c r="B18" s="130"/>
      <c r="C18" s="128">
        <f>IF($A$25=$A$102, AVERAGEIF('Mining Employment Monthly'!$B$2:$SU$2,'Employment Calendar Year'!C$7,'Mining Employment Monthly'!$B54:$SU54),AVERAGEIF('Mining Employment Monthly'!$B$2:$SU$2,'Employment Calendar Year'!C$7,'Mining Employment Monthly'!$B133:$SU133))</f>
        <v>711.16666666666663</v>
      </c>
      <c r="D18" s="128">
        <f>IF($A$25=$A$102, AVERAGEIF('Mining Employment Monthly'!$B$2:$SU$2,'Employment Calendar Year'!D$7,'Mining Employment Monthly'!$B54:$SU54),AVERAGEIF('Mining Employment Monthly'!$B$2:$SU$2,'Employment Calendar Year'!D$7,'Mining Employment Monthly'!$B133:$SU133))</f>
        <v>662.83333333333337</v>
      </c>
      <c r="E18" s="128">
        <f>IF($A$25=$A$102, AVERAGEIF('Mining Employment Monthly'!$B$2:$SU$2,'Employment Calendar Year'!E$7,'Mining Employment Monthly'!$B54:$SU54),AVERAGEIF('Mining Employment Monthly'!$B$2:$SU$2,'Employment Calendar Year'!E$7,'Mining Employment Monthly'!$B133:$SU133))</f>
        <v>664</v>
      </c>
      <c r="F18" s="128">
        <f>IF($A$25=$A$102, AVERAGEIF('Mining Employment Monthly'!$B$2:$SU$2,'Employment Calendar Year'!F$7,'Mining Employment Monthly'!$B54:$SU54),AVERAGEIF('Mining Employment Monthly'!$B$2:$SU$2,'Employment Calendar Year'!F$7,'Mining Employment Monthly'!$B133:$SU133))</f>
        <v>684.41666666666663</v>
      </c>
      <c r="G18" s="128">
        <f>IF($A$25=$A$102, AVERAGEIF('Mining Employment Monthly'!$B$2:$SU$2,'Employment Calendar Year'!G$7,'Mining Employment Monthly'!$B54:$SU54),AVERAGEIF('Mining Employment Monthly'!$B$2:$SU$2,'Employment Calendar Year'!G$7,'Mining Employment Monthly'!$B133:$SU133))</f>
        <v>852.58333333333337</v>
      </c>
      <c r="H18" s="128">
        <f>IF($A$25=$A$102, AVERAGEIF('Mining Employment Monthly'!$B$2:$SU$2,'Employment Calendar Year'!H$7,'Mining Employment Monthly'!$B54:$SU54),AVERAGEIF('Mining Employment Monthly'!$B$2:$SU$2,'Employment Calendar Year'!H$7,'Mining Employment Monthly'!$B133:$SU133))</f>
        <v>838.08333333333337</v>
      </c>
      <c r="I18" s="128">
        <f>IF($A$25=$A$102, AVERAGEIF('Mining Employment Monthly'!$B$2:$SU$2,'Employment Calendar Year'!I$7,'Mining Employment Monthly'!$B54:$SU54),AVERAGEIF('Mining Employment Monthly'!$B$2:$SU$2,'Employment Calendar Year'!I$7,'Mining Employment Monthly'!$B133:$SU133))</f>
        <v>864.75</v>
      </c>
      <c r="J18" s="128">
        <f>IF($A$25=$A$102, AVERAGEIF('Mining Employment Monthly'!$B$2:$SU$2,'Employment Calendar Year'!J$7,'Mining Employment Monthly'!$B54:$SU54),AVERAGEIF('Mining Employment Monthly'!$B$2:$SU$2,'Employment Calendar Year'!J$7,'Mining Employment Monthly'!$B133:$SU133))</f>
        <v>866.5</v>
      </c>
      <c r="K18" s="128">
        <f>IF($A$25=$A$102, AVERAGEIF('Mining Employment Monthly'!$B$2:$SU$2,'Employment Calendar Year'!K$7,'Mining Employment Monthly'!$B54:$SU54),AVERAGEIF('Mining Employment Monthly'!$B$2:$SU$2,'Employment Calendar Year'!K$7,'Mining Employment Monthly'!$B133:$SU133))</f>
        <v>923.16666666666663</v>
      </c>
      <c r="L18" s="128">
        <f>IF($A$25=$A$102, AVERAGEIF('Mining Employment Monthly'!$B$2:$SU$2,'Employment Calendar Year'!L$7,'Mining Employment Monthly'!$B54:$SU54),AVERAGEIF('Mining Employment Monthly'!$B$2:$SU$2,'Employment Calendar Year'!L$7,'Mining Employment Monthly'!$B133:$SU133))</f>
        <v>1292.4166666666667</v>
      </c>
      <c r="M18" s="128">
        <f>IF($A$25=$A$102, AVERAGEIF('Mining Employment Monthly'!$B$2:$SU$2,'Employment Calendar Year'!M$7,'Mining Employment Monthly'!$B54:$SU54),AVERAGEIF('Mining Employment Monthly'!$B$2:$SU$2,'Employment Calendar Year'!M$7,'Mining Employment Monthly'!$B133:$SU133))</f>
        <v>1069.9166666666667</v>
      </c>
      <c r="N18" s="128">
        <f>IF($A$25=$A$102, AVERAGEIF('Mining Employment Monthly'!$B$2:$SU$2,'Employment Calendar Year'!N$7,'Mining Employment Monthly'!$B54:$SU54),AVERAGEIF('Mining Employment Monthly'!$B$2:$SU$2,'Employment Calendar Year'!N$7,'Mining Employment Monthly'!$B133:$SU133))</f>
        <v>1119.6666666666667</v>
      </c>
      <c r="O18" s="128">
        <f>IF($A$25=$A$102, AVERAGEIF('Mining Employment Monthly'!$B$2:$SU$2,'Employment Calendar Year'!O$7,'Mining Employment Monthly'!$B54:$SU54),AVERAGEIF('Mining Employment Monthly'!$B$2:$SU$2,'Employment Calendar Year'!O$7,'Mining Employment Monthly'!$B133:$SU133))</f>
        <v>1164.8333333333333</v>
      </c>
      <c r="P18" s="128">
        <f>IF($A$25=$A$102, AVERAGEIF('Mining Employment Monthly'!$B$2:$SU$2,'Employment Calendar Year'!P$7,'Mining Employment Monthly'!$B54:$SU54),AVERAGEIF('Mining Employment Monthly'!$B$2:$SU$2,'Employment Calendar Year'!P$7,'Mining Employment Monthly'!$B133:$SU133))</f>
        <v>1011.8333333333334</v>
      </c>
      <c r="Q18" s="128">
        <f>IF($A$25=$A$102, AVERAGEIF('Mining Employment Monthly'!$B$2:$SU$2,'Employment Calendar Year'!Q$7,'Mining Employment Monthly'!$B54:$SU54),AVERAGEIF('Mining Employment Monthly'!$B$2:$SU$2,'Employment Calendar Year'!Q$7,'Mining Employment Monthly'!$B133:$SU133))</f>
        <v>909.16666666666663</v>
      </c>
      <c r="R18" s="282">
        <f>IF($A$25=$A$102, AVERAGEIF('Mining Employment Monthly'!$B$2:$SU$2,'Employment Calendar Year'!R$7,'Mining Employment Monthly'!$B54:$SU54),AVERAGEIF('Mining Employment Monthly'!$B$2:$SU$2,'Employment Calendar Year'!R$7,'Mining Employment Monthly'!$B133:$SU133))</f>
        <v>835.16666666666663</v>
      </c>
      <c r="S18" s="282">
        <f>IF($A$25=$A$102, AVERAGEIF('Mining Employment Monthly'!$B$2:$SU$2,'Employment Calendar Year'!S$7,'Mining Employment Monthly'!$B54:$SU54),AVERAGEIF('Mining Employment Monthly'!$B$2:$SU$2,'Employment Calendar Year'!S$7,'Mining Employment Monthly'!$B133:$SU133))</f>
        <v>892.08333333333337</v>
      </c>
      <c r="T18" s="282">
        <f>IF($A$25=$A$102, AVERAGEIF('Mining Employment Monthly'!$B$2:$SU$2,'Employment Calendar Year'!T$7,'Mining Employment Monthly'!$B54:$SU54),AVERAGEIF('Mining Employment Monthly'!$B$2:$SU$2,'Employment Calendar Year'!T$7,'Mining Employment Monthly'!$B133:$SU133))</f>
        <v>1022.1666666666666</v>
      </c>
      <c r="U18" s="282">
        <f>IF($A$25=$A$102, AVERAGEIF('Mining Employment Monthly'!$B$2:$SU$2,'Employment Calendar Year'!U$7,'Mining Employment Monthly'!$B54:$SU54),AVERAGEIF('Mining Employment Monthly'!$B$2:$SU$2,'Employment Calendar Year'!U$7,'Mining Employment Monthly'!$B133:$SU133))</f>
        <v>1078.25</v>
      </c>
      <c r="V18" s="283">
        <f>IF($A$25=$A$102, AVERAGEIF('Mining Employment Monthly'!$B$2:$SU$2,'Employment Calendar Year'!V$7,'Mining Employment Monthly'!$B54:$SU54),AVERAGEIF('Mining Employment Monthly'!$B$2:$SU$2,'Employment Calendar Year'!V$7,'Mining Employment Monthly'!$B133:$SU133))</f>
        <v>863.5</v>
      </c>
      <c r="W18" s="43"/>
    </row>
    <row r="19" spans="1:23" s="55" customFormat="1">
      <c r="A19" s="49" t="s">
        <v>48</v>
      </c>
      <c r="B19" s="130"/>
      <c r="C19" s="170">
        <f>IF($A$25=$A$102, AVERAGEIF('Mining Employment Monthly'!$B$2:$SU$2,'Employment Calendar Year'!C$7,'Mining Employment Monthly'!$B55:$SU55),AVERAGEIF('Mining Employment Monthly'!$B$2:$SU$2,'Employment Calendar Year'!C$7,'Mining Employment Monthly'!$B134:$SU134))</f>
        <v>1511.0833333333333</v>
      </c>
      <c r="D19" s="170">
        <f>IF($A$25=$A$102, AVERAGEIF('Mining Employment Monthly'!$B$2:$SU$2,'Employment Calendar Year'!D$7,'Mining Employment Monthly'!$B55:$SU55),AVERAGEIF('Mining Employment Monthly'!$B$2:$SU$2,'Employment Calendar Year'!D$7,'Mining Employment Monthly'!$B134:$SU134))</f>
        <v>1555.5</v>
      </c>
      <c r="E19" s="170">
        <f>IF($A$25=$A$102, AVERAGEIF('Mining Employment Monthly'!$B$2:$SU$2,'Employment Calendar Year'!E$7,'Mining Employment Monthly'!$B55:$SU55),AVERAGEIF('Mining Employment Monthly'!$B$2:$SU$2,'Employment Calendar Year'!E$7,'Mining Employment Monthly'!$B134:$SU134))</f>
        <v>1560.5</v>
      </c>
      <c r="F19" s="170">
        <f>IF($A$25=$A$102, AVERAGEIF('Mining Employment Monthly'!$B$2:$SU$2,'Employment Calendar Year'!F$7,'Mining Employment Monthly'!$B55:$SU55),AVERAGEIF('Mining Employment Monthly'!$B$2:$SU$2,'Employment Calendar Year'!F$7,'Mining Employment Monthly'!$B134:$SU134))</f>
        <v>1759.1666666666667</v>
      </c>
      <c r="G19" s="170">
        <f>IF($A$25=$A$102, AVERAGEIF('Mining Employment Monthly'!$B$2:$SU$2,'Employment Calendar Year'!G$7,'Mining Employment Monthly'!$B55:$SU55),AVERAGEIF('Mining Employment Monthly'!$B$2:$SU$2,'Employment Calendar Year'!G$7,'Mining Employment Monthly'!$B134:$SU134))</f>
        <v>1850.0833333333333</v>
      </c>
      <c r="H19" s="170">
        <f>IF($A$25=$A$102, AVERAGEIF('Mining Employment Monthly'!$B$2:$SU$2,'Employment Calendar Year'!H$7,'Mining Employment Monthly'!$B55:$SU55),AVERAGEIF('Mining Employment Monthly'!$B$2:$SU$2,'Employment Calendar Year'!H$7,'Mining Employment Monthly'!$B134:$SU134))</f>
        <v>1701.6666666666667</v>
      </c>
      <c r="I19" s="170">
        <f>IF($A$25=$A$102, AVERAGEIF('Mining Employment Monthly'!$B$2:$SU$2,'Employment Calendar Year'!I$7,'Mining Employment Monthly'!$B55:$SU55),AVERAGEIF('Mining Employment Monthly'!$B$2:$SU$2,'Employment Calendar Year'!I$7,'Mining Employment Monthly'!$B134:$SU134))</f>
        <v>1777.0833333333333</v>
      </c>
      <c r="J19" s="170">
        <f>IF($A$25=$A$102, AVERAGEIF('Mining Employment Monthly'!$B$2:$SU$2,'Employment Calendar Year'!J$7,'Mining Employment Monthly'!$B55:$SU55),AVERAGEIF('Mining Employment Monthly'!$B$2:$SU$2,'Employment Calendar Year'!J$7,'Mining Employment Monthly'!$B134:$SU134))</f>
        <v>2262.25</v>
      </c>
      <c r="K19" s="170">
        <f>IF($A$25=$A$102, AVERAGEIF('Mining Employment Monthly'!$B$2:$SU$2,'Employment Calendar Year'!K$7,'Mining Employment Monthly'!$B55:$SU55),AVERAGEIF('Mining Employment Monthly'!$B$2:$SU$2,'Employment Calendar Year'!K$7,'Mining Employment Monthly'!$B134:$SU134))</f>
        <v>2373.25</v>
      </c>
      <c r="L19" s="170">
        <f>IF($A$25=$A$102, AVERAGEIF('Mining Employment Monthly'!$B$2:$SU$2,'Employment Calendar Year'!L$7,'Mining Employment Monthly'!$B55:$SU55),AVERAGEIF('Mining Employment Monthly'!$B$2:$SU$2,'Employment Calendar Year'!L$7,'Mining Employment Monthly'!$B134:$SU134))</f>
        <v>2864</v>
      </c>
      <c r="M19" s="170">
        <f>IF($A$25=$A$102, AVERAGEIF('Mining Employment Monthly'!$B$2:$SU$2,'Employment Calendar Year'!M$7,'Mining Employment Monthly'!$B55:$SU55),AVERAGEIF('Mining Employment Monthly'!$B$2:$SU$2,'Employment Calendar Year'!M$7,'Mining Employment Monthly'!$B134:$SU134))</f>
        <v>3839.3333333333335</v>
      </c>
      <c r="N19" s="170">
        <f>IF($A$25=$A$102, AVERAGEIF('Mining Employment Monthly'!$B$2:$SU$2,'Employment Calendar Year'!N$7,'Mining Employment Monthly'!$B55:$SU55),AVERAGEIF('Mining Employment Monthly'!$B$2:$SU$2,'Employment Calendar Year'!N$7,'Mining Employment Monthly'!$B134:$SU134))</f>
        <v>3568.5833333333335</v>
      </c>
      <c r="O19" s="170">
        <f>IF($A$25=$A$102, AVERAGEIF('Mining Employment Monthly'!$B$2:$SU$2,'Employment Calendar Year'!O$7,'Mining Employment Monthly'!$B55:$SU55),AVERAGEIF('Mining Employment Monthly'!$B$2:$SU$2,'Employment Calendar Year'!O$7,'Mining Employment Monthly'!$B134:$SU134))</f>
        <v>3621.75</v>
      </c>
      <c r="P19" s="170">
        <f>IF($A$25=$A$102, AVERAGEIF('Mining Employment Monthly'!$B$2:$SU$2,'Employment Calendar Year'!P$7,'Mining Employment Monthly'!$B55:$SU55),AVERAGEIF('Mining Employment Monthly'!$B$2:$SU$2,'Employment Calendar Year'!P$7,'Mining Employment Monthly'!$B134:$SU134))</f>
        <v>3467.5833333333335</v>
      </c>
      <c r="Q19" s="170">
        <f>IF($A$25=$A$102, AVERAGEIF('Mining Employment Monthly'!$B$2:$SU$2,'Employment Calendar Year'!Q$7,'Mining Employment Monthly'!$B55:$SU55),AVERAGEIF('Mining Employment Monthly'!$B$2:$SU$2,'Employment Calendar Year'!Q$7,'Mining Employment Monthly'!$B134:$SU134))</f>
        <v>3014.6666666666665</v>
      </c>
      <c r="R19" s="233">
        <f>IF($A$25=$A$102, AVERAGEIF('Mining Employment Monthly'!$B$2:$SU$2,'Employment Calendar Year'!R$7,'Mining Employment Monthly'!$B55:$SU55),AVERAGEIF('Mining Employment Monthly'!$B$2:$SU$2,'Employment Calendar Year'!R$7,'Mining Employment Monthly'!$B134:$SU134))</f>
        <v>2641.6666666666665</v>
      </c>
      <c r="S19" s="233">
        <f>IF($A$25=$A$102, AVERAGEIF('Mining Employment Monthly'!$B$2:$SU$2,'Employment Calendar Year'!S$7,'Mining Employment Monthly'!$B55:$SU55),AVERAGEIF('Mining Employment Monthly'!$B$2:$SU$2,'Employment Calendar Year'!S$7,'Mining Employment Monthly'!$B134:$SU134))</f>
        <v>3553.25</v>
      </c>
      <c r="T19" s="233">
        <f>IF($A$25=$A$102, AVERAGEIF('Mining Employment Monthly'!$B$2:$SU$2,'Employment Calendar Year'!T$7,'Mining Employment Monthly'!$B55:$SU55),AVERAGEIF('Mining Employment Monthly'!$B$2:$SU$2,'Employment Calendar Year'!T$7,'Mining Employment Monthly'!$B134:$SU134))</f>
        <v>3827.3333333333335</v>
      </c>
      <c r="U19" s="233">
        <f>IF($A$25=$A$102, AVERAGEIF('Mining Employment Monthly'!$B$2:$SU$2,'Employment Calendar Year'!U$7,'Mining Employment Monthly'!$B55:$SU55),AVERAGEIF('Mining Employment Monthly'!$B$2:$SU$2,'Employment Calendar Year'!U$7,'Mining Employment Monthly'!$B134:$SU134))</f>
        <v>3749.0833333333335</v>
      </c>
      <c r="V19" s="131">
        <f>IF($A$25=$A$102, AVERAGEIF('Mining Employment Monthly'!$B$2:$SU$2,'Employment Calendar Year'!V$7,'Mining Employment Monthly'!$B55:$SU55),AVERAGEIF('Mining Employment Monthly'!$B$2:$SU$2,'Employment Calendar Year'!V$7,'Mining Employment Monthly'!$B134:$SU134))</f>
        <v>3763.4166666666665</v>
      </c>
      <c r="W19" s="43"/>
    </row>
    <row r="20" spans="1:23" s="55" customFormat="1">
      <c r="A20" s="49" t="s">
        <v>184</v>
      </c>
      <c r="B20" s="129"/>
      <c r="C20" s="128">
        <f>IF($A$25=$A$102, AVERAGEIF('Mining Employment Monthly'!$B$2:$SU$2,'Employment Calendar Year'!C$7,'Mining Employment Monthly'!$B84:$SU84),AVERAGEIF('Mining Employment Monthly'!$B$2:$SU$2,'Employment Calendar Year'!C$7,'Mining Employment Monthly'!$B162:$SU162))</f>
        <v>640.33333333333337</v>
      </c>
      <c r="D20" s="128">
        <f>IF($A$25=$A$102, AVERAGEIF('Mining Employment Monthly'!$B$2:$SU$2,'Employment Calendar Year'!D$7,'Mining Employment Monthly'!$B84:$SU84),AVERAGEIF('Mining Employment Monthly'!$B$2:$SU$2,'Employment Calendar Year'!D$7,'Mining Employment Monthly'!$B162:$SU162))</f>
        <v>524.33333333333337</v>
      </c>
      <c r="E20" s="128">
        <f>IF($A$25=$A$102, AVERAGEIF('Mining Employment Monthly'!$B$2:$SU$2,'Employment Calendar Year'!E$7,'Mining Employment Monthly'!$B84:$SU84),AVERAGEIF('Mining Employment Monthly'!$B$2:$SU$2,'Employment Calendar Year'!E$7,'Mining Employment Monthly'!$B162:$SU162))</f>
        <v>535.25</v>
      </c>
      <c r="F20" s="128">
        <f>IF($A$25=$A$102, AVERAGEIF('Mining Employment Monthly'!$B$2:$SU$2,'Employment Calendar Year'!F$7,'Mining Employment Monthly'!$B84:$SU84),AVERAGEIF('Mining Employment Monthly'!$B$2:$SU$2,'Employment Calendar Year'!F$7,'Mining Employment Monthly'!$B162:$SU162))</f>
        <v>643.33333333333337</v>
      </c>
      <c r="G20" s="128">
        <f>IF($A$25=$A$102, AVERAGEIF('Mining Employment Monthly'!$B$2:$SU$2,'Employment Calendar Year'!G$7,'Mining Employment Monthly'!$B84:$SU84),AVERAGEIF('Mining Employment Monthly'!$B$2:$SU$2,'Employment Calendar Year'!G$7,'Mining Employment Monthly'!$B162:$SU162))</f>
        <v>734.66666666666663</v>
      </c>
      <c r="H20" s="128">
        <f>IF($A$25=$A$102, AVERAGEIF('Mining Employment Monthly'!$B$2:$SU$2,'Employment Calendar Year'!H$7,'Mining Employment Monthly'!$B84:$SU84),AVERAGEIF('Mining Employment Monthly'!$B$2:$SU$2,'Employment Calendar Year'!H$7,'Mining Employment Monthly'!$B162:$SU162))</f>
        <v>917.5</v>
      </c>
      <c r="I20" s="128">
        <f>IF($A$25=$A$102, AVERAGEIF('Mining Employment Monthly'!$B$2:$SU$2,'Employment Calendar Year'!I$7,'Mining Employment Monthly'!$B84:$SU84),AVERAGEIF('Mining Employment Monthly'!$B$2:$SU$2,'Employment Calendar Year'!I$7,'Mining Employment Monthly'!$B162:$SU162))</f>
        <v>1470.8333333333333</v>
      </c>
      <c r="J20" s="128">
        <f>IF($A$25=$A$102, AVERAGEIF('Mining Employment Monthly'!$B$2:$SU$2,'Employment Calendar Year'!J$7,'Mining Employment Monthly'!$B84:$SU84),AVERAGEIF('Mining Employment Monthly'!$B$2:$SU$2,'Employment Calendar Year'!J$7,'Mining Employment Monthly'!$B162:$SU162))</f>
        <v>2295.9166666666665</v>
      </c>
      <c r="K20" s="128">
        <f>IF($A$25=$A$102, AVERAGEIF('Mining Employment Monthly'!$B$2:$SU$2,'Employment Calendar Year'!K$7,'Mining Employment Monthly'!$B84:$SU84),AVERAGEIF('Mining Employment Monthly'!$B$2:$SU$2,'Employment Calendar Year'!K$7,'Mining Employment Monthly'!$B162:$SU162))</f>
        <v>2354.5</v>
      </c>
      <c r="L20" s="128">
        <f>IF($A$25=$A$102, AVERAGEIF('Mining Employment Monthly'!$B$2:$SU$2,'Employment Calendar Year'!L$7,'Mining Employment Monthly'!$B84:$SU84),AVERAGEIF('Mining Employment Monthly'!$B$2:$SU$2,'Employment Calendar Year'!L$7,'Mining Employment Monthly'!$B162:$SU162))</f>
        <v>3226.8333333333335</v>
      </c>
      <c r="M20" s="128">
        <f>IF($A$25=$A$102, AVERAGEIF('Mining Employment Monthly'!$B$2:$SU$2,'Employment Calendar Year'!M$7,'Mining Employment Monthly'!$B84:$SU84),AVERAGEIF('Mining Employment Monthly'!$B$2:$SU$2,'Employment Calendar Year'!M$7,'Mining Employment Monthly'!$B162:$SU162))</f>
        <v>3522.8333333333335</v>
      </c>
      <c r="N20" s="128">
        <f>IF($A$25=$A$102, AVERAGEIF('Mining Employment Monthly'!$B$2:$SU$2,'Employment Calendar Year'!N$7,'Mining Employment Monthly'!$B84:$SU84),AVERAGEIF('Mining Employment Monthly'!$B$2:$SU$2,'Employment Calendar Year'!N$7,'Mining Employment Monthly'!$B162:$SU162))</f>
        <v>3239.4166666666665</v>
      </c>
      <c r="O20" s="128">
        <f>IF($A$25=$A$102, AVERAGEIF('Mining Employment Monthly'!$B$2:$SU$2,'Employment Calendar Year'!O$7,'Mining Employment Monthly'!$B84:$SU84),AVERAGEIF('Mining Employment Monthly'!$B$2:$SU$2,'Employment Calendar Year'!O$7,'Mining Employment Monthly'!$B162:$SU162))</f>
        <v>2317.8333333333335</v>
      </c>
      <c r="P20" s="128">
        <f>IF($A$25=$A$102, AVERAGEIF('Mining Employment Monthly'!$B$2:$SU$2,'Employment Calendar Year'!P$7,'Mining Employment Monthly'!$B84:$SU84),AVERAGEIF('Mining Employment Monthly'!$B$2:$SU$2,'Employment Calendar Year'!P$7,'Mining Employment Monthly'!$B162:$SU162))</f>
        <v>2240.75</v>
      </c>
      <c r="Q20" s="128">
        <f>IF($A$25=$A$102, AVERAGEIF('Mining Employment Monthly'!$B$2:$SU$2,'Employment Calendar Year'!Q$7,'Mining Employment Monthly'!$B84:$SU84),AVERAGEIF('Mining Employment Monthly'!$B$2:$SU$2,'Employment Calendar Year'!Q$7,'Mining Employment Monthly'!$B162:$SU162))</f>
        <v>2255</v>
      </c>
      <c r="R20" s="282">
        <f>IF($A$25=$A$102, AVERAGEIF('Mining Employment Monthly'!$B$2:$SU$2,'Employment Calendar Year'!R$7,'Mining Employment Monthly'!$B84:$SU84),AVERAGEIF('Mining Employment Monthly'!$B$2:$SU$2,'Employment Calendar Year'!R$7,'Mining Employment Monthly'!$B162:$SU162))</f>
        <v>2143.25</v>
      </c>
      <c r="S20" s="282">
        <f>IF($A$25=$A$102, AVERAGEIF('Mining Employment Monthly'!$B$2:$SU$2,'Employment Calendar Year'!S$7,'Mining Employment Monthly'!$B84:$SU84),AVERAGEIF('Mining Employment Monthly'!$B$2:$SU$2,'Employment Calendar Year'!S$7,'Mining Employment Monthly'!$B162:$SU162))</f>
        <v>2432.8333333333335</v>
      </c>
      <c r="T20" s="282">
        <f>IF($A$25=$A$102, AVERAGEIF('Mining Employment Monthly'!$B$2:$SU$2,'Employment Calendar Year'!T$7,'Mining Employment Monthly'!$B84:$SU84),AVERAGEIF('Mining Employment Monthly'!$B$2:$SU$2,'Employment Calendar Year'!T$7,'Mining Employment Monthly'!$B162:$SU162))</f>
        <v>2868.4166666666665</v>
      </c>
      <c r="U20" s="282">
        <f>IF($A$25=$A$102, AVERAGEIF('Mining Employment Monthly'!$B$2:$SU$2,'Employment Calendar Year'!U$7,'Mining Employment Monthly'!$B84:$SU84),AVERAGEIF('Mining Employment Monthly'!$B$2:$SU$2,'Employment Calendar Year'!U$7,'Mining Employment Monthly'!$B162:$SU162))</f>
        <v>3450.4166666666665</v>
      </c>
      <c r="V20" s="283">
        <f>IF($A$25=$A$102, AVERAGEIF('Mining Employment Monthly'!$B$2:$SU$2,'Employment Calendar Year'!V$7,'Mining Employment Monthly'!$B84:$SU84),AVERAGEIF('Mining Employment Monthly'!$B$2:$SU$2,'Employment Calendar Year'!V$7,'Mining Employment Monthly'!$B162:$SU162))</f>
        <v>3847.6666666666665</v>
      </c>
      <c r="W20" s="43"/>
    </row>
    <row r="21" spans="1:23" ht="15.75" thickBot="1">
      <c r="A21" s="49" t="s">
        <v>139</v>
      </c>
      <c r="B21" s="129"/>
      <c r="C21" s="477" t="s">
        <v>1073</v>
      </c>
      <c r="D21" s="477" t="s">
        <v>1073</v>
      </c>
      <c r="E21" s="477" t="s">
        <v>1073</v>
      </c>
      <c r="F21" s="477" t="s">
        <v>1073</v>
      </c>
      <c r="G21" s="477" t="s">
        <v>1073</v>
      </c>
      <c r="H21" s="477" t="s">
        <v>1073</v>
      </c>
      <c r="I21" s="477" t="s">
        <v>1073</v>
      </c>
      <c r="J21" s="477" t="s">
        <v>1073</v>
      </c>
      <c r="K21" s="477" t="s">
        <v>1073</v>
      </c>
      <c r="L21" s="170">
        <f>IF($A$25=$A$102, AVERAGEIF('Petroleum Employment Monthly'!$B$2:$SP$2,'Employment Calendar Year'!L$7,'Petroleum Employment Monthly'!$B11:$SP11),AVERAGEIF('Petroleum Employment Monthly'!$B$2:$SP$2,'Employment Calendar Year'!L$7,'Petroleum Employment Monthly'!$B25:$SP25))</f>
        <v>3176.5</v>
      </c>
      <c r="M21" s="170">
        <f>IF($A$25=$A$102, AVERAGEIF('Petroleum Employment Monthly'!$B$2:$SP$2,'Employment Calendar Year'!M$7,'Petroleum Employment Monthly'!$B11:$SP11),AVERAGEIF('Petroleum Employment Monthly'!$B$2:$SP$2,'Employment Calendar Year'!M$7,'Petroleum Employment Monthly'!$B25:$SP25))</f>
        <v>2146.4166666666665</v>
      </c>
      <c r="N21" s="170">
        <f>IF($A$25=$A$102, AVERAGEIF('Petroleum Employment Monthly'!$B$2:$SP$2,'Employment Calendar Year'!N$7,'Petroleum Employment Monthly'!$B11:$SP11),AVERAGEIF('Petroleum Employment Monthly'!$B$2:$SP$2,'Employment Calendar Year'!N$7,'Petroleum Employment Monthly'!$B25:$SP25))</f>
        <v>3088.6666666666665</v>
      </c>
      <c r="O21" s="170">
        <f>IF($A$25=$A$102, AVERAGEIF('Petroleum Employment Monthly'!$B$2:$SP$2,'Employment Calendar Year'!O$7,'Petroleum Employment Monthly'!$B11:$SP11),AVERAGEIF('Petroleum Employment Monthly'!$B$2:$SP$2,'Employment Calendar Year'!O$7,'Petroleum Employment Monthly'!$B25:$SP25))</f>
        <v>2137.4166666666665</v>
      </c>
      <c r="P21" s="170">
        <f>IF($A$25=$A$102, AVERAGEIF('Petroleum Employment Monthly'!$B$2:$SP$2,'Employment Calendar Year'!P$7,'Petroleum Employment Monthly'!$B11:$SP11),AVERAGEIF('Petroleum Employment Monthly'!$B$2:$SP$2,'Employment Calendar Year'!P$7,'Petroleum Employment Monthly'!$B25:$SP25))</f>
        <v>2039</v>
      </c>
      <c r="Q21" s="170">
        <f>IF($A$25=$A$102, AVERAGEIF('Petroleum Employment Monthly'!$B$2:$SP$2,'Employment Calendar Year'!Q$7,'Petroleum Employment Monthly'!$B11:$SP11),AVERAGEIF('Petroleum Employment Monthly'!$B$2:$SP$2,'Employment Calendar Year'!Q$7,'Petroleum Employment Monthly'!$B25:$SP25))</f>
        <v>1736.8333333333333</v>
      </c>
      <c r="R21" s="233">
        <f>IF($A$25=$A$102, AVERAGEIF('Petroleum Employment Monthly'!$B$2:$SP$2,'Employment Calendar Year'!R$7,'Petroleum Employment Monthly'!$B11:$SP11),AVERAGEIF('Petroleum Employment Monthly'!$B$2:$SP$2,'Employment Calendar Year'!R$7,'Petroleum Employment Monthly'!$B25:$SP25))</f>
        <v>1100.5833333333333</v>
      </c>
      <c r="S21" s="233">
        <f>IF($A$25=$A$102, AVERAGEIF('Petroleum Employment Monthly'!$B$2:$SP$2,'Employment Calendar Year'!S$7,'Petroleum Employment Monthly'!$B11:$SP11),AVERAGEIF('Petroleum Employment Monthly'!$B$2:$SP$2,'Employment Calendar Year'!S$7,'Petroleum Employment Monthly'!$B25:$SP25))</f>
        <v>1270.0833333333333</v>
      </c>
      <c r="T21" s="233">
        <f>IF($A$25=$A$102, AVERAGEIF('Petroleum Employment Monthly'!$B$2:$SP$2,'Employment Calendar Year'!T$7,'Petroleum Employment Monthly'!$B11:$SP11),AVERAGEIF('Petroleum Employment Monthly'!$B$2:$SP$2,'Employment Calendar Year'!T$7,'Petroleum Employment Monthly'!$B25:$SP25))</f>
        <v>1292.8333333333333</v>
      </c>
      <c r="U21" s="233">
        <f>IF($A$25=$A$102, AVERAGEIF('Petroleum Employment Monthly'!$B$2:$SP$2,'Employment Calendar Year'!U$7,'Petroleum Employment Monthly'!$B11:$SP11),AVERAGEIF('Petroleum Employment Monthly'!$B$2:$SP$2,'Employment Calendar Year'!U$7,'Petroleum Employment Monthly'!$B25:$SP25))</f>
        <v>1429.1666666666667</v>
      </c>
      <c r="V21" s="131">
        <f>IF($A$25=$A$102, AVERAGEIF('Petroleum Employment Monthly'!$B$2:$SP$2,'Employment Calendar Year'!V$7,'Petroleum Employment Monthly'!$B11:$SP11),AVERAGEIF('Petroleum Employment Monthly'!$B$2:$SP$2,'Employment Calendar Year'!V$7,'Petroleum Employment Monthly'!$B25:$SP25))</f>
        <v>1124.25</v>
      </c>
      <c r="W21" s="43"/>
    </row>
    <row r="22" spans="1:23" s="55" customFormat="1">
      <c r="A22" s="457" t="s">
        <v>1293</v>
      </c>
      <c r="B22" s="480"/>
      <c r="C22" s="481">
        <f t="shared" ref="C22:U22" si="6">SUM(C8:C20)</f>
        <v>41757.333333333336</v>
      </c>
      <c r="D22" s="481">
        <f t="shared" si="6"/>
        <v>41912.000000000007</v>
      </c>
      <c r="E22" s="481">
        <f t="shared" si="6"/>
        <v>44762.916666666664</v>
      </c>
      <c r="F22" s="481">
        <f t="shared" si="6"/>
        <v>48630</v>
      </c>
      <c r="G22" s="481">
        <f t="shared" si="6"/>
        <v>55127.416666666672</v>
      </c>
      <c r="H22" s="481">
        <f t="shared" si="6"/>
        <v>59125.25</v>
      </c>
      <c r="I22" s="481">
        <f t="shared" si="6"/>
        <v>65366.166666666664</v>
      </c>
      <c r="J22" s="481">
        <f t="shared" si="6"/>
        <v>72294</v>
      </c>
      <c r="K22" s="481">
        <f t="shared" si="6"/>
        <v>69835.083333333328</v>
      </c>
      <c r="L22" s="481">
        <f t="shared" si="6"/>
        <v>78027.166666666657</v>
      </c>
      <c r="M22" s="481">
        <f t="shared" si="6"/>
        <v>92042.166666666657</v>
      </c>
      <c r="N22" s="481">
        <f t="shared" si="6"/>
        <v>106183.00000000001</v>
      </c>
      <c r="O22" s="481">
        <f t="shared" si="6"/>
        <v>111293.16666666666</v>
      </c>
      <c r="P22" s="481">
        <f t="shared" si="6"/>
        <v>109560.91666666667</v>
      </c>
      <c r="Q22" s="481">
        <f t="shared" si="6"/>
        <v>105285.5</v>
      </c>
      <c r="R22" s="481">
        <f t="shared" si="6"/>
        <v>105039.16666666669</v>
      </c>
      <c r="S22" s="481">
        <f t="shared" si="6"/>
        <v>111791.83333333333</v>
      </c>
      <c r="T22" s="481">
        <f t="shared" si="6"/>
        <v>120510.83333333334</v>
      </c>
      <c r="U22" s="481">
        <f t="shared" si="6"/>
        <v>133093.75</v>
      </c>
      <c r="V22" s="706">
        <f t="shared" ref="V22" si="7">SUM(V8:V20)</f>
        <v>142492.58333333331</v>
      </c>
    </row>
    <row r="23" spans="1:23" ht="15.75" thickBot="1">
      <c r="A23" s="50" t="s">
        <v>1294</v>
      </c>
      <c r="B23" s="478"/>
      <c r="C23" s="476" t="s">
        <v>1073</v>
      </c>
      <c r="D23" s="476" t="s">
        <v>1073</v>
      </c>
      <c r="E23" s="476" t="s">
        <v>1073</v>
      </c>
      <c r="F23" s="476" t="s">
        <v>1073</v>
      </c>
      <c r="G23" s="476" t="s">
        <v>1073</v>
      </c>
      <c r="H23" s="476" t="s">
        <v>1073</v>
      </c>
      <c r="I23" s="476" t="s">
        <v>1073</v>
      </c>
      <c r="J23" s="476" t="s">
        <v>1073</v>
      </c>
      <c r="K23" s="476" t="s">
        <v>1073</v>
      </c>
      <c r="L23" s="479">
        <f t="shared" ref="L23:U23" si="8">L22+L21</f>
        <v>81203.666666666657</v>
      </c>
      <c r="M23" s="479">
        <f t="shared" si="8"/>
        <v>94188.583333333328</v>
      </c>
      <c r="N23" s="479">
        <f t="shared" si="8"/>
        <v>109271.66666666669</v>
      </c>
      <c r="O23" s="479">
        <f t="shared" si="8"/>
        <v>113430.58333333333</v>
      </c>
      <c r="P23" s="479">
        <f t="shared" si="8"/>
        <v>111599.91666666667</v>
      </c>
      <c r="Q23" s="479">
        <f t="shared" si="8"/>
        <v>107022.33333333333</v>
      </c>
      <c r="R23" s="479">
        <f t="shared" si="8"/>
        <v>106139.75000000001</v>
      </c>
      <c r="S23" s="479">
        <f t="shared" si="8"/>
        <v>113061.91666666666</v>
      </c>
      <c r="T23" s="479">
        <f t="shared" si="8"/>
        <v>121803.66666666667</v>
      </c>
      <c r="U23" s="479">
        <f t="shared" si="8"/>
        <v>134522.91666666666</v>
      </c>
      <c r="V23" s="707">
        <f t="shared" ref="V23" si="9">V22+V21</f>
        <v>143616.83333333331</v>
      </c>
    </row>
    <row r="24" spans="1:23" s="298" customFormat="1" ht="15.75" thickBot="1">
      <c r="A24" s="79"/>
      <c r="B24" s="129"/>
      <c r="C24" s="472"/>
      <c r="D24" s="472"/>
      <c r="E24" s="472"/>
      <c r="F24" s="472"/>
      <c r="G24" s="472"/>
      <c r="H24" s="472"/>
      <c r="I24" s="472"/>
      <c r="J24" s="472"/>
      <c r="K24" s="472"/>
      <c r="L24" s="473"/>
      <c r="M24" s="473"/>
      <c r="N24" s="473"/>
      <c r="O24" s="473"/>
      <c r="P24" s="473"/>
      <c r="Q24" s="473"/>
      <c r="R24" s="474"/>
      <c r="S24" s="474"/>
      <c r="T24" s="474"/>
      <c r="U24" s="474"/>
    </row>
    <row r="25" spans="1:23" s="298" customFormat="1" ht="15.75" thickBot="1">
      <c r="A25" s="136" t="s">
        <v>1076</v>
      </c>
      <c r="B25" s="129"/>
      <c r="C25" s="472"/>
      <c r="D25" s="472"/>
      <c r="E25" s="472"/>
      <c r="F25" s="472"/>
      <c r="G25" s="472"/>
      <c r="H25" s="472"/>
      <c r="I25" s="472"/>
      <c r="J25" s="472"/>
      <c r="K25" s="472"/>
      <c r="L25" s="473"/>
      <c r="M25" s="473"/>
      <c r="N25" s="473"/>
      <c r="O25" s="473"/>
      <c r="P25" s="473"/>
      <c r="Q25" s="473"/>
      <c r="R25" s="474"/>
      <c r="S25" s="474"/>
      <c r="T25" s="474"/>
      <c r="U25" s="474"/>
    </row>
    <row r="51" spans="17:21" ht="15.75" thickBot="1"/>
    <row r="52" spans="17:21" ht="15.75" thickBot="1">
      <c r="Q52" s="1005" t="s">
        <v>1102</v>
      </c>
      <c r="R52" s="1006"/>
      <c r="S52" s="1006"/>
      <c r="T52" s="1006"/>
      <c r="U52" s="1007"/>
    </row>
    <row r="53" spans="17:21" ht="13.5" customHeight="1" thickBot="1">
      <c r="Q53" s="1008" t="s">
        <v>1294</v>
      </c>
      <c r="R53" s="1009"/>
      <c r="S53" s="1009"/>
      <c r="T53" s="1009"/>
      <c r="U53" s="1010"/>
    </row>
    <row r="54" spans="17:21" ht="0.2" customHeight="1"/>
    <row r="55" spans="17:21" ht="13.5" customHeight="1">
      <c r="Q55" s="1063" t="s">
        <v>1101</v>
      </c>
      <c r="R55" s="1063"/>
      <c r="S55" s="1063"/>
      <c r="T55" s="1063"/>
      <c r="U55" s="1063"/>
    </row>
    <row r="101" spans="1:31">
      <c r="M101" s="137"/>
      <c r="N101" s="137"/>
      <c r="O101" s="137"/>
      <c r="P101" s="137"/>
      <c r="Q101" s="137"/>
      <c r="R101" s="137"/>
      <c r="S101" s="137"/>
      <c r="T101" s="137"/>
      <c r="U101" s="137"/>
      <c r="V101" s="137"/>
      <c r="W101" s="137"/>
      <c r="X101" s="137"/>
      <c r="Y101" s="137"/>
    </row>
    <row r="102" spans="1:31">
      <c r="A102" s="133" t="s">
        <v>1077</v>
      </c>
      <c r="M102" s="137"/>
      <c r="N102" s="137"/>
      <c r="O102" s="137"/>
      <c r="P102" s="137"/>
      <c r="Q102" s="137"/>
      <c r="R102" s="137"/>
      <c r="S102" s="137"/>
      <c r="T102" s="137"/>
      <c r="U102" s="137"/>
      <c r="V102" s="137"/>
      <c r="W102" s="137"/>
      <c r="X102" s="137"/>
      <c r="Y102" s="137"/>
    </row>
    <row r="103" spans="1:31">
      <c r="A103" s="133" t="s">
        <v>1076</v>
      </c>
      <c r="M103" s="137"/>
      <c r="N103" s="137">
        <f>LARGE($C$7:$BD$7,10)</f>
        <v>2011</v>
      </c>
      <c r="O103" s="137">
        <f>LARGE($C$7:$BD$7,9)</f>
        <v>2012</v>
      </c>
      <c r="P103" s="137">
        <f>LARGE($C$7:$BD$7,8)</f>
        <v>2013</v>
      </c>
      <c r="Q103" s="137">
        <f>LARGE($C$7:$BD$7,7)</f>
        <v>2014</v>
      </c>
      <c r="R103" s="137">
        <f>LARGE($C$7:$BD$7,6)</f>
        <v>2015</v>
      </c>
      <c r="S103" s="137">
        <f>LARGE($C$7:$BD$7,5)</f>
        <v>2016</v>
      </c>
      <c r="T103" s="137">
        <f>LARGE($C$7:$BD$7,4)</f>
        <v>2017</v>
      </c>
      <c r="U103" s="137">
        <f>LARGE($C$7:$BD$7,3)</f>
        <v>2018</v>
      </c>
      <c r="V103" s="137">
        <f>LARGE($C$7:$BD$7,2)</f>
        <v>2019</v>
      </c>
      <c r="W103" s="137">
        <f>LARGE($C$7:$BD$7,1)</f>
        <v>2020</v>
      </c>
      <c r="X103" s="137"/>
      <c r="Y103" s="137"/>
      <c r="Z103" s="205"/>
      <c r="AA103" s="205"/>
      <c r="AB103" s="205"/>
      <c r="AC103" s="205"/>
      <c r="AD103" s="205"/>
      <c r="AE103" s="205"/>
    </row>
    <row r="104" spans="1:31" s="33" customFormat="1">
      <c r="B104" s="708"/>
      <c r="M104" s="137"/>
      <c r="N104" s="137">
        <f ca="1">INDEX($A$1:$BD$1,1,MATCH(N103,$A$7:$BD$7,0))</f>
        <v>94188.583333333328</v>
      </c>
      <c r="O104" s="137">
        <f t="shared" ref="O104:W104" ca="1" si="10">INDEX($A$1:$BD$1,1,MATCH(O103,$A$7:$BD$7,0))</f>
        <v>109271.66666666669</v>
      </c>
      <c r="P104" s="137">
        <f t="shared" ca="1" si="10"/>
        <v>113430.58333333333</v>
      </c>
      <c r="Q104" s="137">
        <f t="shared" ca="1" si="10"/>
        <v>111599.91666666667</v>
      </c>
      <c r="R104" s="137">
        <f t="shared" ca="1" si="10"/>
        <v>107022.33333333333</v>
      </c>
      <c r="S104" s="137">
        <f t="shared" ca="1" si="10"/>
        <v>106139.75000000001</v>
      </c>
      <c r="T104" s="137">
        <f t="shared" ca="1" si="10"/>
        <v>113061.91666666666</v>
      </c>
      <c r="U104" s="137">
        <f t="shared" ca="1" si="10"/>
        <v>121803.66666666667</v>
      </c>
      <c r="V104" s="137">
        <f t="shared" ca="1" si="10"/>
        <v>134522.91666666666</v>
      </c>
      <c r="W104" s="137">
        <f t="shared" ca="1" si="10"/>
        <v>143616.83333333331</v>
      </c>
      <c r="X104" s="137"/>
      <c r="Y104" s="137"/>
    </row>
    <row r="105" spans="1:31">
      <c r="B105" s="133"/>
      <c r="M105" s="137"/>
      <c r="N105" s="137"/>
      <c r="O105" s="137"/>
      <c r="P105" s="137"/>
      <c r="Q105" s="137"/>
      <c r="R105" s="137"/>
      <c r="S105" s="137"/>
      <c r="T105" s="137"/>
      <c r="U105" s="137"/>
      <c r="V105" s="137"/>
      <c r="W105" s="137"/>
      <c r="X105" s="137"/>
      <c r="Y105" s="137"/>
    </row>
    <row r="106" spans="1:31">
      <c r="M106" s="137"/>
      <c r="N106" s="137"/>
      <c r="O106" s="137"/>
      <c r="P106" s="137"/>
      <c r="Q106" s="137"/>
      <c r="R106" s="137"/>
      <c r="S106" s="137"/>
      <c r="T106" s="137"/>
      <c r="U106" s="137"/>
      <c r="V106" s="137"/>
      <c r="W106" s="137"/>
      <c r="X106" s="137"/>
      <c r="Y106" s="137"/>
    </row>
    <row r="107" spans="1:31">
      <c r="M107" s="137"/>
      <c r="N107" s="137"/>
      <c r="O107" s="137"/>
      <c r="P107" s="137"/>
      <c r="Q107" s="137"/>
      <c r="R107" s="137"/>
      <c r="S107" s="137"/>
      <c r="T107" s="137"/>
      <c r="U107" s="137"/>
      <c r="V107" s="137"/>
      <c r="W107" s="137"/>
      <c r="X107" s="137"/>
      <c r="Y107" s="137"/>
    </row>
    <row r="238" spans="2:2">
      <c r="B238" s="202">
        <v>63.54</v>
      </c>
    </row>
    <row r="239" spans="2:2">
      <c r="B239" s="202">
        <v>63.86</v>
      </c>
    </row>
    <row r="240" spans="2:2">
      <c r="B240" s="202">
        <v>63.7</v>
      </c>
    </row>
    <row r="241" spans="1:2">
      <c r="B241" s="202">
        <v>64.67</v>
      </c>
    </row>
    <row r="242" spans="1:2">
      <c r="B242" s="202">
        <v>65.03</v>
      </c>
    </row>
    <row r="243" spans="1:2">
      <c r="A243" s="202"/>
      <c r="B243" s="202">
        <v>64.67</v>
      </c>
    </row>
    <row r="244" spans="1:2">
      <c r="A244" s="202"/>
      <c r="B244" s="202">
        <v>65.260000000000005</v>
      </c>
    </row>
    <row r="245" spans="1:2">
      <c r="A245" s="202"/>
      <c r="B245" s="202">
        <v>66.599999999999994</v>
      </c>
    </row>
    <row r="246" spans="1:2">
      <c r="A246" s="202"/>
      <c r="B246" s="202">
        <v>66.28</v>
      </c>
    </row>
    <row r="247" spans="1:2">
      <c r="A247" s="202"/>
      <c r="B247" s="202">
        <v>65.11</v>
      </c>
    </row>
    <row r="248" spans="1:2">
      <c r="A248" s="202"/>
      <c r="B248" s="202">
        <v>64.040000000000006</v>
      </c>
    </row>
    <row r="249" spans="1:2">
      <c r="A249" s="202"/>
      <c r="B249" s="202">
        <v>64.569999999999993</v>
      </c>
    </row>
  </sheetData>
  <mergeCells count="3">
    <mergeCell ref="Q52:U52"/>
    <mergeCell ref="Q53:U53"/>
    <mergeCell ref="Q55:U55"/>
  </mergeCells>
  <dataValidations xWindow="1363" yWindow="911" count="3">
    <dataValidation type="list" allowBlank="1" showInputMessage="1" showErrorMessage="1" sqref="B7">
      <formula1>$A$102:$A$103</formula1>
    </dataValidation>
    <dataValidation type="list" allowBlank="1" showInputMessage="1" showErrorMessage="1" promptTitle="Click to Select" prompt="Click to Select between Number of Individuals employed (NoI) of Full Time Equivalent employees (FTE)" sqref="A25">
      <formula1>$A$102:$A$103</formula1>
    </dataValidation>
    <dataValidation type="list" allowBlank="1" showInputMessage="1" showErrorMessage="1" promptTitle="Select a Commodity" prompt="Select a Commodity for graphical display, or total employment." sqref="Q53:U53">
      <formula1>$A$8:$A$23</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48"/>
  <sheetViews>
    <sheetView showGridLines="0" zoomScaleNormal="100" workbookViewId="0">
      <pane xSplit="2" topLeftCell="C1" activePane="topRight" state="frozen"/>
      <selection activeCell="A25" sqref="A25:C25"/>
      <selection pane="topRight" activeCell="F65" sqref="F65"/>
    </sheetView>
  </sheetViews>
  <sheetFormatPr defaultColWidth="9.140625" defaultRowHeight="15"/>
  <cols>
    <col min="1" max="1" width="49.42578125" style="165" bestFit="1" customWidth="1"/>
    <col min="2" max="2" width="6" style="165" hidden="1" customWidth="1"/>
    <col min="3" max="12" width="10.28515625" style="165" bestFit="1" customWidth="1"/>
    <col min="13" max="13" width="11.28515625" style="165" bestFit="1" customWidth="1"/>
    <col min="14" max="15" width="9.140625" style="165"/>
    <col min="16" max="16" width="10.140625" style="165" bestFit="1" customWidth="1"/>
    <col min="17" max="17" width="10.140625" style="165" customWidth="1"/>
    <col min="18" max="18" width="11.28515625" style="165" customWidth="1"/>
    <col min="19" max="19" width="12.140625" style="165" customWidth="1"/>
    <col min="20" max="21" width="11.28515625" style="165" customWidth="1"/>
    <col min="22" max="16384" width="9.140625" style="165"/>
  </cols>
  <sheetData>
    <row r="1" spans="1:109" s="775" customFormat="1" ht="11.25">
      <c r="C1" s="847" t="str">
        <f t="shared" ref="C1:AH1" ca="1" si="0">INDIRECT(ADDRESS(MATCH($P$52,$A$1:$A$23,0),COLUMN(C$2)))</f>
        <v>N/A</v>
      </c>
      <c r="D1" s="847" t="str">
        <f t="shared" ca="1" si="0"/>
        <v>N/A</v>
      </c>
      <c r="E1" s="847" t="str">
        <f t="shared" ca="1" si="0"/>
        <v>N/A</v>
      </c>
      <c r="F1" s="847" t="str">
        <f t="shared" ca="1" si="0"/>
        <v>N/A</v>
      </c>
      <c r="G1" s="847" t="str">
        <f t="shared" ca="1" si="0"/>
        <v>N/A</v>
      </c>
      <c r="H1" s="847" t="str">
        <f t="shared" ca="1" si="0"/>
        <v>N/A</v>
      </c>
      <c r="I1" s="847" t="str">
        <f t="shared" ca="1" si="0"/>
        <v>N/A</v>
      </c>
      <c r="J1" s="847" t="str">
        <f t="shared" ca="1" si="0"/>
        <v>N/A</v>
      </c>
      <c r="K1" s="847">
        <f t="shared" ca="1" si="0"/>
        <v>72937.666666666657</v>
      </c>
      <c r="L1" s="847">
        <f t="shared" ca="1" si="0"/>
        <v>88141.166666666672</v>
      </c>
      <c r="M1" s="847">
        <f t="shared" ca="1" si="0"/>
        <v>103519.41666666667</v>
      </c>
      <c r="N1" s="847">
        <f t="shared" ca="1" si="0"/>
        <v>111346.33333333336</v>
      </c>
      <c r="O1" s="847">
        <f t="shared" ca="1" si="0"/>
        <v>112103.5</v>
      </c>
      <c r="P1" s="847">
        <f t="shared" ca="1" si="0"/>
        <v>109750.33333333336</v>
      </c>
      <c r="Q1" s="847">
        <f t="shared" ca="1" si="0"/>
        <v>105933.50000000001</v>
      </c>
      <c r="R1" s="847">
        <f t="shared" ca="1" si="0"/>
        <v>109983.74999999999</v>
      </c>
      <c r="S1" s="847">
        <f t="shared" ca="1" si="0"/>
        <v>115982.33333333333</v>
      </c>
      <c r="T1" s="847">
        <f t="shared" ca="1" si="0"/>
        <v>128373.66666666666</v>
      </c>
      <c r="U1" s="847">
        <f t="shared" ca="1" si="0"/>
        <v>136443.33333333334</v>
      </c>
      <c r="V1" s="847">
        <f t="shared" ca="1" si="0"/>
        <v>149468.53288434233</v>
      </c>
      <c r="W1" s="847">
        <f t="shared" ca="1" si="0"/>
        <v>0</v>
      </c>
      <c r="X1" s="847">
        <f t="shared" ca="1" si="0"/>
        <v>0</v>
      </c>
      <c r="Y1" s="847">
        <f t="shared" ca="1" si="0"/>
        <v>0</v>
      </c>
      <c r="Z1" s="847">
        <f t="shared" ca="1" si="0"/>
        <v>0</v>
      </c>
      <c r="AA1" s="847">
        <f t="shared" ca="1" si="0"/>
        <v>0</v>
      </c>
      <c r="AB1" s="847">
        <f t="shared" ca="1" si="0"/>
        <v>0</v>
      </c>
      <c r="AC1" s="847">
        <f t="shared" ca="1" si="0"/>
        <v>0</v>
      </c>
      <c r="AD1" s="847">
        <f t="shared" ca="1" si="0"/>
        <v>0</v>
      </c>
      <c r="AE1" s="847">
        <f t="shared" ca="1" si="0"/>
        <v>0</v>
      </c>
      <c r="AF1" s="847">
        <f t="shared" ca="1" si="0"/>
        <v>0</v>
      </c>
      <c r="AG1" s="847">
        <f t="shared" ca="1" si="0"/>
        <v>0</v>
      </c>
      <c r="AH1" s="847">
        <f t="shared" ca="1" si="0"/>
        <v>0</v>
      </c>
      <c r="AI1" s="847">
        <f t="shared" ref="AI1:BN1" ca="1" si="1">INDIRECT(ADDRESS(MATCH($P$52,$A$1:$A$23,0),COLUMN(AI$2)))</f>
        <v>0</v>
      </c>
      <c r="AJ1" s="847">
        <f t="shared" ca="1" si="1"/>
        <v>0</v>
      </c>
      <c r="AK1" s="847">
        <f t="shared" ca="1" si="1"/>
        <v>0</v>
      </c>
      <c r="AL1" s="847">
        <f t="shared" ca="1" si="1"/>
        <v>0</v>
      </c>
      <c r="AM1" s="847">
        <f t="shared" ca="1" si="1"/>
        <v>0</v>
      </c>
      <c r="AN1" s="847">
        <f t="shared" ca="1" si="1"/>
        <v>0</v>
      </c>
      <c r="AO1" s="847">
        <f t="shared" ca="1" si="1"/>
        <v>0</v>
      </c>
      <c r="AP1" s="847">
        <f t="shared" ca="1" si="1"/>
        <v>0</v>
      </c>
      <c r="AQ1" s="847">
        <f t="shared" ca="1" si="1"/>
        <v>0</v>
      </c>
      <c r="AR1" s="847">
        <f t="shared" ca="1" si="1"/>
        <v>0</v>
      </c>
      <c r="AS1" s="847">
        <f t="shared" ca="1" si="1"/>
        <v>0</v>
      </c>
      <c r="AT1" s="847">
        <f t="shared" ca="1" si="1"/>
        <v>0</v>
      </c>
      <c r="AU1" s="847">
        <f t="shared" ca="1" si="1"/>
        <v>0</v>
      </c>
      <c r="AV1" s="847">
        <f t="shared" ca="1" si="1"/>
        <v>0</v>
      </c>
      <c r="AW1" s="847">
        <f t="shared" ca="1" si="1"/>
        <v>0</v>
      </c>
      <c r="AX1" s="847">
        <f t="shared" ca="1" si="1"/>
        <v>0</v>
      </c>
      <c r="AY1" s="847">
        <f t="shared" ca="1" si="1"/>
        <v>0</v>
      </c>
      <c r="AZ1" s="847">
        <f t="shared" ca="1" si="1"/>
        <v>0</v>
      </c>
      <c r="BA1" s="847">
        <f t="shared" ca="1" si="1"/>
        <v>0</v>
      </c>
      <c r="BB1" s="847">
        <f t="shared" ca="1" si="1"/>
        <v>0</v>
      </c>
      <c r="BC1" s="847">
        <f t="shared" ca="1" si="1"/>
        <v>0</v>
      </c>
      <c r="BD1" s="847">
        <f t="shared" ca="1" si="1"/>
        <v>0</v>
      </c>
      <c r="BE1" s="847">
        <f t="shared" ca="1" si="1"/>
        <v>0</v>
      </c>
      <c r="BF1" s="847">
        <f t="shared" ca="1" si="1"/>
        <v>0</v>
      </c>
      <c r="BG1" s="847">
        <f t="shared" ca="1" si="1"/>
        <v>0</v>
      </c>
      <c r="BH1" s="847">
        <f t="shared" ca="1" si="1"/>
        <v>0</v>
      </c>
      <c r="BI1" s="847">
        <f t="shared" ca="1" si="1"/>
        <v>0</v>
      </c>
      <c r="BJ1" s="847">
        <f t="shared" ca="1" si="1"/>
        <v>0</v>
      </c>
      <c r="BK1" s="847">
        <f t="shared" ca="1" si="1"/>
        <v>0</v>
      </c>
      <c r="BL1" s="847">
        <f t="shared" ca="1" si="1"/>
        <v>0</v>
      </c>
      <c r="BM1" s="847">
        <f t="shared" ca="1" si="1"/>
        <v>0</v>
      </c>
      <c r="BN1" s="847">
        <f t="shared" ca="1" si="1"/>
        <v>0</v>
      </c>
      <c r="BO1" s="847">
        <f t="shared" ref="BO1:CT1" ca="1" si="2">INDIRECT(ADDRESS(MATCH($P$52,$A$1:$A$23,0),COLUMN(BO$2)))</f>
        <v>0</v>
      </c>
      <c r="BP1" s="847">
        <f t="shared" ca="1" si="2"/>
        <v>0</v>
      </c>
      <c r="BQ1" s="847">
        <f t="shared" ca="1" si="2"/>
        <v>0</v>
      </c>
      <c r="BR1" s="847">
        <f t="shared" ca="1" si="2"/>
        <v>0</v>
      </c>
      <c r="BS1" s="847">
        <f t="shared" ca="1" si="2"/>
        <v>0</v>
      </c>
      <c r="BT1" s="847">
        <f t="shared" ca="1" si="2"/>
        <v>0</v>
      </c>
      <c r="BU1" s="847">
        <f t="shared" ca="1" si="2"/>
        <v>0</v>
      </c>
      <c r="BV1" s="847">
        <f t="shared" ca="1" si="2"/>
        <v>0</v>
      </c>
      <c r="BW1" s="847">
        <f t="shared" ca="1" si="2"/>
        <v>0</v>
      </c>
      <c r="BX1" s="847">
        <f t="shared" ca="1" si="2"/>
        <v>0</v>
      </c>
      <c r="BY1" s="847">
        <f t="shared" ca="1" si="2"/>
        <v>0</v>
      </c>
      <c r="BZ1" s="847">
        <f t="shared" ca="1" si="2"/>
        <v>0</v>
      </c>
      <c r="CA1" s="847">
        <f t="shared" ca="1" si="2"/>
        <v>0</v>
      </c>
      <c r="CB1" s="847">
        <f t="shared" ca="1" si="2"/>
        <v>0</v>
      </c>
      <c r="CC1" s="847">
        <f t="shared" ca="1" si="2"/>
        <v>0</v>
      </c>
      <c r="CD1" s="847">
        <f t="shared" ca="1" si="2"/>
        <v>0</v>
      </c>
      <c r="CE1" s="847">
        <f t="shared" ca="1" si="2"/>
        <v>0</v>
      </c>
      <c r="CF1" s="847">
        <f t="shared" ca="1" si="2"/>
        <v>0</v>
      </c>
      <c r="CG1" s="847">
        <f t="shared" ca="1" si="2"/>
        <v>0</v>
      </c>
      <c r="CH1" s="847">
        <f t="shared" ca="1" si="2"/>
        <v>0</v>
      </c>
      <c r="CI1" s="847">
        <f t="shared" ca="1" si="2"/>
        <v>0</v>
      </c>
      <c r="CJ1" s="847">
        <f t="shared" ca="1" si="2"/>
        <v>0</v>
      </c>
      <c r="CK1" s="847">
        <f t="shared" ca="1" si="2"/>
        <v>0</v>
      </c>
      <c r="CL1" s="847">
        <f t="shared" ca="1" si="2"/>
        <v>0</v>
      </c>
      <c r="CM1" s="847">
        <f t="shared" ca="1" si="2"/>
        <v>0</v>
      </c>
      <c r="CN1" s="847">
        <f t="shared" ca="1" si="2"/>
        <v>0</v>
      </c>
      <c r="CO1" s="847">
        <f t="shared" ca="1" si="2"/>
        <v>0</v>
      </c>
      <c r="CP1" s="847">
        <f t="shared" ca="1" si="2"/>
        <v>0</v>
      </c>
      <c r="CQ1" s="847">
        <f t="shared" ca="1" si="2"/>
        <v>0</v>
      </c>
      <c r="CR1" s="847">
        <f t="shared" ca="1" si="2"/>
        <v>0</v>
      </c>
      <c r="CS1" s="847">
        <f t="shared" ca="1" si="2"/>
        <v>0</v>
      </c>
      <c r="CT1" s="847">
        <f t="shared" ca="1" si="2"/>
        <v>0</v>
      </c>
      <c r="CU1" s="847">
        <f t="shared" ref="CU1:DE1" ca="1" si="3">INDIRECT(ADDRESS(MATCH($P$52,$A$1:$A$23,0),COLUMN(CU$2)))</f>
        <v>0</v>
      </c>
      <c r="CV1" s="847">
        <f t="shared" ca="1" si="3"/>
        <v>0</v>
      </c>
      <c r="CW1" s="847">
        <f t="shared" ca="1" si="3"/>
        <v>0</v>
      </c>
      <c r="CX1" s="847">
        <f t="shared" ca="1" si="3"/>
        <v>0</v>
      </c>
      <c r="CY1" s="847">
        <f t="shared" ca="1" si="3"/>
        <v>0</v>
      </c>
      <c r="CZ1" s="847">
        <f t="shared" ca="1" si="3"/>
        <v>0</v>
      </c>
      <c r="DA1" s="847">
        <f t="shared" ca="1" si="3"/>
        <v>0</v>
      </c>
      <c r="DB1" s="847">
        <f t="shared" ca="1" si="3"/>
        <v>0</v>
      </c>
      <c r="DC1" s="847">
        <f t="shared" ca="1" si="3"/>
        <v>0</v>
      </c>
      <c r="DD1" s="847">
        <f t="shared" ca="1" si="3"/>
        <v>0</v>
      </c>
      <c r="DE1" s="847">
        <f t="shared" ca="1" si="3"/>
        <v>0</v>
      </c>
    </row>
    <row r="2" spans="1:109" s="775" customFormat="1" ht="11.25">
      <c r="C2" s="847">
        <f t="shared" ref="C2:Q2" si="4">_xlfn.NUMBERVALUE(LEFT(C7,4))</f>
        <v>2001</v>
      </c>
      <c r="D2" s="847">
        <f t="shared" si="4"/>
        <v>2002</v>
      </c>
      <c r="E2" s="847">
        <f t="shared" si="4"/>
        <v>2003</v>
      </c>
      <c r="F2" s="847">
        <f t="shared" si="4"/>
        <v>2004</v>
      </c>
      <c r="G2" s="847">
        <f t="shared" si="4"/>
        <v>2005</v>
      </c>
      <c r="H2" s="847">
        <f t="shared" si="4"/>
        <v>2006</v>
      </c>
      <c r="I2" s="847">
        <f t="shared" si="4"/>
        <v>2007</v>
      </c>
      <c r="J2" s="847">
        <f t="shared" si="4"/>
        <v>2008</v>
      </c>
      <c r="K2" s="847">
        <f t="shared" si="4"/>
        <v>2009</v>
      </c>
      <c r="L2" s="847">
        <f t="shared" si="4"/>
        <v>2010</v>
      </c>
      <c r="M2" s="847">
        <f t="shared" si="4"/>
        <v>2011</v>
      </c>
      <c r="N2" s="847">
        <f t="shared" si="4"/>
        <v>2012</v>
      </c>
      <c r="O2" s="847">
        <f t="shared" si="4"/>
        <v>2013</v>
      </c>
      <c r="P2" s="847">
        <f t="shared" si="4"/>
        <v>2014</v>
      </c>
      <c r="Q2" s="847">
        <f t="shared" si="4"/>
        <v>2015</v>
      </c>
      <c r="R2" s="847">
        <f>_xlfn.NUMBERVALUE(LEFT(R7,4))</f>
        <v>2016</v>
      </c>
      <c r="S2" s="847">
        <f>_xlfn.NUMBERVALUE(LEFT(S7,4))</f>
        <v>2017</v>
      </c>
      <c r="T2" s="847">
        <f t="shared" ref="T2:V2" si="5">_xlfn.NUMBERVALUE(LEFT(T7,4))</f>
        <v>2018</v>
      </c>
      <c r="U2" s="847">
        <f t="shared" si="5"/>
        <v>2019</v>
      </c>
      <c r="V2" s="847">
        <f t="shared" si="5"/>
        <v>2020</v>
      </c>
      <c r="W2" s="847"/>
      <c r="X2" s="847">
        <f t="shared" ref="X2:BD2" si="6">_xlfn.NUMBERVALUE(LEFT(Y7,4))</f>
        <v>0</v>
      </c>
      <c r="Y2" s="847">
        <f t="shared" si="6"/>
        <v>0</v>
      </c>
      <c r="Z2" s="847">
        <f t="shared" si="6"/>
        <v>0</v>
      </c>
      <c r="AA2" s="847">
        <f t="shared" si="6"/>
        <v>0</v>
      </c>
      <c r="AB2" s="847">
        <f t="shared" si="6"/>
        <v>0</v>
      </c>
      <c r="AC2" s="847">
        <f t="shared" si="6"/>
        <v>0</v>
      </c>
      <c r="AD2" s="847">
        <f t="shared" si="6"/>
        <v>0</v>
      </c>
      <c r="AE2" s="847">
        <f t="shared" si="6"/>
        <v>0</v>
      </c>
      <c r="AF2" s="847">
        <f t="shared" si="6"/>
        <v>0</v>
      </c>
      <c r="AG2" s="847">
        <f t="shared" si="6"/>
        <v>0</v>
      </c>
      <c r="AH2" s="847">
        <f t="shared" si="6"/>
        <v>0</v>
      </c>
      <c r="AI2" s="847">
        <f t="shared" si="6"/>
        <v>0</v>
      </c>
      <c r="AJ2" s="847">
        <f t="shared" si="6"/>
        <v>0</v>
      </c>
      <c r="AK2" s="847">
        <f t="shared" si="6"/>
        <v>0</v>
      </c>
      <c r="AL2" s="847">
        <f t="shared" si="6"/>
        <v>0</v>
      </c>
      <c r="AM2" s="847">
        <f t="shared" si="6"/>
        <v>0</v>
      </c>
      <c r="AN2" s="847">
        <f t="shared" si="6"/>
        <v>0</v>
      </c>
      <c r="AO2" s="847">
        <f t="shared" si="6"/>
        <v>0</v>
      </c>
      <c r="AP2" s="847">
        <f t="shared" si="6"/>
        <v>0</v>
      </c>
      <c r="AQ2" s="847">
        <f t="shared" si="6"/>
        <v>0</v>
      </c>
      <c r="AR2" s="847">
        <f t="shared" si="6"/>
        <v>0</v>
      </c>
      <c r="AS2" s="847">
        <f t="shared" si="6"/>
        <v>0</v>
      </c>
      <c r="AT2" s="847">
        <f t="shared" si="6"/>
        <v>0</v>
      </c>
      <c r="AU2" s="847">
        <f t="shared" si="6"/>
        <v>0</v>
      </c>
      <c r="AV2" s="847">
        <f t="shared" si="6"/>
        <v>0</v>
      </c>
      <c r="AW2" s="847">
        <f t="shared" si="6"/>
        <v>0</v>
      </c>
      <c r="AX2" s="847">
        <f t="shared" si="6"/>
        <v>0</v>
      </c>
      <c r="AY2" s="847">
        <f t="shared" si="6"/>
        <v>0</v>
      </c>
      <c r="AZ2" s="847">
        <f t="shared" si="6"/>
        <v>0</v>
      </c>
      <c r="BA2" s="847">
        <f t="shared" si="6"/>
        <v>0</v>
      </c>
      <c r="BB2" s="847">
        <f t="shared" si="6"/>
        <v>0</v>
      </c>
      <c r="BC2" s="847">
        <f t="shared" si="6"/>
        <v>0</v>
      </c>
      <c r="BD2" s="847">
        <f t="shared" si="6"/>
        <v>0</v>
      </c>
    </row>
    <row r="3" spans="1:109">
      <c r="C3" s="8"/>
      <c r="D3" s="8"/>
      <c r="E3" s="8"/>
      <c r="F3" s="8"/>
      <c r="G3" s="8"/>
      <c r="H3" s="8"/>
      <c r="I3" s="8"/>
      <c r="J3" s="8"/>
      <c r="K3" s="8"/>
      <c r="L3" s="8"/>
      <c r="M3" s="8"/>
      <c r="N3" s="8"/>
      <c r="O3" s="8"/>
      <c r="P3" s="8"/>
      <c r="Q3" s="8"/>
      <c r="R3" s="8"/>
      <c r="S3" s="8"/>
      <c r="T3" s="8"/>
    </row>
    <row r="4" spans="1:109">
      <c r="C4" s="8"/>
      <c r="D4" s="8"/>
      <c r="E4" s="8"/>
      <c r="F4" s="8"/>
      <c r="G4" s="8"/>
      <c r="H4" s="8"/>
      <c r="I4" s="8"/>
      <c r="J4" s="8"/>
      <c r="K4" s="8"/>
      <c r="L4" s="8"/>
      <c r="M4" s="8"/>
      <c r="N4" s="8"/>
      <c r="O4" s="8"/>
      <c r="P4" s="8"/>
      <c r="Q4" s="8"/>
      <c r="R4" s="8"/>
      <c r="S4" s="8"/>
      <c r="T4" s="8"/>
    </row>
    <row r="5" spans="1:109" s="55" customFormat="1">
      <c r="B5" s="188"/>
      <c r="C5" s="8"/>
      <c r="D5" s="8"/>
      <c r="E5" s="8"/>
      <c r="F5" s="8"/>
      <c r="G5" s="8"/>
      <c r="H5" s="8"/>
      <c r="I5" s="8"/>
      <c r="J5" s="8"/>
      <c r="K5" s="8"/>
      <c r="L5" s="8"/>
      <c r="M5" s="8"/>
      <c r="N5" s="8"/>
      <c r="O5" s="8"/>
      <c r="P5" s="8"/>
      <c r="Q5" s="8"/>
      <c r="R5" s="8"/>
      <c r="S5" s="8"/>
      <c r="T5" s="8"/>
    </row>
    <row r="6" spans="1:109" s="55" customFormat="1" ht="15.75" thickBot="1">
      <c r="A6" s="188" t="s">
        <v>1162</v>
      </c>
      <c r="B6" s="188"/>
    </row>
    <row r="7" spans="1:109" s="55" customFormat="1" ht="15.75" thickBot="1">
      <c r="A7" s="2" t="s">
        <v>95</v>
      </c>
      <c r="B7" s="47"/>
      <c r="C7" s="46" t="s">
        <v>125</v>
      </c>
      <c r="D7" s="46" t="s">
        <v>126</v>
      </c>
      <c r="E7" s="46" t="s">
        <v>127</v>
      </c>
      <c r="F7" s="46" t="s">
        <v>128</v>
      </c>
      <c r="G7" s="46" t="s">
        <v>129</v>
      </c>
      <c r="H7" s="46" t="s">
        <v>130</v>
      </c>
      <c r="I7" s="46" t="s">
        <v>131</v>
      </c>
      <c r="J7" s="46" t="s">
        <v>132</v>
      </c>
      <c r="K7" s="46" t="s">
        <v>133</v>
      </c>
      <c r="L7" s="46" t="s">
        <v>134</v>
      </c>
      <c r="M7" s="46" t="s">
        <v>135</v>
      </c>
      <c r="N7" s="46" t="s">
        <v>136</v>
      </c>
      <c r="O7" s="46" t="s">
        <v>137</v>
      </c>
      <c r="P7" s="46" t="s">
        <v>138</v>
      </c>
      <c r="Q7" s="46" t="s">
        <v>199</v>
      </c>
      <c r="R7" s="46" t="s">
        <v>457</v>
      </c>
      <c r="S7" s="46" t="s">
        <v>821</v>
      </c>
      <c r="T7" s="46" t="s">
        <v>870</v>
      </c>
      <c r="U7" s="46" t="s">
        <v>1088</v>
      </c>
      <c r="V7" s="767" t="s">
        <v>1314</v>
      </c>
      <c r="W7" s="168" t="s">
        <v>1397</v>
      </c>
    </row>
    <row r="8" spans="1:109" s="55" customFormat="1">
      <c r="A8" s="49" t="s">
        <v>1027</v>
      </c>
      <c r="B8" s="989"/>
      <c r="C8" s="128">
        <f>IF($A$25=$A$101,(SUMIFS('Mining Employment Monthly'!$B63:$BS63,'Mining Employment Monthly'!$B$76:$BS$76,2,'Mining Employment Monthly'!$B$77:$BS$77,VALUE(LEFT('Employment Financial Year'!C$7,4)))+SUMIFS('Mining Employment Monthly'!$B63:$BS63,'Mining Employment Monthly'!$B$76:$BS$76,1,'Mining Employment Monthly'!$B$77:$BS$77,VALUE(CONCATENATE("20",RIGHT('Employment Financial Year'!C$7,2)))))/2,(SUMIFS('Mining Employment Monthly'!$B143:$BS143,'Mining Employment Monthly'!$B$76:$BS$76,2,'Mining Employment Monthly'!$B$77:$BS$77,VALUE(LEFT('Employment Financial Year'!C$7,4)))+SUMIFS('Mining Employment Monthly'!$B143:$BS143,'Mining Employment Monthly'!$B$76:$BS$76,1,'Mining Employment Monthly'!$B$77:$BS$77,VALUE(CONCATENATE("20",RIGHT('Employment Financial Year'!C$7,2)))))/2)</f>
        <v>6443.666666666667</v>
      </c>
      <c r="D8" s="128">
        <f>IF($A$25=$A$101,(SUMIFS('Mining Employment Monthly'!$B63:$BS63,'Mining Employment Monthly'!$B$76:$BS$76,2,'Mining Employment Monthly'!$B$77:$BS$77,VALUE(LEFT('Employment Financial Year'!D$7,4)))+SUMIFS('Mining Employment Monthly'!$B63:$BS63,'Mining Employment Monthly'!$B$76:$BS$76,1,'Mining Employment Monthly'!$B$77:$BS$77,VALUE(CONCATENATE("20",RIGHT('Employment Financial Year'!D$7,2)))))/2,(SUMIFS('Mining Employment Monthly'!$B143:$BS143,'Mining Employment Monthly'!$B$76:$BS$76,2,'Mining Employment Monthly'!$B$77:$BS$77,VALUE(LEFT('Employment Financial Year'!D$7,4)))+SUMIFS('Mining Employment Monthly'!$B143:$BS143,'Mining Employment Monthly'!$B$76:$BS$76,1,'Mining Employment Monthly'!$B$77:$BS$77,VALUE(CONCATENATE("20",RIGHT('Employment Financial Year'!D$7,2)))))/2)</f>
        <v>6627</v>
      </c>
      <c r="E8" s="128">
        <f>IF($A$25=$A$101,(SUMIFS('Mining Employment Monthly'!$B63:$BS63,'Mining Employment Monthly'!$B$76:$BS$76,2,'Mining Employment Monthly'!$B$77:$BS$77,VALUE(LEFT('Employment Financial Year'!E$7,4)))+SUMIFS('Mining Employment Monthly'!$B63:$BS63,'Mining Employment Monthly'!$B$76:$BS$76,1,'Mining Employment Monthly'!$B$77:$BS$77,VALUE(CONCATENATE("20",RIGHT('Employment Financial Year'!E$7,2)))))/2,(SUMIFS('Mining Employment Monthly'!$B143:$BS143,'Mining Employment Monthly'!$B$76:$BS$76,2,'Mining Employment Monthly'!$B$77:$BS$77,VALUE(LEFT('Employment Financial Year'!E$7,4)))+SUMIFS('Mining Employment Monthly'!$B143:$BS143,'Mining Employment Monthly'!$B$76:$BS$76,1,'Mining Employment Monthly'!$B$77:$BS$77,VALUE(CONCATENATE("20",RIGHT('Employment Financial Year'!E$7,2)))))/2)</f>
        <v>6955.1666666666661</v>
      </c>
      <c r="F8" s="128">
        <f>IF($A$25=$A$101,(SUMIFS('Mining Employment Monthly'!$B63:$BS63,'Mining Employment Monthly'!$B$76:$BS$76,2,'Mining Employment Monthly'!$B$77:$BS$77,VALUE(LEFT('Employment Financial Year'!F$7,4)))+SUMIFS('Mining Employment Monthly'!$B63:$BS63,'Mining Employment Monthly'!$B$76:$BS$76,1,'Mining Employment Monthly'!$B$77:$BS$77,VALUE(CONCATENATE("20",RIGHT('Employment Financial Year'!F$7,2)))))/2,(SUMIFS('Mining Employment Monthly'!$B143:$BS143,'Mining Employment Monthly'!$B$76:$BS$76,2,'Mining Employment Monthly'!$B$77:$BS$77,VALUE(LEFT('Employment Financial Year'!F$7,4)))+SUMIFS('Mining Employment Monthly'!$B143:$BS143,'Mining Employment Monthly'!$B$76:$BS$76,1,'Mining Employment Monthly'!$B$77:$BS$77,VALUE(CONCATENATE("20",RIGHT('Employment Financial Year'!F$7,2)))))/2)</f>
        <v>8462.8333333333339</v>
      </c>
      <c r="G8" s="128">
        <f>IF($A$25=$A$101,(SUMIFS('Mining Employment Monthly'!$B63:$BS63,'Mining Employment Monthly'!$B$76:$BS$76,2,'Mining Employment Monthly'!$B$77:$BS$77,VALUE(LEFT('Employment Financial Year'!G$7,4)))+SUMIFS('Mining Employment Monthly'!$B63:$BS63,'Mining Employment Monthly'!$B$76:$BS$76,1,'Mining Employment Monthly'!$B$77:$BS$77,VALUE(CONCATENATE("20",RIGHT('Employment Financial Year'!G$7,2)))))/2,(SUMIFS('Mining Employment Monthly'!$B143:$BS143,'Mining Employment Monthly'!$B$76:$BS$76,2,'Mining Employment Monthly'!$B$77:$BS$77,VALUE(LEFT('Employment Financial Year'!G$7,4)))+SUMIFS('Mining Employment Monthly'!$B143:$BS143,'Mining Employment Monthly'!$B$76:$BS$76,1,'Mining Employment Monthly'!$B$77:$BS$77,VALUE(CONCATENATE("20",RIGHT('Employment Financial Year'!G$7,2)))))/2)</f>
        <v>9757.4166666666679</v>
      </c>
      <c r="H8" s="128">
        <f>IF($A$25=$A$101,(SUMIFS('Mining Employment Monthly'!$B63:$BS63,'Mining Employment Monthly'!$B$76:$BS$76,2,'Mining Employment Monthly'!$B$77:$BS$77,VALUE(LEFT('Employment Financial Year'!H$7,4)))+SUMIFS('Mining Employment Monthly'!$B63:$BS63,'Mining Employment Monthly'!$B$76:$BS$76,1,'Mining Employment Monthly'!$B$77:$BS$77,VALUE(CONCATENATE("20",RIGHT('Employment Financial Year'!H$7,2)))))/2,(SUMIFS('Mining Employment Monthly'!$B143:$BS143,'Mining Employment Monthly'!$B$76:$BS$76,2,'Mining Employment Monthly'!$B$77:$BS$77,VALUE(LEFT('Employment Financial Year'!H$7,4)))+SUMIFS('Mining Employment Monthly'!$B143:$BS143,'Mining Employment Monthly'!$B$76:$BS$76,1,'Mining Employment Monthly'!$B$77:$BS$77,VALUE(CONCATENATE("20",RIGHT('Employment Financial Year'!H$7,2)))))/2)</f>
        <v>8478.6666666666679</v>
      </c>
      <c r="I8" s="128">
        <f>IF($A$25=$A$101,(SUMIFS('Mining Employment Monthly'!$B63:$BS63,'Mining Employment Monthly'!$B$76:$BS$76,2,'Mining Employment Monthly'!$B$77:$BS$77,VALUE(LEFT('Employment Financial Year'!I$7,4)))+SUMIFS('Mining Employment Monthly'!$B63:$BS63,'Mining Employment Monthly'!$B$76:$BS$76,1,'Mining Employment Monthly'!$B$77:$BS$77,VALUE(CONCATENATE("20",RIGHT('Employment Financial Year'!I$7,2)))))/2,(SUMIFS('Mining Employment Monthly'!$B143:$BS143,'Mining Employment Monthly'!$B$76:$BS$76,2,'Mining Employment Monthly'!$B$77:$BS$77,VALUE(LEFT('Employment Financial Year'!I$7,4)))+SUMIFS('Mining Employment Monthly'!$B143:$BS143,'Mining Employment Monthly'!$B$76:$BS$76,1,'Mining Employment Monthly'!$B$77:$BS$77,VALUE(CONCATENATE("20",RIGHT('Employment Financial Year'!I$7,2)))))/2)</f>
        <v>8267.75</v>
      </c>
      <c r="J8" s="128">
        <f>IF($A$25=$A$101,(SUMIFS('Mining Employment Monthly'!$B63:$BS63,'Mining Employment Monthly'!$B$76:$BS$76,2,'Mining Employment Monthly'!$B$77:$BS$77,VALUE(LEFT('Employment Financial Year'!J$7,4)))+SUMIFS('Mining Employment Monthly'!$B63:$BS63,'Mining Employment Monthly'!$B$76:$BS$76,1,'Mining Employment Monthly'!$B$77:$BS$77,VALUE(CONCATENATE("20",RIGHT('Employment Financial Year'!J$7,2)))))/2,(SUMIFS('Mining Employment Monthly'!$B143:$BS143,'Mining Employment Monthly'!$B$76:$BS$76,2,'Mining Employment Monthly'!$B$77:$BS$77,VALUE(LEFT('Employment Financial Year'!J$7,4)))+SUMIFS('Mining Employment Monthly'!$B143:$BS143,'Mining Employment Monthly'!$B$76:$BS$76,1,'Mining Employment Monthly'!$B$77:$BS$77,VALUE(CONCATENATE("20",RIGHT('Employment Financial Year'!J$7,2)))))/2)</f>
        <v>8153.75</v>
      </c>
      <c r="K8" s="128">
        <f>IF($A$25=$A$101,(SUMIFS('Mining Employment Monthly'!$B63:$BS63,'Mining Employment Monthly'!$B$76:$BS$76,2,'Mining Employment Monthly'!$B$77:$BS$77,VALUE(LEFT('Employment Financial Year'!K$7,4)))+SUMIFS('Mining Employment Monthly'!$B63:$BS63,'Mining Employment Monthly'!$B$76:$BS$76,1,'Mining Employment Monthly'!$B$77:$BS$77,VALUE(CONCATENATE("20",RIGHT('Employment Financial Year'!K$7,2)))))/2,(SUMIFS('Mining Employment Monthly'!$B143:$BS143,'Mining Employment Monthly'!$B$76:$BS$76,2,'Mining Employment Monthly'!$B$77:$BS$77,VALUE(LEFT('Employment Financial Year'!K$7,4)))+SUMIFS('Mining Employment Monthly'!$B143:$BS143,'Mining Employment Monthly'!$B$76:$BS$76,1,'Mining Employment Monthly'!$B$77:$BS$77,VALUE(CONCATENATE("20",RIGHT('Employment Financial Year'!K$7,2)))))/2)</f>
        <v>8820</v>
      </c>
      <c r="L8" s="128">
        <f>IF($A$25=$A$101,(SUMIFS('Mining Employment Monthly'!$B63:$BS63,'Mining Employment Monthly'!$B$76:$BS$76,2,'Mining Employment Monthly'!$B$77:$BS$77,VALUE(LEFT('Employment Financial Year'!L$7,4)))+SUMIFS('Mining Employment Monthly'!$B63:$BS63,'Mining Employment Monthly'!$B$76:$BS$76,1,'Mining Employment Monthly'!$B$77:$BS$77,VALUE(CONCATENATE("20",RIGHT('Employment Financial Year'!L$7,2)))))/2,(SUMIFS('Mining Employment Monthly'!$B143:$BS143,'Mining Employment Monthly'!$B$76:$BS$76,2,'Mining Employment Monthly'!$B$77:$BS$77,VALUE(LEFT('Employment Financial Year'!L$7,4)))+SUMIFS('Mining Employment Monthly'!$B143:$BS143,'Mining Employment Monthly'!$B$76:$BS$76,1,'Mining Employment Monthly'!$B$77:$BS$77,VALUE(CONCATENATE("20",RIGHT('Employment Financial Year'!L$7,2)))))/2)</f>
        <v>10807.583333333332</v>
      </c>
      <c r="M8" s="128">
        <f>IF($A$25=$A$101,(SUMIFS('Mining Employment Monthly'!$B63:$BS63,'Mining Employment Monthly'!$B$76:$BS$76,2,'Mining Employment Monthly'!$B$77:$BS$77,VALUE(LEFT('Employment Financial Year'!M$7,4)))+SUMIFS('Mining Employment Monthly'!$B63:$BS63,'Mining Employment Monthly'!$B$76:$BS$76,1,'Mining Employment Monthly'!$B$77:$BS$77,VALUE(CONCATENATE("20",RIGHT('Employment Financial Year'!M$7,2)))))/2,(SUMIFS('Mining Employment Monthly'!$B143:$BS143,'Mining Employment Monthly'!$B$76:$BS$76,2,'Mining Employment Monthly'!$B$77:$BS$77,VALUE(LEFT('Employment Financial Year'!M$7,4)))+SUMIFS('Mining Employment Monthly'!$B143:$BS143,'Mining Employment Monthly'!$B$76:$BS$76,1,'Mining Employment Monthly'!$B$77:$BS$77,VALUE(CONCATENATE("20",RIGHT('Employment Financial Year'!M$7,2)))))/2)</f>
        <v>10155.833333333332</v>
      </c>
      <c r="N8" s="128">
        <f>IF($A$25=$A$101,(SUMIFS('Mining Employment Monthly'!$B63:$BS63,'Mining Employment Monthly'!$B$76:$BS$76,2,'Mining Employment Monthly'!$B$77:$BS$77,VALUE(LEFT('Employment Financial Year'!N$7,4)))+SUMIFS('Mining Employment Monthly'!$B63:$BS63,'Mining Employment Monthly'!$B$76:$BS$76,1,'Mining Employment Monthly'!$B$77:$BS$77,VALUE(CONCATENATE("20",RIGHT('Employment Financial Year'!N$7,2)))))/2,(SUMIFS('Mining Employment Monthly'!$B143:$BS143,'Mining Employment Monthly'!$B$76:$BS$76,2,'Mining Employment Monthly'!$B$77:$BS$77,VALUE(LEFT('Employment Financial Year'!N$7,4)))+SUMIFS('Mining Employment Monthly'!$B143:$BS143,'Mining Employment Monthly'!$B$76:$BS$76,1,'Mining Employment Monthly'!$B$77:$BS$77,VALUE(CONCATENATE("20",RIGHT('Employment Financial Year'!N$7,2)))))/2)</f>
        <v>7391.5833333333339</v>
      </c>
      <c r="O8" s="128">
        <f>IF($A$25=$A$101,(SUMIFS('Mining Employment Monthly'!$B63:$BS63,'Mining Employment Monthly'!$B$76:$BS$76,2,'Mining Employment Monthly'!$B$77:$BS$77,VALUE(LEFT('Employment Financial Year'!O$7,4)))+SUMIFS('Mining Employment Monthly'!$B63:$BS63,'Mining Employment Monthly'!$B$76:$BS$76,1,'Mining Employment Monthly'!$B$77:$BS$77,VALUE(CONCATENATE("20",RIGHT('Employment Financial Year'!O$7,2)))))/2,(SUMIFS('Mining Employment Monthly'!$B143:$BS143,'Mining Employment Monthly'!$B$76:$BS$76,2,'Mining Employment Monthly'!$B$77:$BS$77,VALUE(LEFT('Employment Financial Year'!O$7,4)))+SUMIFS('Mining Employment Monthly'!$B143:$BS143,'Mining Employment Monthly'!$B$76:$BS$76,1,'Mining Employment Monthly'!$B$77:$BS$77,VALUE(CONCATENATE("20",RIGHT('Employment Financial Year'!O$7,2)))))/2)</f>
        <v>7407.75</v>
      </c>
      <c r="P8" s="128">
        <f>IF($A$25=$A$101,(SUMIFS('Mining Employment Monthly'!$B63:$BS63,'Mining Employment Monthly'!$B$76:$BS$76,2,'Mining Employment Monthly'!$B$77:$BS$77,VALUE(LEFT('Employment Financial Year'!P$7,4)))+SUMIFS('Mining Employment Monthly'!$B63:$BS63,'Mining Employment Monthly'!$B$76:$BS$76,1,'Mining Employment Monthly'!$B$77:$BS$77,VALUE(CONCATENATE("20",RIGHT('Employment Financial Year'!P$7,2)))))/2,(SUMIFS('Mining Employment Monthly'!$B143:$BS143,'Mining Employment Monthly'!$B$76:$BS$76,2,'Mining Employment Monthly'!$B$77:$BS$77,VALUE(LEFT('Employment Financial Year'!P$7,4)))+SUMIFS('Mining Employment Monthly'!$B143:$BS143,'Mining Employment Monthly'!$B$76:$BS$76,1,'Mining Employment Monthly'!$B$77:$BS$77,VALUE(CONCATENATE("20",RIGHT('Employment Financial Year'!P$7,2)))))/2)</f>
        <v>7481.333333333333</v>
      </c>
      <c r="Q8" s="128">
        <f>IF($A$25=$A$101,(SUMIFS('Mining Employment Monthly'!$B63:$BS63,'Mining Employment Monthly'!$B$76:$BS$76,2,'Mining Employment Monthly'!$B$77:$BS$77,VALUE(LEFT('Employment Financial Year'!Q$7,4)))+SUMIFS('Mining Employment Monthly'!$B63:$BS63,'Mining Employment Monthly'!$B$76:$BS$76,1,'Mining Employment Monthly'!$B$77:$BS$77,VALUE(CONCATENATE("20",RIGHT('Employment Financial Year'!Q$7,2)))))/2,(SUMIFS('Mining Employment Monthly'!$B143:$BS143,'Mining Employment Monthly'!$B$76:$BS$76,2,'Mining Employment Monthly'!$B$77:$BS$77,VALUE(LEFT('Employment Financial Year'!Q$7,4)))+SUMIFS('Mining Employment Monthly'!$B143:$BS143,'Mining Employment Monthly'!$B$76:$BS$76,1,'Mining Employment Monthly'!$B$77:$BS$77,VALUE(CONCATENATE("20",RIGHT('Employment Financial Year'!Q$7,2)))))/2)</f>
        <v>7234.166666666667</v>
      </c>
      <c r="R8" s="282">
        <f>IF($A$25=$A$101,(SUMIFS('Mining Employment Monthly'!$B63:$BS63,'Mining Employment Monthly'!$B$76:$BS$76,2,'Mining Employment Monthly'!$B$77:$BS$77,VALUE(LEFT('Employment Financial Year'!R$7,4)))+SUMIFS('Mining Employment Monthly'!$B63:$BS63,'Mining Employment Monthly'!$B$76:$BS$76,1,'Mining Employment Monthly'!$B$77:$BS$77,VALUE(CONCATENATE("20",RIGHT('Employment Financial Year'!R$7,2)))))/2,(SUMIFS('Mining Employment Monthly'!$B143:$BS143,'Mining Employment Monthly'!$B$76:$BS$76,2,'Mining Employment Monthly'!$B$77:$BS$77,VALUE(LEFT('Employment Financial Year'!R$7,4)))+SUMIFS('Mining Employment Monthly'!$B143:$BS143,'Mining Employment Monthly'!$B$76:$BS$76,1,'Mining Employment Monthly'!$B$77:$BS$77,VALUE(CONCATENATE("20",RIGHT('Employment Financial Year'!R$7,2)))))/2)</f>
        <v>6644.75</v>
      </c>
      <c r="S8" s="282">
        <f>IF($A$25=$A$101,(SUMIFS('Mining Employment Monthly'!$B63:$BS63,'Mining Employment Monthly'!$B$76:$BS$76,2,'Mining Employment Monthly'!$B$77:$BS$77,VALUE(LEFT('Employment Financial Year'!S$7,4)))+SUMIFS('Mining Employment Monthly'!$B63:$BS63,'Mining Employment Monthly'!$B$76:$BS$76,1,'Mining Employment Monthly'!$B$77:$BS$77,VALUE(CONCATENATE("20",RIGHT('Employment Financial Year'!S$7,2)))))/2,(SUMIFS('Mining Employment Monthly'!$B143:$BS143,'Mining Employment Monthly'!$B$76:$BS$76,2,'Mining Employment Monthly'!$B$77:$BS$77,VALUE(LEFT('Employment Financial Year'!S$7,4)))+SUMIFS('Mining Employment Monthly'!$B143:$BS143,'Mining Employment Monthly'!$B$76:$BS$76,1,'Mining Employment Monthly'!$B$77:$BS$77,VALUE(CONCATENATE("20",RIGHT('Employment Financial Year'!S$7,2)))))/2)</f>
        <v>6849.5833333333339</v>
      </c>
      <c r="T8" s="282">
        <f>IF($A$25=$A$101,(SUMIFS('Mining Employment Monthly'!$B63:$BS63,'Mining Employment Monthly'!$B$76:$BS$76,2,'Mining Employment Monthly'!$B$77:$BS$77,VALUE(LEFT('Employment Financial Year'!T$7,4)))+SUMIFS('Mining Employment Monthly'!$B63:$BS63,'Mining Employment Monthly'!$B$76:$BS$76,1,'Mining Employment Monthly'!$B$77:$BS$77,VALUE(CONCATENATE("20",RIGHT('Employment Financial Year'!T$7,2)))))/2,(SUMIFS('Mining Employment Monthly'!$B143:$BS143,'Mining Employment Monthly'!$B$76:$BS$76,2,'Mining Employment Monthly'!$B$77:$BS$77,VALUE(LEFT('Employment Financial Year'!T$7,4)))+SUMIFS('Mining Employment Monthly'!$B143:$BS143,'Mining Employment Monthly'!$B$76:$BS$76,1,'Mining Employment Monthly'!$B$77:$BS$77,VALUE(CONCATENATE("20",RIGHT('Employment Financial Year'!T$7,2)))))/2)</f>
        <v>7330.0833333333339</v>
      </c>
      <c r="U8" s="282">
        <f>IF($A$25=$A$101,(SUMIFS('Mining Employment Monthly'!$B63:$BS63,'Mining Employment Monthly'!$B$76:$BS$76,2,'Mining Employment Monthly'!$B$77:$BS$77,VALUE(LEFT('Employment Financial Year'!U$7,4)))+SUMIFS('Mining Employment Monthly'!$B63:$BS63,'Mining Employment Monthly'!$B$76:$BS$76,1,'Mining Employment Monthly'!$B$77:$BS$77,VALUE(CONCATENATE("20",RIGHT('Employment Financial Year'!U$7,2)))))/2,(SUMIFS('Mining Employment Monthly'!$B143:$BS143,'Mining Employment Monthly'!$B$76:$BS$76,2,'Mining Employment Monthly'!$B$77:$BS$77,VALUE(LEFT('Employment Financial Year'!U$7,4)))+SUMIFS('Mining Employment Monthly'!$B143:$BS143,'Mining Employment Monthly'!$B$76:$BS$76,1,'Mining Employment Monthly'!$B$77:$BS$77,VALUE(CONCATENATE("20",RIGHT('Employment Financial Year'!U$7,2)))))/2)</f>
        <v>8434.0833333333339</v>
      </c>
      <c r="V8" s="987">
        <f>IF($A$25=$A$101,(SUMIFS('Mining Employment Monthly'!$B63:$BS63,'Mining Employment Monthly'!$B$76:$BS$76,2,'Mining Employment Monthly'!$B$77:$BS$77,VALUE(LEFT('Employment Financial Year'!V$7,4)))+SUMIFS('Mining Employment Monthly'!$B63:$BS63,'Mining Employment Monthly'!$B$76:$BS$76,1,'Mining Employment Monthly'!$B$77:$BS$77,VALUE(CONCATENATE("20",RIGHT('Employment Financial Year'!V$7,2)))))/2,(SUMIFS('Mining Employment Monthly'!$B143:$BS143,'Mining Employment Monthly'!$B$76:$BS$76,2,'Mining Employment Monthly'!$B$77:$BS$77,VALUE(LEFT('Employment Financial Year'!V$7,4)))+SUMIFS('Mining Employment Monthly'!$B143:$BS143,'Mining Employment Monthly'!$B$76:$BS$76,1,'Mining Employment Monthly'!$B$77:$BS$77,VALUE(CONCATENATE("20",RIGHT('Employment Financial Year'!V$7,2)))))/2)</f>
        <v>10078.5</v>
      </c>
    </row>
    <row r="9" spans="1:109" s="55" customFormat="1">
      <c r="A9" s="49" t="s">
        <v>43</v>
      </c>
      <c r="B9" s="130"/>
      <c r="C9" s="170">
        <f>IF($A$25=$A$101,(SUMIFS('Mining Employment Monthly'!$B62:$BS62,'Mining Employment Monthly'!$B$76:$BS$76,2,'Mining Employment Monthly'!$B$77:$BS$77,VALUE(LEFT('Employment Financial Year'!C$7,4)))+SUMIFS('Mining Employment Monthly'!$B62:$BS62,'Mining Employment Monthly'!$B$76:$BS$76,1,'Mining Employment Monthly'!$B$77:$BS$77,VALUE(CONCATENATE("20",RIGHT('Employment Financial Year'!C$7,2)))))/2,(SUMIFS('Mining Employment Monthly'!$B142:$BS142,'Mining Employment Monthly'!$B$76:$BS$76,2,'Mining Employment Monthly'!$B$77:$BS$77,VALUE(LEFT('Employment Financial Year'!C$7,4)))+SUMIFS('Mining Employment Monthly'!$B142:$BS142,'Mining Employment Monthly'!$B$76:$BS$76,1,'Mining Employment Monthly'!$B$77:$BS$77,VALUE(CONCATENATE("20",RIGHT('Employment Financial Year'!C$7,2)))))/2)</f>
        <v>1083.3333333333335</v>
      </c>
      <c r="D9" s="170">
        <f>IF($A$25=$A$101,(SUMIFS('Mining Employment Monthly'!$B62:$BS62,'Mining Employment Monthly'!$B$76:$BS$76,2,'Mining Employment Monthly'!$B$77:$BS$77,VALUE(LEFT('Employment Financial Year'!D$7,4)))+SUMIFS('Mining Employment Monthly'!$B62:$BS62,'Mining Employment Monthly'!$B$76:$BS$76,1,'Mining Employment Monthly'!$B$77:$BS$77,VALUE(CONCATENATE("20",RIGHT('Employment Financial Year'!D$7,2)))))/2,(SUMIFS('Mining Employment Monthly'!$B142:$BS142,'Mining Employment Monthly'!$B$76:$BS$76,2,'Mining Employment Monthly'!$B$77:$BS$77,VALUE(LEFT('Employment Financial Year'!D$7,4)))+SUMIFS('Mining Employment Monthly'!$B142:$BS142,'Mining Employment Monthly'!$B$76:$BS$76,1,'Mining Employment Monthly'!$B$77:$BS$77,VALUE(CONCATENATE("20",RIGHT('Employment Financial Year'!D$7,2)))))/2)</f>
        <v>1146.5</v>
      </c>
      <c r="E9" s="170">
        <f>IF($A$25=$A$101,(SUMIFS('Mining Employment Monthly'!$B62:$BS62,'Mining Employment Monthly'!$B$76:$BS$76,2,'Mining Employment Monthly'!$B$77:$BS$77,VALUE(LEFT('Employment Financial Year'!E$7,4)))+SUMIFS('Mining Employment Monthly'!$B62:$BS62,'Mining Employment Monthly'!$B$76:$BS$76,1,'Mining Employment Monthly'!$B$77:$BS$77,VALUE(CONCATENATE("20",RIGHT('Employment Financial Year'!E$7,2)))))/2,(SUMIFS('Mining Employment Monthly'!$B142:$BS142,'Mining Employment Monthly'!$B$76:$BS$76,2,'Mining Employment Monthly'!$B$77:$BS$77,VALUE(LEFT('Employment Financial Year'!E$7,4)))+SUMIFS('Mining Employment Monthly'!$B142:$BS142,'Mining Employment Monthly'!$B$76:$BS$76,1,'Mining Employment Monthly'!$B$77:$BS$77,VALUE(CONCATENATE("20",RIGHT('Employment Financial Year'!E$7,2)))))/2)</f>
        <v>914.33333333333326</v>
      </c>
      <c r="F9" s="170">
        <f>IF($A$25=$A$101,(SUMIFS('Mining Employment Monthly'!$B62:$BS62,'Mining Employment Monthly'!$B$76:$BS$76,2,'Mining Employment Monthly'!$B$77:$BS$77,VALUE(LEFT('Employment Financial Year'!F$7,4)))+SUMIFS('Mining Employment Monthly'!$B62:$BS62,'Mining Employment Monthly'!$B$76:$BS$76,1,'Mining Employment Monthly'!$B$77:$BS$77,VALUE(CONCATENATE("20",RIGHT('Employment Financial Year'!F$7,2)))))/2,(SUMIFS('Mining Employment Monthly'!$B142:$BS142,'Mining Employment Monthly'!$B$76:$BS$76,2,'Mining Employment Monthly'!$B$77:$BS$77,VALUE(LEFT('Employment Financial Year'!F$7,4)))+SUMIFS('Mining Employment Monthly'!$B142:$BS142,'Mining Employment Monthly'!$B$76:$BS$76,1,'Mining Employment Monthly'!$B$77:$BS$77,VALUE(CONCATENATE("20",RIGHT('Employment Financial Year'!F$7,2)))))/2)</f>
        <v>1112.25</v>
      </c>
      <c r="G9" s="170">
        <f>IF($A$25=$A$101,(SUMIFS('Mining Employment Monthly'!$B62:$BS62,'Mining Employment Monthly'!$B$76:$BS$76,2,'Mining Employment Monthly'!$B$77:$BS$77,VALUE(LEFT('Employment Financial Year'!G$7,4)))+SUMIFS('Mining Employment Monthly'!$B62:$BS62,'Mining Employment Monthly'!$B$76:$BS$76,1,'Mining Employment Monthly'!$B$77:$BS$77,VALUE(CONCATENATE("20",RIGHT('Employment Financial Year'!G$7,2)))))/2,(SUMIFS('Mining Employment Monthly'!$B142:$BS142,'Mining Employment Monthly'!$B$76:$BS$76,2,'Mining Employment Monthly'!$B$77:$BS$77,VALUE(LEFT('Employment Financial Year'!G$7,4)))+SUMIFS('Mining Employment Monthly'!$B142:$BS142,'Mining Employment Monthly'!$B$76:$BS$76,1,'Mining Employment Monthly'!$B$77:$BS$77,VALUE(CONCATENATE("20",RIGHT('Employment Financial Year'!G$7,2)))))/2)</f>
        <v>1881.0833333333335</v>
      </c>
      <c r="H9" s="170">
        <f>IF($A$25=$A$101,(SUMIFS('Mining Employment Monthly'!$B62:$BS62,'Mining Employment Monthly'!$B$76:$BS$76,2,'Mining Employment Monthly'!$B$77:$BS$77,VALUE(LEFT('Employment Financial Year'!H$7,4)))+SUMIFS('Mining Employment Monthly'!$B62:$BS62,'Mining Employment Monthly'!$B$76:$BS$76,1,'Mining Employment Monthly'!$B$77:$BS$77,VALUE(CONCATENATE("20",RIGHT('Employment Financial Year'!H$7,2)))))/2,(SUMIFS('Mining Employment Monthly'!$B142:$BS142,'Mining Employment Monthly'!$B$76:$BS$76,2,'Mining Employment Monthly'!$B$77:$BS$77,VALUE(LEFT('Employment Financial Year'!H$7,4)))+SUMIFS('Mining Employment Monthly'!$B142:$BS142,'Mining Employment Monthly'!$B$76:$BS$76,1,'Mining Employment Monthly'!$B$77:$BS$77,VALUE(CONCATENATE("20",RIGHT('Employment Financial Year'!H$7,2)))))/2)</f>
        <v>2122.25</v>
      </c>
      <c r="I9" s="170">
        <f>IF($A$25=$A$101,(SUMIFS('Mining Employment Monthly'!$B62:$BS62,'Mining Employment Monthly'!$B$76:$BS$76,2,'Mining Employment Monthly'!$B$77:$BS$77,VALUE(LEFT('Employment Financial Year'!I$7,4)))+SUMIFS('Mining Employment Monthly'!$B62:$BS62,'Mining Employment Monthly'!$B$76:$BS$76,1,'Mining Employment Monthly'!$B$77:$BS$77,VALUE(CONCATENATE("20",RIGHT('Employment Financial Year'!I$7,2)))))/2,(SUMIFS('Mining Employment Monthly'!$B142:$BS142,'Mining Employment Monthly'!$B$76:$BS$76,2,'Mining Employment Monthly'!$B$77:$BS$77,VALUE(LEFT('Employment Financial Year'!I$7,4)))+SUMIFS('Mining Employment Monthly'!$B142:$BS142,'Mining Employment Monthly'!$B$76:$BS$76,1,'Mining Employment Monthly'!$B$77:$BS$77,VALUE(CONCATENATE("20",RIGHT('Employment Financial Year'!I$7,2)))))/2)</f>
        <v>2382.25</v>
      </c>
      <c r="J9" s="170">
        <f>IF($A$25=$A$101,(SUMIFS('Mining Employment Monthly'!$B62:$BS62,'Mining Employment Monthly'!$B$76:$BS$76,2,'Mining Employment Monthly'!$B$77:$BS$77,VALUE(LEFT('Employment Financial Year'!J$7,4)))+SUMIFS('Mining Employment Monthly'!$B62:$BS62,'Mining Employment Monthly'!$B$76:$BS$76,1,'Mining Employment Monthly'!$B$77:$BS$77,VALUE(CONCATENATE("20",RIGHT('Employment Financial Year'!J$7,2)))))/2,(SUMIFS('Mining Employment Monthly'!$B142:$BS142,'Mining Employment Monthly'!$B$76:$BS$76,2,'Mining Employment Monthly'!$B$77:$BS$77,VALUE(LEFT('Employment Financial Year'!J$7,4)))+SUMIFS('Mining Employment Monthly'!$B142:$BS142,'Mining Employment Monthly'!$B$76:$BS$76,1,'Mining Employment Monthly'!$B$77:$BS$77,VALUE(CONCATENATE("20",RIGHT('Employment Financial Year'!J$7,2)))))/2)</f>
        <v>1926.8333333333333</v>
      </c>
      <c r="K9" s="170">
        <f>IF($A$25=$A$101,(SUMIFS('Mining Employment Monthly'!$B62:$BS62,'Mining Employment Monthly'!$B$76:$BS$76,2,'Mining Employment Monthly'!$B$77:$BS$77,VALUE(LEFT('Employment Financial Year'!K$7,4)))+SUMIFS('Mining Employment Monthly'!$B62:$BS62,'Mining Employment Monthly'!$B$76:$BS$76,1,'Mining Employment Monthly'!$B$77:$BS$77,VALUE(CONCATENATE("20",RIGHT('Employment Financial Year'!K$7,2)))))/2,(SUMIFS('Mining Employment Monthly'!$B142:$BS142,'Mining Employment Monthly'!$B$76:$BS$76,2,'Mining Employment Monthly'!$B$77:$BS$77,VALUE(LEFT('Employment Financial Year'!K$7,4)))+SUMIFS('Mining Employment Monthly'!$B142:$BS142,'Mining Employment Monthly'!$B$76:$BS$76,1,'Mining Employment Monthly'!$B$77:$BS$77,VALUE(CONCATENATE("20",RIGHT('Employment Financial Year'!K$7,2)))))/2)</f>
        <v>1929.3333333333335</v>
      </c>
      <c r="L9" s="170">
        <f>IF($A$25=$A$101,(SUMIFS('Mining Employment Monthly'!$B62:$BS62,'Mining Employment Monthly'!$B$76:$BS$76,2,'Mining Employment Monthly'!$B$77:$BS$77,VALUE(LEFT('Employment Financial Year'!L$7,4)))+SUMIFS('Mining Employment Monthly'!$B62:$BS62,'Mining Employment Monthly'!$B$76:$BS$76,1,'Mining Employment Monthly'!$B$77:$BS$77,VALUE(CONCATENATE("20",RIGHT('Employment Financial Year'!L$7,2)))))/2,(SUMIFS('Mining Employment Monthly'!$B142:$BS142,'Mining Employment Monthly'!$B$76:$BS$76,2,'Mining Employment Monthly'!$B$77:$BS$77,VALUE(LEFT('Employment Financial Year'!L$7,4)))+SUMIFS('Mining Employment Monthly'!$B142:$BS142,'Mining Employment Monthly'!$B$76:$BS$76,1,'Mining Employment Monthly'!$B$77:$BS$77,VALUE(CONCATENATE("20",RIGHT('Employment Financial Year'!L$7,2)))))/2)</f>
        <v>2315.75</v>
      </c>
      <c r="M9" s="170">
        <f>IF($A$25=$A$101,(SUMIFS('Mining Employment Monthly'!$B62:$BS62,'Mining Employment Monthly'!$B$76:$BS$76,2,'Mining Employment Monthly'!$B$77:$BS$77,VALUE(LEFT('Employment Financial Year'!M$7,4)))+SUMIFS('Mining Employment Monthly'!$B62:$BS62,'Mining Employment Monthly'!$B$76:$BS$76,1,'Mining Employment Monthly'!$B$77:$BS$77,VALUE(CONCATENATE("20",RIGHT('Employment Financial Year'!M$7,2)))))/2,(SUMIFS('Mining Employment Monthly'!$B142:$BS142,'Mining Employment Monthly'!$B$76:$BS$76,2,'Mining Employment Monthly'!$B$77:$BS$77,VALUE(LEFT('Employment Financial Year'!M$7,4)))+SUMIFS('Mining Employment Monthly'!$B142:$BS142,'Mining Employment Monthly'!$B$76:$BS$76,1,'Mining Employment Monthly'!$B$77:$BS$77,VALUE(CONCATENATE("20",RIGHT('Employment Financial Year'!M$7,2)))))/2)</f>
        <v>2907.6666666666665</v>
      </c>
      <c r="N9" s="170">
        <f>IF($A$25=$A$101,(SUMIFS('Mining Employment Monthly'!$B62:$BS62,'Mining Employment Monthly'!$B$76:$BS$76,2,'Mining Employment Monthly'!$B$77:$BS$77,VALUE(LEFT('Employment Financial Year'!N$7,4)))+SUMIFS('Mining Employment Monthly'!$B62:$BS62,'Mining Employment Monthly'!$B$76:$BS$76,1,'Mining Employment Monthly'!$B$77:$BS$77,VALUE(CONCATENATE("20",RIGHT('Employment Financial Year'!N$7,2)))))/2,(SUMIFS('Mining Employment Monthly'!$B142:$BS142,'Mining Employment Monthly'!$B$76:$BS$76,2,'Mining Employment Monthly'!$B$77:$BS$77,VALUE(LEFT('Employment Financial Year'!N$7,4)))+SUMIFS('Mining Employment Monthly'!$B142:$BS142,'Mining Employment Monthly'!$B$76:$BS$76,1,'Mining Employment Monthly'!$B$77:$BS$77,VALUE(CONCATENATE("20",RIGHT('Employment Financial Year'!N$7,2)))))/2)</f>
        <v>2920</v>
      </c>
      <c r="O9" s="170">
        <f>IF($A$25=$A$101,(SUMIFS('Mining Employment Monthly'!$B62:$BS62,'Mining Employment Monthly'!$B$76:$BS$76,2,'Mining Employment Monthly'!$B$77:$BS$77,VALUE(LEFT('Employment Financial Year'!O$7,4)))+SUMIFS('Mining Employment Monthly'!$B62:$BS62,'Mining Employment Monthly'!$B$76:$BS$76,1,'Mining Employment Monthly'!$B$77:$BS$77,VALUE(CONCATENATE("20",RIGHT('Employment Financial Year'!O$7,2)))))/2,(SUMIFS('Mining Employment Monthly'!$B142:$BS142,'Mining Employment Monthly'!$B$76:$BS$76,2,'Mining Employment Monthly'!$B$77:$BS$77,VALUE(LEFT('Employment Financial Year'!O$7,4)))+SUMIFS('Mining Employment Monthly'!$B142:$BS142,'Mining Employment Monthly'!$B$76:$BS$76,1,'Mining Employment Monthly'!$B$77:$BS$77,VALUE(CONCATENATE("20",RIGHT('Employment Financial Year'!O$7,2)))))/2)</f>
        <v>2649.166666666667</v>
      </c>
      <c r="P9" s="170">
        <f>IF($A$25=$A$101,(SUMIFS('Mining Employment Monthly'!$B62:$BS62,'Mining Employment Monthly'!$B$76:$BS$76,2,'Mining Employment Monthly'!$B$77:$BS$77,VALUE(LEFT('Employment Financial Year'!P$7,4)))+SUMIFS('Mining Employment Monthly'!$B62:$BS62,'Mining Employment Monthly'!$B$76:$BS$76,1,'Mining Employment Monthly'!$B$77:$BS$77,VALUE(CONCATENATE("20",RIGHT('Employment Financial Year'!P$7,2)))))/2,(SUMIFS('Mining Employment Monthly'!$B142:$BS142,'Mining Employment Monthly'!$B$76:$BS$76,2,'Mining Employment Monthly'!$B$77:$BS$77,VALUE(LEFT('Employment Financial Year'!P$7,4)))+SUMIFS('Mining Employment Monthly'!$B142:$BS142,'Mining Employment Monthly'!$B$76:$BS$76,1,'Mining Employment Monthly'!$B$77:$BS$77,VALUE(CONCATENATE("20",RIGHT('Employment Financial Year'!P$7,2)))))/2)</f>
        <v>2531.333333333333</v>
      </c>
      <c r="Q9" s="170">
        <f>IF($A$25=$A$101,(SUMIFS('Mining Employment Monthly'!$B62:$BS62,'Mining Employment Monthly'!$B$76:$BS$76,2,'Mining Employment Monthly'!$B$77:$BS$77,VALUE(LEFT('Employment Financial Year'!Q$7,4)))+SUMIFS('Mining Employment Monthly'!$B62:$BS62,'Mining Employment Monthly'!$B$76:$BS$76,1,'Mining Employment Monthly'!$B$77:$BS$77,VALUE(CONCATENATE("20",RIGHT('Employment Financial Year'!Q$7,2)))))/2,(SUMIFS('Mining Employment Monthly'!$B142:$BS142,'Mining Employment Monthly'!$B$76:$BS$76,2,'Mining Employment Monthly'!$B$77:$BS$77,VALUE(LEFT('Employment Financial Year'!Q$7,4)))+SUMIFS('Mining Employment Monthly'!$B142:$BS142,'Mining Employment Monthly'!$B$76:$BS$76,1,'Mining Employment Monthly'!$B$77:$BS$77,VALUE(CONCATENATE("20",RIGHT('Employment Financial Year'!Q$7,2)))))/2)</f>
        <v>2358.333333333333</v>
      </c>
      <c r="R9" s="233">
        <f>IF($A$25=$A$101,(SUMIFS('Mining Employment Monthly'!$B62:$BS62,'Mining Employment Monthly'!$B$76:$BS$76,2,'Mining Employment Monthly'!$B$77:$BS$77,VALUE(LEFT('Employment Financial Year'!R$7,4)))+SUMIFS('Mining Employment Monthly'!$B62:$BS62,'Mining Employment Monthly'!$B$76:$BS$76,1,'Mining Employment Monthly'!$B$77:$BS$77,VALUE(CONCATENATE("20",RIGHT('Employment Financial Year'!R$7,2)))))/2,(SUMIFS('Mining Employment Monthly'!$B142:$BS142,'Mining Employment Monthly'!$B$76:$BS$76,2,'Mining Employment Monthly'!$B$77:$BS$77,VALUE(LEFT('Employment Financial Year'!R$7,4)))+SUMIFS('Mining Employment Monthly'!$B142:$BS142,'Mining Employment Monthly'!$B$76:$BS$76,1,'Mining Employment Monthly'!$B$77:$BS$77,VALUE(CONCATENATE("20",RIGHT('Employment Financial Year'!R$7,2)))))/2)</f>
        <v>2248.9166666666665</v>
      </c>
      <c r="S9" s="233">
        <f>IF($A$25=$A$101,(SUMIFS('Mining Employment Monthly'!$B62:$BS62,'Mining Employment Monthly'!$B$76:$BS$76,2,'Mining Employment Monthly'!$B$77:$BS$77,VALUE(LEFT('Employment Financial Year'!S$7,4)))+SUMIFS('Mining Employment Monthly'!$B62:$BS62,'Mining Employment Monthly'!$B$76:$BS$76,1,'Mining Employment Monthly'!$B$77:$BS$77,VALUE(CONCATENATE("20",RIGHT('Employment Financial Year'!S$7,2)))))/2,(SUMIFS('Mining Employment Monthly'!$B142:$BS142,'Mining Employment Monthly'!$B$76:$BS$76,2,'Mining Employment Monthly'!$B$77:$BS$77,VALUE(LEFT('Employment Financial Year'!S$7,4)))+SUMIFS('Mining Employment Monthly'!$B142:$BS142,'Mining Employment Monthly'!$B$76:$BS$76,1,'Mining Employment Monthly'!$B$77:$BS$77,VALUE(CONCATENATE("20",RIGHT('Employment Financial Year'!S$7,2)))))/2)</f>
        <v>2542</v>
      </c>
      <c r="T9" s="233">
        <f>IF($A$25=$A$101,(SUMIFS('Mining Employment Monthly'!$B62:$BS62,'Mining Employment Monthly'!$B$76:$BS$76,2,'Mining Employment Monthly'!$B$77:$BS$77,VALUE(LEFT('Employment Financial Year'!T$7,4)))+SUMIFS('Mining Employment Monthly'!$B62:$BS62,'Mining Employment Monthly'!$B$76:$BS$76,1,'Mining Employment Monthly'!$B$77:$BS$77,VALUE(CONCATENATE("20",RIGHT('Employment Financial Year'!T$7,2)))))/2,(SUMIFS('Mining Employment Monthly'!$B142:$BS142,'Mining Employment Monthly'!$B$76:$BS$76,2,'Mining Employment Monthly'!$B$77:$BS$77,VALUE(LEFT('Employment Financial Year'!T$7,4)))+SUMIFS('Mining Employment Monthly'!$B142:$BS142,'Mining Employment Monthly'!$B$76:$BS$76,1,'Mining Employment Monthly'!$B$77:$BS$77,VALUE(CONCATENATE("20",RIGHT('Employment Financial Year'!T$7,2)))))/2)</f>
        <v>2629.8333333333335</v>
      </c>
      <c r="U9" s="233">
        <f>IF($A$25=$A$101,(SUMIFS('Mining Employment Monthly'!$B62:$BS62,'Mining Employment Monthly'!$B$76:$BS$76,2,'Mining Employment Monthly'!$B$77:$BS$77,VALUE(LEFT('Employment Financial Year'!U$7,4)))+SUMIFS('Mining Employment Monthly'!$B62:$BS62,'Mining Employment Monthly'!$B$76:$BS$76,1,'Mining Employment Monthly'!$B$77:$BS$77,VALUE(CONCATENATE("20",RIGHT('Employment Financial Year'!U$7,2)))))/2,(SUMIFS('Mining Employment Monthly'!$B142:$BS142,'Mining Employment Monthly'!$B$76:$BS$76,2,'Mining Employment Monthly'!$B$77:$BS$77,VALUE(LEFT('Employment Financial Year'!U$7,4)))+SUMIFS('Mining Employment Monthly'!$B142:$BS142,'Mining Employment Monthly'!$B$76:$BS$76,1,'Mining Employment Monthly'!$B$77:$BS$77,VALUE(CONCATENATE("20",RIGHT('Employment Financial Year'!U$7,2)))))/2)</f>
        <v>2636</v>
      </c>
      <c r="V9" s="131">
        <f>IF($A$25=$A$101,(SUMIFS('Mining Employment Monthly'!$B62:$BS62,'Mining Employment Monthly'!$B$76:$BS$76,2,'Mining Employment Monthly'!$B$77:$BS$77,VALUE(LEFT('Employment Financial Year'!V$7,4)))+SUMIFS('Mining Employment Monthly'!$B62:$BS62,'Mining Employment Monthly'!$B$76:$BS$76,1,'Mining Employment Monthly'!$B$77:$BS$77,VALUE(CONCATENATE("20",RIGHT('Employment Financial Year'!V$7,2)))))/2,(SUMIFS('Mining Employment Monthly'!$B142:$BS142,'Mining Employment Monthly'!$B$76:$BS$76,2,'Mining Employment Monthly'!$B$77:$BS$77,VALUE(LEFT('Employment Financial Year'!V$7,4)))+SUMIFS('Mining Employment Monthly'!$B142:$BS142,'Mining Employment Monthly'!$B$76:$BS$76,1,'Mining Employment Monthly'!$B$77:$BS$77,VALUE(CONCATENATE("20",RIGHT('Employment Financial Year'!V$7,2)))))/2)</f>
        <v>2318.583333333333</v>
      </c>
    </row>
    <row r="10" spans="1:109" s="55" customFormat="1">
      <c r="A10" s="49" t="s">
        <v>44</v>
      </c>
      <c r="B10" s="129"/>
      <c r="C10" s="128">
        <f>IF($A$25=$A$101,(SUMIFS('Mining Employment Monthly'!$B64:$BS64,'Mining Employment Monthly'!$B$76:$BS$76,2,'Mining Employment Monthly'!$B$77:$BS$77,VALUE(LEFT('Employment Financial Year'!C$7,4)))+SUMIFS('Mining Employment Monthly'!$B64:$BS64,'Mining Employment Monthly'!$B$76:$BS$76,1,'Mining Employment Monthly'!$B$77:$BS$77,VALUE(CONCATENATE("20",RIGHT('Employment Financial Year'!C$7,2)))))/2,(SUMIFS('Mining Employment Monthly'!$B144:$BS144,'Mining Employment Monthly'!$B$76:$BS$76,2,'Mining Employment Monthly'!$B$77:$BS$77,VALUE(LEFT('Employment Financial Year'!C$7,4)))+SUMIFS('Mining Employment Monthly'!$B144:$BS144,'Mining Employment Monthly'!$B$76:$BS$76,1,'Mining Employment Monthly'!$B$77:$BS$77,VALUE(CONCATENATE("20",RIGHT('Employment Financial Year'!C$7,2)))))/2)</f>
        <v>662.08333333333337</v>
      </c>
      <c r="D10" s="128">
        <f>IF($A$25=$A$101,(SUMIFS('Mining Employment Monthly'!$B64:$BS64,'Mining Employment Monthly'!$B$76:$BS$76,2,'Mining Employment Monthly'!$B$77:$BS$77,VALUE(LEFT('Employment Financial Year'!D$7,4)))+SUMIFS('Mining Employment Monthly'!$B64:$BS64,'Mining Employment Monthly'!$B$76:$BS$76,1,'Mining Employment Monthly'!$B$77:$BS$77,VALUE(CONCATENATE("20",RIGHT('Employment Financial Year'!D$7,2)))))/2,(SUMIFS('Mining Employment Monthly'!$B144:$BS144,'Mining Employment Monthly'!$B$76:$BS$76,2,'Mining Employment Monthly'!$B$77:$BS$77,VALUE(LEFT('Employment Financial Year'!D$7,4)))+SUMIFS('Mining Employment Monthly'!$B144:$BS144,'Mining Employment Monthly'!$B$76:$BS$76,1,'Mining Employment Monthly'!$B$77:$BS$77,VALUE(CONCATENATE("20",RIGHT('Employment Financial Year'!D$7,2)))))/2)</f>
        <v>639.91666666666663</v>
      </c>
      <c r="E10" s="128">
        <f>IF($A$25=$A$101,(SUMIFS('Mining Employment Monthly'!$B64:$BS64,'Mining Employment Monthly'!$B$76:$BS$76,2,'Mining Employment Monthly'!$B$77:$BS$77,VALUE(LEFT('Employment Financial Year'!E$7,4)))+SUMIFS('Mining Employment Monthly'!$B64:$BS64,'Mining Employment Monthly'!$B$76:$BS$76,1,'Mining Employment Monthly'!$B$77:$BS$77,VALUE(CONCATENATE("20",RIGHT('Employment Financial Year'!E$7,2)))))/2,(SUMIFS('Mining Employment Monthly'!$B144:$BS144,'Mining Employment Monthly'!$B$76:$BS$76,2,'Mining Employment Monthly'!$B$77:$BS$77,VALUE(LEFT('Employment Financial Year'!E$7,4)))+SUMIFS('Mining Employment Monthly'!$B144:$BS144,'Mining Employment Monthly'!$B$76:$BS$76,1,'Mining Employment Monthly'!$B$77:$BS$77,VALUE(CONCATENATE("20",RIGHT('Employment Financial Year'!E$7,2)))))/2)</f>
        <v>640.75</v>
      </c>
      <c r="F10" s="128">
        <f>IF($A$25=$A$101,(SUMIFS('Mining Employment Monthly'!$B64:$BS64,'Mining Employment Monthly'!$B$76:$BS$76,2,'Mining Employment Monthly'!$B$77:$BS$77,VALUE(LEFT('Employment Financial Year'!F$7,4)))+SUMIFS('Mining Employment Monthly'!$B64:$BS64,'Mining Employment Monthly'!$B$76:$BS$76,1,'Mining Employment Monthly'!$B$77:$BS$77,VALUE(CONCATENATE("20",RIGHT('Employment Financial Year'!F$7,2)))))/2,(SUMIFS('Mining Employment Monthly'!$B144:$BS144,'Mining Employment Monthly'!$B$76:$BS$76,2,'Mining Employment Monthly'!$B$77:$BS$77,VALUE(LEFT('Employment Financial Year'!F$7,4)))+SUMIFS('Mining Employment Monthly'!$B144:$BS144,'Mining Employment Monthly'!$B$76:$BS$76,1,'Mining Employment Monthly'!$B$77:$BS$77,VALUE(CONCATENATE("20",RIGHT('Employment Financial Year'!F$7,2)))))/2)</f>
        <v>682.08333333333326</v>
      </c>
      <c r="G10" s="128">
        <f>IF($A$25=$A$101,(SUMIFS('Mining Employment Monthly'!$B64:$BS64,'Mining Employment Monthly'!$B$76:$BS$76,2,'Mining Employment Monthly'!$B$77:$BS$77,VALUE(LEFT('Employment Financial Year'!G$7,4)))+SUMIFS('Mining Employment Monthly'!$B64:$BS64,'Mining Employment Monthly'!$B$76:$BS$76,1,'Mining Employment Monthly'!$B$77:$BS$77,VALUE(CONCATENATE("20",RIGHT('Employment Financial Year'!G$7,2)))))/2,(SUMIFS('Mining Employment Monthly'!$B144:$BS144,'Mining Employment Monthly'!$B$76:$BS$76,2,'Mining Employment Monthly'!$B$77:$BS$77,VALUE(LEFT('Employment Financial Year'!G$7,4)))+SUMIFS('Mining Employment Monthly'!$B144:$BS144,'Mining Employment Monthly'!$B$76:$BS$76,1,'Mining Employment Monthly'!$B$77:$BS$77,VALUE(CONCATENATE("20",RIGHT('Employment Financial Year'!G$7,2)))))/2)</f>
        <v>750.58333333333326</v>
      </c>
      <c r="H10" s="128">
        <f>IF($A$25=$A$101,(SUMIFS('Mining Employment Monthly'!$B64:$BS64,'Mining Employment Monthly'!$B$76:$BS$76,2,'Mining Employment Monthly'!$B$77:$BS$77,VALUE(LEFT('Employment Financial Year'!H$7,4)))+SUMIFS('Mining Employment Monthly'!$B64:$BS64,'Mining Employment Monthly'!$B$76:$BS$76,1,'Mining Employment Monthly'!$B$77:$BS$77,VALUE(CONCATENATE("20",RIGHT('Employment Financial Year'!H$7,2)))))/2,(SUMIFS('Mining Employment Monthly'!$B144:$BS144,'Mining Employment Monthly'!$B$76:$BS$76,2,'Mining Employment Monthly'!$B$77:$BS$77,VALUE(LEFT('Employment Financial Year'!H$7,4)))+SUMIFS('Mining Employment Monthly'!$B144:$BS144,'Mining Employment Monthly'!$B$76:$BS$76,1,'Mining Employment Monthly'!$B$77:$BS$77,VALUE(CONCATENATE("20",RIGHT('Employment Financial Year'!H$7,2)))))/2)</f>
        <v>771.41666666666674</v>
      </c>
      <c r="I10" s="128">
        <f>IF($A$25=$A$101,(SUMIFS('Mining Employment Monthly'!$B64:$BS64,'Mining Employment Monthly'!$B$76:$BS$76,2,'Mining Employment Monthly'!$B$77:$BS$77,VALUE(LEFT('Employment Financial Year'!I$7,4)))+SUMIFS('Mining Employment Monthly'!$B64:$BS64,'Mining Employment Monthly'!$B$76:$BS$76,1,'Mining Employment Monthly'!$B$77:$BS$77,VALUE(CONCATENATE("20",RIGHT('Employment Financial Year'!I$7,2)))))/2,(SUMIFS('Mining Employment Monthly'!$B144:$BS144,'Mining Employment Monthly'!$B$76:$BS$76,2,'Mining Employment Monthly'!$B$77:$BS$77,VALUE(LEFT('Employment Financial Year'!I$7,4)))+SUMIFS('Mining Employment Monthly'!$B144:$BS144,'Mining Employment Monthly'!$B$76:$BS$76,1,'Mining Employment Monthly'!$B$77:$BS$77,VALUE(CONCATENATE("20",RIGHT('Employment Financial Year'!I$7,2)))))/2)</f>
        <v>860</v>
      </c>
      <c r="J10" s="128">
        <f>IF($A$25=$A$101,(SUMIFS('Mining Employment Monthly'!$B64:$BS64,'Mining Employment Monthly'!$B$76:$BS$76,2,'Mining Employment Monthly'!$B$77:$BS$77,VALUE(LEFT('Employment Financial Year'!J$7,4)))+SUMIFS('Mining Employment Monthly'!$B64:$BS64,'Mining Employment Monthly'!$B$76:$BS$76,1,'Mining Employment Monthly'!$B$77:$BS$77,VALUE(CONCATENATE("20",RIGHT('Employment Financial Year'!J$7,2)))))/2,(SUMIFS('Mining Employment Monthly'!$B144:$BS144,'Mining Employment Monthly'!$B$76:$BS$76,2,'Mining Employment Monthly'!$B$77:$BS$77,VALUE(LEFT('Employment Financial Year'!J$7,4)))+SUMIFS('Mining Employment Monthly'!$B144:$BS144,'Mining Employment Monthly'!$B$76:$BS$76,1,'Mining Employment Monthly'!$B$77:$BS$77,VALUE(CONCATENATE("20",RIGHT('Employment Financial Year'!J$7,2)))))/2)</f>
        <v>915.25</v>
      </c>
      <c r="K10" s="128">
        <f>IF($A$25=$A$101,(SUMIFS('Mining Employment Monthly'!$B64:$BS64,'Mining Employment Monthly'!$B$76:$BS$76,2,'Mining Employment Monthly'!$B$77:$BS$77,VALUE(LEFT('Employment Financial Year'!K$7,4)))+SUMIFS('Mining Employment Monthly'!$B64:$BS64,'Mining Employment Monthly'!$B$76:$BS$76,1,'Mining Employment Monthly'!$B$77:$BS$77,VALUE(CONCATENATE("20",RIGHT('Employment Financial Year'!K$7,2)))))/2,(SUMIFS('Mining Employment Monthly'!$B144:$BS144,'Mining Employment Monthly'!$B$76:$BS$76,2,'Mining Employment Monthly'!$B$77:$BS$77,VALUE(LEFT('Employment Financial Year'!K$7,4)))+SUMIFS('Mining Employment Monthly'!$B144:$BS144,'Mining Employment Monthly'!$B$76:$BS$76,1,'Mining Employment Monthly'!$B$77:$BS$77,VALUE(CONCATENATE("20",RIGHT('Employment Financial Year'!K$7,2)))))/2)</f>
        <v>968.5</v>
      </c>
      <c r="L10" s="128">
        <f>IF($A$25=$A$101,(SUMIFS('Mining Employment Monthly'!$B64:$BS64,'Mining Employment Monthly'!$B$76:$BS$76,2,'Mining Employment Monthly'!$B$77:$BS$77,VALUE(LEFT('Employment Financial Year'!L$7,4)))+SUMIFS('Mining Employment Monthly'!$B64:$BS64,'Mining Employment Monthly'!$B$76:$BS$76,1,'Mining Employment Monthly'!$B$77:$BS$77,VALUE(CONCATENATE("20",RIGHT('Employment Financial Year'!L$7,2)))))/2,(SUMIFS('Mining Employment Monthly'!$B144:$BS144,'Mining Employment Monthly'!$B$76:$BS$76,2,'Mining Employment Monthly'!$B$77:$BS$77,VALUE(LEFT('Employment Financial Year'!L$7,4)))+SUMIFS('Mining Employment Monthly'!$B144:$BS144,'Mining Employment Monthly'!$B$76:$BS$76,1,'Mining Employment Monthly'!$B$77:$BS$77,VALUE(CONCATENATE("20",RIGHT('Employment Financial Year'!L$7,2)))))/2)</f>
        <v>984.58333333333337</v>
      </c>
      <c r="M10" s="128">
        <f>IF($A$25=$A$101,(SUMIFS('Mining Employment Monthly'!$B64:$BS64,'Mining Employment Monthly'!$B$76:$BS$76,2,'Mining Employment Monthly'!$B$77:$BS$77,VALUE(LEFT('Employment Financial Year'!M$7,4)))+SUMIFS('Mining Employment Monthly'!$B64:$BS64,'Mining Employment Monthly'!$B$76:$BS$76,1,'Mining Employment Monthly'!$B$77:$BS$77,VALUE(CONCATENATE("20",RIGHT('Employment Financial Year'!M$7,2)))))/2,(SUMIFS('Mining Employment Monthly'!$B144:$BS144,'Mining Employment Monthly'!$B$76:$BS$76,2,'Mining Employment Monthly'!$B$77:$BS$77,VALUE(LEFT('Employment Financial Year'!M$7,4)))+SUMIFS('Mining Employment Monthly'!$B144:$BS144,'Mining Employment Monthly'!$B$76:$BS$76,1,'Mining Employment Monthly'!$B$77:$BS$77,VALUE(CONCATENATE("20",RIGHT('Employment Financial Year'!M$7,2)))))/2)</f>
        <v>589.08333333333337</v>
      </c>
      <c r="N10" s="128">
        <f>IF($A$25=$A$101,(SUMIFS('Mining Employment Monthly'!$B64:$BS64,'Mining Employment Monthly'!$B$76:$BS$76,2,'Mining Employment Monthly'!$B$77:$BS$77,VALUE(LEFT('Employment Financial Year'!N$7,4)))+SUMIFS('Mining Employment Monthly'!$B64:$BS64,'Mining Employment Monthly'!$B$76:$BS$76,1,'Mining Employment Monthly'!$B$77:$BS$77,VALUE(CONCATENATE("20",RIGHT('Employment Financial Year'!N$7,2)))))/2,(SUMIFS('Mining Employment Monthly'!$B144:$BS144,'Mining Employment Monthly'!$B$76:$BS$76,2,'Mining Employment Monthly'!$B$77:$BS$77,VALUE(LEFT('Employment Financial Year'!N$7,4)))+SUMIFS('Mining Employment Monthly'!$B144:$BS144,'Mining Employment Monthly'!$B$76:$BS$76,1,'Mining Employment Monthly'!$B$77:$BS$77,VALUE(CONCATENATE("20",RIGHT('Employment Financial Year'!N$7,2)))))/2)</f>
        <v>417.91666666666669</v>
      </c>
      <c r="O10" s="128">
        <f>IF($A$25=$A$101,(SUMIFS('Mining Employment Monthly'!$B64:$BS64,'Mining Employment Monthly'!$B$76:$BS$76,2,'Mining Employment Monthly'!$B$77:$BS$77,VALUE(LEFT('Employment Financial Year'!O$7,4)))+SUMIFS('Mining Employment Monthly'!$B64:$BS64,'Mining Employment Monthly'!$B$76:$BS$76,1,'Mining Employment Monthly'!$B$77:$BS$77,VALUE(CONCATENATE("20",RIGHT('Employment Financial Year'!O$7,2)))))/2,(SUMIFS('Mining Employment Monthly'!$B144:$BS144,'Mining Employment Monthly'!$B$76:$BS$76,2,'Mining Employment Monthly'!$B$77:$BS$77,VALUE(LEFT('Employment Financial Year'!O$7,4)))+SUMIFS('Mining Employment Monthly'!$B144:$BS144,'Mining Employment Monthly'!$B$76:$BS$76,1,'Mining Employment Monthly'!$B$77:$BS$77,VALUE(CONCATENATE("20",RIGHT('Employment Financial Year'!O$7,2)))))/2)</f>
        <v>638.41666666666674</v>
      </c>
      <c r="P10" s="128">
        <f>IF($A$25=$A$101,(SUMIFS('Mining Employment Monthly'!$B64:$BS64,'Mining Employment Monthly'!$B$76:$BS$76,2,'Mining Employment Monthly'!$B$77:$BS$77,VALUE(LEFT('Employment Financial Year'!P$7,4)))+SUMIFS('Mining Employment Monthly'!$B64:$BS64,'Mining Employment Monthly'!$B$76:$BS$76,1,'Mining Employment Monthly'!$B$77:$BS$77,VALUE(CONCATENATE("20",RIGHT('Employment Financial Year'!P$7,2)))))/2,(SUMIFS('Mining Employment Monthly'!$B144:$BS144,'Mining Employment Monthly'!$B$76:$BS$76,2,'Mining Employment Monthly'!$B$77:$BS$77,VALUE(LEFT('Employment Financial Year'!P$7,4)))+SUMIFS('Mining Employment Monthly'!$B144:$BS144,'Mining Employment Monthly'!$B$76:$BS$76,1,'Mining Employment Monthly'!$B$77:$BS$77,VALUE(CONCATENATE("20",RIGHT('Employment Financial Year'!P$7,2)))))/2)</f>
        <v>957.91666666666674</v>
      </c>
      <c r="Q10" s="128">
        <f>IF($A$25=$A$101,(SUMIFS('Mining Employment Monthly'!$B64:$BS64,'Mining Employment Monthly'!$B$76:$BS$76,2,'Mining Employment Monthly'!$B$77:$BS$77,VALUE(LEFT('Employment Financial Year'!Q$7,4)))+SUMIFS('Mining Employment Monthly'!$B64:$BS64,'Mining Employment Monthly'!$B$76:$BS$76,1,'Mining Employment Monthly'!$B$77:$BS$77,VALUE(CONCATENATE("20",RIGHT('Employment Financial Year'!Q$7,2)))))/2,(SUMIFS('Mining Employment Monthly'!$B144:$BS144,'Mining Employment Monthly'!$B$76:$BS$76,2,'Mining Employment Monthly'!$B$77:$BS$77,VALUE(LEFT('Employment Financial Year'!Q$7,4)))+SUMIFS('Mining Employment Monthly'!$B144:$BS144,'Mining Employment Monthly'!$B$76:$BS$76,1,'Mining Employment Monthly'!$B$77:$BS$77,VALUE(CONCATENATE("20",RIGHT('Employment Financial Year'!Q$7,2)))))/2)</f>
        <v>1128.0833333333335</v>
      </c>
      <c r="R10" s="282">
        <f>IF($A$25=$A$101,(SUMIFS('Mining Employment Monthly'!$B64:$BS64,'Mining Employment Monthly'!$B$76:$BS$76,2,'Mining Employment Monthly'!$B$77:$BS$77,VALUE(LEFT('Employment Financial Year'!R$7,4)))+SUMIFS('Mining Employment Monthly'!$B64:$BS64,'Mining Employment Monthly'!$B$76:$BS$76,1,'Mining Employment Monthly'!$B$77:$BS$77,VALUE(CONCATENATE("20",RIGHT('Employment Financial Year'!R$7,2)))))/2,(SUMIFS('Mining Employment Monthly'!$B144:$BS144,'Mining Employment Monthly'!$B$76:$BS$76,2,'Mining Employment Monthly'!$B$77:$BS$77,VALUE(LEFT('Employment Financial Year'!R$7,4)))+SUMIFS('Mining Employment Monthly'!$B144:$BS144,'Mining Employment Monthly'!$B$76:$BS$76,1,'Mining Employment Monthly'!$B$77:$BS$77,VALUE(CONCATENATE("20",RIGHT('Employment Financial Year'!R$7,2)))))/2)</f>
        <v>1097.75</v>
      </c>
      <c r="S10" s="282">
        <f>IF($A$25=$A$101,(SUMIFS('Mining Employment Monthly'!$B64:$BS64,'Mining Employment Monthly'!$B$76:$BS$76,2,'Mining Employment Monthly'!$B$77:$BS$77,VALUE(LEFT('Employment Financial Year'!S$7,4)))+SUMIFS('Mining Employment Monthly'!$B64:$BS64,'Mining Employment Monthly'!$B$76:$BS$76,1,'Mining Employment Monthly'!$B$77:$BS$77,VALUE(CONCATENATE("20",RIGHT('Employment Financial Year'!S$7,2)))))/2,(SUMIFS('Mining Employment Monthly'!$B144:$BS144,'Mining Employment Monthly'!$B$76:$BS$76,2,'Mining Employment Monthly'!$B$77:$BS$77,VALUE(LEFT('Employment Financial Year'!S$7,4)))+SUMIFS('Mining Employment Monthly'!$B144:$BS144,'Mining Employment Monthly'!$B$76:$BS$76,1,'Mining Employment Monthly'!$B$77:$BS$77,VALUE(CONCATENATE("20",RIGHT('Employment Financial Year'!S$7,2)))))/2)</f>
        <v>1152.8333333333333</v>
      </c>
      <c r="T10" s="282">
        <f>IF($A$25=$A$101,(SUMIFS('Mining Employment Monthly'!$B64:$BS64,'Mining Employment Monthly'!$B$76:$BS$76,2,'Mining Employment Monthly'!$B$77:$BS$77,VALUE(LEFT('Employment Financial Year'!T$7,4)))+SUMIFS('Mining Employment Monthly'!$B64:$BS64,'Mining Employment Monthly'!$B$76:$BS$76,1,'Mining Employment Monthly'!$B$77:$BS$77,VALUE(CONCATENATE("20",RIGHT('Employment Financial Year'!T$7,2)))))/2,(SUMIFS('Mining Employment Monthly'!$B144:$BS144,'Mining Employment Monthly'!$B$76:$BS$76,2,'Mining Employment Monthly'!$B$77:$BS$77,VALUE(LEFT('Employment Financial Year'!T$7,4)))+SUMIFS('Mining Employment Monthly'!$B144:$BS144,'Mining Employment Monthly'!$B$76:$BS$76,1,'Mining Employment Monthly'!$B$77:$BS$77,VALUE(CONCATENATE("20",RIGHT('Employment Financial Year'!T$7,2)))))/2)</f>
        <v>1139.4166666666665</v>
      </c>
      <c r="U10" s="282">
        <f>IF($A$25=$A$101,(SUMIFS('Mining Employment Monthly'!$B64:$BS64,'Mining Employment Monthly'!$B$76:$BS$76,2,'Mining Employment Monthly'!$B$77:$BS$77,VALUE(LEFT('Employment Financial Year'!U$7,4)))+SUMIFS('Mining Employment Monthly'!$B64:$BS64,'Mining Employment Monthly'!$B$76:$BS$76,1,'Mining Employment Monthly'!$B$77:$BS$77,VALUE(CONCATENATE("20",RIGHT('Employment Financial Year'!U$7,2)))))/2,(SUMIFS('Mining Employment Monthly'!$B144:$BS144,'Mining Employment Monthly'!$B$76:$BS$76,2,'Mining Employment Monthly'!$B$77:$BS$77,VALUE(LEFT('Employment Financial Year'!U$7,4)))+SUMIFS('Mining Employment Monthly'!$B144:$BS144,'Mining Employment Monthly'!$B$76:$BS$76,1,'Mining Employment Monthly'!$B$77:$BS$77,VALUE(CONCATENATE("20",RIGHT('Employment Financial Year'!U$7,2)))))/2)</f>
        <v>1280.25</v>
      </c>
      <c r="V10" s="283">
        <f>IF($A$25=$A$101,(SUMIFS('Mining Employment Monthly'!$B64:$BS64,'Mining Employment Monthly'!$B$76:$BS$76,2,'Mining Employment Monthly'!$B$77:$BS$77,VALUE(LEFT('Employment Financial Year'!V$7,4)))+SUMIFS('Mining Employment Monthly'!$B64:$BS64,'Mining Employment Monthly'!$B$76:$BS$76,1,'Mining Employment Monthly'!$B$77:$BS$77,VALUE(CONCATENATE("20",RIGHT('Employment Financial Year'!V$7,2)))))/2,(SUMIFS('Mining Employment Monthly'!$B144:$BS144,'Mining Employment Monthly'!$B$76:$BS$76,2,'Mining Employment Monthly'!$B$77:$BS$77,VALUE(LEFT('Employment Financial Year'!V$7,4)))+SUMIFS('Mining Employment Monthly'!$B144:$BS144,'Mining Employment Monthly'!$B$76:$BS$76,1,'Mining Employment Monthly'!$B$77:$BS$77,VALUE(CONCATENATE("20",RIGHT('Employment Financial Year'!V$7,2)))))/2)</f>
        <v>1002</v>
      </c>
    </row>
    <row r="11" spans="1:109" s="55" customFormat="1">
      <c r="A11" s="49" t="s">
        <v>69</v>
      </c>
      <c r="B11" s="130"/>
      <c r="C11" s="170">
        <f>IF($A$25=$A$101,(SUMIFS('Mining Employment Monthly'!$B65:$BS65,'Mining Employment Monthly'!$B$76:$BS$76,2,'Mining Employment Monthly'!$B$77:$BS$77,VALUE(LEFT('Employment Financial Year'!C$7,4)))+SUMIFS('Mining Employment Monthly'!$B65:$BS65,'Mining Employment Monthly'!$B$76:$BS$76,1,'Mining Employment Monthly'!$B$77:$BS$77,VALUE(CONCATENATE("20",RIGHT('Employment Financial Year'!C$7,2)))))/2,(SUMIFS('Mining Employment Monthly'!$B145:$BS145,'Mining Employment Monthly'!$B$76:$BS$76,2,'Mining Employment Monthly'!$B$77:$BS$77,VALUE(LEFT('Employment Financial Year'!C$7,4)))+SUMIFS('Mining Employment Monthly'!$B145:$BS145,'Mining Employment Monthly'!$B$76:$BS$76,1,'Mining Employment Monthly'!$B$77:$BS$77,VALUE(CONCATENATE("20",RIGHT('Employment Financial Year'!C$7,2)))))/2)</f>
        <v>599.83333333333326</v>
      </c>
      <c r="D11" s="170">
        <f>IF($A$25=$A$101,(SUMIFS('Mining Employment Monthly'!$B65:$BS65,'Mining Employment Monthly'!$B$76:$BS$76,2,'Mining Employment Monthly'!$B$77:$BS$77,VALUE(LEFT('Employment Financial Year'!D$7,4)))+SUMIFS('Mining Employment Monthly'!$B65:$BS65,'Mining Employment Monthly'!$B$76:$BS$76,1,'Mining Employment Monthly'!$B$77:$BS$77,VALUE(CONCATENATE("20",RIGHT('Employment Financial Year'!D$7,2)))))/2,(SUMIFS('Mining Employment Monthly'!$B145:$BS145,'Mining Employment Monthly'!$B$76:$BS$76,2,'Mining Employment Monthly'!$B$77:$BS$77,VALUE(LEFT('Employment Financial Year'!D$7,4)))+SUMIFS('Mining Employment Monthly'!$B145:$BS145,'Mining Employment Monthly'!$B$76:$BS$76,1,'Mining Employment Monthly'!$B$77:$BS$77,VALUE(CONCATENATE("20",RIGHT('Employment Financial Year'!D$7,2)))))/2)</f>
        <v>308.58333333333337</v>
      </c>
      <c r="E11" s="170">
        <f>IF($A$25=$A$101,(SUMIFS('Mining Employment Monthly'!$B65:$BS65,'Mining Employment Monthly'!$B$76:$BS$76,2,'Mining Employment Monthly'!$B$77:$BS$77,VALUE(LEFT('Employment Financial Year'!E$7,4)))+SUMIFS('Mining Employment Monthly'!$B65:$BS65,'Mining Employment Monthly'!$B$76:$BS$76,1,'Mining Employment Monthly'!$B$77:$BS$77,VALUE(CONCATENATE("20",RIGHT('Employment Financial Year'!E$7,2)))))/2,(SUMIFS('Mining Employment Monthly'!$B145:$BS145,'Mining Employment Monthly'!$B$76:$BS$76,2,'Mining Employment Monthly'!$B$77:$BS$77,VALUE(LEFT('Employment Financial Year'!E$7,4)))+SUMIFS('Mining Employment Monthly'!$B145:$BS145,'Mining Employment Monthly'!$B$76:$BS$76,1,'Mining Employment Monthly'!$B$77:$BS$77,VALUE(CONCATENATE("20",RIGHT('Employment Financial Year'!E$7,2)))))/2)</f>
        <v>291.41666666666663</v>
      </c>
      <c r="F11" s="170">
        <f>IF($A$25=$A$101,(SUMIFS('Mining Employment Monthly'!$B65:$BS65,'Mining Employment Monthly'!$B$76:$BS$76,2,'Mining Employment Monthly'!$B$77:$BS$77,VALUE(LEFT('Employment Financial Year'!F$7,4)))+SUMIFS('Mining Employment Monthly'!$B65:$BS65,'Mining Employment Monthly'!$B$76:$BS$76,1,'Mining Employment Monthly'!$B$77:$BS$77,VALUE(CONCATENATE("20",RIGHT('Employment Financial Year'!F$7,2)))))/2,(SUMIFS('Mining Employment Monthly'!$B145:$BS145,'Mining Employment Monthly'!$B$76:$BS$76,2,'Mining Employment Monthly'!$B$77:$BS$77,VALUE(LEFT('Employment Financial Year'!F$7,4)))+SUMIFS('Mining Employment Monthly'!$B145:$BS145,'Mining Employment Monthly'!$B$76:$BS$76,1,'Mining Employment Monthly'!$B$77:$BS$77,VALUE(CONCATENATE("20",RIGHT('Employment Financial Year'!F$7,2)))))/2)</f>
        <v>322.16666666666663</v>
      </c>
      <c r="G11" s="170">
        <f>IF($A$25=$A$101,(SUMIFS('Mining Employment Monthly'!$B65:$BS65,'Mining Employment Monthly'!$B$76:$BS$76,2,'Mining Employment Monthly'!$B$77:$BS$77,VALUE(LEFT('Employment Financial Year'!G$7,4)))+SUMIFS('Mining Employment Monthly'!$B65:$BS65,'Mining Employment Monthly'!$B$76:$BS$76,1,'Mining Employment Monthly'!$B$77:$BS$77,VALUE(CONCATENATE("20",RIGHT('Employment Financial Year'!G$7,2)))))/2,(SUMIFS('Mining Employment Monthly'!$B145:$BS145,'Mining Employment Monthly'!$B$76:$BS$76,2,'Mining Employment Monthly'!$B$77:$BS$77,VALUE(LEFT('Employment Financial Year'!G$7,4)))+SUMIFS('Mining Employment Monthly'!$B145:$BS145,'Mining Employment Monthly'!$B$76:$BS$76,1,'Mining Employment Monthly'!$B$77:$BS$77,VALUE(CONCATENATE("20",RIGHT('Employment Financial Year'!G$7,2)))))/2)</f>
        <v>372.16666666666669</v>
      </c>
      <c r="H11" s="170">
        <f>IF($A$25=$A$101,(SUMIFS('Mining Employment Monthly'!$B65:$BS65,'Mining Employment Monthly'!$B$76:$BS$76,2,'Mining Employment Monthly'!$B$77:$BS$77,VALUE(LEFT('Employment Financial Year'!H$7,4)))+SUMIFS('Mining Employment Monthly'!$B65:$BS65,'Mining Employment Monthly'!$B$76:$BS$76,1,'Mining Employment Monthly'!$B$77:$BS$77,VALUE(CONCATENATE("20",RIGHT('Employment Financial Year'!H$7,2)))))/2,(SUMIFS('Mining Employment Monthly'!$B145:$BS145,'Mining Employment Monthly'!$B$76:$BS$76,2,'Mining Employment Monthly'!$B$77:$BS$77,VALUE(LEFT('Employment Financial Year'!H$7,4)))+SUMIFS('Mining Employment Monthly'!$B145:$BS145,'Mining Employment Monthly'!$B$76:$BS$76,1,'Mining Employment Monthly'!$B$77:$BS$77,VALUE(CONCATENATE("20",RIGHT('Employment Financial Year'!H$7,2)))))/2)</f>
        <v>467.66666666666669</v>
      </c>
      <c r="I11" s="170">
        <f>IF($A$25=$A$101,(SUMIFS('Mining Employment Monthly'!$B65:$BS65,'Mining Employment Monthly'!$B$76:$BS$76,2,'Mining Employment Monthly'!$B$77:$BS$77,VALUE(LEFT('Employment Financial Year'!I$7,4)))+SUMIFS('Mining Employment Monthly'!$B65:$BS65,'Mining Employment Monthly'!$B$76:$BS$76,1,'Mining Employment Monthly'!$B$77:$BS$77,VALUE(CONCATENATE("20",RIGHT('Employment Financial Year'!I$7,2)))))/2,(SUMIFS('Mining Employment Monthly'!$B145:$BS145,'Mining Employment Monthly'!$B$76:$BS$76,2,'Mining Employment Monthly'!$B$77:$BS$77,VALUE(LEFT('Employment Financial Year'!I$7,4)))+SUMIFS('Mining Employment Monthly'!$B145:$BS145,'Mining Employment Monthly'!$B$76:$BS$76,1,'Mining Employment Monthly'!$B$77:$BS$77,VALUE(CONCATENATE("20",RIGHT('Employment Financial Year'!I$7,2)))))/2)</f>
        <v>575.08333333333337</v>
      </c>
      <c r="J11" s="170">
        <f>IF($A$25=$A$101,(SUMIFS('Mining Employment Monthly'!$B65:$BS65,'Mining Employment Monthly'!$B$76:$BS$76,2,'Mining Employment Monthly'!$B$77:$BS$77,VALUE(LEFT('Employment Financial Year'!J$7,4)))+SUMIFS('Mining Employment Monthly'!$B65:$BS65,'Mining Employment Monthly'!$B$76:$BS$76,1,'Mining Employment Monthly'!$B$77:$BS$77,VALUE(CONCATENATE("20",RIGHT('Employment Financial Year'!J$7,2)))))/2,(SUMIFS('Mining Employment Monthly'!$B145:$BS145,'Mining Employment Monthly'!$B$76:$BS$76,2,'Mining Employment Monthly'!$B$77:$BS$77,VALUE(LEFT('Employment Financial Year'!J$7,4)))+SUMIFS('Mining Employment Monthly'!$B145:$BS145,'Mining Employment Monthly'!$B$76:$BS$76,1,'Mining Employment Monthly'!$B$77:$BS$77,VALUE(CONCATENATE("20",RIGHT('Employment Financial Year'!J$7,2)))))/2)</f>
        <v>601.33333333333326</v>
      </c>
      <c r="K11" s="170">
        <f>IF($A$25=$A$101,(SUMIFS('Mining Employment Monthly'!$B65:$BS65,'Mining Employment Monthly'!$B$76:$BS$76,2,'Mining Employment Monthly'!$B$77:$BS$77,VALUE(LEFT('Employment Financial Year'!K$7,4)))+SUMIFS('Mining Employment Monthly'!$B65:$BS65,'Mining Employment Monthly'!$B$76:$BS$76,1,'Mining Employment Monthly'!$B$77:$BS$77,VALUE(CONCATENATE("20",RIGHT('Employment Financial Year'!K$7,2)))))/2,(SUMIFS('Mining Employment Monthly'!$B145:$BS145,'Mining Employment Monthly'!$B$76:$BS$76,2,'Mining Employment Monthly'!$B$77:$BS$77,VALUE(LEFT('Employment Financial Year'!K$7,4)))+SUMIFS('Mining Employment Monthly'!$B145:$BS145,'Mining Employment Monthly'!$B$76:$BS$76,1,'Mining Employment Monthly'!$B$77:$BS$77,VALUE(CONCATENATE("20",RIGHT('Employment Financial Year'!K$7,2)))))/2)</f>
        <v>577.58333333333326</v>
      </c>
      <c r="L11" s="170">
        <f>IF($A$25=$A$101,(SUMIFS('Mining Employment Monthly'!$B65:$BS65,'Mining Employment Monthly'!$B$76:$BS$76,2,'Mining Employment Monthly'!$B$77:$BS$77,VALUE(LEFT('Employment Financial Year'!L$7,4)))+SUMIFS('Mining Employment Monthly'!$B65:$BS65,'Mining Employment Monthly'!$B$76:$BS$76,1,'Mining Employment Monthly'!$B$77:$BS$77,VALUE(CONCATENATE("20",RIGHT('Employment Financial Year'!L$7,2)))))/2,(SUMIFS('Mining Employment Monthly'!$B145:$BS145,'Mining Employment Monthly'!$B$76:$BS$76,2,'Mining Employment Monthly'!$B$77:$BS$77,VALUE(LEFT('Employment Financial Year'!L$7,4)))+SUMIFS('Mining Employment Monthly'!$B145:$BS145,'Mining Employment Monthly'!$B$76:$BS$76,1,'Mining Employment Monthly'!$B$77:$BS$77,VALUE(CONCATENATE("20",RIGHT('Employment Financial Year'!L$7,2)))))/2)</f>
        <v>697.33333333333326</v>
      </c>
      <c r="M11" s="170">
        <f>IF($A$25=$A$101,(SUMIFS('Mining Employment Monthly'!$B65:$BS65,'Mining Employment Monthly'!$B$76:$BS$76,2,'Mining Employment Monthly'!$B$77:$BS$77,VALUE(LEFT('Employment Financial Year'!M$7,4)))+SUMIFS('Mining Employment Monthly'!$B65:$BS65,'Mining Employment Monthly'!$B$76:$BS$76,1,'Mining Employment Monthly'!$B$77:$BS$77,VALUE(CONCATENATE("20",RIGHT('Employment Financial Year'!M$7,2)))))/2,(SUMIFS('Mining Employment Monthly'!$B145:$BS145,'Mining Employment Monthly'!$B$76:$BS$76,2,'Mining Employment Monthly'!$B$77:$BS$77,VALUE(LEFT('Employment Financial Year'!M$7,4)))+SUMIFS('Mining Employment Monthly'!$B145:$BS145,'Mining Employment Monthly'!$B$76:$BS$76,1,'Mining Employment Monthly'!$B$77:$BS$77,VALUE(CONCATENATE("20",RIGHT('Employment Financial Year'!M$7,2)))))/2)</f>
        <v>933.83333333333337</v>
      </c>
      <c r="N11" s="170">
        <f>IF($A$25=$A$101,(SUMIFS('Mining Employment Monthly'!$B65:$BS65,'Mining Employment Monthly'!$B$76:$BS$76,2,'Mining Employment Monthly'!$B$77:$BS$77,VALUE(LEFT('Employment Financial Year'!N$7,4)))+SUMIFS('Mining Employment Monthly'!$B65:$BS65,'Mining Employment Monthly'!$B$76:$BS$76,1,'Mining Employment Monthly'!$B$77:$BS$77,VALUE(CONCATENATE("20",RIGHT('Employment Financial Year'!N$7,2)))))/2,(SUMIFS('Mining Employment Monthly'!$B145:$BS145,'Mining Employment Monthly'!$B$76:$BS$76,2,'Mining Employment Monthly'!$B$77:$BS$77,VALUE(LEFT('Employment Financial Year'!N$7,4)))+SUMIFS('Mining Employment Monthly'!$B145:$BS145,'Mining Employment Monthly'!$B$76:$BS$76,1,'Mining Employment Monthly'!$B$77:$BS$77,VALUE(CONCATENATE("20",RIGHT('Employment Financial Year'!N$7,2)))))/2)</f>
        <v>924.58333333333337</v>
      </c>
      <c r="O11" s="170">
        <f>IF($A$25=$A$101,(SUMIFS('Mining Employment Monthly'!$B65:$BS65,'Mining Employment Monthly'!$B$76:$BS$76,2,'Mining Employment Monthly'!$B$77:$BS$77,VALUE(LEFT('Employment Financial Year'!O$7,4)))+SUMIFS('Mining Employment Monthly'!$B65:$BS65,'Mining Employment Monthly'!$B$76:$BS$76,1,'Mining Employment Monthly'!$B$77:$BS$77,VALUE(CONCATENATE("20",RIGHT('Employment Financial Year'!O$7,2)))))/2,(SUMIFS('Mining Employment Monthly'!$B145:$BS145,'Mining Employment Monthly'!$B$76:$BS$76,2,'Mining Employment Monthly'!$B$77:$BS$77,VALUE(LEFT('Employment Financial Year'!O$7,4)))+SUMIFS('Mining Employment Monthly'!$B145:$BS145,'Mining Employment Monthly'!$B$76:$BS$76,1,'Mining Employment Monthly'!$B$77:$BS$77,VALUE(CONCATENATE("20",RIGHT('Employment Financial Year'!O$7,2)))))/2)</f>
        <v>1030.3333333333333</v>
      </c>
      <c r="P11" s="170">
        <f>IF($A$25=$A$101,(SUMIFS('Mining Employment Monthly'!$B65:$BS65,'Mining Employment Monthly'!$B$76:$BS$76,2,'Mining Employment Monthly'!$B$77:$BS$77,VALUE(LEFT('Employment Financial Year'!P$7,4)))+SUMIFS('Mining Employment Monthly'!$B65:$BS65,'Mining Employment Monthly'!$B$76:$BS$76,1,'Mining Employment Monthly'!$B$77:$BS$77,VALUE(CONCATENATE("20",RIGHT('Employment Financial Year'!P$7,2)))))/2,(SUMIFS('Mining Employment Monthly'!$B145:$BS145,'Mining Employment Monthly'!$B$76:$BS$76,2,'Mining Employment Monthly'!$B$77:$BS$77,VALUE(LEFT('Employment Financial Year'!P$7,4)))+SUMIFS('Mining Employment Monthly'!$B145:$BS145,'Mining Employment Monthly'!$B$76:$BS$76,1,'Mining Employment Monthly'!$B$77:$BS$77,VALUE(CONCATENATE("20",RIGHT('Employment Financial Year'!P$7,2)))))/2)</f>
        <v>1454.25</v>
      </c>
      <c r="Q11" s="170">
        <f>IF($A$25=$A$101,(SUMIFS('Mining Employment Monthly'!$B65:$BS65,'Mining Employment Monthly'!$B$76:$BS$76,2,'Mining Employment Monthly'!$B$77:$BS$77,VALUE(LEFT('Employment Financial Year'!Q$7,4)))+SUMIFS('Mining Employment Monthly'!$B65:$BS65,'Mining Employment Monthly'!$B$76:$BS$76,1,'Mining Employment Monthly'!$B$77:$BS$77,VALUE(CONCATENATE("20",RIGHT('Employment Financial Year'!Q$7,2)))))/2,(SUMIFS('Mining Employment Monthly'!$B145:$BS145,'Mining Employment Monthly'!$B$76:$BS$76,2,'Mining Employment Monthly'!$B$77:$BS$77,VALUE(LEFT('Employment Financial Year'!Q$7,4)))+SUMIFS('Mining Employment Monthly'!$B145:$BS145,'Mining Employment Monthly'!$B$76:$BS$76,1,'Mining Employment Monthly'!$B$77:$BS$77,VALUE(CONCATENATE("20",RIGHT('Employment Financial Year'!Q$7,2)))))/2)</f>
        <v>1590.9166666666665</v>
      </c>
      <c r="R11" s="233">
        <f>IF($A$25=$A$101,(SUMIFS('Mining Employment Monthly'!$B65:$BS65,'Mining Employment Monthly'!$B$76:$BS$76,2,'Mining Employment Monthly'!$B$77:$BS$77,VALUE(LEFT('Employment Financial Year'!R$7,4)))+SUMIFS('Mining Employment Monthly'!$B65:$BS65,'Mining Employment Monthly'!$B$76:$BS$76,1,'Mining Employment Monthly'!$B$77:$BS$77,VALUE(CONCATENATE("20",RIGHT('Employment Financial Year'!R$7,2)))))/2,(SUMIFS('Mining Employment Monthly'!$B145:$BS145,'Mining Employment Monthly'!$B$76:$BS$76,2,'Mining Employment Monthly'!$B$77:$BS$77,VALUE(LEFT('Employment Financial Year'!R$7,4)))+SUMIFS('Mining Employment Monthly'!$B145:$BS145,'Mining Employment Monthly'!$B$76:$BS$76,1,'Mining Employment Monthly'!$B$77:$BS$77,VALUE(CONCATENATE("20",RIGHT('Employment Financial Year'!R$7,2)))))/2)</f>
        <v>2458.583333333333</v>
      </c>
      <c r="S11" s="233">
        <f>IF($A$25=$A$101,(SUMIFS('Mining Employment Monthly'!$B65:$BS65,'Mining Employment Monthly'!$B$76:$BS$76,2,'Mining Employment Monthly'!$B$77:$BS$77,VALUE(LEFT('Employment Financial Year'!S$7,4)))+SUMIFS('Mining Employment Monthly'!$B65:$BS65,'Mining Employment Monthly'!$B$76:$BS$76,1,'Mining Employment Monthly'!$B$77:$BS$77,VALUE(CONCATENATE("20",RIGHT('Employment Financial Year'!S$7,2)))))/2,(SUMIFS('Mining Employment Monthly'!$B145:$BS145,'Mining Employment Monthly'!$B$76:$BS$76,2,'Mining Employment Monthly'!$B$77:$BS$77,VALUE(LEFT('Employment Financial Year'!S$7,4)))+SUMIFS('Mining Employment Monthly'!$B145:$BS145,'Mining Employment Monthly'!$B$76:$BS$76,1,'Mining Employment Monthly'!$B$77:$BS$77,VALUE(CONCATENATE("20",RIGHT('Employment Financial Year'!S$7,2)))))/2)</f>
        <v>2621.583333333333</v>
      </c>
      <c r="T11" s="233">
        <f>IF($A$25=$A$101,(SUMIFS('Mining Employment Monthly'!$B65:$BS65,'Mining Employment Monthly'!$B$76:$BS$76,2,'Mining Employment Monthly'!$B$77:$BS$77,VALUE(LEFT('Employment Financial Year'!T$7,4)))+SUMIFS('Mining Employment Monthly'!$B65:$BS65,'Mining Employment Monthly'!$B$76:$BS$76,1,'Mining Employment Monthly'!$B$77:$BS$77,VALUE(CONCATENATE("20",RIGHT('Employment Financial Year'!T$7,2)))))/2,(SUMIFS('Mining Employment Monthly'!$B145:$BS145,'Mining Employment Monthly'!$B$76:$BS$76,2,'Mining Employment Monthly'!$B$77:$BS$77,VALUE(LEFT('Employment Financial Year'!T$7,4)))+SUMIFS('Mining Employment Monthly'!$B145:$BS145,'Mining Employment Monthly'!$B$76:$BS$76,1,'Mining Employment Monthly'!$B$77:$BS$77,VALUE(CONCATENATE("20",RIGHT('Employment Financial Year'!T$7,2)))))/2)</f>
        <v>2719.333333333333</v>
      </c>
      <c r="U11" s="233">
        <f>IF($A$25=$A$101,(SUMIFS('Mining Employment Monthly'!$B65:$BS65,'Mining Employment Monthly'!$B$76:$BS$76,2,'Mining Employment Monthly'!$B$77:$BS$77,VALUE(LEFT('Employment Financial Year'!U$7,4)))+SUMIFS('Mining Employment Monthly'!$B65:$BS65,'Mining Employment Monthly'!$B$76:$BS$76,1,'Mining Employment Monthly'!$B$77:$BS$77,VALUE(CONCATENATE("20",RIGHT('Employment Financial Year'!U$7,2)))))/2,(SUMIFS('Mining Employment Monthly'!$B145:$BS145,'Mining Employment Monthly'!$B$76:$BS$76,2,'Mining Employment Monthly'!$B$77:$BS$77,VALUE(LEFT('Employment Financial Year'!U$7,4)))+SUMIFS('Mining Employment Monthly'!$B145:$BS145,'Mining Employment Monthly'!$B$76:$BS$76,1,'Mining Employment Monthly'!$B$77:$BS$77,VALUE(CONCATENATE("20",RIGHT('Employment Financial Year'!U$7,2)))))/2)</f>
        <v>2630.666666666667</v>
      </c>
      <c r="V11" s="131">
        <f>IF($A$25=$A$101,(SUMIFS('Mining Employment Monthly'!$B65:$BS65,'Mining Employment Monthly'!$B$76:$BS$76,2,'Mining Employment Monthly'!$B$77:$BS$77,VALUE(LEFT('Employment Financial Year'!V$7,4)))+SUMIFS('Mining Employment Monthly'!$B65:$BS65,'Mining Employment Monthly'!$B$76:$BS$76,1,'Mining Employment Monthly'!$B$77:$BS$77,VALUE(CONCATENATE("20",RIGHT('Employment Financial Year'!V$7,2)))))/2,(SUMIFS('Mining Employment Monthly'!$B145:$BS145,'Mining Employment Monthly'!$B$76:$BS$76,2,'Mining Employment Monthly'!$B$77:$BS$77,VALUE(LEFT('Employment Financial Year'!V$7,4)))+SUMIFS('Mining Employment Monthly'!$B145:$BS145,'Mining Employment Monthly'!$B$76:$BS$76,1,'Mining Employment Monthly'!$B$77:$BS$77,VALUE(CONCATENATE("20",RIGHT('Employment Financial Year'!V$7,2)))))/2)</f>
        <v>2660</v>
      </c>
    </row>
    <row r="12" spans="1:109" s="55" customFormat="1">
      <c r="A12" s="49" t="s">
        <v>45</v>
      </c>
      <c r="B12" s="129"/>
      <c r="C12" s="128">
        <f>IF($A$25=$A$101,(SUMIFS('Mining Employment Monthly'!$B66:$BS66,'Mining Employment Monthly'!$B$76:$BS$76,2,'Mining Employment Monthly'!$B$77:$BS$77,VALUE(LEFT('Employment Financial Year'!C$7,4)))+SUMIFS('Mining Employment Monthly'!$B66:$BS66,'Mining Employment Monthly'!$B$76:$BS$76,1,'Mining Employment Monthly'!$B$77:$BS$77,VALUE(CONCATENATE("20",RIGHT('Employment Financial Year'!C$7,2)))))/2,(SUMIFS('Mining Employment Monthly'!$B146:$BS146,'Mining Employment Monthly'!$B$76:$BS$76,2,'Mining Employment Monthly'!$B$77:$BS$77,VALUE(LEFT('Employment Financial Year'!C$7,4)))+SUMIFS('Mining Employment Monthly'!$B146:$BS146,'Mining Employment Monthly'!$B$76:$BS$76,1,'Mining Employment Monthly'!$B$77:$BS$77,VALUE(CONCATENATE("20",RIGHT('Employment Financial Year'!C$7,2)))))/2)</f>
        <v>1059.8333333333335</v>
      </c>
      <c r="D12" s="128">
        <f>IF($A$25=$A$101,(SUMIFS('Mining Employment Monthly'!$B66:$BS66,'Mining Employment Monthly'!$B$76:$BS$76,2,'Mining Employment Monthly'!$B$77:$BS$77,VALUE(LEFT('Employment Financial Year'!D$7,4)))+SUMIFS('Mining Employment Monthly'!$B66:$BS66,'Mining Employment Monthly'!$B$76:$BS$76,1,'Mining Employment Monthly'!$B$77:$BS$77,VALUE(CONCATENATE("20",RIGHT('Employment Financial Year'!D$7,2)))))/2,(SUMIFS('Mining Employment Monthly'!$B146:$BS146,'Mining Employment Monthly'!$B$76:$BS$76,2,'Mining Employment Monthly'!$B$77:$BS$77,VALUE(LEFT('Employment Financial Year'!D$7,4)))+SUMIFS('Mining Employment Monthly'!$B146:$BS146,'Mining Employment Monthly'!$B$76:$BS$76,1,'Mining Employment Monthly'!$B$77:$BS$77,VALUE(CONCATENATE("20",RIGHT('Employment Financial Year'!D$7,2)))))/2)</f>
        <v>1094.75</v>
      </c>
      <c r="E12" s="128">
        <f>IF($A$25=$A$101,(SUMIFS('Mining Employment Monthly'!$B66:$BS66,'Mining Employment Monthly'!$B$76:$BS$76,2,'Mining Employment Monthly'!$B$77:$BS$77,VALUE(LEFT('Employment Financial Year'!E$7,4)))+SUMIFS('Mining Employment Monthly'!$B66:$BS66,'Mining Employment Monthly'!$B$76:$BS$76,1,'Mining Employment Monthly'!$B$77:$BS$77,VALUE(CONCATENATE("20",RIGHT('Employment Financial Year'!E$7,2)))))/2,(SUMIFS('Mining Employment Monthly'!$B146:$BS146,'Mining Employment Monthly'!$B$76:$BS$76,2,'Mining Employment Monthly'!$B$77:$BS$77,VALUE(LEFT('Employment Financial Year'!E$7,4)))+SUMIFS('Mining Employment Monthly'!$B146:$BS146,'Mining Employment Monthly'!$B$76:$BS$76,1,'Mining Employment Monthly'!$B$77:$BS$77,VALUE(CONCATENATE("20",RIGHT('Employment Financial Year'!E$7,2)))))/2)</f>
        <v>1213.3333333333335</v>
      </c>
      <c r="F12" s="128">
        <f>IF($A$25=$A$101,(SUMIFS('Mining Employment Monthly'!$B66:$BS66,'Mining Employment Monthly'!$B$76:$BS$76,2,'Mining Employment Monthly'!$B$77:$BS$77,VALUE(LEFT('Employment Financial Year'!F$7,4)))+SUMIFS('Mining Employment Monthly'!$B66:$BS66,'Mining Employment Monthly'!$B$76:$BS$76,1,'Mining Employment Monthly'!$B$77:$BS$77,VALUE(CONCATENATE("20",RIGHT('Employment Financial Year'!F$7,2)))))/2,(SUMIFS('Mining Employment Monthly'!$B146:$BS146,'Mining Employment Monthly'!$B$76:$BS$76,2,'Mining Employment Monthly'!$B$77:$BS$77,VALUE(LEFT('Employment Financial Year'!F$7,4)))+SUMIFS('Mining Employment Monthly'!$B146:$BS146,'Mining Employment Monthly'!$B$76:$BS$76,1,'Mining Employment Monthly'!$B$77:$BS$77,VALUE(CONCATENATE("20",RIGHT('Employment Financial Year'!F$7,2)))))/2)</f>
        <v>1484</v>
      </c>
      <c r="G12" s="128">
        <f>IF($A$25=$A$101,(SUMIFS('Mining Employment Monthly'!$B66:$BS66,'Mining Employment Monthly'!$B$76:$BS$76,2,'Mining Employment Monthly'!$B$77:$BS$77,VALUE(LEFT('Employment Financial Year'!G$7,4)))+SUMIFS('Mining Employment Monthly'!$B66:$BS66,'Mining Employment Monthly'!$B$76:$BS$76,1,'Mining Employment Monthly'!$B$77:$BS$77,VALUE(CONCATENATE("20",RIGHT('Employment Financial Year'!G$7,2)))))/2,(SUMIFS('Mining Employment Monthly'!$B146:$BS146,'Mining Employment Monthly'!$B$76:$BS$76,2,'Mining Employment Monthly'!$B$77:$BS$77,VALUE(LEFT('Employment Financial Year'!G$7,4)))+SUMIFS('Mining Employment Monthly'!$B146:$BS146,'Mining Employment Monthly'!$B$76:$BS$76,1,'Mining Employment Monthly'!$B$77:$BS$77,VALUE(CONCATENATE("20",RIGHT('Employment Financial Year'!G$7,2)))))/2)</f>
        <v>1483.3333333333335</v>
      </c>
      <c r="H12" s="128">
        <f>IF($A$25=$A$101,(SUMIFS('Mining Employment Monthly'!$B66:$BS66,'Mining Employment Monthly'!$B$76:$BS$76,2,'Mining Employment Monthly'!$B$77:$BS$77,VALUE(LEFT('Employment Financial Year'!H$7,4)))+SUMIFS('Mining Employment Monthly'!$B66:$BS66,'Mining Employment Monthly'!$B$76:$BS$76,1,'Mining Employment Monthly'!$B$77:$BS$77,VALUE(CONCATENATE("20",RIGHT('Employment Financial Year'!H$7,2)))))/2,(SUMIFS('Mining Employment Monthly'!$B146:$BS146,'Mining Employment Monthly'!$B$76:$BS$76,2,'Mining Employment Monthly'!$B$77:$BS$77,VALUE(LEFT('Employment Financial Year'!H$7,4)))+SUMIFS('Mining Employment Monthly'!$B146:$BS146,'Mining Employment Monthly'!$B$76:$BS$76,1,'Mining Employment Monthly'!$B$77:$BS$77,VALUE(CONCATENATE("20",RIGHT('Employment Financial Year'!H$7,2)))))/2)</f>
        <v>1719.25</v>
      </c>
      <c r="I12" s="128">
        <f>IF($A$25=$A$101,(SUMIFS('Mining Employment Monthly'!$B66:$BS66,'Mining Employment Monthly'!$B$76:$BS$76,2,'Mining Employment Monthly'!$B$77:$BS$77,VALUE(LEFT('Employment Financial Year'!I$7,4)))+SUMIFS('Mining Employment Monthly'!$B66:$BS66,'Mining Employment Monthly'!$B$76:$BS$76,1,'Mining Employment Monthly'!$B$77:$BS$77,VALUE(CONCATENATE("20",RIGHT('Employment Financial Year'!I$7,2)))))/2,(SUMIFS('Mining Employment Monthly'!$B146:$BS146,'Mining Employment Monthly'!$B$76:$BS$76,2,'Mining Employment Monthly'!$B$77:$BS$77,VALUE(LEFT('Employment Financial Year'!I$7,4)))+SUMIFS('Mining Employment Monthly'!$B146:$BS146,'Mining Employment Monthly'!$B$76:$BS$76,1,'Mining Employment Monthly'!$B$77:$BS$77,VALUE(CONCATENATE("20",RIGHT('Employment Financial Year'!I$7,2)))))/2)</f>
        <v>2091.3333333333335</v>
      </c>
      <c r="J12" s="128">
        <f>IF($A$25=$A$101,(SUMIFS('Mining Employment Monthly'!$B66:$BS66,'Mining Employment Monthly'!$B$76:$BS$76,2,'Mining Employment Monthly'!$B$77:$BS$77,VALUE(LEFT('Employment Financial Year'!J$7,4)))+SUMIFS('Mining Employment Monthly'!$B66:$BS66,'Mining Employment Monthly'!$B$76:$BS$76,1,'Mining Employment Monthly'!$B$77:$BS$77,VALUE(CONCATENATE("20",RIGHT('Employment Financial Year'!J$7,2)))))/2,(SUMIFS('Mining Employment Monthly'!$B146:$BS146,'Mining Employment Monthly'!$B$76:$BS$76,2,'Mining Employment Monthly'!$B$77:$BS$77,VALUE(LEFT('Employment Financial Year'!J$7,4)))+SUMIFS('Mining Employment Monthly'!$B146:$BS146,'Mining Employment Monthly'!$B$76:$BS$76,1,'Mining Employment Monthly'!$B$77:$BS$77,VALUE(CONCATENATE("20",RIGHT('Employment Financial Year'!J$7,2)))))/2)</f>
        <v>1871.1666666666665</v>
      </c>
      <c r="K12" s="128">
        <f>IF($A$25=$A$101,(SUMIFS('Mining Employment Monthly'!$B66:$BS66,'Mining Employment Monthly'!$B$76:$BS$76,2,'Mining Employment Monthly'!$B$77:$BS$77,VALUE(LEFT('Employment Financial Year'!K$7,4)))+SUMIFS('Mining Employment Monthly'!$B66:$BS66,'Mining Employment Monthly'!$B$76:$BS$76,1,'Mining Employment Monthly'!$B$77:$BS$77,VALUE(CONCATENATE("20",RIGHT('Employment Financial Year'!K$7,2)))))/2,(SUMIFS('Mining Employment Monthly'!$B146:$BS146,'Mining Employment Monthly'!$B$76:$BS$76,2,'Mining Employment Monthly'!$B$77:$BS$77,VALUE(LEFT('Employment Financial Year'!K$7,4)))+SUMIFS('Mining Employment Monthly'!$B146:$BS146,'Mining Employment Monthly'!$B$76:$BS$76,1,'Mining Employment Monthly'!$B$77:$BS$77,VALUE(CONCATENATE("20",RIGHT('Employment Financial Year'!K$7,2)))))/2)</f>
        <v>1335.8333333333335</v>
      </c>
      <c r="L12" s="128">
        <f>IF($A$25=$A$101,(SUMIFS('Mining Employment Monthly'!$B66:$BS66,'Mining Employment Monthly'!$B$76:$BS$76,2,'Mining Employment Monthly'!$B$77:$BS$77,VALUE(LEFT('Employment Financial Year'!L$7,4)))+SUMIFS('Mining Employment Monthly'!$B66:$BS66,'Mining Employment Monthly'!$B$76:$BS$76,1,'Mining Employment Monthly'!$B$77:$BS$77,VALUE(CONCATENATE("20",RIGHT('Employment Financial Year'!L$7,2)))))/2,(SUMIFS('Mining Employment Monthly'!$B146:$BS146,'Mining Employment Monthly'!$B$76:$BS$76,2,'Mining Employment Monthly'!$B$77:$BS$77,VALUE(LEFT('Employment Financial Year'!L$7,4)))+SUMIFS('Mining Employment Monthly'!$B146:$BS146,'Mining Employment Monthly'!$B$76:$BS$76,1,'Mining Employment Monthly'!$B$77:$BS$77,VALUE(CONCATENATE("20",RIGHT('Employment Financial Year'!L$7,2)))))/2)</f>
        <v>1686.1666666666665</v>
      </c>
      <c r="M12" s="128">
        <f>IF($A$25=$A$101,(SUMIFS('Mining Employment Monthly'!$B66:$BS66,'Mining Employment Monthly'!$B$76:$BS$76,2,'Mining Employment Monthly'!$B$77:$BS$77,VALUE(LEFT('Employment Financial Year'!M$7,4)))+SUMIFS('Mining Employment Monthly'!$B66:$BS66,'Mining Employment Monthly'!$B$76:$BS$76,1,'Mining Employment Monthly'!$B$77:$BS$77,VALUE(CONCATENATE("20",RIGHT('Employment Financial Year'!M$7,2)))))/2,(SUMIFS('Mining Employment Monthly'!$B146:$BS146,'Mining Employment Monthly'!$B$76:$BS$76,2,'Mining Employment Monthly'!$B$77:$BS$77,VALUE(LEFT('Employment Financial Year'!M$7,4)))+SUMIFS('Mining Employment Monthly'!$B146:$BS146,'Mining Employment Monthly'!$B$76:$BS$76,1,'Mining Employment Monthly'!$B$77:$BS$77,VALUE(CONCATENATE("20",RIGHT('Employment Financial Year'!M$7,2)))))/2)</f>
        <v>2233.333333333333</v>
      </c>
      <c r="N12" s="128">
        <f>IF($A$25=$A$101,(SUMIFS('Mining Employment Monthly'!$B66:$BS66,'Mining Employment Monthly'!$B$76:$BS$76,2,'Mining Employment Monthly'!$B$77:$BS$77,VALUE(LEFT('Employment Financial Year'!N$7,4)))+SUMIFS('Mining Employment Monthly'!$B66:$BS66,'Mining Employment Monthly'!$B$76:$BS$76,1,'Mining Employment Monthly'!$B$77:$BS$77,VALUE(CONCATENATE("20",RIGHT('Employment Financial Year'!N$7,2)))))/2,(SUMIFS('Mining Employment Monthly'!$B146:$BS146,'Mining Employment Monthly'!$B$76:$BS$76,2,'Mining Employment Monthly'!$B$77:$BS$77,VALUE(LEFT('Employment Financial Year'!N$7,4)))+SUMIFS('Mining Employment Monthly'!$B146:$BS146,'Mining Employment Monthly'!$B$76:$BS$76,1,'Mining Employment Monthly'!$B$77:$BS$77,VALUE(CONCATENATE("20",RIGHT('Employment Financial Year'!N$7,2)))))/2)</f>
        <v>2391</v>
      </c>
      <c r="O12" s="128">
        <f>IF($A$25=$A$101,(SUMIFS('Mining Employment Monthly'!$B66:$BS66,'Mining Employment Monthly'!$B$76:$BS$76,2,'Mining Employment Monthly'!$B$77:$BS$77,VALUE(LEFT('Employment Financial Year'!O$7,4)))+SUMIFS('Mining Employment Monthly'!$B66:$BS66,'Mining Employment Monthly'!$B$76:$BS$76,1,'Mining Employment Monthly'!$B$77:$BS$77,VALUE(CONCATENATE("20",RIGHT('Employment Financial Year'!O$7,2)))))/2,(SUMIFS('Mining Employment Monthly'!$B146:$BS146,'Mining Employment Monthly'!$B$76:$BS$76,2,'Mining Employment Monthly'!$B$77:$BS$77,VALUE(LEFT('Employment Financial Year'!O$7,4)))+SUMIFS('Mining Employment Monthly'!$B146:$BS146,'Mining Employment Monthly'!$B$76:$BS$76,1,'Mining Employment Monthly'!$B$77:$BS$77,VALUE(CONCATENATE("20",RIGHT('Employment Financial Year'!O$7,2)))))/2)</f>
        <v>1573.1666666666665</v>
      </c>
      <c r="P12" s="128">
        <f>IF($A$25=$A$101,(SUMIFS('Mining Employment Monthly'!$B66:$BS66,'Mining Employment Monthly'!$B$76:$BS$76,2,'Mining Employment Monthly'!$B$77:$BS$77,VALUE(LEFT('Employment Financial Year'!P$7,4)))+SUMIFS('Mining Employment Monthly'!$B66:$BS66,'Mining Employment Monthly'!$B$76:$BS$76,1,'Mining Employment Monthly'!$B$77:$BS$77,VALUE(CONCATENATE("20",RIGHT('Employment Financial Year'!P$7,2)))))/2,(SUMIFS('Mining Employment Monthly'!$B146:$BS146,'Mining Employment Monthly'!$B$76:$BS$76,2,'Mining Employment Monthly'!$B$77:$BS$77,VALUE(LEFT('Employment Financial Year'!P$7,4)))+SUMIFS('Mining Employment Monthly'!$B146:$BS146,'Mining Employment Monthly'!$B$76:$BS$76,1,'Mining Employment Monthly'!$B$77:$BS$77,VALUE(CONCATENATE("20",RIGHT('Employment Financial Year'!P$7,2)))))/2)</f>
        <v>1412.5833333333335</v>
      </c>
      <c r="Q12" s="128">
        <f>IF($A$25=$A$101,(SUMIFS('Mining Employment Monthly'!$B66:$BS66,'Mining Employment Monthly'!$B$76:$BS$76,2,'Mining Employment Monthly'!$B$77:$BS$77,VALUE(LEFT('Employment Financial Year'!Q$7,4)))+SUMIFS('Mining Employment Monthly'!$B66:$BS66,'Mining Employment Monthly'!$B$76:$BS$76,1,'Mining Employment Monthly'!$B$77:$BS$77,VALUE(CONCATENATE("20",RIGHT('Employment Financial Year'!Q$7,2)))))/2,(SUMIFS('Mining Employment Monthly'!$B146:$BS146,'Mining Employment Monthly'!$B$76:$BS$76,2,'Mining Employment Monthly'!$B$77:$BS$77,VALUE(LEFT('Employment Financial Year'!Q$7,4)))+SUMIFS('Mining Employment Monthly'!$B146:$BS146,'Mining Employment Monthly'!$B$76:$BS$76,1,'Mining Employment Monthly'!$B$77:$BS$77,VALUE(CONCATENATE("20",RIGHT('Employment Financial Year'!Q$7,2)))))/2)</f>
        <v>988.25</v>
      </c>
      <c r="R12" s="282">
        <f>IF($A$25=$A$101,(SUMIFS('Mining Employment Monthly'!$B66:$BS66,'Mining Employment Monthly'!$B$76:$BS$76,2,'Mining Employment Monthly'!$B$77:$BS$77,VALUE(LEFT('Employment Financial Year'!R$7,4)))+SUMIFS('Mining Employment Monthly'!$B66:$BS66,'Mining Employment Monthly'!$B$76:$BS$76,1,'Mining Employment Monthly'!$B$77:$BS$77,VALUE(CONCATENATE("20",RIGHT('Employment Financial Year'!R$7,2)))))/2,(SUMIFS('Mining Employment Monthly'!$B146:$BS146,'Mining Employment Monthly'!$B$76:$BS$76,2,'Mining Employment Monthly'!$B$77:$BS$77,VALUE(LEFT('Employment Financial Year'!R$7,4)))+SUMIFS('Mining Employment Monthly'!$B146:$BS146,'Mining Employment Monthly'!$B$76:$BS$76,1,'Mining Employment Monthly'!$B$77:$BS$77,VALUE(CONCATENATE("20",RIGHT('Employment Financial Year'!R$7,2)))))/2)</f>
        <v>821.41666666666663</v>
      </c>
      <c r="S12" s="282">
        <f>IF($A$25=$A$101,(SUMIFS('Mining Employment Monthly'!$B66:$BS66,'Mining Employment Monthly'!$B$76:$BS$76,2,'Mining Employment Monthly'!$B$77:$BS$77,VALUE(LEFT('Employment Financial Year'!S$7,4)))+SUMIFS('Mining Employment Monthly'!$B66:$BS66,'Mining Employment Monthly'!$B$76:$BS$76,1,'Mining Employment Monthly'!$B$77:$BS$77,VALUE(CONCATENATE("20",RIGHT('Employment Financial Year'!S$7,2)))))/2,(SUMIFS('Mining Employment Monthly'!$B146:$BS146,'Mining Employment Monthly'!$B$76:$BS$76,2,'Mining Employment Monthly'!$B$77:$BS$77,VALUE(LEFT('Employment Financial Year'!S$7,4)))+SUMIFS('Mining Employment Monthly'!$B146:$BS146,'Mining Employment Monthly'!$B$76:$BS$76,1,'Mining Employment Monthly'!$B$77:$BS$77,VALUE(CONCATENATE("20",RIGHT('Employment Financial Year'!S$7,2)))))/2)</f>
        <v>824.41666666666674</v>
      </c>
      <c r="T12" s="282">
        <f>IF($A$25=$A$101,(SUMIFS('Mining Employment Monthly'!$B66:$BS66,'Mining Employment Monthly'!$B$76:$BS$76,2,'Mining Employment Monthly'!$B$77:$BS$77,VALUE(LEFT('Employment Financial Year'!T$7,4)))+SUMIFS('Mining Employment Monthly'!$B66:$BS66,'Mining Employment Monthly'!$B$76:$BS$76,1,'Mining Employment Monthly'!$B$77:$BS$77,VALUE(CONCATENATE("20",RIGHT('Employment Financial Year'!T$7,2)))))/2,(SUMIFS('Mining Employment Monthly'!$B146:$BS146,'Mining Employment Monthly'!$B$76:$BS$76,2,'Mining Employment Monthly'!$B$77:$BS$77,VALUE(LEFT('Employment Financial Year'!T$7,4)))+SUMIFS('Mining Employment Monthly'!$B146:$BS146,'Mining Employment Monthly'!$B$76:$BS$76,1,'Mining Employment Monthly'!$B$77:$BS$77,VALUE(CONCATENATE("20",RIGHT('Employment Financial Year'!T$7,2)))))/2)</f>
        <v>901</v>
      </c>
      <c r="U12" s="282">
        <f>IF($A$25=$A$101,(SUMIFS('Mining Employment Monthly'!$B66:$BS66,'Mining Employment Monthly'!$B$76:$BS$76,2,'Mining Employment Monthly'!$B$77:$BS$77,VALUE(LEFT('Employment Financial Year'!U$7,4)))+SUMIFS('Mining Employment Monthly'!$B66:$BS66,'Mining Employment Monthly'!$B$76:$BS$76,1,'Mining Employment Monthly'!$B$77:$BS$77,VALUE(CONCATENATE("20",RIGHT('Employment Financial Year'!U$7,2)))))/2,(SUMIFS('Mining Employment Monthly'!$B146:$BS146,'Mining Employment Monthly'!$B$76:$BS$76,2,'Mining Employment Monthly'!$B$77:$BS$77,VALUE(LEFT('Employment Financial Year'!U$7,4)))+SUMIFS('Mining Employment Monthly'!$B146:$BS146,'Mining Employment Monthly'!$B$76:$BS$76,1,'Mining Employment Monthly'!$B$77:$BS$77,VALUE(CONCATENATE("20",RIGHT('Employment Financial Year'!U$7,2)))))/2)</f>
        <v>665.41666666666674</v>
      </c>
      <c r="V12" s="283">
        <f>IF($A$25=$A$101,(SUMIFS('Mining Employment Monthly'!$B66:$BS66,'Mining Employment Monthly'!$B$76:$BS$76,2,'Mining Employment Monthly'!$B$77:$BS$77,VALUE(LEFT('Employment Financial Year'!V$7,4)))+SUMIFS('Mining Employment Monthly'!$B66:$BS66,'Mining Employment Monthly'!$B$76:$BS$76,1,'Mining Employment Monthly'!$B$77:$BS$77,VALUE(CONCATENATE("20",RIGHT('Employment Financial Year'!V$7,2)))))/2,(SUMIFS('Mining Employment Monthly'!$B146:$BS146,'Mining Employment Monthly'!$B$76:$BS$76,2,'Mining Employment Monthly'!$B$77:$BS$77,VALUE(LEFT('Employment Financial Year'!V$7,4)))+SUMIFS('Mining Employment Monthly'!$B146:$BS146,'Mining Employment Monthly'!$B$76:$BS$76,1,'Mining Employment Monthly'!$B$77:$BS$77,VALUE(CONCATENATE("20",RIGHT('Employment Financial Year'!V$7,2)))))/2)</f>
        <v>319.5</v>
      </c>
    </row>
    <row r="13" spans="1:109" s="55" customFormat="1">
      <c r="A13" s="49" t="s">
        <v>8</v>
      </c>
      <c r="B13" s="130"/>
      <c r="C13" s="170">
        <f>IF($A$25=$A$101,(SUMIFS('Mining Employment Monthly'!$B67:$BS67,'Mining Employment Monthly'!$B$76:$BS$76,2,'Mining Employment Monthly'!$B$77:$BS$77,VALUE(LEFT('Employment Financial Year'!C$7,4)))+SUMIFS('Mining Employment Monthly'!$B67:$BS67,'Mining Employment Monthly'!$B$76:$BS$76,1,'Mining Employment Monthly'!$B$77:$BS$77,VALUE(CONCATENATE("20",RIGHT('Employment Financial Year'!C$7,2)))))/2,(SUMIFS('Mining Employment Monthly'!$B147:$BS147,'Mining Employment Monthly'!$B$76:$BS$76,2,'Mining Employment Monthly'!$B$77:$BS$77,VALUE(LEFT('Employment Financial Year'!C$7,4)))+SUMIFS('Mining Employment Monthly'!$B147:$BS147,'Mining Employment Monthly'!$B$76:$BS$76,1,'Mining Employment Monthly'!$B$77:$BS$77,VALUE(CONCATENATE("20",RIGHT('Employment Financial Year'!C$7,2)))))/2)</f>
        <v>12542</v>
      </c>
      <c r="D13" s="170">
        <f>IF($A$25=$A$101,(SUMIFS('Mining Employment Monthly'!$B67:$BS67,'Mining Employment Monthly'!$B$76:$BS$76,2,'Mining Employment Monthly'!$B$77:$BS$77,VALUE(LEFT('Employment Financial Year'!D$7,4)))+SUMIFS('Mining Employment Monthly'!$B67:$BS67,'Mining Employment Monthly'!$B$76:$BS$76,1,'Mining Employment Monthly'!$B$77:$BS$77,VALUE(CONCATENATE("20",RIGHT('Employment Financial Year'!D$7,2)))))/2,(SUMIFS('Mining Employment Monthly'!$B147:$BS147,'Mining Employment Monthly'!$B$76:$BS$76,2,'Mining Employment Monthly'!$B$77:$BS$77,VALUE(LEFT('Employment Financial Year'!D$7,4)))+SUMIFS('Mining Employment Monthly'!$B147:$BS147,'Mining Employment Monthly'!$B$76:$BS$76,1,'Mining Employment Monthly'!$B$77:$BS$77,VALUE(CONCATENATE("20",RIGHT('Employment Financial Year'!D$7,2)))))/2)</f>
        <v>12788.083333333334</v>
      </c>
      <c r="E13" s="170">
        <f>IF($A$25=$A$101,(SUMIFS('Mining Employment Monthly'!$B67:$BS67,'Mining Employment Monthly'!$B$76:$BS$76,2,'Mining Employment Monthly'!$B$77:$BS$77,VALUE(LEFT('Employment Financial Year'!E$7,4)))+SUMIFS('Mining Employment Monthly'!$B67:$BS67,'Mining Employment Monthly'!$B$76:$BS$76,1,'Mining Employment Monthly'!$B$77:$BS$77,VALUE(CONCATENATE("20",RIGHT('Employment Financial Year'!E$7,2)))))/2,(SUMIFS('Mining Employment Monthly'!$B147:$BS147,'Mining Employment Monthly'!$B$76:$BS$76,2,'Mining Employment Monthly'!$B$77:$BS$77,VALUE(LEFT('Employment Financial Year'!E$7,4)))+SUMIFS('Mining Employment Monthly'!$B147:$BS147,'Mining Employment Monthly'!$B$76:$BS$76,1,'Mining Employment Monthly'!$B$77:$BS$77,VALUE(CONCATENATE("20",RIGHT('Employment Financial Year'!E$7,2)))))/2)</f>
        <v>13230.666666666668</v>
      </c>
      <c r="F13" s="170">
        <f>IF($A$25=$A$101,(SUMIFS('Mining Employment Monthly'!$B67:$BS67,'Mining Employment Monthly'!$B$76:$BS$76,2,'Mining Employment Monthly'!$B$77:$BS$77,VALUE(LEFT('Employment Financial Year'!F$7,4)))+SUMIFS('Mining Employment Monthly'!$B67:$BS67,'Mining Employment Monthly'!$B$76:$BS$76,1,'Mining Employment Monthly'!$B$77:$BS$77,VALUE(CONCATENATE("20",RIGHT('Employment Financial Year'!F$7,2)))))/2,(SUMIFS('Mining Employment Monthly'!$B147:$BS147,'Mining Employment Monthly'!$B$76:$BS$76,2,'Mining Employment Monthly'!$B$77:$BS$77,VALUE(LEFT('Employment Financial Year'!F$7,4)))+SUMIFS('Mining Employment Monthly'!$B147:$BS147,'Mining Employment Monthly'!$B$76:$BS$76,1,'Mining Employment Monthly'!$B$77:$BS$77,VALUE(CONCATENATE("20",RIGHT('Employment Financial Year'!F$7,2)))))/2)</f>
        <v>12580.166666666668</v>
      </c>
      <c r="G13" s="170">
        <f>IF($A$25=$A$101,(SUMIFS('Mining Employment Monthly'!$B67:$BS67,'Mining Employment Monthly'!$B$76:$BS$76,2,'Mining Employment Monthly'!$B$77:$BS$77,VALUE(LEFT('Employment Financial Year'!G$7,4)))+SUMIFS('Mining Employment Monthly'!$B67:$BS67,'Mining Employment Monthly'!$B$76:$BS$76,1,'Mining Employment Monthly'!$B$77:$BS$77,VALUE(CONCATENATE("20",RIGHT('Employment Financial Year'!G$7,2)))))/2,(SUMIFS('Mining Employment Monthly'!$B147:$BS147,'Mining Employment Monthly'!$B$76:$BS$76,2,'Mining Employment Monthly'!$B$77:$BS$77,VALUE(LEFT('Employment Financial Year'!G$7,4)))+SUMIFS('Mining Employment Monthly'!$B147:$BS147,'Mining Employment Monthly'!$B$76:$BS$76,1,'Mining Employment Monthly'!$B$77:$BS$77,VALUE(CONCATENATE("20",RIGHT('Employment Financial Year'!G$7,2)))))/2)</f>
        <v>12031.25</v>
      </c>
      <c r="H13" s="170">
        <f>IF($A$25=$A$101,(SUMIFS('Mining Employment Monthly'!$B67:$BS67,'Mining Employment Monthly'!$B$76:$BS$76,2,'Mining Employment Monthly'!$B$77:$BS$77,VALUE(LEFT('Employment Financial Year'!H$7,4)))+SUMIFS('Mining Employment Monthly'!$B67:$BS67,'Mining Employment Monthly'!$B$76:$BS$76,1,'Mining Employment Monthly'!$B$77:$BS$77,VALUE(CONCATENATE("20",RIGHT('Employment Financial Year'!H$7,2)))))/2,(SUMIFS('Mining Employment Monthly'!$B147:$BS147,'Mining Employment Monthly'!$B$76:$BS$76,2,'Mining Employment Monthly'!$B$77:$BS$77,VALUE(LEFT('Employment Financial Year'!H$7,4)))+SUMIFS('Mining Employment Monthly'!$B147:$BS147,'Mining Employment Monthly'!$B$76:$BS$76,1,'Mining Employment Monthly'!$B$77:$BS$77,VALUE(CONCATENATE("20",RIGHT('Employment Financial Year'!H$7,2)))))/2)</f>
        <v>13201.166666666668</v>
      </c>
      <c r="I13" s="170">
        <f>IF($A$25=$A$101,(SUMIFS('Mining Employment Monthly'!$B67:$BS67,'Mining Employment Monthly'!$B$76:$BS$76,2,'Mining Employment Monthly'!$B$77:$BS$77,VALUE(LEFT('Employment Financial Year'!I$7,4)))+SUMIFS('Mining Employment Monthly'!$B67:$BS67,'Mining Employment Monthly'!$B$76:$BS$76,1,'Mining Employment Monthly'!$B$77:$BS$77,VALUE(CONCATENATE("20",RIGHT('Employment Financial Year'!I$7,2)))))/2,(SUMIFS('Mining Employment Monthly'!$B147:$BS147,'Mining Employment Monthly'!$B$76:$BS$76,2,'Mining Employment Monthly'!$B$77:$BS$77,VALUE(LEFT('Employment Financial Year'!I$7,4)))+SUMIFS('Mining Employment Monthly'!$B147:$BS147,'Mining Employment Monthly'!$B$76:$BS$76,1,'Mining Employment Monthly'!$B$77:$BS$77,VALUE(CONCATENATE("20",RIGHT('Employment Financial Year'!I$7,2)))))/2)</f>
        <v>14044.583333333332</v>
      </c>
      <c r="J13" s="170">
        <f>IF($A$25=$A$101,(SUMIFS('Mining Employment Monthly'!$B67:$BS67,'Mining Employment Monthly'!$B$76:$BS$76,2,'Mining Employment Monthly'!$B$77:$BS$77,VALUE(LEFT('Employment Financial Year'!J$7,4)))+SUMIFS('Mining Employment Monthly'!$B67:$BS67,'Mining Employment Monthly'!$B$76:$BS$76,1,'Mining Employment Monthly'!$B$77:$BS$77,VALUE(CONCATENATE("20",RIGHT('Employment Financial Year'!J$7,2)))))/2,(SUMIFS('Mining Employment Monthly'!$B147:$BS147,'Mining Employment Monthly'!$B$76:$BS$76,2,'Mining Employment Monthly'!$B$77:$BS$77,VALUE(LEFT('Employment Financial Year'!J$7,4)))+SUMIFS('Mining Employment Monthly'!$B147:$BS147,'Mining Employment Monthly'!$B$76:$BS$76,1,'Mining Employment Monthly'!$B$77:$BS$77,VALUE(CONCATENATE("20",RIGHT('Employment Financial Year'!J$7,2)))))/2)</f>
        <v>15640.666666666668</v>
      </c>
      <c r="K13" s="170">
        <f>IF($A$25=$A$101,(SUMIFS('Mining Employment Monthly'!$B67:$BS67,'Mining Employment Monthly'!$B$76:$BS$76,2,'Mining Employment Monthly'!$B$77:$BS$77,VALUE(LEFT('Employment Financial Year'!K$7,4)))+SUMIFS('Mining Employment Monthly'!$B67:$BS67,'Mining Employment Monthly'!$B$76:$BS$76,1,'Mining Employment Monthly'!$B$77:$BS$77,VALUE(CONCATENATE("20",RIGHT('Employment Financial Year'!K$7,2)))))/2,(SUMIFS('Mining Employment Monthly'!$B147:$BS147,'Mining Employment Monthly'!$B$76:$BS$76,2,'Mining Employment Monthly'!$B$77:$BS$77,VALUE(LEFT('Employment Financial Year'!K$7,4)))+SUMIFS('Mining Employment Monthly'!$B147:$BS147,'Mining Employment Monthly'!$B$76:$BS$76,1,'Mining Employment Monthly'!$B$77:$BS$77,VALUE(CONCATENATE("20",RIGHT('Employment Financial Year'!K$7,2)))))/2)</f>
        <v>16973.75</v>
      </c>
      <c r="L13" s="170">
        <f>IF($A$25=$A$101,(SUMIFS('Mining Employment Monthly'!$B67:$BS67,'Mining Employment Monthly'!$B$76:$BS$76,2,'Mining Employment Monthly'!$B$77:$BS$77,VALUE(LEFT('Employment Financial Year'!L$7,4)))+SUMIFS('Mining Employment Monthly'!$B67:$BS67,'Mining Employment Monthly'!$B$76:$BS$76,1,'Mining Employment Monthly'!$B$77:$BS$77,VALUE(CONCATENATE("20",RIGHT('Employment Financial Year'!L$7,2)))))/2,(SUMIFS('Mining Employment Monthly'!$B147:$BS147,'Mining Employment Monthly'!$B$76:$BS$76,2,'Mining Employment Monthly'!$B$77:$BS$77,VALUE(LEFT('Employment Financial Year'!L$7,4)))+SUMIFS('Mining Employment Monthly'!$B147:$BS147,'Mining Employment Monthly'!$B$76:$BS$76,1,'Mining Employment Monthly'!$B$77:$BS$77,VALUE(CONCATENATE("20",RIGHT('Employment Financial Year'!L$7,2)))))/2)</f>
        <v>18955.75</v>
      </c>
      <c r="M13" s="170">
        <f>IF($A$25=$A$101,(SUMIFS('Mining Employment Monthly'!$B67:$BS67,'Mining Employment Monthly'!$B$76:$BS$76,2,'Mining Employment Monthly'!$B$77:$BS$77,VALUE(LEFT('Employment Financial Year'!M$7,4)))+SUMIFS('Mining Employment Monthly'!$B67:$BS67,'Mining Employment Monthly'!$B$76:$BS$76,1,'Mining Employment Monthly'!$B$77:$BS$77,VALUE(CONCATENATE("20",RIGHT('Employment Financial Year'!M$7,2)))))/2,(SUMIFS('Mining Employment Monthly'!$B147:$BS147,'Mining Employment Monthly'!$B$76:$BS$76,2,'Mining Employment Monthly'!$B$77:$BS$77,VALUE(LEFT('Employment Financial Year'!M$7,4)))+SUMIFS('Mining Employment Monthly'!$B147:$BS147,'Mining Employment Monthly'!$B$76:$BS$76,1,'Mining Employment Monthly'!$B$77:$BS$77,VALUE(CONCATENATE("20",RIGHT('Employment Financial Year'!M$7,2)))))/2)</f>
        <v>22387.166666666664</v>
      </c>
      <c r="N13" s="170">
        <f>IF($A$25=$A$101,(SUMIFS('Mining Employment Monthly'!$B67:$BS67,'Mining Employment Monthly'!$B$76:$BS$76,2,'Mining Employment Monthly'!$B$77:$BS$77,VALUE(LEFT('Employment Financial Year'!N$7,4)))+SUMIFS('Mining Employment Monthly'!$B67:$BS67,'Mining Employment Monthly'!$B$76:$BS$76,1,'Mining Employment Monthly'!$B$77:$BS$77,VALUE(CONCATENATE("20",RIGHT('Employment Financial Year'!N$7,2)))))/2,(SUMIFS('Mining Employment Monthly'!$B147:$BS147,'Mining Employment Monthly'!$B$76:$BS$76,2,'Mining Employment Monthly'!$B$77:$BS$77,VALUE(LEFT('Employment Financial Year'!N$7,4)))+SUMIFS('Mining Employment Monthly'!$B147:$BS147,'Mining Employment Monthly'!$B$76:$BS$76,1,'Mining Employment Monthly'!$B$77:$BS$77,VALUE(CONCATENATE("20",RIGHT('Employment Financial Year'!N$7,2)))))/2)</f>
        <v>22242.25</v>
      </c>
      <c r="O13" s="170">
        <f>IF($A$25=$A$101,(SUMIFS('Mining Employment Monthly'!$B67:$BS67,'Mining Employment Monthly'!$B$76:$BS$76,2,'Mining Employment Monthly'!$B$77:$BS$77,VALUE(LEFT('Employment Financial Year'!O$7,4)))+SUMIFS('Mining Employment Monthly'!$B67:$BS67,'Mining Employment Monthly'!$B$76:$BS$76,1,'Mining Employment Monthly'!$B$77:$BS$77,VALUE(CONCATENATE("20",RIGHT('Employment Financial Year'!O$7,2)))))/2,(SUMIFS('Mining Employment Monthly'!$B147:$BS147,'Mining Employment Monthly'!$B$76:$BS$76,2,'Mining Employment Monthly'!$B$77:$BS$77,VALUE(LEFT('Employment Financial Year'!O$7,4)))+SUMIFS('Mining Employment Monthly'!$B147:$BS147,'Mining Employment Monthly'!$B$76:$BS$76,1,'Mining Employment Monthly'!$B$77:$BS$77,VALUE(CONCATENATE("20",RIGHT('Employment Financial Year'!O$7,2)))))/2)</f>
        <v>18593</v>
      </c>
      <c r="P13" s="170">
        <f>IF($A$25=$A$101,(SUMIFS('Mining Employment Monthly'!$B67:$BS67,'Mining Employment Monthly'!$B$76:$BS$76,2,'Mining Employment Monthly'!$B$77:$BS$77,VALUE(LEFT('Employment Financial Year'!P$7,4)))+SUMIFS('Mining Employment Monthly'!$B67:$BS67,'Mining Employment Monthly'!$B$76:$BS$76,1,'Mining Employment Monthly'!$B$77:$BS$77,VALUE(CONCATENATE("20",RIGHT('Employment Financial Year'!P$7,2)))))/2,(SUMIFS('Mining Employment Monthly'!$B147:$BS147,'Mining Employment Monthly'!$B$76:$BS$76,2,'Mining Employment Monthly'!$B$77:$BS$77,VALUE(LEFT('Employment Financial Year'!P$7,4)))+SUMIFS('Mining Employment Monthly'!$B147:$BS147,'Mining Employment Monthly'!$B$76:$BS$76,1,'Mining Employment Monthly'!$B$77:$BS$77,VALUE(CONCATENATE("20",RIGHT('Employment Financial Year'!P$7,2)))))/2)</f>
        <v>19577.166666666664</v>
      </c>
      <c r="Q13" s="170">
        <f>IF($A$25=$A$101,(SUMIFS('Mining Employment Monthly'!$B67:$BS67,'Mining Employment Monthly'!$B$76:$BS$76,2,'Mining Employment Monthly'!$B$77:$BS$77,VALUE(LEFT('Employment Financial Year'!Q$7,4)))+SUMIFS('Mining Employment Monthly'!$B67:$BS67,'Mining Employment Monthly'!$B$76:$BS$76,1,'Mining Employment Monthly'!$B$77:$BS$77,VALUE(CONCATENATE("20",RIGHT('Employment Financial Year'!Q$7,2)))))/2,(SUMIFS('Mining Employment Monthly'!$B147:$BS147,'Mining Employment Monthly'!$B$76:$BS$76,2,'Mining Employment Monthly'!$B$77:$BS$77,VALUE(LEFT('Employment Financial Year'!Q$7,4)))+SUMIFS('Mining Employment Monthly'!$B147:$BS147,'Mining Employment Monthly'!$B$76:$BS$76,1,'Mining Employment Monthly'!$B$77:$BS$77,VALUE(CONCATENATE("20",RIGHT('Employment Financial Year'!Q$7,2)))))/2)</f>
        <v>23561.916666666668</v>
      </c>
      <c r="R13" s="233">
        <f>IF($A$25=$A$101,(SUMIFS('Mining Employment Monthly'!$B67:$BS67,'Mining Employment Monthly'!$B$76:$BS$76,2,'Mining Employment Monthly'!$B$77:$BS$77,VALUE(LEFT('Employment Financial Year'!R$7,4)))+SUMIFS('Mining Employment Monthly'!$B67:$BS67,'Mining Employment Monthly'!$B$76:$BS$76,1,'Mining Employment Monthly'!$B$77:$BS$77,VALUE(CONCATENATE("20",RIGHT('Employment Financial Year'!R$7,2)))))/2,(SUMIFS('Mining Employment Monthly'!$B147:$BS147,'Mining Employment Monthly'!$B$76:$BS$76,2,'Mining Employment Monthly'!$B$77:$BS$77,VALUE(LEFT('Employment Financial Year'!R$7,4)))+SUMIFS('Mining Employment Monthly'!$B147:$BS147,'Mining Employment Monthly'!$B$76:$BS$76,1,'Mining Employment Monthly'!$B$77:$BS$77,VALUE(CONCATENATE("20",RIGHT('Employment Financial Year'!R$7,2)))))/2)</f>
        <v>27074.833333333336</v>
      </c>
      <c r="S13" s="233">
        <f>IF($A$25=$A$101,(SUMIFS('Mining Employment Monthly'!$B67:$BS67,'Mining Employment Monthly'!$B$76:$BS$76,2,'Mining Employment Monthly'!$B$77:$BS$77,VALUE(LEFT('Employment Financial Year'!S$7,4)))+SUMIFS('Mining Employment Monthly'!$B67:$BS67,'Mining Employment Monthly'!$B$76:$BS$76,1,'Mining Employment Monthly'!$B$77:$BS$77,VALUE(CONCATENATE("20",RIGHT('Employment Financial Year'!S$7,2)))))/2,(SUMIFS('Mining Employment Monthly'!$B147:$BS147,'Mining Employment Monthly'!$B$76:$BS$76,2,'Mining Employment Monthly'!$B$77:$BS$77,VALUE(LEFT('Employment Financial Year'!S$7,4)))+SUMIFS('Mining Employment Monthly'!$B147:$BS147,'Mining Employment Monthly'!$B$76:$BS$76,1,'Mining Employment Monthly'!$B$77:$BS$77,VALUE(CONCATENATE("20",RIGHT('Employment Financial Year'!S$7,2)))))/2)</f>
        <v>29271.416666666668</v>
      </c>
      <c r="T13" s="233">
        <f>IF($A$25=$A$101,(SUMIFS('Mining Employment Monthly'!$B67:$BS67,'Mining Employment Monthly'!$B$76:$BS$76,2,'Mining Employment Monthly'!$B$77:$BS$77,VALUE(LEFT('Employment Financial Year'!T$7,4)))+SUMIFS('Mining Employment Monthly'!$B67:$BS67,'Mining Employment Monthly'!$B$76:$BS$76,1,'Mining Employment Monthly'!$B$77:$BS$77,VALUE(CONCATENATE("20",RIGHT('Employment Financial Year'!T$7,2)))))/2,(SUMIFS('Mining Employment Monthly'!$B147:$BS147,'Mining Employment Monthly'!$B$76:$BS$76,2,'Mining Employment Monthly'!$B$77:$BS$77,VALUE(LEFT('Employment Financial Year'!T$7,4)))+SUMIFS('Mining Employment Monthly'!$B147:$BS147,'Mining Employment Monthly'!$B$76:$BS$76,1,'Mining Employment Monthly'!$B$77:$BS$77,VALUE(CONCATENATE("20",RIGHT('Employment Financial Year'!T$7,2)))))/2)</f>
        <v>31392.666666666664</v>
      </c>
      <c r="U13" s="233">
        <f>IF($A$25=$A$101,(SUMIFS('Mining Employment Monthly'!$B67:$BS67,'Mining Employment Monthly'!$B$76:$BS$76,2,'Mining Employment Monthly'!$B$77:$BS$77,VALUE(LEFT('Employment Financial Year'!U$7,4)))+SUMIFS('Mining Employment Monthly'!$B67:$BS67,'Mining Employment Monthly'!$B$76:$BS$76,1,'Mining Employment Monthly'!$B$77:$BS$77,VALUE(CONCATENATE("20",RIGHT('Employment Financial Year'!U$7,2)))))/2,(SUMIFS('Mining Employment Monthly'!$B147:$BS147,'Mining Employment Monthly'!$B$76:$BS$76,2,'Mining Employment Monthly'!$B$77:$BS$77,VALUE(LEFT('Employment Financial Year'!U$7,4)))+SUMIFS('Mining Employment Monthly'!$B147:$BS147,'Mining Employment Monthly'!$B$76:$BS$76,1,'Mining Employment Monthly'!$B$77:$BS$77,VALUE(CONCATENATE("20",RIGHT('Employment Financial Year'!U$7,2)))))/2)</f>
        <v>31507.333333333332</v>
      </c>
      <c r="V13" s="131">
        <f>IF($A$25=$A$101,(SUMIFS('Mining Employment Monthly'!$B67:$BS67,'Mining Employment Monthly'!$B$76:$BS$76,2,'Mining Employment Monthly'!$B$77:$BS$77,VALUE(LEFT('Employment Financial Year'!V$7,4)))+SUMIFS('Mining Employment Monthly'!$B67:$BS67,'Mining Employment Monthly'!$B$76:$BS$76,1,'Mining Employment Monthly'!$B$77:$BS$77,VALUE(CONCATENATE("20",RIGHT('Employment Financial Year'!V$7,2)))))/2,(SUMIFS('Mining Employment Monthly'!$B147:$BS147,'Mining Employment Monthly'!$B$76:$BS$76,2,'Mining Employment Monthly'!$B$77:$BS$77,VALUE(LEFT('Employment Financial Year'!V$7,4)))+SUMIFS('Mining Employment Monthly'!$B147:$BS147,'Mining Employment Monthly'!$B$76:$BS$76,1,'Mining Employment Monthly'!$B$77:$BS$77,VALUE(CONCATENATE("20",RIGHT('Employment Financial Year'!V$7,2)))))/2)</f>
        <v>34152.583333333336</v>
      </c>
    </row>
    <row r="14" spans="1:109" s="55" customFormat="1">
      <c r="A14" s="49" t="s">
        <v>53</v>
      </c>
      <c r="B14" s="989"/>
      <c r="C14" s="128">
        <f>IF($A$25=$A$101,(SUMIFS('Mining Employment Monthly'!$B69:$BS69,'Mining Employment Monthly'!$B$76:$BS$76,2,'Mining Employment Monthly'!$B$77:$BS$77,VALUE(LEFT('Employment Financial Year'!C$7,4)))+SUMIFS('Mining Employment Monthly'!$B69:$BS69,'Mining Employment Monthly'!$B$76:$BS$76,1,'Mining Employment Monthly'!$B$77:$BS$77,VALUE(CONCATENATE("20",RIGHT('Employment Financial Year'!C$7,2)))))/2,(SUMIFS('Mining Employment Monthly'!$B149:$BS149,'Mining Employment Monthly'!$B$76:$BS$76,2,'Mining Employment Monthly'!$B$77:$BS$77,VALUE(LEFT('Employment Financial Year'!C$7,4)))+SUMIFS('Mining Employment Monthly'!$B149:$BS149,'Mining Employment Monthly'!$B$76:$BS$76,1,'Mining Employment Monthly'!$B$77:$BS$77,VALUE(CONCATENATE("20",RIGHT('Employment Financial Year'!C$7,2)))))/2)</f>
        <v>8638.3333333333321</v>
      </c>
      <c r="D14" s="128">
        <f>IF($A$25=$A$101,(SUMIFS('Mining Employment Monthly'!$B69:$BS69,'Mining Employment Monthly'!$B$76:$BS$76,2,'Mining Employment Monthly'!$B$77:$BS$77,VALUE(LEFT('Employment Financial Year'!D$7,4)))+SUMIFS('Mining Employment Monthly'!$B69:$BS69,'Mining Employment Monthly'!$B$76:$BS$76,1,'Mining Employment Monthly'!$B$77:$BS$77,VALUE(CONCATENATE("20",RIGHT('Employment Financial Year'!D$7,2)))))/2,(SUMIFS('Mining Employment Monthly'!$B149:$BS149,'Mining Employment Monthly'!$B$76:$BS$76,2,'Mining Employment Monthly'!$B$77:$BS$77,VALUE(LEFT('Employment Financial Year'!D$7,4)))+SUMIFS('Mining Employment Monthly'!$B149:$BS149,'Mining Employment Monthly'!$B$76:$BS$76,1,'Mining Employment Monthly'!$B$77:$BS$77,VALUE(CONCATENATE("20",RIGHT('Employment Financial Year'!D$7,2)))))/2)</f>
        <v>10265.5</v>
      </c>
      <c r="E14" s="128">
        <f>IF($A$25=$A$101,(SUMIFS('Mining Employment Monthly'!$B69:$BS69,'Mining Employment Monthly'!$B$76:$BS$76,2,'Mining Employment Monthly'!$B$77:$BS$77,VALUE(LEFT('Employment Financial Year'!E$7,4)))+SUMIFS('Mining Employment Monthly'!$B69:$BS69,'Mining Employment Monthly'!$B$76:$BS$76,1,'Mining Employment Monthly'!$B$77:$BS$77,VALUE(CONCATENATE("20",RIGHT('Employment Financial Year'!E$7,2)))))/2,(SUMIFS('Mining Employment Monthly'!$B149:$BS149,'Mining Employment Monthly'!$B$76:$BS$76,2,'Mining Employment Monthly'!$B$77:$BS$77,VALUE(LEFT('Employment Financial Year'!E$7,4)))+SUMIFS('Mining Employment Monthly'!$B149:$BS149,'Mining Employment Monthly'!$B$76:$BS$76,1,'Mining Employment Monthly'!$B$77:$BS$77,VALUE(CONCATENATE("20",RIGHT('Employment Financial Year'!E$7,2)))))/2)</f>
        <v>11646.333333333334</v>
      </c>
      <c r="F14" s="128">
        <f>IF($A$25=$A$101,(SUMIFS('Mining Employment Monthly'!$B69:$BS69,'Mining Employment Monthly'!$B$76:$BS$76,2,'Mining Employment Monthly'!$B$77:$BS$77,VALUE(LEFT('Employment Financial Year'!F$7,4)))+SUMIFS('Mining Employment Monthly'!$B69:$BS69,'Mining Employment Monthly'!$B$76:$BS$76,1,'Mining Employment Monthly'!$B$77:$BS$77,VALUE(CONCATENATE("20",RIGHT('Employment Financial Year'!F$7,2)))))/2,(SUMIFS('Mining Employment Monthly'!$B149:$BS149,'Mining Employment Monthly'!$B$76:$BS$76,2,'Mining Employment Monthly'!$B$77:$BS$77,VALUE(LEFT('Employment Financial Year'!F$7,4)))+SUMIFS('Mining Employment Monthly'!$B149:$BS149,'Mining Employment Monthly'!$B$76:$BS$76,1,'Mining Employment Monthly'!$B$77:$BS$77,VALUE(CONCATENATE("20",RIGHT('Employment Financial Year'!F$7,2)))))/2)</f>
        <v>12458.75</v>
      </c>
      <c r="G14" s="128">
        <f>IF($A$25=$A$101,(SUMIFS('Mining Employment Monthly'!$B69:$BS69,'Mining Employment Monthly'!$B$76:$BS$76,2,'Mining Employment Monthly'!$B$77:$BS$77,VALUE(LEFT('Employment Financial Year'!G$7,4)))+SUMIFS('Mining Employment Monthly'!$B69:$BS69,'Mining Employment Monthly'!$B$76:$BS$76,1,'Mining Employment Monthly'!$B$77:$BS$77,VALUE(CONCATENATE("20",RIGHT('Employment Financial Year'!G$7,2)))))/2,(SUMIFS('Mining Employment Monthly'!$B149:$BS149,'Mining Employment Monthly'!$B$76:$BS$76,2,'Mining Employment Monthly'!$B$77:$BS$77,VALUE(LEFT('Employment Financial Year'!G$7,4)))+SUMIFS('Mining Employment Monthly'!$B149:$BS149,'Mining Employment Monthly'!$B$76:$BS$76,1,'Mining Employment Monthly'!$B$77:$BS$77,VALUE(CONCATENATE("20",RIGHT('Employment Financial Year'!G$7,2)))))/2)</f>
        <v>14414.666666666668</v>
      </c>
      <c r="H14" s="128">
        <f>IF($A$25=$A$101,(SUMIFS('Mining Employment Monthly'!$B69:$BS69,'Mining Employment Monthly'!$B$76:$BS$76,2,'Mining Employment Monthly'!$B$77:$BS$77,VALUE(LEFT('Employment Financial Year'!H$7,4)))+SUMIFS('Mining Employment Monthly'!$B69:$BS69,'Mining Employment Monthly'!$B$76:$BS$76,1,'Mining Employment Monthly'!$B$77:$BS$77,VALUE(CONCATENATE("20",RIGHT('Employment Financial Year'!H$7,2)))))/2,(SUMIFS('Mining Employment Monthly'!$B149:$BS149,'Mining Employment Monthly'!$B$76:$BS$76,2,'Mining Employment Monthly'!$B$77:$BS$77,VALUE(LEFT('Employment Financial Year'!H$7,4)))+SUMIFS('Mining Employment Monthly'!$B149:$BS149,'Mining Employment Monthly'!$B$76:$BS$76,1,'Mining Employment Monthly'!$B$77:$BS$77,VALUE(CONCATENATE("20",RIGHT('Employment Financial Year'!H$7,2)))))/2)</f>
        <v>16603.833333333336</v>
      </c>
      <c r="I14" s="128">
        <f>IF($A$25=$A$101,(SUMIFS('Mining Employment Monthly'!$B69:$BS69,'Mining Employment Monthly'!$B$76:$BS$76,2,'Mining Employment Monthly'!$B$77:$BS$77,VALUE(LEFT('Employment Financial Year'!I$7,4)))+SUMIFS('Mining Employment Monthly'!$B69:$BS69,'Mining Employment Monthly'!$B$76:$BS$76,1,'Mining Employment Monthly'!$B$77:$BS$77,VALUE(CONCATENATE("20",RIGHT('Employment Financial Year'!I$7,2)))))/2,(SUMIFS('Mining Employment Monthly'!$B149:$BS149,'Mining Employment Monthly'!$B$76:$BS$76,2,'Mining Employment Monthly'!$B$77:$BS$77,VALUE(LEFT('Employment Financial Year'!I$7,4)))+SUMIFS('Mining Employment Monthly'!$B149:$BS149,'Mining Employment Monthly'!$B$76:$BS$76,1,'Mining Employment Monthly'!$B$77:$BS$77,VALUE(CONCATENATE("20",RIGHT('Employment Financial Year'!I$7,2)))))/2)</f>
        <v>18947.833333333336</v>
      </c>
      <c r="J14" s="128">
        <f>IF($A$25=$A$101,(SUMIFS('Mining Employment Monthly'!$B69:$BS69,'Mining Employment Monthly'!$B$76:$BS$76,2,'Mining Employment Monthly'!$B$77:$BS$77,VALUE(LEFT('Employment Financial Year'!J$7,4)))+SUMIFS('Mining Employment Monthly'!$B69:$BS69,'Mining Employment Monthly'!$B$76:$BS$76,1,'Mining Employment Monthly'!$B$77:$BS$77,VALUE(CONCATENATE("20",RIGHT('Employment Financial Year'!J$7,2)))))/2,(SUMIFS('Mining Employment Monthly'!$B149:$BS149,'Mining Employment Monthly'!$B$76:$BS$76,2,'Mining Employment Monthly'!$B$77:$BS$77,VALUE(LEFT('Employment Financial Year'!J$7,4)))+SUMIFS('Mining Employment Monthly'!$B149:$BS149,'Mining Employment Monthly'!$B$76:$BS$76,1,'Mining Employment Monthly'!$B$77:$BS$77,VALUE(CONCATENATE("20",RIGHT('Employment Financial Year'!J$7,2)))))/2)</f>
        <v>25168.416666666664</v>
      </c>
      <c r="K14" s="128">
        <f>IF($A$25=$A$101,(SUMIFS('Mining Employment Monthly'!$B69:$BS69,'Mining Employment Monthly'!$B$76:$BS$76,2,'Mining Employment Monthly'!$B$77:$BS$77,VALUE(LEFT('Employment Financial Year'!K$7,4)))+SUMIFS('Mining Employment Monthly'!$B69:$BS69,'Mining Employment Monthly'!$B$76:$BS$76,1,'Mining Employment Monthly'!$B$77:$BS$77,VALUE(CONCATENATE("20",RIGHT('Employment Financial Year'!K$7,2)))))/2,(SUMIFS('Mining Employment Monthly'!$B149:$BS149,'Mining Employment Monthly'!$B$76:$BS$76,2,'Mining Employment Monthly'!$B$77:$BS$77,VALUE(LEFT('Employment Financial Year'!K$7,4)))+SUMIFS('Mining Employment Monthly'!$B149:$BS149,'Mining Employment Monthly'!$B$76:$BS$76,1,'Mining Employment Monthly'!$B$77:$BS$77,VALUE(CONCATENATE("20",RIGHT('Employment Financial Year'!K$7,2)))))/2)</f>
        <v>25380.25</v>
      </c>
      <c r="L14" s="128">
        <f>IF($A$25=$A$101,(SUMIFS('Mining Employment Monthly'!$B69:$BS69,'Mining Employment Monthly'!$B$76:$BS$76,2,'Mining Employment Monthly'!$B$77:$BS$77,VALUE(LEFT('Employment Financial Year'!L$7,4)))+SUMIFS('Mining Employment Monthly'!$B69:$BS69,'Mining Employment Monthly'!$B$76:$BS$76,1,'Mining Employment Monthly'!$B$77:$BS$77,VALUE(CONCATENATE("20",RIGHT('Employment Financial Year'!L$7,2)))))/2,(SUMIFS('Mining Employment Monthly'!$B149:$BS149,'Mining Employment Monthly'!$B$76:$BS$76,2,'Mining Employment Monthly'!$B$77:$BS$77,VALUE(LEFT('Employment Financial Year'!L$7,4)))+SUMIFS('Mining Employment Monthly'!$B149:$BS149,'Mining Employment Monthly'!$B$76:$BS$76,1,'Mining Employment Monthly'!$B$77:$BS$77,VALUE(CONCATENATE("20",RIGHT('Employment Financial Year'!L$7,2)))))/2)</f>
        <v>30247.583333333332</v>
      </c>
      <c r="M14" s="128">
        <f>IF($A$25=$A$101,(SUMIFS('Mining Employment Monthly'!$B69:$BS69,'Mining Employment Monthly'!$B$76:$BS$76,2,'Mining Employment Monthly'!$B$77:$BS$77,VALUE(LEFT('Employment Financial Year'!M$7,4)))+SUMIFS('Mining Employment Monthly'!$B69:$BS69,'Mining Employment Monthly'!$B$76:$BS$76,1,'Mining Employment Monthly'!$B$77:$BS$77,VALUE(CONCATENATE("20",RIGHT('Employment Financial Year'!M$7,2)))))/2,(SUMIFS('Mining Employment Monthly'!$B149:$BS149,'Mining Employment Monthly'!$B$76:$BS$76,2,'Mining Employment Monthly'!$B$77:$BS$77,VALUE(LEFT('Employment Financial Year'!M$7,4)))+SUMIFS('Mining Employment Monthly'!$B149:$BS149,'Mining Employment Monthly'!$B$76:$BS$76,1,'Mining Employment Monthly'!$B$77:$BS$77,VALUE(CONCATENATE("20",RIGHT('Employment Financial Year'!M$7,2)))))/2)</f>
        <v>41192.5</v>
      </c>
      <c r="N14" s="128">
        <f>IF($A$25=$A$101,(SUMIFS('Mining Employment Monthly'!$B69:$BS69,'Mining Employment Monthly'!$B$76:$BS$76,2,'Mining Employment Monthly'!$B$77:$BS$77,VALUE(LEFT('Employment Financial Year'!N$7,4)))+SUMIFS('Mining Employment Monthly'!$B69:$BS69,'Mining Employment Monthly'!$B$76:$BS$76,1,'Mining Employment Monthly'!$B$77:$BS$77,VALUE(CONCATENATE("20",RIGHT('Employment Financial Year'!N$7,2)))))/2,(SUMIFS('Mining Employment Monthly'!$B149:$BS149,'Mining Employment Monthly'!$B$76:$BS$76,2,'Mining Employment Monthly'!$B$77:$BS$77,VALUE(LEFT('Employment Financial Year'!N$7,4)))+SUMIFS('Mining Employment Monthly'!$B149:$BS149,'Mining Employment Monthly'!$B$76:$BS$76,1,'Mining Employment Monthly'!$B$77:$BS$77,VALUE(CONCATENATE("20",RIGHT('Employment Financial Year'!N$7,2)))))/2)</f>
        <v>54868</v>
      </c>
      <c r="O14" s="128">
        <f>IF($A$25=$A$101,(SUMIFS('Mining Employment Monthly'!$B69:$BS69,'Mining Employment Monthly'!$B$76:$BS$76,2,'Mining Employment Monthly'!$B$77:$BS$77,VALUE(LEFT('Employment Financial Year'!O$7,4)))+SUMIFS('Mining Employment Monthly'!$B69:$BS69,'Mining Employment Monthly'!$B$76:$BS$76,1,'Mining Employment Monthly'!$B$77:$BS$77,VALUE(CONCATENATE("20",RIGHT('Employment Financial Year'!O$7,2)))))/2,(SUMIFS('Mining Employment Monthly'!$B149:$BS149,'Mining Employment Monthly'!$B$76:$BS$76,2,'Mining Employment Monthly'!$B$77:$BS$77,VALUE(LEFT('Employment Financial Year'!O$7,4)))+SUMIFS('Mining Employment Monthly'!$B149:$BS149,'Mining Employment Monthly'!$B$76:$BS$76,1,'Mining Employment Monthly'!$B$77:$BS$77,VALUE(CONCATENATE("20",RIGHT('Employment Financial Year'!O$7,2)))))/2)</f>
        <v>62243.583333333328</v>
      </c>
      <c r="P14" s="128">
        <f>IF($A$25=$A$101,(SUMIFS('Mining Employment Monthly'!$B69:$BS69,'Mining Employment Monthly'!$B$76:$BS$76,2,'Mining Employment Monthly'!$B$77:$BS$77,VALUE(LEFT('Employment Financial Year'!P$7,4)))+SUMIFS('Mining Employment Monthly'!$B69:$BS69,'Mining Employment Monthly'!$B$76:$BS$76,1,'Mining Employment Monthly'!$B$77:$BS$77,VALUE(CONCATENATE("20",RIGHT('Employment Financial Year'!P$7,2)))))/2,(SUMIFS('Mining Employment Monthly'!$B149:$BS149,'Mining Employment Monthly'!$B$76:$BS$76,2,'Mining Employment Monthly'!$B$77:$BS$77,VALUE(LEFT('Employment Financial Year'!P$7,4)))+SUMIFS('Mining Employment Monthly'!$B149:$BS149,'Mining Employment Monthly'!$B$76:$BS$76,1,'Mining Employment Monthly'!$B$77:$BS$77,VALUE(CONCATENATE("20",RIGHT('Employment Financial Year'!P$7,2)))))/2)</f>
        <v>58987.666666666672</v>
      </c>
      <c r="Q14" s="128">
        <f>IF($A$25=$A$101,(SUMIFS('Mining Employment Monthly'!$B69:$BS69,'Mining Employment Monthly'!$B$76:$BS$76,2,'Mining Employment Monthly'!$B$77:$BS$77,VALUE(LEFT('Employment Financial Year'!Q$7,4)))+SUMIFS('Mining Employment Monthly'!$B69:$BS69,'Mining Employment Monthly'!$B$76:$BS$76,1,'Mining Employment Monthly'!$B$77:$BS$77,VALUE(CONCATENATE("20",RIGHT('Employment Financial Year'!Q$7,2)))))/2,(SUMIFS('Mining Employment Monthly'!$B149:$BS149,'Mining Employment Monthly'!$B$76:$BS$76,2,'Mining Employment Monthly'!$B$77:$BS$77,VALUE(LEFT('Employment Financial Year'!Q$7,4)))+SUMIFS('Mining Employment Monthly'!$B149:$BS149,'Mining Employment Monthly'!$B$76:$BS$76,1,'Mining Employment Monthly'!$B$77:$BS$77,VALUE(CONCATENATE("20",RIGHT('Employment Financial Year'!Q$7,2)))))/2)</f>
        <v>53099.166666666664</v>
      </c>
      <c r="R14" s="282">
        <f>IF($A$25=$A$101,(SUMIFS('Mining Employment Monthly'!$B69:$BS69,'Mining Employment Monthly'!$B$76:$BS$76,2,'Mining Employment Monthly'!$B$77:$BS$77,VALUE(LEFT('Employment Financial Year'!R$7,4)))+SUMIFS('Mining Employment Monthly'!$B69:$BS69,'Mining Employment Monthly'!$B$76:$BS$76,1,'Mining Employment Monthly'!$B$77:$BS$77,VALUE(CONCATENATE("20",RIGHT('Employment Financial Year'!R$7,2)))))/2,(SUMIFS('Mining Employment Monthly'!$B149:$BS149,'Mining Employment Monthly'!$B$76:$BS$76,2,'Mining Employment Monthly'!$B$77:$BS$77,VALUE(LEFT('Employment Financial Year'!R$7,4)))+SUMIFS('Mining Employment Monthly'!$B149:$BS149,'Mining Employment Monthly'!$B$76:$BS$76,1,'Mining Employment Monthly'!$B$77:$BS$77,VALUE(CONCATENATE("20",RIGHT('Employment Financial Year'!R$7,2)))))/2)</f>
        <v>52922</v>
      </c>
      <c r="S14" s="282">
        <f>IF($A$25=$A$101,(SUMIFS('Mining Employment Monthly'!$B69:$BS69,'Mining Employment Monthly'!$B$76:$BS$76,2,'Mining Employment Monthly'!$B$77:$BS$77,VALUE(LEFT('Employment Financial Year'!S$7,4)))+SUMIFS('Mining Employment Monthly'!$B69:$BS69,'Mining Employment Monthly'!$B$76:$BS$76,1,'Mining Employment Monthly'!$B$77:$BS$77,VALUE(CONCATENATE("20",RIGHT('Employment Financial Year'!S$7,2)))))/2,(SUMIFS('Mining Employment Monthly'!$B149:$BS149,'Mining Employment Monthly'!$B$76:$BS$76,2,'Mining Employment Monthly'!$B$77:$BS$77,VALUE(LEFT('Employment Financial Year'!S$7,4)))+SUMIFS('Mining Employment Monthly'!$B149:$BS149,'Mining Employment Monthly'!$B$76:$BS$76,1,'Mining Employment Monthly'!$B$77:$BS$77,VALUE(CONCATENATE("20",RIGHT('Employment Financial Year'!S$7,2)))))/2)</f>
        <v>53712.25</v>
      </c>
      <c r="T14" s="282">
        <f>IF($A$25=$A$101,(SUMIFS('Mining Employment Monthly'!$B69:$BS69,'Mining Employment Monthly'!$B$76:$BS$76,2,'Mining Employment Monthly'!$B$77:$BS$77,VALUE(LEFT('Employment Financial Year'!T$7,4)))+SUMIFS('Mining Employment Monthly'!$B69:$BS69,'Mining Employment Monthly'!$B$76:$BS$76,1,'Mining Employment Monthly'!$B$77:$BS$77,VALUE(CONCATENATE("20",RIGHT('Employment Financial Year'!T$7,2)))))/2,(SUMIFS('Mining Employment Monthly'!$B149:$BS149,'Mining Employment Monthly'!$B$76:$BS$76,2,'Mining Employment Monthly'!$B$77:$BS$77,VALUE(LEFT('Employment Financial Year'!T$7,4)))+SUMIFS('Mining Employment Monthly'!$B149:$BS149,'Mining Employment Monthly'!$B$76:$BS$76,1,'Mining Employment Monthly'!$B$77:$BS$77,VALUE(CONCATENATE("20",RIGHT('Employment Financial Year'!T$7,2)))))/2)</f>
        <v>60081.166666666672</v>
      </c>
      <c r="U14" s="282">
        <f>IF($A$25=$A$101,(SUMIFS('Mining Employment Monthly'!$B69:$BS69,'Mining Employment Monthly'!$B$76:$BS$76,2,'Mining Employment Monthly'!$B$77:$BS$77,VALUE(LEFT('Employment Financial Year'!U$7,4)))+SUMIFS('Mining Employment Monthly'!$B69:$BS69,'Mining Employment Monthly'!$B$76:$BS$76,1,'Mining Employment Monthly'!$B$77:$BS$77,VALUE(CONCATENATE("20",RIGHT('Employment Financial Year'!U$7,2)))))/2,(SUMIFS('Mining Employment Monthly'!$B149:$BS149,'Mining Employment Monthly'!$B$76:$BS$76,2,'Mining Employment Monthly'!$B$77:$BS$77,VALUE(LEFT('Employment Financial Year'!U$7,4)))+SUMIFS('Mining Employment Monthly'!$B149:$BS149,'Mining Employment Monthly'!$B$76:$BS$76,1,'Mining Employment Monthly'!$B$77:$BS$77,VALUE(CONCATENATE("20",RIGHT('Employment Financial Year'!U$7,2)))))/2)</f>
        <v>67001</v>
      </c>
      <c r="V14" s="283">
        <f>IF($A$25=$A$101,(SUMIFS('Mining Employment Monthly'!$B69:$BS69,'Mining Employment Monthly'!$B$76:$BS$76,2,'Mining Employment Monthly'!$B$77:$BS$77,VALUE(LEFT('Employment Financial Year'!V$7,4)))+SUMIFS('Mining Employment Monthly'!$B69:$BS69,'Mining Employment Monthly'!$B$76:$BS$76,1,'Mining Employment Monthly'!$B$77:$BS$77,VALUE(CONCATENATE("20",RIGHT('Employment Financial Year'!V$7,2)))))/2,(SUMIFS('Mining Employment Monthly'!$B149:$BS149,'Mining Employment Monthly'!$B$76:$BS$76,2,'Mining Employment Monthly'!$B$77:$BS$77,VALUE(LEFT('Employment Financial Year'!V$7,4)))+SUMIFS('Mining Employment Monthly'!$B149:$BS149,'Mining Employment Monthly'!$B$76:$BS$76,1,'Mining Employment Monthly'!$B$77:$BS$77,VALUE(CONCATENATE("20",RIGHT('Employment Financial Year'!V$7,2)))))/2)</f>
        <v>76149.583333333328</v>
      </c>
    </row>
    <row r="15" spans="1:109" s="55" customFormat="1">
      <c r="A15" s="49" t="s">
        <v>911</v>
      </c>
      <c r="B15" s="130"/>
      <c r="C15" s="170">
        <f>IF($A$25=$A$101,(SUMIFS('Mining Employment Monthly'!$B70:$BS70,'Mining Employment Monthly'!$B$76:$BS$76,2,'Mining Employment Monthly'!$B$77:$BS$77,VALUE(LEFT('Employment Financial Year'!C$7,4)))+SUMIFS('Mining Employment Monthly'!$B70:$BS70,'Mining Employment Monthly'!$B$76:$BS$76,1,'Mining Employment Monthly'!$B$77:$BS$77,VALUE(CONCATENATE("20",RIGHT('Employment Financial Year'!C$7,2)))))/2,(SUMIFS('Mining Employment Monthly'!$B150:$BS150,'Mining Employment Monthly'!$B$76:$BS$76,2,'Mining Employment Monthly'!$B$77:$BS$77,VALUE(LEFT('Employment Financial Year'!C$7,4)))+SUMIFS('Mining Employment Monthly'!$B150:$BS150,'Mining Employment Monthly'!$B$76:$BS$76,1,'Mining Employment Monthly'!$B$77:$BS$77,VALUE(CONCATENATE("20",RIGHT('Employment Financial Year'!C$7,2)))))/2)</f>
        <v>584.75</v>
      </c>
      <c r="D15" s="170">
        <f>IF($A$25=$A$101,(SUMIFS('Mining Employment Monthly'!$B70:$BS70,'Mining Employment Monthly'!$B$76:$BS$76,2,'Mining Employment Monthly'!$B$77:$BS$77,VALUE(LEFT('Employment Financial Year'!D$7,4)))+SUMIFS('Mining Employment Monthly'!$B70:$BS70,'Mining Employment Monthly'!$B$76:$BS$76,1,'Mining Employment Monthly'!$B$77:$BS$77,VALUE(CONCATENATE("20",RIGHT('Employment Financial Year'!D$7,2)))))/2,(SUMIFS('Mining Employment Monthly'!$B150:$BS150,'Mining Employment Monthly'!$B$76:$BS$76,2,'Mining Employment Monthly'!$B$77:$BS$77,VALUE(LEFT('Employment Financial Year'!D$7,4)))+SUMIFS('Mining Employment Monthly'!$B150:$BS150,'Mining Employment Monthly'!$B$76:$BS$76,1,'Mining Employment Monthly'!$B$77:$BS$77,VALUE(CONCATENATE("20",RIGHT('Employment Financial Year'!D$7,2)))))/2)</f>
        <v>456.41666666666663</v>
      </c>
      <c r="E15" s="170">
        <f>IF($A$25=$A$101,(SUMIFS('Mining Employment Monthly'!$B70:$BS70,'Mining Employment Monthly'!$B$76:$BS$76,2,'Mining Employment Monthly'!$B$77:$BS$77,VALUE(LEFT('Employment Financial Year'!E$7,4)))+SUMIFS('Mining Employment Monthly'!$B70:$BS70,'Mining Employment Monthly'!$B$76:$BS$76,1,'Mining Employment Monthly'!$B$77:$BS$77,VALUE(CONCATENATE("20",RIGHT('Employment Financial Year'!E$7,2)))))/2,(SUMIFS('Mining Employment Monthly'!$B150:$BS150,'Mining Employment Monthly'!$B$76:$BS$76,2,'Mining Employment Monthly'!$B$77:$BS$77,VALUE(LEFT('Employment Financial Year'!E$7,4)))+SUMIFS('Mining Employment Monthly'!$B150:$BS150,'Mining Employment Monthly'!$B$76:$BS$76,1,'Mining Employment Monthly'!$B$77:$BS$77,VALUE(CONCATENATE("20",RIGHT('Employment Financial Year'!E$7,2)))))/2)</f>
        <v>479.08333333333337</v>
      </c>
      <c r="F15" s="170">
        <f>IF($A$25=$A$101,(SUMIFS('Mining Employment Monthly'!$B70:$BS70,'Mining Employment Monthly'!$B$76:$BS$76,2,'Mining Employment Monthly'!$B$77:$BS$77,VALUE(LEFT('Employment Financial Year'!F$7,4)))+SUMIFS('Mining Employment Monthly'!$B70:$BS70,'Mining Employment Monthly'!$B$76:$BS$76,1,'Mining Employment Monthly'!$B$77:$BS$77,VALUE(CONCATENATE("20",RIGHT('Employment Financial Year'!F$7,2)))))/2,(SUMIFS('Mining Employment Monthly'!$B150:$BS150,'Mining Employment Monthly'!$B$76:$BS$76,2,'Mining Employment Monthly'!$B$77:$BS$77,VALUE(LEFT('Employment Financial Year'!F$7,4)))+SUMIFS('Mining Employment Monthly'!$B150:$BS150,'Mining Employment Monthly'!$B$76:$BS$76,1,'Mining Employment Monthly'!$B$77:$BS$77,VALUE(CONCATENATE("20",RIGHT('Employment Financial Year'!F$7,2)))))/2)</f>
        <v>525.16666666666674</v>
      </c>
      <c r="G15" s="170">
        <f>IF($A$25=$A$101,(SUMIFS('Mining Employment Monthly'!$B70:$BS70,'Mining Employment Monthly'!$B$76:$BS$76,2,'Mining Employment Monthly'!$B$77:$BS$77,VALUE(LEFT('Employment Financial Year'!G$7,4)))+SUMIFS('Mining Employment Monthly'!$B70:$BS70,'Mining Employment Monthly'!$B$76:$BS$76,1,'Mining Employment Monthly'!$B$77:$BS$77,VALUE(CONCATENATE("20",RIGHT('Employment Financial Year'!G$7,2)))))/2,(SUMIFS('Mining Employment Monthly'!$B150:$BS150,'Mining Employment Monthly'!$B$76:$BS$76,2,'Mining Employment Monthly'!$B$77:$BS$77,VALUE(LEFT('Employment Financial Year'!G$7,4)))+SUMIFS('Mining Employment Monthly'!$B150:$BS150,'Mining Employment Monthly'!$B$76:$BS$76,1,'Mining Employment Monthly'!$B$77:$BS$77,VALUE(CONCATENATE("20",RIGHT('Employment Financial Year'!G$7,2)))))/2)</f>
        <v>539.83333333333326</v>
      </c>
      <c r="H15" s="170">
        <f>IF($A$25=$A$101,(SUMIFS('Mining Employment Monthly'!$B70:$BS70,'Mining Employment Monthly'!$B$76:$BS$76,2,'Mining Employment Monthly'!$B$77:$BS$77,VALUE(LEFT('Employment Financial Year'!H$7,4)))+SUMIFS('Mining Employment Monthly'!$B70:$BS70,'Mining Employment Monthly'!$B$76:$BS$76,1,'Mining Employment Monthly'!$B$77:$BS$77,VALUE(CONCATENATE("20",RIGHT('Employment Financial Year'!H$7,2)))))/2,(SUMIFS('Mining Employment Monthly'!$B150:$BS150,'Mining Employment Monthly'!$B$76:$BS$76,2,'Mining Employment Monthly'!$B$77:$BS$77,VALUE(LEFT('Employment Financial Year'!H$7,4)))+SUMIFS('Mining Employment Monthly'!$B150:$BS150,'Mining Employment Monthly'!$B$76:$BS$76,1,'Mining Employment Monthly'!$B$77:$BS$77,VALUE(CONCATENATE("20",RIGHT('Employment Financial Year'!H$7,2)))))/2)</f>
        <v>414</v>
      </c>
      <c r="I15" s="170">
        <f>IF($A$25=$A$101,(SUMIFS('Mining Employment Monthly'!$B70:$BS70,'Mining Employment Monthly'!$B$76:$BS$76,2,'Mining Employment Monthly'!$B$77:$BS$77,VALUE(LEFT('Employment Financial Year'!I$7,4)))+SUMIFS('Mining Employment Monthly'!$B70:$BS70,'Mining Employment Monthly'!$B$76:$BS$76,1,'Mining Employment Monthly'!$B$77:$BS$77,VALUE(CONCATENATE("20",RIGHT('Employment Financial Year'!I$7,2)))))/2,(SUMIFS('Mining Employment Monthly'!$B150:$BS150,'Mining Employment Monthly'!$B$76:$BS$76,2,'Mining Employment Monthly'!$B$77:$BS$77,VALUE(LEFT('Employment Financial Year'!I$7,4)))+SUMIFS('Mining Employment Monthly'!$B150:$BS150,'Mining Employment Monthly'!$B$76:$BS$76,1,'Mining Employment Monthly'!$B$77:$BS$77,VALUE(CONCATENATE("20",RIGHT('Employment Financial Year'!I$7,2)))))/2)</f>
        <v>463.83333333333337</v>
      </c>
      <c r="J15" s="170">
        <f>IF($A$25=$A$101,(SUMIFS('Mining Employment Monthly'!$B70:$BS70,'Mining Employment Monthly'!$B$76:$BS$76,2,'Mining Employment Monthly'!$B$77:$BS$77,VALUE(LEFT('Employment Financial Year'!J$7,4)))+SUMIFS('Mining Employment Monthly'!$B70:$BS70,'Mining Employment Monthly'!$B$76:$BS$76,1,'Mining Employment Monthly'!$B$77:$BS$77,VALUE(CONCATENATE("20",RIGHT('Employment Financial Year'!J$7,2)))))/2,(SUMIFS('Mining Employment Monthly'!$B150:$BS150,'Mining Employment Monthly'!$B$76:$BS$76,2,'Mining Employment Monthly'!$B$77:$BS$77,VALUE(LEFT('Employment Financial Year'!J$7,4)))+SUMIFS('Mining Employment Monthly'!$B150:$BS150,'Mining Employment Monthly'!$B$76:$BS$76,1,'Mining Employment Monthly'!$B$77:$BS$77,VALUE(CONCATENATE("20",RIGHT('Employment Financial Year'!J$7,2)))))/2)</f>
        <v>366.33333333333337</v>
      </c>
      <c r="K15" s="170">
        <f>IF($A$25=$A$101,(SUMIFS('Mining Employment Monthly'!$B70:$BS70,'Mining Employment Monthly'!$B$76:$BS$76,2,'Mining Employment Monthly'!$B$77:$BS$77,VALUE(LEFT('Employment Financial Year'!K$7,4)))+SUMIFS('Mining Employment Monthly'!$B70:$BS70,'Mining Employment Monthly'!$B$76:$BS$76,1,'Mining Employment Monthly'!$B$77:$BS$77,VALUE(CONCATENATE("20",RIGHT('Employment Financial Year'!K$7,2)))))/2,(SUMIFS('Mining Employment Monthly'!$B150:$BS150,'Mining Employment Monthly'!$B$76:$BS$76,2,'Mining Employment Monthly'!$B$77:$BS$77,VALUE(LEFT('Employment Financial Year'!K$7,4)))+SUMIFS('Mining Employment Monthly'!$B150:$BS150,'Mining Employment Monthly'!$B$76:$BS$76,1,'Mining Employment Monthly'!$B$77:$BS$77,VALUE(CONCATENATE("20",RIGHT('Employment Financial Year'!K$7,2)))))/2)</f>
        <v>339.16666666666663</v>
      </c>
      <c r="L15" s="170">
        <f>IF($A$25=$A$101,(SUMIFS('Mining Employment Monthly'!$B70:$BS70,'Mining Employment Monthly'!$B$76:$BS$76,2,'Mining Employment Monthly'!$B$77:$BS$77,VALUE(LEFT('Employment Financial Year'!L$7,4)))+SUMIFS('Mining Employment Monthly'!$B70:$BS70,'Mining Employment Monthly'!$B$76:$BS$76,1,'Mining Employment Monthly'!$B$77:$BS$77,VALUE(CONCATENATE("20",RIGHT('Employment Financial Year'!L$7,2)))))/2,(SUMIFS('Mining Employment Monthly'!$B150:$BS150,'Mining Employment Monthly'!$B$76:$BS$76,2,'Mining Employment Monthly'!$B$77:$BS$77,VALUE(LEFT('Employment Financial Year'!L$7,4)))+SUMIFS('Mining Employment Monthly'!$B150:$BS150,'Mining Employment Monthly'!$B$76:$BS$76,1,'Mining Employment Monthly'!$B$77:$BS$77,VALUE(CONCATENATE("20",RIGHT('Employment Financial Year'!L$7,2)))))/2)</f>
        <v>554.25</v>
      </c>
      <c r="M15" s="170">
        <f>IF($A$25=$A$101,(SUMIFS('Mining Employment Monthly'!$B70:$BS70,'Mining Employment Monthly'!$B$76:$BS$76,2,'Mining Employment Monthly'!$B$77:$BS$77,VALUE(LEFT('Employment Financial Year'!M$7,4)))+SUMIFS('Mining Employment Monthly'!$B70:$BS70,'Mining Employment Monthly'!$B$76:$BS$76,1,'Mining Employment Monthly'!$B$77:$BS$77,VALUE(CONCATENATE("20",RIGHT('Employment Financial Year'!M$7,2)))))/2,(SUMIFS('Mining Employment Monthly'!$B150:$BS150,'Mining Employment Monthly'!$B$76:$BS$76,2,'Mining Employment Monthly'!$B$77:$BS$77,VALUE(LEFT('Employment Financial Year'!M$7,4)))+SUMIFS('Mining Employment Monthly'!$B150:$BS150,'Mining Employment Monthly'!$B$76:$BS$76,1,'Mining Employment Monthly'!$B$77:$BS$77,VALUE(CONCATENATE("20",RIGHT('Employment Financial Year'!M$7,2)))))/2)</f>
        <v>649.83333333333337</v>
      </c>
      <c r="N15" s="170">
        <f>IF($A$25=$A$101,(SUMIFS('Mining Employment Monthly'!$B70:$BS70,'Mining Employment Monthly'!$B$76:$BS$76,2,'Mining Employment Monthly'!$B$77:$BS$77,VALUE(LEFT('Employment Financial Year'!N$7,4)))+SUMIFS('Mining Employment Monthly'!$B70:$BS70,'Mining Employment Monthly'!$B$76:$BS$76,1,'Mining Employment Monthly'!$B$77:$BS$77,VALUE(CONCATENATE("20",RIGHT('Employment Financial Year'!N$7,2)))))/2,(SUMIFS('Mining Employment Monthly'!$B150:$BS150,'Mining Employment Monthly'!$B$76:$BS$76,2,'Mining Employment Monthly'!$B$77:$BS$77,VALUE(LEFT('Employment Financial Year'!N$7,4)))+SUMIFS('Mining Employment Monthly'!$B150:$BS150,'Mining Employment Monthly'!$B$76:$BS$76,1,'Mining Employment Monthly'!$B$77:$BS$77,VALUE(CONCATENATE("20",RIGHT('Employment Financial Year'!N$7,2)))))/2)</f>
        <v>435.16666666666669</v>
      </c>
      <c r="O15" s="170">
        <f>IF($A$25=$A$101,(SUMIFS('Mining Employment Monthly'!$B70:$BS70,'Mining Employment Monthly'!$B$76:$BS$76,2,'Mining Employment Monthly'!$B$77:$BS$77,VALUE(LEFT('Employment Financial Year'!O$7,4)))+SUMIFS('Mining Employment Monthly'!$B70:$BS70,'Mining Employment Monthly'!$B$76:$BS$76,1,'Mining Employment Monthly'!$B$77:$BS$77,VALUE(CONCATENATE("20",RIGHT('Employment Financial Year'!O$7,2)))))/2,(SUMIFS('Mining Employment Monthly'!$B150:$BS150,'Mining Employment Monthly'!$B$76:$BS$76,2,'Mining Employment Monthly'!$B$77:$BS$77,VALUE(LEFT('Employment Financial Year'!O$7,4)))+SUMIFS('Mining Employment Monthly'!$B150:$BS150,'Mining Employment Monthly'!$B$76:$BS$76,1,'Mining Employment Monthly'!$B$77:$BS$77,VALUE(CONCATENATE("20",RIGHT('Employment Financial Year'!O$7,2)))))/2)</f>
        <v>388.91666666666669</v>
      </c>
      <c r="P15" s="170">
        <f>IF($A$25=$A$101,(SUMIFS('Mining Employment Monthly'!$B70:$BS70,'Mining Employment Monthly'!$B$76:$BS$76,2,'Mining Employment Monthly'!$B$77:$BS$77,VALUE(LEFT('Employment Financial Year'!P$7,4)))+SUMIFS('Mining Employment Monthly'!$B70:$BS70,'Mining Employment Monthly'!$B$76:$BS$76,1,'Mining Employment Monthly'!$B$77:$BS$77,VALUE(CONCATENATE("20",RIGHT('Employment Financial Year'!P$7,2)))))/2,(SUMIFS('Mining Employment Monthly'!$B150:$BS150,'Mining Employment Monthly'!$B$76:$BS$76,2,'Mining Employment Monthly'!$B$77:$BS$77,VALUE(LEFT('Employment Financial Year'!P$7,4)))+SUMIFS('Mining Employment Monthly'!$B150:$BS150,'Mining Employment Monthly'!$B$76:$BS$76,1,'Mining Employment Monthly'!$B$77:$BS$77,VALUE(CONCATENATE("20",RIGHT('Employment Financial Year'!P$7,2)))))/2)</f>
        <v>564.16666666666663</v>
      </c>
      <c r="Q15" s="170">
        <f>IF($A$25=$A$101,(SUMIFS('Mining Employment Monthly'!$B70:$BS70,'Mining Employment Monthly'!$B$76:$BS$76,2,'Mining Employment Monthly'!$B$77:$BS$77,VALUE(LEFT('Employment Financial Year'!Q$7,4)))+SUMIFS('Mining Employment Monthly'!$B70:$BS70,'Mining Employment Monthly'!$B$76:$BS$76,1,'Mining Employment Monthly'!$B$77:$BS$77,VALUE(CONCATENATE("20",RIGHT('Employment Financial Year'!Q$7,2)))))/2,(SUMIFS('Mining Employment Monthly'!$B150:$BS150,'Mining Employment Monthly'!$B$76:$BS$76,2,'Mining Employment Monthly'!$B$77:$BS$77,VALUE(LEFT('Employment Financial Year'!Q$7,4)))+SUMIFS('Mining Employment Monthly'!$B150:$BS150,'Mining Employment Monthly'!$B$76:$BS$76,1,'Mining Employment Monthly'!$B$77:$BS$77,VALUE(CONCATENATE("20",RIGHT('Employment Financial Year'!Q$7,2)))))/2)</f>
        <v>757.75</v>
      </c>
      <c r="R15" s="233">
        <f>IF($A$25=$A$101,(SUMIFS('Mining Employment Monthly'!$B70:$BS70,'Mining Employment Monthly'!$B$76:$BS$76,2,'Mining Employment Monthly'!$B$77:$BS$77,VALUE(LEFT('Employment Financial Year'!R$7,4)))+SUMIFS('Mining Employment Monthly'!$B70:$BS70,'Mining Employment Monthly'!$B$76:$BS$76,1,'Mining Employment Monthly'!$B$77:$BS$77,VALUE(CONCATENATE("20",RIGHT('Employment Financial Year'!R$7,2)))))/2,(SUMIFS('Mining Employment Monthly'!$B150:$BS150,'Mining Employment Monthly'!$B$76:$BS$76,2,'Mining Employment Monthly'!$B$77:$BS$77,VALUE(LEFT('Employment Financial Year'!R$7,4)))+SUMIFS('Mining Employment Monthly'!$B150:$BS150,'Mining Employment Monthly'!$B$76:$BS$76,1,'Mining Employment Monthly'!$B$77:$BS$77,VALUE(CONCATENATE("20",RIGHT('Employment Financial Year'!R$7,2)))))/2)</f>
        <v>1084</v>
      </c>
      <c r="S15" s="233">
        <f>IF($A$25=$A$101,(SUMIFS('Mining Employment Monthly'!$B70:$BS70,'Mining Employment Monthly'!$B$76:$BS$76,2,'Mining Employment Monthly'!$B$77:$BS$77,VALUE(LEFT('Employment Financial Year'!S$7,4)))+SUMIFS('Mining Employment Monthly'!$B70:$BS70,'Mining Employment Monthly'!$B$76:$BS$76,1,'Mining Employment Monthly'!$B$77:$BS$77,VALUE(CONCATENATE("20",RIGHT('Employment Financial Year'!S$7,2)))))/2,(SUMIFS('Mining Employment Monthly'!$B150:$BS150,'Mining Employment Monthly'!$B$76:$BS$76,2,'Mining Employment Monthly'!$B$77:$BS$77,VALUE(LEFT('Employment Financial Year'!S$7,4)))+SUMIFS('Mining Employment Monthly'!$B150:$BS150,'Mining Employment Monthly'!$B$76:$BS$76,1,'Mining Employment Monthly'!$B$77:$BS$77,VALUE(CONCATENATE("20",RIGHT('Employment Financial Year'!S$7,2)))))/2)</f>
        <v>2471.3333333333335</v>
      </c>
      <c r="T15" s="233">
        <f>IF($A$25=$A$101,(SUMIFS('Mining Employment Monthly'!$B70:$BS70,'Mining Employment Monthly'!$B$76:$BS$76,2,'Mining Employment Monthly'!$B$77:$BS$77,VALUE(LEFT('Employment Financial Year'!T$7,4)))+SUMIFS('Mining Employment Monthly'!$B70:$BS70,'Mining Employment Monthly'!$B$76:$BS$76,1,'Mining Employment Monthly'!$B$77:$BS$77,VALUE(CONCATENATE("20",RIGHT('Employment Financial Year'!T$7,2)))))/2,(SUMIFS('Mining Employment Monthly'!$B150:$BS150,'Mining Employment Monthly'!$B$76:$BS$76,2,'Mining Employment Monthly'!$B$77:$BS$77,VALUE(LEFT('Employment Financial Year'!T$7,4)))+SUMIFS('Mining Employment Monthly'!$B150:$BS150,'Mining Employment Monthly'!$B$76:$BS$76,1,'Mining Employment Monthly'!$B$77:$BS$77,VALUE(CONCATENATE("20",RIGHT('Employment Financial Year'!T$7,2)))))/2)</f>
        <v>3606.25</v>
      </c>
      <c r="U15" s="233">
        <f>IF($A$25=$A$101,(SUMIFS('Mining Employment Monthly'!$B70:$BS70,'Mining Employment Monthly'!$B$76:$BS$76,2,'Mining Employment Monthly'!$B$77:$BS$77,VALUE(LEFT('Employment Financial Year'!U$7,4)))+SUMIFS('Mining Employment Monthly'!$B70:$BS70,'Mining Employment Monthly'!$B$76:$BS$76,1,'Mining Employment Monthly'!$B$77:$BS$77,VALUE(CONCATENATE("20",RIGHT('Employment Financial Year'!U$7,2)))))/2,(SUMIFS('Mining Employment Monthly'!$B150:$BS150,'Mining Employment Monthly'!$B$76:$BS$76,2,'Mining Employment Monthly'!$B$77:$BS$77,VALUE(LEFT('Employment Financial Year'!U$7,4)))+SUMIFS('Mining Employment Monthly'!$B150:$BS150,'Mining Employment Monthly'!$B$76:$BS$76,1,'Mining Employment Monthly'!$B$77:$BS$77,VALUE(CONCATENATE("20",RIGHT('Employment Financial Year'!U$7,2)))))/2)</f>
        <v>2662.6666666666665</v>
      </c>
      <c r="V15" s="131">
        <f>IF($A$25=$A$101,(SUMIFS('Mining Employment Monthly'!$B70:$BS70,'Mining Employment Monthly'!$B$76:$BS$76,2,'Mining Employment Monthly'!$B$77:$BS$77,VALUE(LEFT('Employment Financial Year'!V$7,4)))+SUMIFS('Mining Employment Monthly'!$B70:$BS70,'Mining Employment Monthly'!$B$76:$BS$76,1,'Mining Employment Monthly'!$B$77:$BS$77,VALUE(CONCATENATE("20",RIGHT('Employment Financial Year'!V$7,2)))))/2,(SUMIFS('Mining Employment Monthly'!$B150:$BS150,'Mining Employment Monthly'!$B$76:$BS$76,2,'Mining Employment Monthly'!$B$77:$BS$77,VALUE(LEFT('Employment Financial Year'!V$7,4)))+SUMIFS('Mining Employment Monthly'!$B150:$BS150,'Mining Employment Monthly'!$B$76:$BS$76,1,'Mining Employment Monthly'!$B$77:$BS$77,VALUE(CONCATENATE("20",RIGHT('Employment Financial Year'!V$7,2)))))/2)</f>
        <v>2419.416666666667</v>
      </c>
    </row>
    <row r="16" spans="1:109" s="55" customFormat="1">
      <c r="A16" s="49" t="s">
        <v>196</v>
      </c>
      <c r="B16" s="129"/>
      <c r="C16" s="128">
        <f>IF($A$25=$A$101,(SUMIFS('Mining Employment Monthly'!$B68:$BS68,'Mining Employment Monthly'!$B$76:$BS$76,2,'Mining Employment Monthly'!$B$77:$BS$77,VALUE(LEFT('Employment Financial Year'!C$7,4)))+SUMIFS('Mining Employment Monthly'!$B68:$BS68,'Mining Employment Monthly'!$B$76:$BS$76,1,'Mining Employment Monthly'!$B$77:$BS$77,VALUE(CONCATENATE("20",RIGHT('Employment Financial Year'!C$7,2)))))/2,(SUMIFS('Mining Employment Monthly'!$B148:$BS148,'Mining Employment Monthly'!$B$76:$BS$76,2,'Mining Employment Monthly'!$B$77:$BS$77,VALUE(LEFT('Employment Financial Year'!C$7,4)))+SUMIFS('Mining Employment Monthly'!$B148:$BS148,'Mining Employment Monthly'!$B$76:$BS$76,1,'Mining Employment Monthly'!$B$77:$BS$77,VALUE(CONCATENATE("20",RIGHT('Employment Financial Year'!C$7,2)))))/2)</f>
        <v>2244.416666666667</v>
      </c>
      <c r="D16" s="128">
        <f>IF($A$25=$A$101,(SUMIFS('Mining Employment Monthly'!$B68:$BS68,'Mining Employment Monthly'!$B$76:$BS$76,2,'Mining Employment Monthly'!$B$77:$BS$77,VALUE(LEFT('Employment Financial Year'!D$7,4)))+SUMIFS('Mining Employment Monthly'!$B68:$BS68,'Mining Employment Monthly'!$B$76:$BS$76,1,'Mining Employment Monthly'!$B$77:$BS$77,VALUE(CONCATENATE("20",RIGHT('Employment Financial Year'!D$7,2)))))/2,(SUMIFS('Mining Employment Monthly'!$B148:$BS148,'Mining Employment Monthly'!$B$76:$BS$76,2,'Mining Employment Monthly'!$B$77:$BS$77,VALUE(LEFT('Employment Financial Year'!D$7,4)))+SUMIFS('Mining Employment Monthly'!$B148:$BS148,'Mining Employment Monthly'!$B$76:$BS$76,1,'Mining Employment Monthly'!$B$77:$BS$77,VALUE(CONCATENATE("20",RIGHT('Employment Financial Year'!D$7,2)))))/2)</f>
        <v>2050.25</v>
      </c>
      <c r="E16" s="128">
        <f>IF($A$25=$A$101,(SUMIFS('Mining Employment Monthly'!$B68:$BS68,'Mining Employment Monthly'!$B$76:$BS$76,2,'Mining Employment Monthly'!$B$77:$BS$77,VALUE(LEFT('Employment Financial Year'!E$7,4)))+SUMIFS('Mining Employment Monthly'!$B68:$BS68,'Mining Employment Monthly'!$B$76:$BS$76,1,'Mining Employment Monthly'!$B$77:$BS$77,VALUE(CONCATENATE("20",RIGHT('Employment Financial Year'!E$7,2)))))/2,(SUMIFS('Mining Employment Monthly'!$B148:$BS148,'Mining Employment Monthly'!$B$76:$BS$76,2,'Mining Employment Monthly'!$B$77:$BS$77,VALUE(LEFT('Employment Financial Year'!E$7,4)))+SUMIFS('Mining Employment Monthly'!$B148:$BS148,'Mining Employment Monthly'!$B$76:$BS$76,1,'Mining Employment Monthly'!$B$77:$BS$77,VALUE(CONCATENATE("20",RIGHT('Employment Financial Year'!E$7,2)))))/2)</f>
        <v>2345.333333333333</v>
      </c>
      <c r="F16" s="128">
        <f>IF($A$25=$A$101,(SUMIFS('Mining Employment Monthly'!$B68:$BS68,'Mining Employment Monthly'!$B$76:$BS$76,2,'Mining Employment Monthly'!$B$77:$BS$77,VALUE(LEFT('Employment Financial Year'!F$7,4)))+SUMIFS('Mining Employment Monthly'!$B68:$BS68,'Mining Employment Monthly'!$B$76:$BS$76,1,'Mining Employment Monthly'!$B$77:$BS$77,VALUE(CONCATENATE("20",RIGHT('Employment Financial Year'!F$7,2)))))/2,(SUMIFS('Mining Employment Monthly'!$B148:$BS148,'Mining Employment Monthly'!$B$76:$BS$76,2,'Mining Employment Monthly'!$B$77:$BS$77,VALUE(LEFT('Employment Financial Year'!F$7,4)))+SUMIFS('Mining Employment Monthly'!$B148:$BS148,'Mining Employment Monthly'!$B$76:$BS$76,1,'Mining Employment Monthly'!$B$77:$BS$77,VALUE(CONCATENATE("20",RIGHT('Employment Financial Year'!F$7,2)))))/2)</f>
        <v>2530.916666666667</v>
      </c>
      <c r="G16" s="128">
        <f>IF($A$25=$A$101,(SUMIFS('Mining Employment Monthly'!$B68:$BS68,'Mining Employment Monthly'!$B$76:$BS$76,2,'Mining Employment Monthly'!$B$77:$BS$77,VALUE(LEFT('Employment Financial Year'!G$7,4)))+SUMIFS('Mining Employment Monthly'!$B68:$BS68,'Mining Employment Monthly'!$B$76:$BS$76,1,'Mining Employment Monthly'!$B$77:$BS$77,VALUE(CONCATENATE("20",RIGHT('Employment Financial Year'!G$7,2)))))/2,(SUMIFS('Mining Employment Monthly'!$B148:$BS148,'Mining Employment Monthly'!$B$76:$BS$76,2,'Mining Employment Monthly'!$B$77:$BS$77,VALUE(LEFT('Employment Financial Year'!G$7,4)))+SUMIFS('Mining Employment Monthly'!$B148:$BS148,'Mining Employment Monthly'!$B$76:$BS$76,1,'Mining Employment Monthly'!$B$77:$BS$77,VALUE(CONCATENATE("20",RIGHT('Employment Financial Year'!G$7,2)))))/2)</f>
        <v>2830.833333333333</v>
      </c>
      <c r="H16" s="128">
        <f>IF($A$25=$A$101,(SUMIFS('Mining Employment Monthly'!$B68:$BS68,'Mining Employment Monthly'!$B$76:$BS$76,2,'Mining Employment Monthly'!$B$77:$BS$77,VALUE(LEFT('Employment Financial Year'!H$7,4)))+SUMIFS('Mining Employment Monthly'!$B68:$BS68,'Mining Employment Monthly'!$B$76:$BS$76,1,'Mining Employment Monthly'!$B$77:$BS$77,VALUE(CONCATENATE("20",RIGHT('Employment Financial Year'!H$7,2)))))/2,(SUMIFS('Mining Employment Monthly'!$B148:$BS148,'Mining Employment Monthly'!$B$76:$BS$76,2,'Mining Employment Monthly'!$B$77:$BS$77,VALUE(LEFT('Employment Financial Year'!H$7,4)))+SUMIFS('Mining Employment Monthly'!$B148:$BS148,'Mining Employment Monthly'!$B$76:$BS$76,1,'Mining Employment Monthly'!$B$77:$BS$77,VALUE(CONCATENATE("20",RIGHT('Employment Financial Year'!H$7,2)))))/2)</f>
        <v>2877.75</v>
      </c>
      <c r="I16" s="128">
        <f>IF($A$25=$A$101,(SUMIFS('Mining Employment Monthly'!$B68:$BS68,'Mining Employment Monthly'!$B$76:$BS$76,2,'Mining Employment Monthly'!$B$77:$BS$77,VALUE(LEFT('Employment Financial Year'!I$7,4)))+SUMIFS('Mining Employment Monthly'!$B68:$BS68,'Mining Employment Monthly'!$B$76:$BS$76,1,'Mining Employment Monthly'!$B$77:$BS$77,VALUE(CONCATENATE("20",RIGHT('Employment Financial Year'!I$7,2)))))/2,(SUMIFS('Mining Employment Monthly'!$B148:$BS148,'Mining Employment Monthly'!$B$76:$BS$76,2,'Mining Employment Monthly'!$B$77:$BS$77,VALUE(LEFT('Employment Financial Year'!I$7,4)))+SUMIFS('Mining Employment Monthly'!$B148:$BS148,'Mining Employment Monthly'!$B$76:$BS$76,1,'Mining Employment Monthly'!$B$77:$BS$77,VALUE(CONCATENATE("20",RIGHT('Employment Financial Year'!I$7,2)))))/2)</f>
        <v>2722</v>
      </c>
      <c r="J16" s="128">
        <f>IF($A$25=$A$101,(SUMIFS('Mining Employment Monthly'!$B68:$BS68,'Mining Employment Monthly'!$B$76:$BS$76,2,'Mining Employment Monthly'!$B$77:$BS$77,VALUE(LEFT('Employment Financial Year'!J$7,4)))+SUMIFS('Mining Employment Monthly'!$B68:$BS68,'Mining Employment Monthly'!$B$76:$BS$76,1,'Mining Employment Monthly'!$B$77:$BS$77,VALUE(CONCATENATE("20",RIGHT('Employment Financial Year'!J$7,2)))))/2,(SUMIFS('Mining Employment Monthly'!$B148:$BS148,'Mining Employment Monthly'!$B$76:$BS$76,2,'Mining Employment Monthly'!$B$77:$BS$77,VALUE(LEFT('Employment Financial Year'!J$7,4)))+SUMIFS('Mining Employment Monthly'!$B148:$BS148,'Mining Employment Monthly'!$B$76:$BS$76,1,'Mining Employment Monthly'!$B$77:$BS$77,VALUE(CONCATENATE("20",RIGHT('Employment Financial Year'!J$7,2)))))/2)</f>
        <v>2479.583333333333</v>
      </c>
      <c r="K16" s="128">
        <f>IF($A$25=$A$101,(SUMIFS('Mining Employment Monthly'!$B68:$BS68,'Mining Employment Monthly'!$B$76:$BS$76,2,'Mining Employment Monthly'!$B$77:$BS$77,VALUE(LEFT('Employment Financial Year'!K$7,4)))+SUMIFS('Mining Employment Monthly'!$B68:$BS68,'Mining Employment Monthly'!$B$76:$BS$76,1,'Mining Employment Monthly'!$B$77:$BS$77,VALUE(CONCATENATE("20",RIGHT('Employment Financial Year'!K$7,2)))))/2,(SUMIFS('Mining Employment Monthly'!$B148:$BS148,'Mining Employment Monthly'!$B$76:$BS$76,2,'Mining Employment Monthly'!$B$77:$BS$77,VALUE(LEFT('Employment Financial Year'!K$7,4)))+SUMIFS('Mining Employment Monthly'!$B148:$BS148,'Mining Employment Monthly'!$B$76:$BS$76,1,'Mining Employment Monthly'!$B$77:$BS$77,VALUE(CONCATENATE("20",RIGHT('Employment Financial Year'!K$7,2)))))/2)</f>
        <v>1810.9166666666667</v>
      </c>
      <c r="L16" s="128">
        <f>IF($A$25=$A$101,(SUMIFS('Mining Employment Monthly'!$B68:$BS68,'Mining Employment Monthly'!$B$76:$BS$76,2,'Mining Employment Monthly'!$B$77:$BS$77,VALUE(LEFT('Employment Financial Year'!L$7,4)))+SUMIFS('Mining Employment Monthly'!$B68:$BS68,'Mining Employment Monthly'!$B$76:$BS$76,1,'Mining Employment Monthly'!$B$77:$BS$77,VALUE(CONCATENATE("20",RIGHT('Employment Financial Year'!L$7,2)))))/2,(SUMIFS('Mining Employment Monthly'!$B148:$BS148,'Mining Employment Monthly'!$B$76:$BS$76,2,'Mining Employment Monthly'!$B$77:$BS$77,VALUE(LEFT('Employment Financial Year'!L$7,4)))+SUMIFS('Mining Employment Monthly'!$B148:$BS148,'Mining Employment Monthly'!$B$76:$BS$76,1,'Mining Employment Monthly'!$B$77:$BS$77,VALUE(CONCATENATE("20",RIGHT('Employment Financial Year'!L$7,2)))))/2)</f>
        <v>1870.5833333333335</v>
      </c>
      <c r="M16" s="128">
        <f>IF($A$25=$A$101,(SUMIFS('Mining Employment Monthly'!$B68:$BS68,'Mining Employment Monthly'!$B$76:$BS$76,2,'Mining Employment Monthly'!$B$77:$BS$77,VALUE(LEFT('Employment Financial Year'!M$7,4)))+SUMIFS('Mining Employment Monthly'!$B68:$BS68,'Mining Employment Monthly'!$B$76:$BS$76,1,'Mining Employment Monthly'!$B$77:$BS$77,VALUE(CONCATENATE("20",RIGHT('Employment Financial Year'!M$7,2)))))/2,(SUMIFS('Mining Employment Monthly'!$B148:$BS148,'Mining Employment Monthly'!$B$76:$BS$76,2,'Mining Employment Monthly'!$B$77:$BS$77,VALUE(LEFT('Employment Financial Year'!M$7,4)))+SUMIFS('Mining Employment Monthly'!$B148:$BS148,'Mining Employment Monthly'!$B$76:$BS$76,1,'Mining Employment Monthly'!$B$77:$BS$77,VALUE(CONCATENATE("20",RIGHT('Employment Financial Year'!M$7,2)))))/2)</f>
        <v>2200.916666666667</v>
      </c>
      <c r="N16" s="128">
        <f>IF($A$25=$A$101,(SUMIFS('Mining Employment Monthly'!$B68:$BS68,'Mining Employment Monthly'!$B$76:$BS$76,2,'Mining Employment Monthly'!$B$77:$BS$77,VALUE(LEFT('Employment Financial Year'!N$7,4)))+SUMIFS('Mining Employment Monthly'!$B68:$BS68,'Mining Employment Monthly'!$B$76:$BS$76,1,'Mining Employment Monthly'!$B$77:$BS$77,VALUE(CONCATENATE("20",RIGHT('Employment Financial Year'!N$7,2)))))/2,(SUMIFS('Mining Employment Monthly'!$B148:$BS148,'Mining Employment Monthly'!$B$76:$BS$76,2,'Mining Employment Monthly'!$B$77:$BS$77,VALUE(LEFT('Employment Financial Year'!N$7,4)))+SUMIFS('Mining Employment Monthly'!$B148:$BS148,'Mining Employment Monthly'!$B$76:$BS$76,1,'Mining Employment Monthly'!$B$77:$BS$77,VALUE(CONCATENATE("20",RIGHT('Employment Financial Year'!N$7,2)))))/2)</f>
        <v>2408.3333333333335</v>
      </c>
      <c r="O16" s="128">
        <f>IF($A$25=$A$101,(SUMIFS('Mining Employment Monthly'!$B68:$BS68,'Mining Employment Monthly'!$B$76:$BS$76,2,'Mining Employment Monthly'!$B$77:$BS$77,VALUE(LEFT('Employment Financial Year'!O$7,4)))+SUMIFS('Mining Employment Monthly'!$B68:$BS68,'Mining Employment Monthly'!$B$76:$BS$76,1,'Mining Employment Monthly'!$B$77:$BS$77,VALUE(CONCATENATE("20",RIGHT('Employment Financial Year'!O$7,2)))))/2,(SUMIFS('Mining Employment Monthly'!$B148:$BS148,'Mining Employment Monthly'!$B$76:$BS$76,2,'Mining Employment Monthly'!$B$77:$BS$77,VALUE(LEFT('Employment Financial Year'!O$7,4)))+SUMIFS('Mining Employment Monthly'!$B148:$BS148,'Mining Employment Monthly'!$B$76:$BS$76,1,'Mining Employment Monthly'!$B$77:$BS$77,VALUE(CONCATENATE("20",RIGHT('Employment Financial Year'!O$7,2)))))/2)</f>
        <v>2302.333333333333</v>
      </c>
      <c r="P16" s="128">
        <f>IF($A$25=$A$101,(SUMIFS('Mining Employment Monthly'!$B68:$BS68,'Mining Employment Monthly'!$B$76:$BS$76,2,'Mining Employment Monthly'!$B$77:$BS$77,VALUE(LEFT('Employment Financial Year'!P$7,4)))+SUMIFS('Mining Employment Monthly'!$B68:$BS68,'Mining Employment Monthly'!$B$76:$BS$76,1,'Mining Employment Monthly'!$B$77:$BS$77,VALUE(CONCATENATE("20",RIGHT('Employment Financial Year'!P$7,2)))))/2,(SUMIFS('Mining Employment Monthly'!$B148:$BS148,'Mining Employment Monthly'!$B$76:$BS$76,2,'Mining Employment Monthly'!$B$77:$BS$77,VALUE(LEFT('Employment Financial Year'!P$7,4)))+SUMIFS('Mining Employment Monthly'!$B148:$BS148,'Mining Employment Monthly'!$B$76:$BS$76,1,'Mining Employment Monthly'!$B$77:$BS$77,VALUE(CONCATENATE("20",RIGHT('Employment Financial Year'!P$7,2)))))/2)</f>
        <v>2240.5</v>
      </c>
      <c r="Q16" s="128">
        <f>IF($A$25=$A$101,(SUMIFS('Mining Employment Monthly'!$B68:$BS68,'Mining Employment Monthly'!$B$76:$BS$76,2,'Mining Employment Monthly'!$B$77:$BS$77,VALUE(LEFT('Employment Financial Year'!Q$7,4)))+SUMIFS('Mining Employment Monthly'!$B68:$BS68,'Mining Employment Monthly'!$B$76:$BS$76,1,'Mining Employment Monthly'!$B$77:$BS$77,VALUE(CONCATENATE("20",RIGHT('Employment Financial Year'!Q$7,2)))))/2,(SUMIFS('Mining Employment Monthly'!$B148:$BS148,'Mining Employment Monthly'!$B$76:$BS$76,2,'Mining Employment Monthly'!$B$77:$BS$77,VALUE(LEFT('Employment Financial Year'!Q$7,4)))+SUMIFS('Mining Employment Monthly'!$B148:$BS148,'Mining Employment Monthly'!$B$76:$BS$76,1,'Mining Employment Monthly'!$B$77:$BS$77,VALUE(CONCATENATE("20",RIGHT('Employment Financial Year'!Q$7,2)))))/2)</f>
        <v>2335.75</v>
      </c>
      <c r="R16" s="282">
        <f>IF($A$25=$A$101,(SUMIFS('Mining Employment Monthly'!$B68:$BS68,'Mining Employment Monthly'!$B$76:$BS$76,2,'Mining Employment Monthly'!$B$77:$BS$77,VALUE(LEFT('Employment Financial Year'!R$7,4)))+SUMIFS('Mining Employment Monthly'!$B68:$BS68,'Mining Employment Monthly'!$B$76:$BS$76,1,'Mining Employment Monthly'!$B$77:$BS$77,VALUE(CONCATENATE("20",RIGHT('Employment Financial Year'!R$7,2)))))/2,(SUMIFS('Mining Employment Monthly'!$B148:$BS148,'Mining Employment Monthly'!$B$76:$BS$76,2,'Mining Employment Monthly'!$B$77:$BS$77,VALUE(LEFT('Employment Financial Year'!R$7,4)))+SUMIFS('Mining Employment Monthly'!$B148:$BS148,'Mining Employment Monthly'!$B$76:$BS$76,1,'Mining Employment Monthly'!$B$77:$BS$77,VALUE(CONCATENATE("20",RIGHT('Employment Financial Year'!R$7,2)))))/2)</f>
        <v>2393.833333333333</v>
      </c>
      <c r="S16" s="282">
        <f>IF($A$25=$A$101,(SUMIFS('Mining Employment Monthly'!$B68:$BS68,'Mining Employment Monthly'!$B$76:$BS$76,2,'Mining Employment Monthly'!$B$77:$BS$77,VALUE(LEFT('Employment Financial Year'!S$7,4)))+SUMIFS('Mining Employment Monthly'!$B68:$BS68,'Mining Employment Monthly'!$B$76:$BS$76,1,'Mining Employment Monthly'!$B$77:$BS$77,VALUE(CONCATENATE("20",RIGHT('Employment Financial Year'!S$7,2)))))/2,(SUMIFS('Mining Employment Monthly'!$B148:$BS148,'Mining Employment Monthly'!$B$76:$BS$76,2,'Mining Employment Monthly'!$B$77:$BS$77,VALUE(LEFT('Employment Financial Year'!S$7,4)))+SUMIFS('Mining Employment Monthly'!$B148:$BS148,'Mining Employment Monthly'!$B$76:$BS$76,1,'Mining Employment Monthly'!$B$77:$BS$77,VALUE(CONCATENATE("20",RIGHT('Employment Financial Year'!S$7,2)))))/2)</f>
        <v>2310.583333333333</v>
      </c>
      <c r="T16" s="282">
        <f>IF($A$25=$A$101,(SUMIFS('Mining Employment Monthly'!$B68:$BS68,'Mining Employment Monthly'!$B$76:$BS$76,2,'Mining Employment Monthly'!$B$77:$BS$77,VALUE(LEFT('Employment Financial Year'!T$7,4)))+SUMIFS('Mining Employment Monthly'!$B68:$BS68,'Mining Employment Monthly'!$B$76:$BS$76,1,'Mining Employment Monthly'!$B$77:$BS$77,VALUE(CONCATENATE("20",RIGHT('Employment Financial Year'!T$7,2)))))/2,(SUMIFS('Mining Employment Monthly'!$B148:$BS148,'Mining Employment Monthly'!$B$76:$BS$76,2,'Mining Employment Monthly'!$B$77:$BS$77,VALUE(LEFT('Employment Financial Year'!T$7,4)))+SUMIFS('Mining Employment Monthly'!$B148:$BS148,'Mining Employment Monthly'!$B$76:$BS$76,1,'Mining Employment Monthly'!$B$77:$BS$77,VALUE(CONCATENATE("20",RIGHT('Employment Financial Year'!T$7,2)))))/2)</f>
        <v>3084</v>
      </c>
      <c r="U16" s="282">
        <f>IF($A$25=$A$101,(SUMIFS('Mining Employment Monthly'!$B68:$BS68,'Mining Employment Monthly'!$B$76:$BS$76,2,'Mining Employment Monthly'!$B$77:$BS$77,VALUE(LEFT('Employment Financial Year'!U$7,4)))+SUMIFS('Mining Employment Monthly'!$B68:$BS68,'Mining Employment Monthly'!$B$76:$BS$76,1,'Mining Employment Monthly'!$B$77:$BS$77,VALUE(CONCATENATE("20",RIGHT('Employment Financial Year'!U$7,2)))))/2,(SUMIFS('Mining Employment Monthly'!$B148:$BS148,'Mining Employment Monthly'!$B$76:$BS$76,2,'Mining Employment Monthly'!$B$77:$BS$77,VALUE(LEFT('Employment Financial Year'!U$7,4)))+SUMIFS('Mining Employment Monthly'!$B148:$BS148,'Mining Employment Monthly'!$B$76:$BS$76,1,'Mining Employment Monthly'!$B$77:$BS$77,VALUE(CONCATENATE("20",RIGHT('Employment Financial Year'!U$7,2)))))/2)</f>
        <v>3082.25</v>
      </c>
      <c r="V16" s="283">
        <f>IF($A$25=$A$101,(SUMIFS('Mining Employment Monthly'!$B68:$BS68,'Mining Employment Monthly'!$B$76:$BS$76,2,'Mining Employment Monthly'!$B$77:$BS$77,VALUE(LEFT('Employment Financial Year'!V$7,4)))+SUMIFS('Mining Employment Monthly'!$B68:$BS68,'Mining Employment Monthly'!$B$76:$BS$76,1,'Mining Employment Monthly'!$B$77:$BS$77,VALUE(CONCATENATE("20",RIGHT('Employment Financial Year'!V$7,2)))))/2,(SUMIFS('Mining Employment Monthly'!$B148:$BS148,'Mining Employment Monthly'!$B$76:$BS$76,2,'Mining Employment Monthly'!$B$77:$BS$77,VALUE(LEFT('Employment Financial Year'!V$7,4)))+SUMIFS('Mining Employment Monthly'!$B148:$BS148,'Mining Employment Monthly'!$B$76:$BS$76,1,'Mining Employment Monthly'!$B$77:$BS$77,VALUE(CONCATENATE("20",RIGHT('Employment Financial Year'!V$7,2)))))/2)</f>
        <v>2846.833333333333</v>
      </c>
    </row>
    <row r="17" spans="1:26" s="55" customFormat="1">
      <c r="A17" s="49" t="s">
        <v>10</v>
      </c>
      <c r="B17" s="130"/>
      <c r="C17" s="170">
        <f>IF($A$25=$A$101,(SUMIFS('Mining Employment Monthly'!$B71:$BS71,'Mining Employment Monthly'!$B$76:$BS$76,2,'Mining Employment Monthly'!$B$77:$BS$77,VALUE(LEFT('Employment Financial Year'!C$7,4)))+SUMIFS('Mining Employment Monthly'!$B71:$BS71,'Mining Employment Monthly'!$B$76:$BS$76,1,'Mining Employment Monthly'!$B$77:$BS$77,VALUE(CONCATENATE("20",RIGHT('Employment Financial Year'!C$7,2)))))/2,(SUMIFS('Mining Employment Monthly'!$B151:$BS151,'Mining Employment Monthly'!$B$76:$BS$76,2,'Mining Employment Monthly'!$B$77:$BS$77,VALUE(LEFT('Employment Financial Year'!C$7,4)))+SUMIFS('Mining Employment Monthly'!$B151:$BS151,'Mining Employment Monthly'!$B$76:$BS$76,1,'Mining Employment Monthly'!$B$77:$BS$77,VALUE(CONCATENATE("20",RIGHT('Employment Financial Year'!C$7,2)))))/2)</f>
        <v>4955.583333333333</v>
      </c>
      <c r="D17" s="170">
        <f>IF($A$25=$A$101,(SUMIFS('Mining Employment Monthly'!$B71:$BS71,'Mining Employment Monthly'!$B$76:$BS$76,2,'Mining Employment Monthly'!$B$77:$BS$77,VALUE(LEFT('Employment Financial Year'!D$7,4)))+SUMIFS('Mining Employment Monthly'!$B71:$BS71,'Mining Employment Monthly'!$B$76:$BS$76,1,'Mining Employment Monthly'!$B$77:$BS$77,VALUE(CONCATENATE("20",RIGHT('Employment Financial Year'!D$7,2)))))/2,(SUMIFS('Mining Employment Monthly'!$B151:$BS151,'Mining Employment Monthly'!$B$76:$BS$76,2,'Mining Employment Monthly'!$B$77:$BS$77,VALUE(LEFT('Employment Financial Year'!D$7,4)))+SUMIFS('Mining Employment Monthly'!$B151:$BS151,'Mining Employment Monthly'!$B$76:$BS$76,1,'Mining Employment Monthly'!$B$77:$BS$77,VALUE(CONCATENATE("20",RIGHT('Employment Financial Year'!D$7,2)))))/2)</f>
        <v>5275.1666666666661</v>
      </c>
      <c r="E17" s="170">
        <f>IF($A$25=$A$101,(SUMIFS('Mining Employment Monthly'!$B71:$BS71,'Mining Employment Monthly'!$B$76:$BS$76,2,'Mining Employment Monthly'!$B$77:$BS$77,VALUE(LEFT('Employment Financial Year'!E$7,4)))+SUMIFS('Mining Employment Monthly'!$B71:$BS71,'Mining Employment Monthly'!$B$76:$BS$76,1,'Mining Employment Monthly'!$B$77:$BS$77,VALUE(CONCATENATE("20",RIGHT('Employment Financial Year'!E$7,2)))))/2,(SUMIFS('Mining Employment Monthly'!$B151:$BS151,'Mining Employment Monthly'!$B$76:$BS$76,2,'Mining Employment Monthly'!$B$77:$BS$77,VALUE(LEFT('Employment Financial Year'!E$7,4)))+SUMIFS('Mining Employment Monthly'!$B151:$BS151,'Mining Employment Monthly'!$B$76:$BS$76,1,'Mining Employment Monthly'!$B$77:$BS$77,VALUE(CONCATENATE("20",RIGHT('Employment Financial Year'!E$7,2)))))/2)</f>
        <v>5823.1666666666661</v>
      </c>
      <c r="F17" s="170">
        <f>IF($A$25=$A$101,(SUMIFS('Mining Employment Monthly'!$B71:$BS71,'Mining Employment Monthly'!$B$76:$BS$76,2,'Mining Employment Monthly'!$B$77:$BS$77,VALUE(LEFT('Employment Financial Year'!F$7,4)))+SUMIFS('Mining Employment Monthly'!$B71:$BS71,'Mining Employment Monthly'!$B$76:$BS$76,1,'Mining Employment Monthly'!$B$77:$BS$77,VALUE(CONCATENATE("20",RIGHT('Employment Financial Year'!F$7,2)))))/2,(SUMIFS('Mining Employment Monthly'!$B151:$BS151,'Mining Employment Monthly'!$B$76:$BS$76,2,'Mining Employment Monthly'!$B$77:$BS$77,VALUE(LEFT('Employment Financial Year'!F$7,4)))+SUMIFS('Mining Employment Monthly'!$B151:$BS151,'Mining Employment Monthly'!$B$76:$BS$76,1,'Mining Employment Monthly'!$B$77:$BS$77,VALUE(CONCATENATE("20",RIGHT('Employment Financial Year'!F$7,2)))))/2)</f>
        <v>8300.8333333333321</v>
      </c>
      <c r="G17" s="170">
        <f>IF($A$25=$A$101,(SUMIFS('Mining Employment Monthly'!$B71:$BS71,'Mining Employment Monthly'!$B$76:$BS$76,2,'Mining Employment Monthly'!$B$77:$BS$77,VALUE(LEFT('Employment Financial Year'!G$7,4)))+SUMIFS('Mining Employment Monthly'!$B71:$BS71,'Mining Employment Monthly'!$B$76:$BS$76,1,'Mining Employment Monthly'!$B$77:$BS$77,VALUE(CONCATENATE("20",RIGHT('Employment Financial Year'!G$7,2)))))/2,(SUMIFS('Mining Employment Monthly'!$B151:$BS151,'Mining Employment Monthly'!$B$76:$BS$76,2,'Mining Employment Monthly'!$B$77:$BS$77,VALUE(LEFT('Employment Financial Year'!G$7,4)))+SUMIFS('Mining Employment Monthly'!$B151:$BS151,'Mining Employment Monthly'!$B$76:$BS$76,1,'Mining Employment Monthly'!$B$77:$BS$77,VALUE(CONCATENATE("20",RIGHT('Employment Financial Year'!G$7,2)))))/2)</f>
        <v>9667.4166666666679</v>
      </c>
      <c r="H17" s="170">
        <f>IF($A$25=$A$101,(SUMIFS('Mining Employment Monthly'!$B71:$BS71,'Mining Employment Monthly'!$B$76:$BS$76,2,'Mining Employment Monthly'!$B$77:$BS$77,VALUE(LEFT('Employment Financial Year'!H$7,4)))+SUMIFS('Mining Employment Monthly'!$B71:$BS71,'Mining Employment Monthly'!$B$76:$BS$76,1,'Mining Employment Monthly'!$B$77:$BS$77,VALUE(CONCATENATE("20",RIGHT('Employment Financial Year'!H$7,2)))))/2,(SUMIFS('Mining Employment Monthly'!$B151:$BS151,'Mining Employment Monthly'!$B$76:$BS$76,2,'Mining Employment Monthly'!$B$77:$BS$77,VALUE(LEFT('Employment Financial Year'!H$7,4)))+SUMIFS('Mining Employment Monthly'!$B151:$BS151,'Mining Employment Monthly'!$B$76:$BS$76,1,'Mining Employment Monthly'!$B$77:$BS$77,VALUE(CONCATENATE("20",RIGHT('Employment Financial Year'!H$7,2)))))/2)</f>
        <v>11728.666666666666</v>
      </c>
      <c r="I17" s="170">
        <f>IF($A$25=$A$101,(SUMIFS('Mining Employment Monthly'!$B71:$BS71,'Mining Employment Monthly'!$B$76:$BS$76,2,'Mining Employment Monthly'!$B$77:$BS$77,VALUE(LEFT('Employment Financial Year'!I$7,4)))+SUMIFS('Mining Employment Monthly'!$B71:$BS71,'Mining Employment Monthly'!$B$76:$BS$76,1,'Mining Employment Monthly'!$B$77:$BS$77,VALUE(CONCATENATE("20",RIGHT('Employment Financial Year'!I$7,2)))))/2,(SUMIFS('Mining Employment Monthly'!$B151:$BS151,'Mining Employment Monthly'!$B$76:$BS$76,2,'Mining Employment Monthly'!$B$77:$BS$77,VALUE(LEFT('Employment Financial Year'!I$7,4)))+SUMIFS('Mining Employment Monthly'!$B151:$BS151,'Mining Employment Monthly'!$B$76:$BS$76,1,'Mining Employment Monthly'!$B$77:$BS$77,VALUE(CONCATENATE("20",RIGHT('Employment Financial Year'!I$7,2)))))/2)</f>
        <v>12911.333333333332</v>
      </c>
      <c r="J17" s="170">
        <f>IF($A$25=$A$101,(SUMIFS('Mining Employment Monthly'!$B71:$BS71,'Mining Employment Monthly'!$B$76:$BS$76,2,'Mining Employment Monthly'!$B$77:$BS$77,VALUE(LEFT('Employment Financial Year'!J$7,4)))+SUMIFS('Mining Employment Monthly'!$B71:$BS71,'Mining Employment Monthly'!$B$76:$BS$76,1,'Mining Employment Monthly'!$B$77:$BS$77,VALUE(CONCATENATE("20",RIGHT('Employment Financial Year'!J$7,2)))))/2,(SUMIFS('Mining Employment Monthly'!$B151:$BS151,'Mining Employment Monthly'!$B$76:$BS$76,2,'Mining Employment Monthly'!$B$77:$BS$77,VALUE(LEFT('Employment Financial Year'!J$7,4)))+SUMIFS('Mining Employment Monthly'!$B151:$BS151,'Mining Employment Monthly'!$B$76:$BS$76,1,'Mining Employment Monthly'!$B$77:$BS$77,VALUE(CONCATENATE("20",RIGHT('Employment Financial Year'!J$7,2)))))/2)</f>
        <v>10083.583333333332</v>
      </c>
      <c r="K17" s="170">
        <f>IF($A$25=$A$101,(SUMIFS('Mining Employment Monthly'!$B71:$BS71,'Mining Employment Monthly'!$B$76:$BS$76,2,'Mining Employment Monthly'!$B$77:$BS$77,VALUE(LEFT('Employment Financial Year'!K$7,4)))+SUMIFS('Mining Employment Monthly'!$B71:$BS71,'Mining Employment Monthly'!$B$76:$BS$76,1,'Mining Employment Monthly'!$B$77:$BS$77,VALUE(CONCATENATE("20",RIGHT('Employment Financial Year'!K$7,2)))))/2,(SUMIFS('Mining Employment Monthly'!$B151:$BS151,'Mining Employment Monthly'!$B$76:$BS$76,2,'Mining Employment Monthly'!$B$77:$BS$77,VALUE(LEFT('Employment Financial Year'!K$7,4)))+SUMIFS('Mining Employment Monthly'!$B151:$BS151,'Mining Employment Monthly'!$B$76:$BS$76,1,'Mining Employment Monthly'!$B$77:$BS$77,VALUE(CONCATENATE("20",RIGHT('Employment Financial Year'!K$7,2)))))/2)</f>
        <v>7262.1666666666661</v>
      </c>
      <c r="L17" s="170">
        <f>IF($A$25=$A$101,(SUMIFS('Mining Employment Monthly'!$B71:$BS71,'Mining Employment Monthly'!$B$76:$BS$76,2,'Mining Employment Monthly'!$B$77:$BS$77,VALUE(LEFT('Employment Financial Year'!L$7,4)))+SUMIFS('Mining Employment Monthly'!$B71:$BS71,'Mining Employment Monthly'!$B$76:$BS$76,1,'Mining Employment Monthly'!$B$77:$BS$77,VALUE(CONCATENATE("20",RIGHT('Employment Financial Year'!L$7,2)))))/2,(SUMIFS('Mining Employment Monthly'!$B151:$BS151,'Mining Employment Monthly'!$B$76:$BS$76,2,'Mining Employment Monthly'!$B$77:$BS$77,VALUE(LEFT('Employment Financial Year'!L$7,4)))+SUMIFS('Mining Employment Monthly'!$B151:$BS151,'Mining Employment Monthly'!$B$76:$BS$76,1,'Mining Employment Monthly'!$B$77:$BS$77,VALUE(CONCATENATE("20",RIGHT('Employment Financial Year'!L$7,2)))))/2)</f>
        <v>9079.5</v>
      </c>
      <c r="M17" s="170">
        <f>IF($A$25=$A$101,(SUMIFS('Mining Employment Monthly'!$B71:$BS71,'Mining Employment Monthly'!$B$76:$BS$76,2,'Mining Employment Monthly'!$B$77:$BS$77,VALUE(LEFT('Employment Financial Year'!M$7,4)))+SUMIFS('Mining Employment Monthly'!$B71:$BS71,'Mining Employment Monthly'!$B$76:$BS$76,1,'Mining Employment Monthly'!$B$77:$BS$77,VALUE(CONCATENATE("20",RIGHT('Employment Financial Year'!M$7,2)))))/2,(SUMIFS('Mining Employment Monthly'!$B151:$BS151,'Mining Employment Monthly'!$B$76:$BS$76,2,'Mining Employment Monthly'!$B$77:$BS$77,VALUE(LEFT('Employment Financial Year'!M$7,4)))+SUMIFS('Mining Employment Monthly'!$B151:$BS151,'Mining Employment Monthly'!$B$76:$BS$76,1,'Mining Employment Monthly'!$B$77:$BS$77,VALUE(CONCATENATE("20",RIGHT('Employment Financial Year'!M$7,2)))))/2)</f>
        <v>8698.5</v>
      </c>
      <c r="N17" s="170">
        <f>IF($A$25=$A$101,(SUMIFS('Mining Employment Monthly'!$B71:$BS71,'Mining Employment Monthly'!$B$76:$BS$76,2,'Mining Employment Monthly'!$B$77:$BS$77,VALUE(LEFT('Employment Financial Year'!N$7,4)))+SUMIFS('Mining Employment Monthly'!$B71:$BS71,'Mining Employment Monthly'!$B$76:$BS$76,1,'Mining Employment Monthly'!$B$77:$BS$77,VALUE(CONCATENATE("20",RIGHT('Employment Financial Year'!N$7,2)))))/2,(SUMIFS('Mining Employment Monthly'!$B151:$BS151,'Mining Employment Monthly'!$B$76:$BS$76,2,'Mining Employment Monthly'!$B$77:$BS$77,VALUE(LEFT('Employment Financial Year'!N$7,4)))+SUMIFS('Mining Employment Monthly'!$B151:$BS151,'Mining Employment Monthly'!$B$76:$BS$76,1,'Mining Employment Monthly'!$B$77:$BS$77,VALUE(CONCATENATE("20",RIGHT('Employment Financial Year'!N$7,2)))))/2)</f>
        <v>7637.6666666666661</v>
      </c>
      <c r="O17" s="170">
        <f>IF($A$25=$A$101,(SUMIFS('Mining Employment Monthly'!$B71:$BS71,'Mining Employment Monthly'!$B$76:$BS$76,2,'Mining Employment Monthly'!$B$77:$BS$77,VALUE(LEFT('Employment Financial Year'!O$7,4)))+SUMIFS('Mining Employment Monthly'!$B71:$BS71,'Mining Employment Monthly'!$B$76:$BS$76,1,'Mining Employment Monthly'!$B$77:$BS$77,VALUE(CONCATENATE("20",RIGHT('Employment Financial Year'!O$7,2)))))/2,(SUMIFS('Mining Employment Monthly'!$B151:$BS151,'Mining Employment Monthly'!$B$76:$BS$76,2,'Mining Employment Monthly'!$B$77:$BS$77,VALUE(LEFT('Employment Financial Year'!O$7,4)))+SUMIFS('Mining Employment Monthly'!$B151:$BS151,'Mining Employment Monthly'!$B$76:$BS$76,1,'Mining Employment Monthly'!$B$77:$BS$77,VALUE(CONCATENATE("20",RIGHT('Employment Financial Year'!O$7,2)))))/2)</f>
        <v>6477.416666666667</v>
      </c>
      <c r="P17" s="170">
        <f>IF($A$25=$A$101,(SUMIFS('Mining Employment Monthly'!$B71:$BS71,'Mining Employment Monthly'!$B$76:$BS$76,2,'Mining Employment Monthly'!$B$77:$BS$77,VALUE(LEFT('Employment Financial Year'!P$7,4)))+SUMIFS('Mining Employment Monthly'!$B71:$BS71,'Mining Employment Monthly'!$B$76:$BS$76,1,'Mining Employment Monthly'!$B$77:$BS$77,VALUE(CONCATENATE("20",RIGHT('Employment Financial Year'!P$7,2)))))/2,(SUMIFS('Mining Employment Monthly'!$B151:$BS151,'Mining Employment Monthly'!$B$76:$BS$76,2,'Mining Employment Monthly'!$B$77:$BS$77,VALUE(LEFT('Employment Financial Year'!P$7,4)))+SUMIFS('Mining Employment Monthly'!$B151:$BS151,'Mining Employment Monthly'!$B$76:$BS$76,1,'Mining Employment Monthly'!$B$77:$BS$77,VALUE(CONCATENATE("20",RIGHT('Employment Financial Year'!P$7,2)))))/2)</f>
        <v>6098.916666666667</v>
      </c>
      <c r="Q17" s="170">
        <f>IF($A$25=$A$101,(SUMIFS('Mining Employment Monthly'!$B71:$BS71,'Mining Employment Monthly'!$B$76:$BS$76,2,'Mining Employment Monthly'!$B$77:$BS$77,VALUE(LEFT('Employment Financial Year'!Q$7,4)))+SUMIFS('Mining Employment Monthly'!$B71:$BS71,'Mining Employment Monthly'!$B$76:$BS$76,1,'Mining Employment Monthly'!$B$77:$BS$77,VALUE(CONCATENATE("20",RIGHT('Employment Financial Year'!Q$7,2)))))/2,(SUMIFS('Mining Employment Monthly'!$B151:$BS151,'Mining Employment Monthly'!$B$76:$BS$76,2,'Mining Employment Monthly'!$B$77:$BS$77,VALUE(LEFT('Employment Financial Year'!Q$7,4)))+SUMIFS('Mining Employment Monthly'!$B151:$BS151,'Mining Employment Monthly'!$B$76:$BS$76,1,'Mining Employment Monthly'!$B$77:$BS$77,VALUE(CONCATENATE("20",RIGHT('Employment Financial Year'!Q$7,2)))))/2)</f>
        <v>5644.6666666666661</v>
      </c>
      <c r="R17" s="233">
        <f>IF($A$25=$A$101,(SUMIFS('Mining Employment Monthly'!$B71:$BS71,'Mining Employment Monthly'!$B$76:$BS$76,2,'Mining Employment Monthly'!$B$77:$BS$77,VALUE(LEFT('Employment Financial Year'!R$7,4)))+SUMIFS('Mining Employment Monthly'!$B71:$BS71,'Mining Employment Monthly'!$B$76:$BS$76,1,'Mining Employment Monthly'!$B$77:$BS$77,VALUE(CONCATENATE("20",RIGHT('Employment Financial Year'!R$7,2)))))/2,(SUMIFS('Mining Employment Monthly'!$B151:$BS151,'Mining Employment Monthly'!$B$76:$BS$76,2,'Mining Employment Monthly'!$B$77:$BS$77,VALUE(LEFT('Employment Financial Year'!R$7,4)))+SUMIFS('Mining Employment Monthly'!$B151:$BS151,'Mining Employment Monthly'!$B$76:$BS$76,1,'Mining Employment Monthly'!$B$77:$BS$77,VALUE(CONCATENATE("20",RIGHT('Employment Financial Year'!R$7,2)))))/2)</f>
        <v>5899.8333333333339</v>
      </c>
      <c r="S17" s="233">
        <f>IF($A$25=$A$101,(SUMIFS('Mining Employment Monthly'!$B71:$BS71,'Mining Employment Monthly'!$B$76:$BS$76,2,'Mining Employment Monthly'!$B$77:$BS$77,VALUE(LEFT('Employment Financial Year'!S$7,4)))+SUMIFS('Mining Employment Monthly'!$B71:$BS71,'Mining Employment Monthly'!$B$76:$BS$76,1,'Mining Employment Monthly'!$B$77:$BS$77,VALUE(CONCATENATE("20",RIGHT('Employment Financial Year'!S$7,2)))))/2,(SUMIFS('Mining Employment Monthly'!$B151:$BS151,'Mining Employment Monthly'!$B$76:$BS$76,2,'Mining Employment Monthly'!$B$77:$BS$77,VALUE(LEFT('Employment Financial Year'!S$7,4)))+SUMIFS('Mining Employment Monthly'!$B151:$BS151,'Mining Employment Monthly'!$B$76:$BS$76,1,'Mining Employment Monthly'!$B$77:$BS$77,VALUE(CONCATENATE("20",RIGHT('Employment Financial Year'!S$7,2)))))/2)</f>
        <v>5474.25</v>
      </c>
      <c r="T17" s="233">
        <f>IF($A$25=$A$101,(SUMIFS('Mining Employment Monthly'!$B71:$BS71,'Mining Employment Monthly'!$B$76:$BS$76,2,'Mining Employment Monthly'!$B$77:$BS$77,VALUE(LEFT('Employment Financial Year'!T$7,4)))+SUMIFS('Mining Employment Monthly'!$B71:$BS71,'Mining Employment Monthly'!$B$76:$BS$76,1,'Mining Employment Monthly'!$B$77:$BS$77,VALUE(CONCATENATE("20",RIGHT('Employment Financial Year'!T$7,2)))))/2,(SUMIFS('Mining Employment Monthly'!$B151:$BS151,'Mining Employment Monthly'!$B$76:$BS$76,2,'Mining Employment Monthly'!$B$77:$BS$77,VALUE(LEFT('Employment Financial Year'!T$7,4)))+SUMIFS('Mining Employment Monthly'!$B151:$BS151,'Mining Employment Monthly'!$B$76:$BS$76,1,'Mining Employment Monthly'!$B$77:$BS$77,VALUE(CONCATENATE("20",RIGHT('Employment Financial Year'!T$7,2)))))/2)</f>
        <v>6063.9166666666661</v>
      </c>
      <c r="U17" s="233">
        <f>IF($A$25=$A$101,(SUMIFS('Mining Employment Monthly'!$B71:$BS71,'Mining Employment Monthly'!$B$76:$BS$76,2,'Mining Employment Monthly'!$B$77:$BS$77,VALUE(LEFT('Employment Financial Year'!U$7,4)))+SUMIFS('Mining Employment Monthly'!$B71:$BS71,'Mining Employment Monthly'!$B$76:$BS$76,1,'Mining Employment Monthly'!$B$77:$BS$77,VALUE(CONCATENATE("20",RIGHT('Employment Financial Year'!U$7,2)))))/2,(SUMIFS('Mining Employment Monthly'!$B151:$BS151,'Mining Employment Monthly'!$B$76:$BS$76,2,'Mining Employment Monthly'!$B$77:$BS$77,VALUE(LEFT('Employment Financial Year'!U$7,4)))+SUMIFS('Mining Employment Monthly'!$B151:$BS151,'Mining Employment Monthly'!$B$76:$BS$76,1,'Mining Employment Monthly'!$B$77:$BS$77,VALUE(CONCATENATE("20",RIGHT('Employment Financial Year'!U$7,2)))))/2)</f>
        <v>7306.75</v>
      </c>
      <c r="V17" s="131">
        <f>IF($A$25=$A$101,(SUMIFS('Mining Employment Monthly'!$B71:$BS71,'Mining Employment Monthly'!$B$76:$BS$76,2,'Mining Employment Monthly'!$B$77:$BS$77,VALUE(LEFT('Employment Financial Year'!V$7,4)))+SUMIFS('Mining Employment Monthly'!$B71:$BS71,'Mining Employment Monthly'!$B$76:$BS$76,1,'Mining Employment Monthly'!$B$77:$BS$77,VALUE(CONCATENATE("20",RIGHT('Employment Financial Year'!V$7,2)))))/2,(SUMIFS('Mining Employment Monthly'!$B151:$BS151,'Mining Employment Monthly'!$B$76:$BS$76,2,'Mining Employment Monthly'!$B$77:$BS$77,VALUE(LEFT('Employment Financial Year'!V$7,4)))+SUMIFS('Mining Employment Monthly'!$B151:$BS151,'Mining Employment Monthly'!$B$76:$BS$76,1,'Mining Employment Monthly'!$B$77:$BS$77,VALUE(CONCATENATE("20",RIGHT('Employment Financial Year'!V$7,2)))))/2)</f>
        <v>7344.6666666666661</v>
      </c>
    </row>
    <row r="18" spans="1:26" s="55" customFormat="1">
      <c r="A18" s="49" t="s">
        <v>63</v>
      </c>
      <c r="B18" s="989"/>
      <c r="C18" s="128">
        <f>IF($A$25=$A$101,(SUMIFS('Mining Employment Monthly'!$B72:$BS72,'Mining Employment Monthly'!$B$76:$BS$76,2,'Mining Employment Monthly'!$B$77:$BS$77,VALUE(LEFT('Employment Financial Year'!C$7,4)))+SUMIFS('Mining Employment Monthly'!$B72:$BS72,'Mining Employment Monthly'!$B$76:$BS$76,1,'Mining Employment Monthly'!$B$77:$BS$77,VALUE(CONCATENATE("20",RIGHT('Employment Financial Year'!C$7,2)))))/2,(SUMIFS('Mining Employment Monthly'!$B152:$BS152,'Mining Employment Monthly'!$B$76:$BS$76,2,'Mining Employment Monthly'!$B$77:$BS$77,VALUE(LEFT('Employment Financial Year'!C$7,4)))+SUMIFS('Mining Employment Monthly'!$B152:$BS152,'Mining Employment Monthly'!$B$76:$BS$76,1,'Mining Employment Monthly'!$B$77:$BS$77,VALUE(CONCATENATE("20",RIGHT('Employment Financial Year'!C$7,2)))))/2)</f>
        <v>700.5</v>
      </c>
      <c r="D18" s="128">
        <f>IF($A$25=$A$101,(SUMIFS('Mining Employment Monthly'!$B72:$BS72,'Mining Employment Monthly'!$B$76:$BS$76,2,'Mining Employment Monthly'!$B$77:$BS$77,VALUE(LEFT('Employment Financial Year'!D$7,4)))+SUMIFS('Mining Employment Monthly'!$B72:$BS72,'Mining Employment Monthly'!$B$76:$BS$76,1,'Mining Employment Monthly'!$B$77:$BS$77,VALUE(CONCATENATE("20",RIGHT('Employment Financial Year'!D$7,2)))))/2,(SUMIFS('Mining Employment Monthly'!$B152:$BS152,'Mining Employment Monthly'!$B$76:$BS$76,2,'Mining Employment Monthly'!$B$77:$BS$77,VALUE(LEFT('Employment Financial Year'!D$7,4)))+SUMIFS('Mining Employment Monthly'!$B152:$BS152,'Mining Employment Monthly'!$B$76:$BS$76,1,'Mining Employment Monthly'!$B$77:$BS$77,VALUE(CONCATENATE("20",RIGHT('Employment Financial Year'!D$7,2)))))/2)</f>
        <v>664.5</v>
      </c>
      <c r="E18" s="128">
        <f>IF($A$25=$A$101,(SUMIFS('Mining Employment Monthly'!$B72:$BS72,'Mining Employment Monthly'!$B$76:$BS$76,2,'Mining Employment Monthly'!$B$77:$BS$77,VALUE(LEFT('Employment Financial Year'!E$7,4)))+SUMIFS('Mining Employment Monthly'!$B72:$BS72,'Mining Employment Monthly'!$B$76:$BS$76,1,'Mining Employment Monthly'!$B$77:$BS$77,VALUE(CONCATENATE("20",RIGHT('Employment Financial Year'!E$7,2)))))/2,(SUMIFS('Mining Employment Monthly'!$B152:$BS152,'Mining Employment Monthly'!$B$76:$BS$76,2,'Mining Employment Monthly'!$B$77:$BS$77,VALUE(LEFT('Employment Financial Year'!E$7,4)))+SUMIFS('Mining Employment Monthly'!$B152:$BS152,'Mining Employment Monthly'!$B$76:$BS$76,1,'Mining Employment Monthly'!$B$77:$BS$77,VALUE(CONCATENATE("20",RIGHT('Employment Financial Year'!E$7,2)))))/2)</f>
        <v>663.75</v>
      </c>
      <c r="F18" s="128">
        <f>IF($A$25=$A$101,(SUMIFS('Mining Employment Monthly'!$B72:$BS72,'Mining Employment Monthly'!$B$76:$BS$76,2,'Mining Employment Monthly'!$B$77:$BS$77,VALUE(LEFT('Employment Financial Year'!F$7,4)))+SUMIFS('Mining Employment Monthly'!$B72:$BS72,'Mining Employment Monthly'!$B$76:$BS$76,1,'Mining Employment Monthly'!$B$77:$BS$77,VALUE(CONCATENATE("20",RIGHT('Employment Financial Year'!F$7,2)))))/2,(SUMIFS('Mining Employment Monthly'!$B152:$BS152,'Mining Employment Monthly'!$B$76:$BS$76,2,'Mining Employment Monthly'!$B$77:$BS$77,VALUE(LEFT('Employment Financial Year'!F$7,4)))+SUMIFS('Mining Employment Monthly'!$B152:$BS152,'Mining Employment Monthly'!$B$76:$BS$76,1,'Mining Employment Monthly'!$B$77:$BS$77,VALUE(CONCATENATE("20",RIGHT('Employment Financial Year'!F$7,2)))))/2)</f>
        <v>768</v>
      </c>
      <c r="G18" s="128">
        <f>IF($A$25=$A$101,(SUMIFS('Mining Employment Monthly'!$B72:$BS72,'Mining Employment Monthly'!$B$76:$BS$76,2,'Mining Employment Monthly'!$B$77:$BS$77,VALUE(LEFT('Employment Financial Year'!G$7,4)))+SUMIFS('Mining Employment Monthly'!$B72:$BS72,'Mining Employment Monthly'!$B$76:$BS$76,1,'Mining Employment Monthly'!$B$77:$BS$77,VALUE(CONCATENATE("20",RIGHT('Employment Financial Year'!G$7,2)))))/2,(SUMIFS('Mining Employment Monthly'!$B152:$BS152,'Mining Employment Monthly'!$B$76:$BS$76,2,'Mining Employment Monthly'!$B$77:$BS$77,VALUE(LEFT('Employment Financial Year'!G$7,4)))+SUMIFS('Mining Employment Monthly'!$B152:$BS152,'Mining Employment Monthly'!$B$76:$BS$76,1,'Mining Employment Monthly'!$B$77:$BS$77,VALUE(CONCATENATE("20",RIGHT('Employment Financial Year'!G$7,2)))))/2)</f>
        <v>838.33333333333326</v>
      </c>
      <c r="H18" s="128">
        <f>IF($A$25=$A$101,(SUMIFS('Mining Employment Monthly'!$B72:$BS72,'Mining Employment Monthly'!$B$76:$BS$76,2,'Mining Employment Monthly'!$B$77:$BS$77,VALUE(LEFT('Employment Financial Year'!H$7,4)))+SUMIFS('Mining Employment Monthly'!$B72:$BS72,'Mining Employment Monthly'!$B$76:$BS$76,1,'Mining Employment Monthly'!$B$77:$BS$77,VALUE(CONCATENATE("20",RIGHT('Employment Financial Year'!H$7,2)))))/2,(SUMIFS('Mining Employment Monthly'!$B152:$BS152,'Mining Employment Monthly'!$B$76:$BS$76,2,'Mining Employment Monthly'!$B$77:$BS$77,VALUE(LEFT('Employment Financial Year'!H$7,4)))+SUMIFS('Mining Employment Monthly'!$B152:$BS152,'Mining Employment Monthly'!$B$76:$BS$76,1,'Mining Employment Monthly'!$B$77:$BS$77,VALUE(CONCATENATE("20",RIGHT('Employment Financial Year'!H$7,2)))))/2)</f>
        <v>866.58333333333326</v>
      </c>
      <c r="I18" s="128">
        <f>IF($A$25=$A$101,(SUMIFS('Mining Employment Monthly'!$B72:$BS72,'Mining Employment Monthly'!$B$76:$BS$76,2,'Mining Employment Monthly'!$B$77:$BS$77,VALUE(LEFT('Employment Financial Year'!I$7,4)))+SUMIFS('Mining Employment Monthly'!$B72:$BS72,'Mining Employment Monthly'!$B$76:$BS$76,1,'Mining Employment Monthly'!$B$77:$BS$77,VALUE(CONCATENATE("20",RIGHT('Employment Financial Year'!I$7,2)))))/2,(SUMIFS('Mining Employment Monthly'!$B152:$BS152,'Mining Employment Monthly'!$B$76:$BS$76,2,'Mining Employment Monthly'!$B$77:$BS$77,VALUE(LEFT('Employment Financial Year'!I$7,4)))+SUMIFS('Mining Employment Monthly'!$B152:$BS152,'Mining Employment Monthly'!$B$76:$BS$76,1,'Mining Employment Monthly'!$B$77:$BS$77,VALUE(CONCATENATE("20",RIGHT('Employment Financial Year'!I$7,2)))))/2)</f>
        <v>843.16666666666674</v>
      </c>
      <c r="J18" s="128">
        <f>IF($A$25=$A$101,(SUMIFS('Mining Employment Monthly'!$B72:$BS72,'Mining Employment Monthly'!$B$76:$BS$76,2,'Mining Employment Monthly'!$B$77:$BS$77,VALUE(LEFT('Employment Financial Year'!J$7,4)))+SUMIFS('Mining Employment Monthly'!$B72:$BS72,'Mining Employment Monthly'!$B$76:$BS$76,1,'Mining Employment Monthly'!$B$77:$BS$77,VALUE(CONCATENATE("20",RIGHT('Employment Financial Year'!J$7,2)))))/2,(SUMIFS('Mining Employment Monthly'!$B152:$BS152,'Mining Employment Monthly'!$B$76:$BS$76,2,'Mining Employment Monthly'!$B$77:$BS$77,VALUE(LEFT('Employment Financial Year'!J$7,4)))+SUMIFS('Mining Employment Monthly'!$B152:$BS152,'Mining Employment Monthly'!$B$76:$BS$76,1,'Mining Employment Monthly'!$B$77:$BS$77,VALUE(CONCATENATE("20",RIGHT('Employment Financial Year'!J$7,2)))))/2)</f>
        <v>921.08333333333326</v>
      </c>
      <c r="K18" s="128">
        <f>IF($A$25=$A$101,(SUMIFS('Mining Employment Monthly'!$B72:$BS72,'Mining Employment Monthly'!$B$76:$BS$76,2,'Mining Employment Monthly'!$B$77:$BS$77,VALUE(LEFT('Employment Financial Year'!K$7,4)))+SUMIFS('Mining Employment Monthly'!$B72:$BS72,'Mining Employment Monthly'!$B$76:$BS$76,1,'Mining Employment Monthly'!$B$77:$BS$77,VALUE(CONCATENATE("20",RIGHT('Employment Financial Year'!K$7,2)))))/2,(SUMIFS('Mining Employment Monthly'!$B152:$BS152,'Mining Employment Monthly'!$B$76:$BS$76,2,'Mining Employment Monthly'!$B$77:$BS$77,VALUE(LEFT('Employment Financial Year'!K$7,4)))+SUMIFS('Mining Employment Monthly'!$B152:$BS152,'Mining Employment Monthly'!$B$76:$BS$76,1,'Mining Employment Monthly'!$B$77:$BS$77,VALUE(CONCATENATE("20",RIGHT('Employment Financial Year'!K$7,2)))))/2)</f>
        <v>986.16666666666674</v>
      </c>
      <c r="L18" s="128">
        <f>IF($A$25=$A$101,(SUMIFS('Mining Employment Monthly'!$B72:$BS72,'Mining Employment Monthly'!$B$76:$BS$76,2,'Mining Employment Monthly'!$B$77:$BS$77,VALUE(LEFT('Employment Financial Year'!L$7,4)))+SUMIFS('Mining Employment Monthly'!$B72:$BS72,'Mining Employment Monthly'!$B$76:$BS$76,1,'Mining Employment Monthly'!$B$77:$BS$77,VALUE(CONCATENATE("20",RIGHT('Employment Financial Year'!L$7,2)))))/2,(SUMIFS('Mining Employment Monthly'!$B152:$BS152,'Mining Employment Monthly'!$B$76:$BS$76,2,'Mining Employment Monthly'!$B$77:$BS$77,VALUE(LEFT('Employment Financial Year'!L$7,4)))+SUMIFS('Mining Employment Monthly'!$B152:$BS152,'Mining Employment Monthly'!$B$76:$BS$76,1,'Mining Employment Monthly'!$B$77:$BS$77,VALUE(CONCATENATE("20",RIGHT('Employment Financial Year'!L$7,2)))))/2)</f>
        <v>1295.5</v>
      </c>
      <c r="M18" s="128">
        <f>IF($A$25=$A$101,(SUMIFS('Mining Employment Monthly'!$B72:$BS72,'Mining Employment Monthly'!$B$76:$BS$76,2,'Mining Employment Monthly'!$B$77:$BS$77,VALUE(LEFT('Employment Financial Year'!M$7,4)))+SUMIFS('Mining Employment Monthly'!$B72:$BS72,'Mining Employment Monthly'!$B$76:$BS$76,1,'Mining Employment Monthly'!$B$77:$BS$77,VALUE(CONCATENATE("20",RIGHT('Employment Financial Year'!M$7,2)))))/2,(SUMIFS('Mining Employment Monthly'!$B152:$BS152,'Mining Employment Monthly'!$B$76:$BS$76,2,'Mining Employment Monthly'!$B$77:$BS$77,VALUE(LEFT('Employment Financial Year'!M$7,4)))+SUMIFS('Mining Employment Monthly'!$B152:$BS152,'Mining Employment Monthly'!$B$76:$BS$76,1,'Mining Employment Monthly'!$B$77:$BS$77,VALUE(CONCATENATE("20",RIGHT('Employment Financial Year'!M$7,2)))))/2)</f>
        <v>1096.75</v>
      </c>
      <c r="N18" s="128">
        <f>IF($A$25=$A$101,(SUMIFS('Mining Employment Monthly'!$B72:$BS72,'Mining Employment Monthly'!$B$76:$BS$76,2,'Mining Employment Monthly'!$B$77:$BS$77,VALUE(LEFT('Employment Financial Year'!N$7,4)))+SUMIFS('Mining Employment Monthly'!$B72:$BS72,'Mining Employment Monthly'!$B$76:$BS$76,1,'Mining Employment Monthly'!$B$77:$BS$77,VALUE(CONCATENATE("20",RIGHT('Employment Financial Year'!N$7,2)))))/2,(SUMIFS('Mining Employment Monthly'!$B152:$BS152,'Mining Employment Monthly'!$B$76:$BS$76,2,'Mining Employment Monthly'!$B$77:$BS$77,VALUE(LEFT('Employment Financial Year'!N$7,4)))+SUMIFS('Mining Employment Monthly'!$B152:$BS152,'Mining Employment Monthly'!$B$76:$BS$76,1,'Mining Employment Monthly'!$B$77:$BS$77,VALUE(CONCATENATE("20",RIGHT('Employment Financial Year'!N$7,2)))))/2)</f>
        <v>1136.5</v>
      </c>
      <c r="O18" s="128">
        <f>IF($A$25=$A$101,(SUMIFS('Mining Employment Monthly'!$B72:$BS72,'Mining Employment Monthly'!$B$76:$BS$76,2,'Mining Employment Monthly'!$B$77:$BS$77,VALUE(LEFT('Employment Financial Year'!O$7,4)))+SUMIFS('Mining Employment Monthly'!$B72:$BS72,'Mining Employment Monthly'!$B$76:$BS$76,1,'Mining Employment Monthly'!$B$77:$BS$77,VALUE(CONCATENATE("20",RIGHT('Employment Financial Year'!O$7,2)))))/2,(SUMIFS('Mining Employment Monthly'!$B152:$BS152,'Mining Employment Monthly'!$B$76:$BS$76,2,'Mining Employment Monthly'!$B$77:$BS$77,VALUE(LEFT('Employment Financial Year'!O$7,4)))+SUMIFS('Mining Employment Monthly'!$B152:$BS152,'Mining Employment Monthly'!$B$76:$BS$76,1,'Mining Employment Monthly'!$B$77:$BS$77,VALUE(CONCATENATE("20",RIGHT('Employment Financial Year'!O$7,2)))))/2)</f>
        <v>1072.4166666666667</v>
      </c>
      <c r="P18" s="128">
        <f>IF($A$25=$A$101,(SUMIFS('Mining Employment Monthly'!$B72:$BS72,'Mining Employment Monthly'!$B$76:$BS$76,2,'Mining Employment Monthly'!$B$77:$BS$77,VALUE(LEFT('Employment Financial Year'!P$7,4)))+SUMIFS('Mining Employment Monthly'!$B72:$BS72,'Mining Employment Monthly'!$B$76:$BS$76,1,'Mining Employment Monthly'!$B$77:$BS$77,VALUE(CONCATENATE("20",RIGHT('Employment Financial Year'!P$7,2)))))/2,(SUMIFS('Mining Employment Monthly'!$B152:$BS152,'Mining Employment Monthly'!$B$76:$BS$76,2,'Mining Employment Monthly'!$B$77:$BS$77,VALUE(LEFT('Employment Financial Year'!P$7,4)))+SUMIFS('Mining Employment Monthly'!$B152:$BS152,'Mining Employment Monthly'!$B$76:$BS$76,1,'Mining Employment Monthly'!$B$77:$BS$77,VALUE(CONCATENATE("20",RIGHT('Employment Financial Year'!P$7,2)))))/2)</f>
        <v>973.75</v>
      </c>
      <c r="Q18" s="128">
        <f>IF($A$25=$A$101,(SUMIFS('Mining Employment Monthly'!$B72:$BS72,'Mining Employment Monthly'!$B$76:$BS$76,2,'Mining Employment Monthly'!$B$77:$BS$77,VALUE(LEFT('Employment Financial Year'!Q$7,4)))+SUMIFS('Mining Employment Monthly'!$B72:$BS72,'Mining Employment Monthly'!$B$76:$BS$76,1,'Mining Employment Monthly'!$B$77:$BS$77,VALUE(CONCATENATE("20",RIGHT('Employment Financial Year'!Q$7,2)))))/2,(SUMIFS('Mining Employment Monthly'!$B152:$BS152,'Mining Employment Monthly'!$B$76:$BS$76,2,'Mining Employment Monthly'!$B$77:$BS$77,VALUE(LEFT('Employment Financial Year'!Q$7,4)))+SUMIFS('Mining Employment Monthly'!$B152:$BS152,'Mining Employment Monthly'!$B$76:$BS$76,1,'Mining Employment Monthly'!$B$77:$BS$77,VALUE(CONCATENATE("20",RIGHT('Employment Financial Year'!Q$7,2)))))/2)</f>
        <v>868.58333333333337</v>
      </c>
      <c r="R18" s="282">
        <f>IF($A$25=$A$101,(SUMIFS('Mining Employment Monthly'!$B72:$BS72,'Mining Employment Monthly'!$B$76:$BS$76,2,'Mining Employment Monthly'!$B$77:$BS$77,VALUE(LEFT('Employment Financial Year'!R$7,4)))+SUMIFS('Mining Employment Monthly'!$B72:$BS72,'Mining Employment Monthly'!$B$76:$BS$76,1,'Mining Employment Monthly'!$B$77:$BS$77,VALUE(CONCATENATE("20",RIGHT('Employment Financial Year'!R$7,2)))))/2,(SUMIFS('Mining Employment Monthly'!$B152:$BS152,'Mining Employment Monthly'!$B$76:$BS$76,2,'Mining Employment Monthly'!$B$77:$BS$77,VALUE(LEFT('Employment Financial Year'!R$7,4)))+SUMIFS('Mining Employment Monthly'!$B152:$BS152,'Mining Employment Monthly'!$B$76:$BS$76,1,'Mining Employment Monthly'!$B$77:$BS$77,VALUE(CONCATENATE("20",RIGHT('Employment Financial Year'!R$7,2)))))/2)</f>
        <v>844.58333333333326</v>
      </c>
      <c r="S18" s="282">
        <f>IF($A$25=$A$101,(SUMIFS('Mining Employment Monthly'!$B72:$BS72,'Mining Employment Monthly'!$B$76:$BS$76,2,'Mining Employment Monthly'!$B$77:$BS$77,VALUE(LEFT('Employment Financial Year'!S$7,4)))+SUMIFS('Mining Employment Monthly'!$B72:$BS72,'Mining Employment Monthly'!$B$76:$BS$76,1,'Mining Employment Monthly'!$B$77:$BS$77,VALUE(CONCATENATE("20",RIGHT('Employment Financial Year'!S$7,2)))))/2,(SUMIFS('Mining Employment Monthly'!$B152:$BS152,'Mining Employment Monthly'!$B$76:$BS$76,2,'Mining Employment Monthly'!$B$77:$BS$77,VALUE(LEFT('Employment Financial Year'!S$7,4)))+SUMIFS('Mining Employment Monthly'!$B152:$BS152,'Mining Employment Monthly'!$B$76:$BS$76,1,'Mining Employment Monthly'!$B$77:$BS$77,VALUE(CONCATENATE("20",RIGHT('Employment Financial Year'!S$7,2)))))/2)</f>
        <v>977.58333333333326</v>
      </c>
      <c r="T18" s="282">
        <f>IF($A$25=$A$101,(SUMIFS('Mining Employment Monthly'!$B72:$BS72,'Mining Employment Monthly'!$B$76:$BS$76,2,'Mining Employment Monthly'!$B$77:$BS$77,VALUE(LEFT('Employment Financial Year'!T$7,4)))+SUMIFS('Mining Employment Monthly'!$B72:$BS72,'Mining Employment Monthly'!$B$76:$BS$76,1,'Mining Employment Monthly'!$B$77:$BS$77,VALUE(CONCATENATE("20",RIGHT('Employment Financial Year'!T$7,2)))))/2,(SUMIFS('Mining Employment Monthly'!$B152:$BS152,'Mining Employment Monthly'!$B$76:$BS$76,2,'Mining Employment Monthly'!$B$77:$BS$77,VALUE(LEFT('Employment Financial Year'!T$7,4)))+SUMIFS('Mining Employment Monthly'!$B152:$BS152,'Mining Employment Monthly'!$B$76:$BS$76,1,'Mining Employment Monthly'!$B$77:$BS$77,VALUE(CONCATENATE("20",RIGHT('Employment Financial Year'!T$7,2)))))/2)</f>
        <v>1039.0833333333335</v>
      </c>
      <c r="U18" s="282">
        <f>IF($A$25=$A$101,(SUMIFS('Mining Employment Monthly'!$B72:$BS72,'Mining Employment Monthly'!$B$76:$BS$76,2,'Mining Employment Monthly'!$B$77:$BS$77,VALUE(LEFT('Employment Financial Year'!U$7,4)))+SUMIFS('Mining Employment Monthly'!$B72:$BS72,'Mining Employment Monthly'!$B$76:$BS$76,1,'Mining Employment Monthly'!$B$77:$BS$77,VALUE(CONCATENATE("20",RIGHT('Employment Financial Year'!U$7,2)))))/2,(SUMIFS('Mining Employment Monthly'!$B152:$BS152,'Mining Employment Monthly'!$B$76:$BS$76,2,'Mining Employment Monthly'!$B$77:$BS$77,VALUE(LEFT('Employment Financial Year'!U$7,4)))+SUMIFS('Mining Employment Monthly'!$B152:$BS152,'Mining Employment Monthly'!$B$76:$BS$76,1,'Mining Employment Monthly'!$B$77:$BS$77,VALUE(CONCATENATE("20",RIGHT('Employment Financial Year'!U$7,2)))))/2)</f>
        <v>982.33333333333326</v>
      </c>
      <c r="V18" s="283">
        <f>IF($A$25=$A$101,(SUMIFS('Mining Employment Monthly'!$B72:$BS72,'Mining Employment Monthly'!$B$76:$BS$76,2,'Mining Employment Monthly'!$B$77:$BS$77,VALUE(LEFT('Employment Financial Year'!V$7,4)))+SUMIFS('Mining Employment Monthly'!$B72:$BS72,'Mining Employment Monthly'!$B$76:$BS$76,1,'Mining Employment Monthly'!$B$77:$BS$77,VALUE(CONCATENATE("20",RIGHT('Employment Financial Year'!V$7,2)))))/2,(SUMIFS('Mining Employment Monthly'!$B152:$BS152,'Mining Employment Monthly'!$B$76:$BS$76,2,'Mining Employment Monthly'!$B$77:$BS$77,VALUE(LEFT('Employment Financial Year'!V$7,4)))+SUMIFS('Mining Employment Monthly'!$B152:$BS152,'Mining Employment Monthly'!$B$76:$BS$76,1,'Mining Employment Monthly'!$B$77:$BS$77,VALUE(CONCATENATE("20",RIGHT('Employment Financial Year'!V$7,2)))))/2)</f>
        <v>878.33333333333337</v>
      </c>
    </row>
    <row r="19" spans="1:26" s="55" customFormat="1">
      <c r="A19" s="49" t="s">
        <v>48</v>
      </c>
      <c r="B19" s="130"/>
      <c r="C19" s="170">
        <f>IF($A$25=$A$101,(SUMIFS('Mining Employment Monthly'!$B74:$BS74,'Mining Employment Monthly'!$B$76:$BS$76,2,'Mining Employment Monthly'!$B$77:$BS$77,VALUE(LEFT('Employment Financial Year'!C$7,4)))+SUMIFS('Mining Employment Monthly'!$B74:$BS74,'Mining Employment Monthly'!$B$76:$BS$76,1,'Mining Employment Monthly'!$B$77:$BS$77,VALUE(CONCATENATE("20",RIGHT('Employment Financial Year'!C$7,2)))))/2,(SUMIFS('Mining Employment Monthly'!$B154:$BS154,'Mining Employment Monthly'!$B$76:$BS$76,2,'Mining Employment Monthly'!$B$77:$BS$77,VALUE(LEFT('Employment Financial Year'!C$7,4)))+SUMIFS('Mining Employment Monthly'!$B154:$BS154,'Mining Employment Monthly'!$B$76:$BS$76,1,'Mining Employment Monthly'!$B$77:$BS$77,VALUE(CONCATENATE("20",RIGHT('Employment Financial Year'!C$7,2)))))/2)</f>
        <v>1455</v>
      </c>
      <c r="D19" s="170">
        <f>IF($A$25=$A$101,(SUMIFS('Mining Employment Monthly'!$B74:$BS74,'Mining Employment Monthly'!$B$76:$BS$76,2,'Mining Employment Monthly'!$B$77:$BS$77,VALUE(LEFT('Employment Financial Year'!D$7,4)))+SUMIFS('Mining Employment Monthly'!$B74:$BS74,'Mining Employment Monthly'!$B$76:$BS$76,1,'Mining Employment Monthly'!$B$77:$BS$77,VALUE(CONCATENATE("20",RIGHT('Employment Financial Year'!D$7,2)))))/2,(SUMIFS('Mining Employment Monthly'!$B154:$BS154,'Mining Employment Monthly'!$B$76:$BS$76,2,'Mining Employment Monthly'!$B$77:$BS$77,VALUE(LEFT('Employment Financial Year'!D$7,4)))+SUMIFS('Mining Employment Monthly'!$B154:$BS154,'Mining Employment Monthly'!$B$76:$BS$76,1,'Mining Employment Monthly'!$B$77:$BS$77,VALUE(CONCATENATE("20",RIGHT('Employment Financial Year'!D$7,2)))))/2)</f>
        <v>1625</v>
      </c>
      <c r="E19" s="170">
        <f>IF($A$25=$A$101,(SUMIFS('Mining Employment Monthly'!$B74:$BS74,'Mining Employment Monthly'!$B$76:$BS$76,2,'Mining Employment Monthly'!$B$77:$BS$77,VALUE(LEFT('Employment Financial Year'!E$7,4)))+SUMIFS('Mining Employment Monthly'!$B74:$BS74,'Mining Employment Monthly'!$B$76:$BS$76,1,'Mining Employment Monthly'!$B$77:$BS$77,VALUE(CONCATENATE("20",RIGHT('Employment Financial Year'!E$7,2)))))/2,(SUMIFS('Mining Employment Monthly'!$B154:$BS154,'Mining Employment Monthly'!$B$76:$BS$76,2,'Mining Employment Monthly'!$B$77:$BS$77,VALUE(LEFT('Employment Financial Year'!E$7,4)))+SUMIFS('Mining Employment Monthly'!$B154:$BS154,'Mining Employment Monthly'!$B$76:$BS$76,1,'Mining Employment Monthly'!$B$77:$BS$77,VALUE(CONCATENATE("20",RIGHT('Employment Financial Year'!E$7,2)))))/2)</f>
        <v>1614.25</v>
      </c>
      <c r="F19" s="170">
        <f>IF($A$25=$A$101,(SUMIFS('Mining Employment Monthly'!$B74:$BS74,'Mining Employment Monthly'!$B$76:$BS$76,2,'Mining Employment Monthly'!$B$77:$BS$77,VALUE(LEFT('Employment Financial Year'!F$7,4)))+SUMIFS('Mining Employment Monthly'!$B74:$BS74,'Mining Employment Monthly'!$B$76:$BS$76,1,'Mining Employment Monthly'!$B$77:$BS$77,VALUE(CONCATENATE("20",RIGHT('Employment Financial Year'!F$7,2)))))/2,(SUMIFS('Mining Employment Monthly'!$B154:$BS154,'Mining Employment Monthly'!$B$76:$BS$76,2,'Mining Employment Monthly'!$B$77:$BS$77,VALUE(LEFT('Employment Financial Year'!F$7,4)))+SUMIFS('Mining Employment Monthly'!$B154:$BS154,'Mining Employment Monthly'!$B$76:$BS$76,1,'Mining Employment Monthly'!$B$77:$BS$77,VALUE(CONCATENATE("20",RIGHT('Employment Financial Year'!F$7,2)))))/2)</f>
        <v>1830.25</v>
      </c>
      <c r="G19" s="170">
        <f>IF($A$25=$A$101,(SUMIFS('Mining Employment Monthly'!$B74:$BS74,'Mining Employment Monthly'!$B$76:$BS$76,2,'Mining Employment Monthly'!$B$77:$BS$77,VALUE(LEFT('Employment Financial Year'!G$7,4)))+SUMIFS('Mining Employment Monthly'!$B74:$BS74,'Mining Employment Monthly'!$B$76:$BS$76,1,'Mining Employment Monthly'!$B$77:$BS$77,VALUE(CONCATENATE("20",RIGHT('Employment Financial Year'!G$7,2)))))/2,(SUMIFS('Mining Employment Monthly'!$B154:$BS154,'Mining Employment Monthly'!$B$76:$BS$76,2,'Mining Employment Monthly'!$B$77:$BS$77,VALUE(LEFT('Employment Financial Year'!G$7,4)))+SUMIFS('Mining Employment Monthly'!$B154:$BS154,'Mining Employment Monthly'!$B$76:$BS$76,1,'Mining Employment Monthly'!$B$77:$BS$77,VALUE(CONCATENATE("20",RIGHT('Employment Financial Year'!G$7,2)))))/2)</f>
        <v>1811.5</v>
      </c>
      <c r="H19" s="170">
        <f>IF($A$25=$A$101,(SUMIFS('Mining Employment Monthly'!$B74:$BS74,'Mining Employment Monthly'!$B$76:$BS$76,2,'Mining Employment Monthly'!$B$77:$BS$77,VALUE(LEFT('Employment Financial Year'!H$7,4)))+SUMIFS('Mining Employment Monthly'!$B74:$BS74,'Mining Employment Monthly'!$B$76:$BS$76,1,'Mining Employment Monthly'!$B$77:$BS$77,VALUE(CONCATENATE("20",RIGHT('Employment Financial Year'!H$7,2)))))/2,(SUMIFS('Mining Employment Monthly'!$B154:$BS154,'Mining Employment Monthly'!$B$76:$BS$76,2,'Mining Employment Monthly'!$B$77:$BS$77,VALUE(LEFT('Employment Financial Year'!H$7,4)))+SUMIFS('Mining Employment Monthly'!$B154:$BS154,'Mining Employment Monthly'!$B$76:$BS$76,1,'Mining Employment Monthly'!$B$77:$BS$77,VALUE(CONCATENATE("20",RIGHT('Employment Financial Year'!H$7,2)))))/2)</f>
        <v>1697.8333333333335</v>
      </c>
      <c r="I19" s="170">
        <f>IF($A$25=$A$101,(SUMIFS('Mining Employment Monthly'!$B74:$BS74,'Mining Employment Monthly'!$B$76:$BS$76,2,'Mining Employment Monthly'!$B$77:$BS$77,VALUE(LEFT('Employment Financial Year'!I$7,4)))+SUMIFS('Mining Employment Monthly'!$B74:$BS74,'Mining Employment Monthly'!$B$76:$BS$76,1,'Mining Employment Monthly'!$B$77:$BS$77,VALUE(CONCATENATE("20",RIGHT('Employment Financial Year'!I$7,2)))))/2,(SUMIFS('Mining Employment Monthly'!$B154:$BS154,'Mining Employment Monthly'!$B$76:$BS$76,2,'Mining Employment Monthly'!$B$77:$BS$77,VALUE(LEFT('Employment Financial Year'!I$7,4)))+SUMIFS('Mining Employment Monthly'!$B154:$BS154,'Mining Employment Monthly'!$B$76:$BS$76,1,'Mining Employment Monthly'!$B$77:$BS$77,VALUE(CONCATENATE("20",RIGHT('Employment Financial Year'!I$7,2)))))/2)</f>
        <v>1976.4166666666667</v>
      </c>
      <c r="J19" s="170">
        <f>IF($A$25=$A$101,(SUMIFS('Mining Employment Monthly'!$B74:$BS74,'Mining Employment Monthly'!$B$76:$BS$76,2,'Mining Employment Monthly'!$B$77:$BS$77,VALUE(LEFT('Employment Financial Year'!J$7,4)))+SUMIFS('Mining Employment Monthly'!$B74:$BS74,'Mining Employment Monthly'!$B$76:$BS$76,1,'Mining Employment Monthly'!$B$77:$BS$77,VALUE(CONCATENATE("20",RIGHT('Employment Financial Year'!J$7,2)))))/2,(SUMIFS('Mining Employment Monthly'!$B154:$BS154,'Mining Employment Monthly'!$B$76:$BS$76,2,'Mining Employment Monthly'!$B$77:$BS$77,VALUE(LEFT('Employment Financial Year'!J$7,4)))+SUMIFS('Mining Employment Monthly'!$B154:$BS154,'Mining Employment Monthly'!$B$76:$BS$76,1,'Mining Employment Monthly'!$B$77:$BS$77,VALUE(CONCATENATE("20",RIGHT('Employment Financial Year'!J$7,2)))))/2)</f>
        <v>2436.833333333333</v>
      </c>
      <c r="K19" s="170">
        <f>IF($A$25=$A$101,(SUMIFS('Mining Employment Monthly'!$B74:$BS74,'Mining Employment Monthly'!$B$76:$BS$76,2,'Mining Employment Monthly'!$B$77:$BS$77,VALUE(LEFT('Employment Financial Year'!K$7,4)))+SUMIFS('Mining Employment Monthly'!$B74:$BS74,'Mining Employment Monthly'!$B$76:$BS$76,1,'Mining Employment Monthly'!$B$77:$BS$77,VALUE(CONCATENATE("20",RIGHT('Employment Financial Year'!K$7,2)))))/2,(SUMIFS('Mining Employment Monthly'!$B154:$BS154,'Mining Employment Monthly'!$B$76:$BS$76,2,'Mining Employment Monthly'!$B$77:$BS$77,VALUE(LEFT('Employment Financial Year'!K$7,4)))+SUMIFS('Mining Employment Monthly'!$B154:$BS154,'Mining Employment Monthly'!$B$76:$BS$76,1,'Mining Employment Monthly'!$B$77:$BS$77,VALUE(CONCATENATE("20",RIGHT('Employment Financial Year'!K$7,2)))))/2)</f>
        <v>2395.25</v>
      </c>
      <c r="L19" s="170">
        <f>IF($A$25=$A$101,(SUMIFS('Mining Employment Monthly'!$B74:$BS74,'Mining Employment Monthly'!$B$76:$BS$76,2,'Mining Employment Monthly'!$B$77:$BS$77,VALUE(LEFT('Employment Financial Year'!L$7,4)))+SUMIFS('Mining Employment Monthly'!$B74:$BS74,'Mining Employment Monthly'!$B$76:$BS$76,1,'Mining Employment Monthly'!$B$77:$BS$77,VALUE(CONCATENATE("20",RIGHT('Employment Financial Year'!L$7,2)))))/2,(SUMIFS('Mining Employment Monthly'!$B154:$BS154,'Mining Employment Monthly'!$B$76:$BS$76,2,'Mining Employment Monthly'!$B$77:$BS$77,VALUE(LEFT('Employment Financial Year'!L$7,4)))+SUMIFS('Mining Employment Monthly'!$B154:$BS154,'Mining Employment Monthly'!$B$76:$BS$76,1,'Mining Employment Monthly'!$B$77:$BS$77,VALUE(CONCATENATE("20",RIGHT('Employment Financial Year'!L$7,2)))))/2)</f>
        <v>3455.5</v>
      </c>
      <c r="M19" s="170">
        <f>IF($A$25=$A$101,(SUMIFS('Mining Employment Monthly'!$B74:$BS74,'Mining Employment Monthly'!$B$76:$BS$76,2,'Mining Employment Monthly'!$B$77:$BS$77,VALUE(LEFT('Employment Financial Year'!M$7,4)))+SUMIFS('Mining Employment Monthly'!$B74:$BS74,'Mining Employment Monthly'!$B$76:$BS$76,1,'Mining Employment Monthly'!$B$77:$BS$77,VALUE(CONCATENATE("20",RIGHT('Employment Financial Year'!M$7,2)))))/2,(SUMIFS('Mining Employment Monthly'!$B154:$BS154,'Mining Employment Monthly'!$B$76:$BS$76,2,'Mining Employment Monthly'!$B$77:$BS$77,VALUE(LEFT('Employment Financial Year'!M$7,4)))+SUMIFS('Mining Employment Monthly'!$B154:$BS154,'Mining Employment Monthly'!$B$76:$BS$76,1,'Mining Employment Monthly'!$B$77:$BS$77,VALUE(CONCATENATE("20",RIGHT('Employment Financial Year'!M$7,2)))))/2)</f>
        <v>3885.6666666666665</v>
      </c>
      <c r="N19" s="170">
        <f>IF($A$25=$A$101,(SUMIFS('Mining Employment Monthly'!$B74:$BS74,'Mining Employment Monthly'!$B$76:$BS$76,2,'Mining Employment Monthly'!$B$77:$BS$77,VALUE(LEFT('Employment Financial Year'!N$7,4)))+SUMIFS('Mining Employment Monthly'!$B74:$BS74,'Mining Employment Monthly'!$B$76:$BS$76,1,'Mining Employment Monthly'!$B$77:$BS$77,VALUE(CONCATENATE("20",RIGHT('Employment Financial Year'!N$7,2)))))/2,(SUMIFS('Mining Employment Monthly'!$B154:$BS154,'Mining Employment Monthly'!$B$76:$BS$76,2,'Mining Employment Monthly'!$B$77:$BS$77,VALUE(LEFT('Employment Financial Year'!N$7,4)))+SUMIFS('Mining Employment Monthly'!$B154:$BS154,'Mining Employment Monthly'!$B$76:$BS$76,1,'Mining Employment Monthly'!$B$77:$BS$77,VALUE(CONCATENATE("20",RIGHT('Employment Financial Year'!N$7,2)))))/2)</f>
        <v>3541.5</v>
      </c>
      <c r="O19" s="170">
        <f>IF($A$25=$A$101,(SUMIFS('Mining Employment Monthly'!$B74:$BS74,'Mining Employment Monthly'!$B$76:$BS$76,2,'Mining Employment Monthly'!$B$77:$BS$77,VALUE(LEFT('Employment Financial Year'!O$7,4)))+SUMIFS('Mining Employment Monthly'!$B74:$BS74,'Mining Employment Monthly'!$B$76:$BS$76,1,'Mining Employment Monthly'!$B$77:$BS$77,VALUE(CONCATENATE("20",RIGHT('Employment Financial Year'!O$7,2)))))/2,(SUMIFS('Mining Employment Monthly'!$B154:$BS154,'Mining Employment Monthly'!$B$76:$BS$76,2,'Mining Employment Monthly'!$B$77:$BS$77,VALUE(LEFT('Employment Financial Year'!O$7,4)))+SUMIFS('Mining Employment Monthly'!$B154:$BS154,'Mining Employment Monthly'!$B$76:$BS$76,1,'Mining Employment Monthly'!$B$77:$BS$77,VALUE(CONCATENATE("20",RIGHT('Employment Financial Year'!O$7,2)))))/2)</f>
        <v>3494.5</v>
      </c>
      <c r="P19" s="170">
        <f>IF($A$25=$A$101,(SUMIFS('Mining Employment Monthly'!$B74:$BS74,'Mining Employment Monthly'!$B$76:$BS$76,2,'Mining Employment Monthly'!$B$77:$BS$77,VALUE(LEFT('Employment Financial Year'!P$7,4)))+SUMIFS('Mining Employment Monthly'!$B74:$BS74,'Mining Employment Monthly'!$B$76:$BS$76,1,'Mining Employment Monthly'!$B$77:$BS$77,VALUE(CONCATENATE("20",RIGHT('Employment Financial Year'!P$7,2)))))/2,(SUMIFS('Mining Employment Monthly'!$B154:$BS154,'Mining Employment Monthly'!$B$76:$BS$76,2,'Mining Employment Monthly'!$B$77:$BS$77,VALUE(LEFT('Employment Financial Year'!P$7,4)))+SUMIFS('Mining Employment Monthly'!$B154:$BS154,'Mining Employment Monthly'!$B$76:$BS$76,1,'Mining Employment Monthly'!$B$77:$BS$77,VALUE(CONCATENATE("20",RIGHT('Employment Financial Year'!P$7,2)))))/2)</f>
        <v>3234.1666666666665</v>
      </c>
      <c r="Q19" s="170">
        <f>IF($A$25=$A$101,(SUMIFS('Mining Employment Monthly'!$B74:$BS74,'Mining Employment Monthly'!$B$76:$BS$76,2,'Mining Employment Monthly'!$B$77:$BS$77,VALUE(LEFT('Employment Financial Year'!Q$7,4)))+SUMIFS('Mining Employment Monthly'!$B74:$BS74,'Mining Employment Monthly'!$B$76:$BS$76,1,'Mining Employment Monthly'!$B$77:$BS$77,VALUE(CONCATENATE("20",RIGHT('Employment Financial Year'!Q$7,2)))))/2,(SUMIFS('Mining Employment Monthly'!$B154:$BS154,'Mining Employment Monthly'!$B$76:$BS$76,2,'Mining Employment Monthly'!$B$77:$BS$77,VALUE(LEFT('Employment Financial Year'!Q$7,4)))+SUMIFS('Mining Employment Monthly'!$B154:$BS154,'Mining Employment Monthly'!$B$76:$BS$76,1,'Mining Employment Monthly'!$B$77:$BS$77,VALUE(CONCATENATE("20",RIGHT('Employment Financial Year'!Q$7,2)))))/2)</f>
        <v>2818.4166666666665</v>
      </c>
      <c r="R19" s="233">
        <f>IF($A$25=$A$101,(SUMIFS('Mining Employment Monthly'!$B74:$BS74,'Mining Employment Monthly'!$B$76:$BS$76,2,'Mining Employment Monthly'!$B$77:$BS$77,VALUE(LEFT('Employment Financial Year'!R$7,4)))+SUMIFS('Mining Employment Monthly'!$B74:$BS74,'Mining Employment Monthly'!$B$76:$BS$76,1,'Mining Employment Monthly'!$B$77:$BS$77,VALUE(CONCATENATE("20",RIGHT('Employment Financial Year'!R$7,2)))))/2,(SUMIFS('Mining Employment Monthly'!$B154:$BS154,'Mining Employment Monthly'!$B$76:$BS$76,2,'Mining Employment Monthly'!$B$77:$BS$77,VALUE(LEFT('Employment Financial Year'!R$7,4)))+SUMIFS('Mining Employment Monthly'!$B154:$BS154,'Mining Employment Monthly'!$B$76:$BS$76,1,'Mining Employment Monthly'!$B$77:$BS$77,VALUE(CONCATENATE("20",RIGHT('Employment Financial Year'!R$7,2)))))/2)</f>
        <v>2999</v>
      </c>
      <c r="S19" s="233">
        <f>IF($A$25=$A$101,(SUMIFS('Mining Employment Monthly'!$B74:$BS74,'Mining Employment Monthly'!$B$76:$BS$76,2,'Mining Employment Monthly'!$B$77:$BS$77,VALUE(LEFT('Employment Financial Year'!S$7,4)))+SUMIFS('Mining Employment Monthly'!$B74:$BS74,'Mining Employment Monthly'!$B$76:$BS$76,1,'Mining Employment Monthly'!$B$77:$BS$77,VALUE(CONCATENATE("20",RIGHT('Employment Financial Year'!S$7,2)))))/2,(SUMIFS('Mining Employment Monthly'!$B154:$BS154,'Mining Employment Monthly'!$B$76:$BS$76,2,'Mining Employment Monthly'!$B$77:$BS$77,VALUE(LEFT('Employment Financial Year'!S$7,4)))+SUMIFS('Mining Employment Monthly'!$B154:$BS154,'Mining Employment Monthly'!$B$76:$BS$76,1,'Mining Employment Monthly'!$B$77:$BS$77,VALUE(CONCATENATE("20",RIGHT('Employment Financial Year'!S$7,2)))))/2)</f>
        <v>3827.5</v>
      </c>
      <c r="T19" s="233">
        <f>IF($A$25=$A$101,(SUMIFS('Mining Employment Monthly'!$B74:$BS74,'Mining Employment Monthly'!$B$76:$BS$76,2,'Mining Employment Monthly'!$B$77:$BS$77,VALUE(LEFT('Employment Financial Year'!T$7,4)))+SUMIFS('Mining Employment Monthly'!$B74:$BS74,'Mining Employment Monthly'!$B$76:$BS$76,1,'Mining Employment Monthly'!$B$77:$BS$77,VALUE(CONCATENATE("20",RIGHT('Employment Financial Year'!T$7,2)))))/2,(SUMIFS('Mining Employment Monthly'!$B154:$BS154,'Mining Employment Monthly'!$B$76:$BS$76,2,'Mining Employment Monthly'!$B$77:$BS$77,VALUE(LEFT('Employment Financial Year'!T$7,4)))+SUMIFS('Mining Employment Monthly'!$B154:$BS154,'Mining Employment Monthly'!$B$76:$BS$76,1,'Mining Employment Monthly'!$B$77:$BS$77,VALUE(CONCATENATE("20",RIGHT('Employment Financial Year'!T$7,2)))))/2)</f>
        <v>3883.5</v>
      </c>
      <c r="U19" s="233">
        <f>IF($A$25=$A$101,(SUMIFS('Mining Employment Monthly'!$B74:$BS74,'Mining Employment Monthly'!$B$76:$BS$76,2,'Mining Employment Monthly'!$B$77:$BS$77,VALUE(LEFT('Employment Financial Year'!U$7,4)))+SUMIFS('Mining Employment Monthly'!$B74:$BS74,'Mining Employment Monthly'!$B$76:$BS$76,1,'Mining Employment Monthly'!$B$77:$BS$77,VALUE(CONCATENATE("20",RIGHT('Employment Financial Year'!U$7,2)))))/2,(SUMIFS('Mining Employment Monthly'!$B154:$BS154,'Mining Employment Monthly'!$B$76:$BS$76,2,'Mining Employment Monthly'!$B$77:$BS$77,VALUE(LEFT('Employment Financial Year'!U$7,4)))+SUMIFS('Mining Employment Monthly'!$B154:$BS154,'Mining Employment Monthly'!$B$76:$BS$76,1,'Mining Employment Monthly'!$B$77:$BS$77,VALUE(CONCATENATE("20",RIGHT('Employment Financial Year'!U$7,2)))))/2)</f>
        <v>3485.583333333333</v>
      </c>
      <c r="V19" s="131">
        <f>IF($A$25=$A$101,(SUMIFS('Mining Employment Monthly'!$B74:$BS74,'Mining Employment Monthly'!$B$76:$BS$76,2,'Mining Employment Monthly'!$B$77:$BS$77,VALUE(LEFT('Employment Financial Year'!V$7,4)))+SUMIFS('Mining Employment Monthly'!$B74:$BS74,'Mining Employment Monthly'!$B$76:$BS$76,1,'Mining Employment Monthly'!$B$77:$BS$77,VALUE(CONCATENATE("20",RIGHT('Employment Financial Year'!V$7,2)))))/2,(SUMIFS('Mining Employment Monthly'!$B154:$BS154,'Mining Employment Monthly'!$B$76:$BS$76,2,'Mining Employment Monthly'!$B$77:$BS$77,VALUE(LEFT('Employment Financial Year'!V$7,4)))+SUMIFS('Mining Employment Monthly'!$B154:$BS154,'Mining Employment Monthly'!$B$76:$BS$76,1,'Mining Employment Monthly'!$B$77:$BS$77,VALUE(CONCATENATE("20",RIGHT('Employment Financial Year'!V$7,2)))))/2)</f>
        <v>3887.833333333333</v>
      </c>
    </row>
    <row r="20" spans="1:26" s="55" customFormat="1">
      <c r="A20" s="106" t="s">
        <v>184</v>
      </c>
      <c r="B20" s="129"/>
      <c r="C20" s="128">
        <f>IF($A$25=$A$101,(SUMIFS('Mining Employment Monthly'!$B73:$BS73,'Mining Employment Monthly'!$B$76:$BS$76,2,'Mining Employment Monthly'!$B$77:$BS$77,VALUE(LEFT('Employment Financial Year'!C$7,4)))+SUMIFS('Mining Employment Monthly'!$B73:$BS73,'Mining Employment Monthly'!$B$76:$BS$76,1,'Mining Employment Monthly'!$B$77:$BS$77,VALUE(CONCATENATE("20",RIGHT('Employment Financial Year'!C$7,2)))))/2,(SUMIFS('Mining Employment Monthly'!$B153:$BS153,'Mining Employment Monthly'!$B$76:$BS$76,2,'Mining Employment Monthly'!$B$77:$BS$77,VALUE(LEFT('Employment Financial Year'!C$7,4)))+SUMIFS('Mining Employment Monthly'!$B153:$BS153,'Mining Employment Monthly'!$B$76:$BS$76,1,'Mining Employment Monthly'!$B$77:$BS$77,VALUE(CONCATENATE("20",RIGHT('Employment Financial Year'!C$7,2)))))/2)</f>
        <v>589.75</v>
      </c>
      <c r="D20" s="128">
        <f>IF($A$25=$A$101,(SUMIFS('Mining Employment Monthly'!$B73:$BS73,'Mining Employment Monthly'!$B$76:$BS$76,2,'Mining Employment Monthly'!$B$77:$BS$77,VALUE(LEFT('Employment Financial Year'!D$7,4)))+SUMIFS('Mining Employment Monthly'!$B73:$BS73,'Mining Employment Monthly'!$B$76:$BS$76,1,'Mining Employment Monthly'!$B$77:$BS$77,VALUE(CONCATENATE("20",RIGHT('Employment Financial Year'!D$7,2)))))/2,(SUMIFS('Mining Employment Monthly'!$B153:$BS153,'Mining Employment Monthly'!$B$76:$BS$76,2,'Mining Employment Monthly'!$B$77:$BS$77,VALUE(LEFT('Employment Financial Year'!D$7,4)))+SUMIFS('Mining Employment Monthly'!$B153:$BS153,'Mining Employment Monthly'!$B$76:$BS$76,1,'Mining Employment Monthly'!$B$77:$BS$77,VALUE(CONCATENATE("20",RIGHT('Employment Financial Year'!D$7,2)))))/2)</f>
        <v>564.25</v>
      </c>
      <c r="E20" s="128">
        <f>IF($A$25=$A$101,(SUMIFS('Mining Employment Monthly'!$B73:$BS73,'Mining Employment Monthly'!$B$76:$BS$76,2,'Mining Employment Monthly'!$B$77:$BS$77,VALUE(LEFT('Employment Financial Year'!E$7,4)))+SUMIFS('Mining Employment Monthly'!$B73:$BS73,'Mining Employment Monthly'!$B$76:$BS$76,1,'Mining Employment Monthly'!$B$77:$BS$77,VALUE(CONCATENATE("20",RIGHT('Employment Financial Year'!E$7,2)))))/2,(SUMIFS('Mining Employment Monthly'!$B153:$BS153,'Mining Employment Monthly'!$B$76:$BS$76,2,'Mining Employment Monthly'!$B$77:$BS$77,VALUE(LEFT('Employment Financial Year'!E$7,4)))+SUMIFS('Mining Employment Monthly'!$B153:$BS153,'Mining Employment Monthly'!$B$76:$BS$76,1,'Mining Employment Monthly'!$B$77:$BS$77,VALUE(CONCATENATE("20",RIGHT('Employment Financial Year'!E$7,2)))))/2)</f>
        <v>535</v>
      </c>
      <c r="F20" s="128">
        <f>IF($A$25=$A$101,(SUMIFS('Mining Employment Monthly'!$B73:$BS73,'Mining Employment Monthly'!$B$76:$BS$76,2,'Mining Employment Monthly'!$B$77:$BS$77,VALUE(LEFT('Employment Financial Year'!F$7,4)))+SUMIFS('Mining Employment Monthly'!$B73:$BS73,'Mining Employment Monthly'!$B$76:$BS$76,1,'Mining Employment Monthly'!$B$77:$BS$77,VALUE(CONCATENATE("20",RIGHT('Employment Financial Year'!F$7,2)))))/2,(SUMIFS('Mining Employment Monthly'!$B153:$BS153,'Mining Employment Monthly'!$B$76:$BS$76,2,'Mining Employment Monthly'!$B$77:$BS$77,VALUE(LEFT('Employment Financial Year'!F$7,4)))+SUMIFS('Mining Employment Monthly'!$B153:$BS153,'Mining Employment Monthly'!$B$76:$BS$76,1,'Mining Employment Monthly'!$B$77:$BS$77,VALUE(CONCATENATE("20",RIGHT('Employment Financial Year'!F$7,2)))))/2)</f>
        <v>722.25</v>
      </c>
      <c r="G20" s="128">
        <f>IF($A$25=$A$101,(SUMIFS('Mining Employment Monthly'!$B73:$BS73,'Mining Employment Monthly'!$B$76:$BS$76,2,'Mining Employment Monthly'!$B$77:$BS$77,VALUE(LEFT('Employment Financial Year'!G$7,4)))+SUMIFS('Mining Employment Monthly'!$B73:$BS73,'Mining Employment Monthly'!$B$76:$BS$76,1,'Mining Employment Monthly'!$B$77:$BS$77,VALUE(CONCATENATE("20",RIGHT('Employment Financial Year'!G$7,2)))))/2,(SUMIFS('Mining Employment Monthly'!$B153:$BS153,'Mining Employment Monthly'!$B$76:$BS$76,2,'Mining Employment Monthly'!$B$77:$BS$77,VALUE(LEFT('Employment Financial Year'!G$7,4)))+SUMIFS('Mining Employment Monthly'!$B153:$BS153,'Mining Employment Monthly'!$B$76:$BS$76,1,'Mining Employment Monthly'!$B$77:$BS$77,VALUE(CONCATENATE("20",RIGHT('Employment Financial Year'!G$7,2)))))/2)</f>
        <v>751.66666666666674</v>
      </c>
      <c r="H20" s="128">
        <f>IF($A$25=$A$101,(SUMIFS('Mining Employment Monthly'!$B73:$BS73,'Mining Employment Monthly'!$B$76:$BS$76,2,'Mining Employment Monthly'!$B$77:$BS$77,VALUE(LEFT('Employment Financial Year'!H$7,4)))+SUMIFS('Mining Employment Monthly'!$B73:$BS73,'Mining Employment Monthly'!$B$76:$BS$76,1,'Mining Employment Monthly'!$B$77:$BS$77,VALUE(CONCATENATE("20",RIGHT('Employment Financial Year'!H$7,2)))))/2,(SUMIFS('Mining Employment Monthly'!$B153:$BS153,'Mining Employment Monthly'!$B$76:$BS$76,2,'Mining Employment Monthly'!$B$77:$BS$77,VALUE(LEFT('Employment Financial Year'!H$7,4)))+SUMIFS('Mining Employment Monthly'!$B153:$BS153,'Mining Employment Monthly'!$B$76:$BS$76,1,'Mining Employment Monthly'!$B$77:$BS$77,VALUE(CONCATENATE("20",RIGHT('Employment Financial Year'!H$7,2)))))/2)</f>
        <v>1168.0833333333335</v>
      </c>
      <c r="I20" s="128">
        <f>IF($A$25=$A$101,(SUMIFS('Mining Employment Monthly'!$B73:$BS73,'Mining Employment Monthly'!$B$76:$BS$76,2,'Mining Employment Monthly'!$B$77:$BS$77,VALUE(LEFT('Employment Financial Year'!I$7,4)))+SUMIFS('Mining Employment Monthly'!$B73:$BS73,'Mining Employment Monthly'!$B$76:$BS$76,1,'Mining Employment Monthly'!$B$77:$BS$77,VALUE(CONCATENATE("20",RIGHT('Employment Financial Year'!I$7,2)))))/2,(SUMIFS('Mining Employment Monthly'!$B153:$BS153,'Mining Employment Monthly'!$B$76:$BS$76,2,'Mining Employment Monthly'!$B$77:$BS$77,VALUE(LEFT('Employment Financial Year'!I$7,4)))+SUMIFS('Mining Employment Monthly'!$B153:$BS153,'Mining Employment Monthly'!$B$76:$BS$76,1,'Mining Employment Monthly'!$B$77:$BS$77,VALUE(CONCATENATE("20",RIGHT('Employment Financial Year'!I$7,2)))))/2)</f>
        <v>1814.0833333333335</v>
      </c>
      <c r="J20" s="128">
        <f>IF($A$25=$A$101,(SUMIFS('Mining Employment Monthly'!$B73:$BS73,'Mining Employment Monthly'!$B$76:$BS$76,2,'Mining Employment Monthly'!$B$77:$BS$77,VALUE(LEFT('Employment Financial Year'!J$7,4)))+SUMIFS('Mining Employment Monthly'!$B73:$BS73,'Mining Employment Monthly'!$B$76:$BS$76,1,'Mining Employment Monthly'!$B$77:$BS$77,VALUE(CONCATENATE("20",RIGHT('Employment Financial Year'!J$7,2)))))/2,(SUMIFS('Mining Employment Monthly'!$B153:$BS153,'Mining Employment Monthly'!$B$76:$BS$76,2,'Mining Employment Monthly'!$B$77:$BS$77,VALUE(LEFT('Employment Financial Year'!J$7,4)))+SUMIFS('Mining Employment Monthly'!$B153:$BS153,'Mining Employment Monthly'!$B$76:$BS$76,1,'Mining Employment Monthly'!$B$77:$BS$77,VALUE(CONCATENATE("20",RIGHT('Employment Financial Year'!J$7,2)))))/2)</f>
        <v>2319.166666666667</v>
      </c>
      <c r="K20" s="128">
        <f>IF($A$25=$A$101,(SUMIFS('Mining Employment Monthly'!$B73:$BS73,'Mining Employment Monthly'!$B$76:$BS$76,2,'Mining Employment Monthly'!$B$77:$BS$77,VALUE(LEFT('Employment Financial Year'!K$7,4)))+SUMIFS('Mining Employment Monthly'!$B73:$BS73,'Mining Employment Monthly'!$B$76:$BS$76,1,'Mining Employment Monthly'!$B$77:$BS$77,VALUE(CONCATENATE("20",RIGHT('Employment Financial Year'!K$7,2)))))/2,(SUMIFS('Mining Employment Monthly'!$B153:$BS153,'Mining Employment Monthly'!$B$76:$BS$76,2,'Mining Employment Monthly'!$B$77:$BS$77,VALUE(LEFT('Employment Financial Year'!K$7,4)))+SUMIFS('Mining Employment Monthly'!$B153:$BS153,'Mining Employment Monthly'!$B$76:$BS$76,1,'Mining Employment Monthly'!$B$77:$BS$77,VALUE(CONCATENATE("20",RIGHT('Employment Financial Year'!K$7,2)))))/2)</f>
        <v>2813.333333333333</v>
      </c>
      <c r="L20" s="128">
        <f>IF($A$25=$A$101,(SUMIFS('Mining Employment Monthly'!$B73:$BS73,'Mining Employment Monthly'!$B$76:$BS$76,2,'Mining Employment Monthly'!$B$77:$BS$77,VALUE(LEFT('Employment Financial Year'!L$7,4)))+SUMIFS('Mining Employment Monthly'!$B73:$BS73,'Mining Employment Monthly'!$B$76:$BS$76,1,'Mining Employment Monthly'!$B$77:$BS$77,VALUE(CONCATENATE("20",RIGHT('Employment Financial Year'!L$7,2)))))/2,(SUMIFS('Mining Employment Monthly'!$B153:$BS153,'Mining Employment Monthly'!$B$76:$BS$76,2,'Mining Employment Monthly'!$B$77:$BS$77,VALUE(LEFT('Employment Financial Year'!L$7,4)))+SUMIFS('Mining Employment Monthly'!$B153:$BS153,'Mining Employment Monthly'!$B$76:$BS$76,1,'Mining Employment Monthly'!$B$77:$BS$77,VALUE(CONCATENATE("20",RIGHT('Employment Financial Year'!L$7,2)))))/2)</f>
        <v>3338.416666666667</v>
      </c>
      <c r="M20" s="128">
        <f>IF($A$25=$A$101,(SUMIFS('Mining Employment Monthly'!$B73:$BS73,'Mining Employment Monthly'!$B$76:$BS$76,2,'Mining Employment Monthly'!$B$77:$BS$77,VALUE(LEFT('Employment Financial Year'!M$7,4)))+SUMIFS('Mining Employment Monthly'!$B73:$BS73,'Mining Employment Monthly'!$B$76:$BS$76,1,'Mining Employment Monthly'!$B$77:$BS$77,VALUE(CONCATENATE("20",RIGHT('Employment Financial Year'!M$7,2)))))/2,(SUMIFS('Mining Employment Monthly'!$B153:$BS153,'Mining Employment Monthly'!$B$76:$BS$76,2,'Mining Employment Monthly'!$B$77:$BS$77,VALUE(LEFT('Employment Financial Year'!M$7,4)))+SUMIFS('Mining Employment Monthly'!$B153:$BS153,'Mining Employment Monthly'!$B$76:$BS$76,1,'Mining Employment Monthly'!$B$77:$BS$77,VALUE(CONCATENATE("20",RIGHT('Employment Financial Year'!M$7,2)))))/2)</f>
        <v>3652.666666666667</v>
      </c>
      <c r="N20" s="128">
        <f>IF($A$25=$A$101,(SUMIFS('Mining Employment Monthly'!$B73:$BS73,'Mining Employment Monthly'!$B$76:$BS$76,2,'Mining Employment Monthly'!$B$77:$BS$77,VALUE(LEFT('Employment Financial Year'!N$7,4)))+SUMIFS('Mining Employment Monthly'!$B73:$BS73,'Mining Employment Monthly'!$B$76:$BS$76,1,'Mining Employment Monthly'!$B$77:$BS$77,VALUE(CONCATENATE("20",RIGHT('Employment Financial Year'!N$7,2)))))/2,(SUMIFS('Mining Employment Monthly'!$B153:$BS153,'Mining Employment Monthly'!$B$76:$BS$76,2,'Mining Employment Monthly'!$B$77:$BS$77,VALUE(LEFT('Employment Financial Year'!N$7,4)))+SUMIFS('Mining Employment Monthly'!$B153:$BS153,'Mining Employment Monthly'!$B$76:$BS$76,1,'Mining Employment Monthly'!$B$77:$BS$77,VALUE(CONCATENATE("20",RIGHT('Employment Financial Year'!N$7,2)))))/2)</f>
        <v>2646.416666666667</v>
      </c>
      <c r="O20" s="128">
        <f>IF($A$25=$A$101,(SUMIFS('Mining Employment Monthly'!$B73:$BS73,'Mining Employment Monthly'!$B$76:$BS$76,2,'Mining Employment Monthly'!$B$77:$BS$77,VALUE(LEFT('Employment Financial Year'!O$7,4)))+SUMIFS('Mining Employment Monthly'!$B73:$BS73,'Mining Employment Monthly'!$B$76:$BS$76,1,'Mining Employment Monthly'!$B$77:$BS$77,VALUE(CONCATENATE("20",RIGHT('Employment Financial Year'!O$7,2)))))/2,(SUMIFS('Mining Employment Monthly'!$B153:$BS153,'Mining Employment Monthly'!$B$76:$BS$76,2,'Mining Employment Monthly'!$B$77:$BS$77,VALUE(LEFT('Employment Financial Year'!O$7,4)))+SUMIFS('Mining Employment Monthly'!$B153:$BS153,'Mining Employment Monthly'!$B$76:$BS$76,1,'Mining Employment Monthly'!$B$77:$BS$77,VALUE(CONCATENATE("20",RIGHT('Employment Financial Year'!O$7,2)))))/2)</f>
        <v>2319.583333333333</v>
      </c>
      <c r="P20" s="128">
        <f>IF($A$25=$A$101,(SUMIFS('Mining Employment Monthly'!$B73:$BS73,'Mining Employment Monthly'!$B$76:$BS$76,2,'Mining Employment Monthly'!$B$77:$BS$77,VALUE(LEFT('Employment Financial Year'!P$7,4)))+SUMIFS('Mining Employment Monthly'!$B73:$BS73,'Mining Employment Monthly'!$B$76:$BS$76,1,'Mining Employment Monthly'!$B$77:$BS$77,VALUE(CONCATENATE("20",RIGHT('Employment Financial Year'!P$7,2)))))/2,(SUMIFS('Mining Employment Monthly'!$B153:$BS153,'Mining Employment Monthly'!$B$76:$BS$76,2,'Mining Employment Monthly'!$B$77:$BS$77,VALUE(LEFT('Employment Financial Year'!P$7,4)))+SUMIFS('Mining Employment Monthly'!$B153:$BS153,'Mining Employment Monthly'!$B$76:$BS$76,1,'Mining Employment Monthly'!$B$77:$BS$77,VALUE(CONCATENATE("20",RIGHT('Employment Financial Year'!P$7,2)))))/2)</f>
        <v>2178.416666666667</v>
      </c>
      <c r="Q20" s="128">
        <f>IF($A$25=$A$101,(SUMIFS('Mining Employment Monthly'!$B73:$BS73,'Mining Employment Monthly'!$B$76:$BS$76,2,'Mining Employment Monthly'!$B$77:$BS$77,VALUE(LEFT('Employment Financial Year'!Q$7,4)))+SUMIFS('Mining Employment Monthly'!$B73:$BS73,'Mining Employment Monthly'!$B$76:$BS$76,1,'Mining Employment Monthly'!$B$77:$BS$77,VALUE(CONCATENATE("20",RIGHT('Employment Financial Year'!Q$7,2)))))/2,(SUMIFS('Mining Employment Monthly'!$B153:$BS153,'Mining Employment Monthly'!$B$76:$BS$76,2,'Mining Employment Monthly'!$B$77:$BS$77,VALUE(LEFT('Employment Financial Year'!Q$7,4)))+SUMIFS('Mining Employment Monthly'!$B153:$BS153,'Mining Employment Monthly'!$B$76:$BS$76,1,'Mining Employment Monthly'!$B$77:$BS$77,VALUE(CONCATENATE("20",RIGHT('Employment Financial Year'!Q$7,2)))))/2)</f>
        <v>2167.25</v>
      </c>
      <c r="R20" s="282">
        <f>IF($A$25=$A$101,(SUMIFS('Mining Employment Monthly'!$B73:$BS73,'Mining Employment Monthly'!$B$76:$BS$76,2,'Mining Employment Monthly'!$B$77:$BS$77,VALUE(LEFT('Employment Financial Year'!R$7,4)))+SUMIFS('Mining Employment Monthly'!$B73:$BS73,'Mining Employment Monthly'!$B$76:$BS$76,1,'Mining Employment Monthly'!$B$77:$BS$77,VALUE(CONCATENATE("20",RIGHT('Employment Financial Year'!R$7,2)))))/2,(SUMIFS('Mining Employment Monthly'!$B153:$BS153,'Mining Employment Monthly'!$B$76:$BS$76,2,'Mining Employment Monthly'!$B$77:$BS$77,VALUE(LEFT('Employment Financial Year'!R$7,4)))+SUMIFS('Mining Employment Monthly'!$B153:$BS153,'Mining Employment Monthly'!$B$76:$BS$76,1,'Mining Employment Monthly'!$B$77:$BS$77,VALUE(CONCATENATE("20",RIGHT('Employment Financial Year'!R$7,2)))))/2)</f>
        <v>2291.5</v>
      </c>
      <c r="S20" s="282">
        <f>IF($A$25=$A$101,(SUMIFS('Mining Employment Monthly'!$B73:$BS73,'Mining Employment Monthly'!$B$76:$BS$76,2,'Mining Employment Monthly'!$B$77:$BS$77,VALUE(LEFT('Employment Financial Year'!S$7,4)))+SUMIFS('Mining Employment Monthly'!$B73:$BS73,'Mining Employment Monthly'!$B$76:$BS$76,1,'Mining Employment Monthly'!$B$77:$BS$77,VALUE(CONCATENATE("20",RIGHT('Employment Financial Year'!S$7,2)))))/2,(SUMIFS('Mining Employment Monthly'!$B153:$BS153,'Mining Employment Monthly'!$B$76:$BS$76,2,'Mining Employment Monthly'!$B$77:$BS$77,VALUE(LEFT('Employment Financial Year'!S$7,4)))+SUMIFS('Mining Employment Monthly'!$B153:$BS153,'Mining Employment Monthly'!$B$76:$BS$76,1,'Mining Employment Monthly'!$B$77:$BS$77,VALUE(CONCATENATE("20",RIGHT('Employment Financial Year'!S$7,2)))))/2)</f>
        <v>2702.416666666667</v>
      </c>
      <c r="T20" s="282">
        <f>IF($A$25=$A$101,(SUMIFS('Mining Employment Monthly'!$B73:$BS73,'Mining Employment Monthly'!$B$76:$BS$76,2,'Mining Employment Monthly'!$B$77:$BS$77,VALUE(LEFT('Employment Financial Year'!T$7,4)))+SUMIFS('Mining Employment Monthly'!$B73:$BS73,'Mining Employment Monthly'!$B$76:$BS$76,1,'Mining Employment Monthly'!$B$77:$BS$77,VALUE(CONCATENATE("20",RIGHT('Employment Financial Year'!T$7,2)))))/2,(SUMIFS('Mining Employment Monthly'!$B153:$BS153,'Mining Employment Monthly'!$B$76:$BS$76,2,'Mining Employment Monthly'!$B$77:$BS$77,VALUE(LEFT('Employment Financial Year'!T$7,4)))+SUMIFS('Mining Employment Monthly'!$B153:$BS153,'Mining Employment Monthly'!$B$76:$BS$76,1,'Mining Employment Monthly'!$B$77:$BS$77,VALUE(CONCATENATE("20",RIGHT('Employment Financial Year'!T$7,2)))))/2)</f>
        <v>3107.0833333333335</v>
      </c>
      <c r="U20" s="282">
        <f>IF($A$25=$A$101,(SUMIFS('Mining Employment Monthly'!$B73:$BS73,'Mining Employment Monthly'!$B$76:$BS$76,2,'Mining Employment Monthly'!$B$77:$BS$77,VALUE(LEFT('Employment Financial Year'!U$7,4)))+SUMIFS('Mining Employment Monthly'!$B73:$BS73,'Mining Employment Monthly'!$B$76:$BS$76,1,'Mining Employment Monthly'!$B$77:$BS$77,VALUE(CONCATENATE("20",RIGHT('Employment Financial Year'!U$7,2)))))/2,(SUMIFS('Mining Employment Monthly'!$B153:$BS153,'Mining Employment Monthly'!$B$76:$BS$76,2,'Mining Employment Monthly'!$B$77:$BS$77,VALUE(LEFT('Employment Financial Year'!U$7,4)))+SUMIFS('Mining Employment Monthly'!$B153:$BS153,'Mining Employment Monthly'!$B$76:$BS$76,1,'Mining Employment Monthly'!$B$77:$BS$77,VALUE(CONCATENATE("20",RIGHT('Employment Financial Year'!U$7,2)))))/2)</f>
        <v>3492.083333333333</v>
      </c>
      <c r="V20" s="283">
        <f>IF($A$25=$A$101,(SUMIFS('Mining Employment Monthly'!$B73:$BS73,'Mining Employment Monthly'!$B$76:$BS$76,2,'Mining Employment Monthly'!$B$77:$BS$77,VALUE(LEFT('Employment Financial Year'!V$7,4)))+SUMIFS('Mining Employment Monthly'!$B73:$BS73,'Mining Employment Monthly'!$B$76:$BS$76,1,'Mining Employment Monthly'!$B$77:$BS$77,VALUE(CONCATENATE("20",RIGHT('Employment Financial Year'!V$7,2)))))/2,(SUMIFS('Mining Employment Monthly'!$B153:$BS153,'Mining Employment Monthly'!$B$76:$BS$76,2,'Mining Employment Monthly'!$B$77:$BS$77,VALUE(LEFT('Employment Financial Year'!V$7,4)))+SUMIFS('Mining Employment Monthly'!$B153:$BS153,'Mining Employment Monthly'!$B$76:$BS$76,1,'Mining Employment Monthly'!$B$77:$BS$77,VALUE(CONCATENATE("20",RIGHT('Employment Financial Year'!V$7,2)))))/2)</f>
        <v>4337.5833333333339</v>
      </c>
      <c r="W20" s="53"/>
      <c r="X20" s="53"/>
      <c r="Y20" s="53"/>
      <c r="Z20" s="53"/>
    </row>
    <row r="21" spans="1:26" ht="15.75" thickBot="1">
      <c r="A21" s="106" t="s">
        <v>139</v>
      </c>
      <c r="B21" s="990"/>
      <c r="C21" s="942" t="s">
        <v>1073</v>
      </c>
      <c r="D21" s="942" t="s">
        <v>1073</v>
      </c>
      <c r="E21" s="942" t="s">
        <v>1073</v>
      </c>
      <c r="F21" s="942" t="s">
        <v>1073</v>
      </c>
      <c r="G21" s="942" t="s">
        <v>1073</v>
      </c>
      <c r="H21" s="942" t="s">
        <v>1073</v>
      </c>
      <c r="I21" s="942" t="s">
        <v>1073</v>
      </c>
      <c r="J21" s="942" t="s">
        <v>1073</v>
      </c>
      <c r="K21" s="170">
        <f>IF($A$25=$A$101,(SUMIFS('Petroleum Employment Monthly'!$B16:$BS16,'Petroleum Employment Monthly'!$B$17:$BS$17,2,'Petroleum Employment Monthly'!$B$18:$BS$18,VALUE(LEFT('Employment Financial Year'!K$7,4)))+SUMIFS('Petroleum Employment Monthly'!$B16:$BS16,'Petroleum Employment Monthly'!$B$17:$BS$17,1,'Petroleum Employment Monthly'!$B$18:$BS$18,VALUE(CONCATENATE("20",RIGHT('Employment Financial Year'!K$7,2)))))/2,(SUMIFS('Petroleum Employment Monthly'!$B30:$BS30,'Petroleum Employment Monthly'!$B$17:$BS$17,2,'Petroleum Employment Monthly'!$B$18:$BS$18,VALUE(LEFT('Employment Financial Year'!K$7,4)))+SUMIFS('Petroleum Employment Monthly'!$B30:$BS30,'Petroleum Employment Monthly'!$B$17:$BS$17,1,'Petroleum Employment Monthly'!$B$18:$BS$18,VALUE(CONCATENATE("20",RIGHT('Employment Financial Year'!K$7,2)))))/2)</f>
        <v>1345.4166666666667</v>
      </c>
      <c r="L21" s="170">
        <f>IF($A$25=$A$101,(SUMIFS('Petroleum Employment Monthly'!$B16:$BS16,'Petroleum Employment Monthly'!$B$17:$BS$17,2,'Petroleum Employment Monthly'!$B$18:$BS$18,VALUE(LEFT('Employment Financial Year'!L$7,4)))+SUMIFS('Petroleum Employment Monthly'!$B16:$BS16,'Petroleum Employment Monthly'!$B$17:$BS$17,1,'Petroleum Employment Monthly'!$B$18:$BS$18,VALUE(CONCATENATE("20",RIGHT('Employment Financial Year'!L$7,2)))))/2,(SUMIFS('Petroleum Employment Monthly'!$B30:$BS30,'Petroleum Employment Monthly'!$B$17:$BS$17,2,'Petroleum Employment Monthly'!$B$18:$BS$18,VALUE(LEFT('Employment Financial Year'!L$7,4)))+SUMIFS('Petroleum Employment Monthly'!$B30:$BS30,'Petroleum Employment Monthly'!$B$17:$BS$17,1,'Petroleum Employment Monthly'!$B$18:$BS$18,VALUE(CONCATENATE("20",RIGHT('Employment Financial Year'!L$7,2)))))/2)</f>
        <v>2852.6666666666665</v>
      </c>
      <c r="M21" s="170">
        <f>IF($A$25=$A$101,(SUMIFS('Petroleum Employment Monthly'!$B16:$BS16,'Petroleum Employment Monthly'!$B$17:$BS$17,2,'Petroleum Employment Monthly'!$B$18:$BS$18,VALUE(LEFT('Employment Financial Year'!M$7,4)))+SUMIFS('Petroleum Employment Monthly'!$B16:$BS16,'Petroleum Employment Monthly'!$B$17:$BS$17,1,'Petroleum Employment Monthly'!$B$18:$BS$18,VALUE(CONCATENATE("20",RIGHT('Employment Financial Year'!M$7,2)))))/2,(SUMIFS('Petroleum Employment Monthly'!$B30:$BS30,'Petroleum Employment Monthly'!$B$17:$BS$17,2,'Petroleum Employment Monthly'!$B$18:$BS$18,VALUE(LEFT('Employment Financial Year'!M$7,4)))+SUMIFS('Petroleum Employment Monthly'!$B30:$BS30,'Petroleum Employment Monthly'!$B$17:$BS$17,1,'Petroleum Employment Monthly'!$B$18:$BS$18,VALUE(CONCATENATE("20",RIGHT('Employment Financial Year'!M$7,2)))))/2)</f>
        <v>2935.6666666666665</v>
      </c>
      <c r="N21" s="170">
        <f>IF($A$25=$A$101,(SUMIFS('Petroleum Employment Monthly'!$B16:$BS16,'Petroleum Employment Monthly'!$B$17:$BS$17,2,'Petroleum Employment Monthly'!$B$18:$BS$18,VALUE(LEFT('Employment Financial Year'!N$7,4)))+SUMIFS('Petroleum Employment Monthly'!$B16:$BS16,'Petroleum Employment Monthly'!$B$17:$BS$17,1,'Petroleum Employment Monthly'!$B$18:$BS$18,VALUE(CONCATENATE("20",RIGHT('Employment Financial Year'!N$7,2)))))/2,(SUMIFS('Petroleum Employment Monthly'!$B30:$BS30,'Petroleum Employment Monthly'!$B$17:$BS$17,2,'Petroleum Employment Monthly'!$B$18:$BS$18,VALUE(LEFT('Employment Financial Year'!N$7,4)))+SUMIFS('Petroleum Employment Monthly'!$B30:$BS30,'Petroleum Employment Monthly'!$B$17:$BS$17,1,'Petroleum Employment Monthly'!$B$18:$BS$18,VALUE(CONCATENATE("20",RIGHT('Employment Financial Year'!N$7,2)))))/2)</f>
        <v>2385.4166666666665</v>
      </c>
      <c r="O21" s="170">
        <f>IF($A$25=$A$101,(SUMIFS('Petroleum Employment Monthly'!$B16:$BS16,'Petroleum Employment Monthly'!$B$17:$BS$17,2,'Petroleum Employment Monthly'!$B$18:$BS$18,VALUE(LEFT('Employment Financial Year'!O$7,4)))+SUMIFS('Petroleum Employment Monthly'!$B16:$BS16,'Petroleum Employment Monthly'!$B$17:$BS$17,1,'Petroleum Employment Monthly'!$B$18:$BS$18,VALUE(CONCATENATE("20",RIGHT('Employment Financial Year'!O$7,2)))))/2,(SUMIFS('Petroleum Employment Monthly'!$B30:$BS30,'Petroleum Employment Monthly'!$B$17:$BS$17,2,'Petroleum Employment Monthly'!$B$18:$BS$18,VALUE(LEFT('Employment Financial Year'!O$7,4)))+SUMIFS('Petroleum Employment Monthly'!$B30:$BS30,'Petroleum Employment Monthly'!$B$17:$BS$17,1,'Petroleum Employment Monthly'!$B$18:$BS$18,VALUE(CONCATENATE("20",RIGHT('Employment Financial Year'!O$7,2)))))/2)</f>
        <v>1912.9166666666665</v>
      </c>
      <c r="P21" s="170">
        <f>IF($A$25=$A$101,(SUMIFS('Petroleum Employment Monthly'!$B16:$BS16,'Petroleum Employment Monthly'!$B$17:$BS$17,2,'Petroleum Employment Monthly'!$B$18:$BS$18,VALUE(LEFT('Employment Financial Year'!P$7,4)))+SUMIFS('Petroleum Employment Monthly'!$B16:$BS16,'Petroleum Employment Monthly'!$B$17:$BS$17,1,'Petroleum Employment Monthly'!$B$18:$BS$18,VALUE(CONCATENATE("20",RIGHT('Employment Financial Year'!P$7,2)))))/2,(SUMIFS('Petroleum Employment Monthly'!$B30:$BS30,'Petroleum Employment Monthly'!$B$17:$BS$17,2,'Petroleum Employment Monthly'!$B$18:$BS$18,VALUE(LEFT('Employment Financial Year'!P$7,4)))+SUMIFS('Petroleum Employment Monthly'!$B30:$BS30,'Petroleum Employment Monthly'!$B$17:$BS$17,1,'Petroleum Employment Monthly'!$B$18:$BS$18,VALUE(CONCATENATE("20",RIGHT('Employment Financial Year'!P$7,2)))))/2)</f>
        <v>2058.166666666667</v>
      </c>
      <c r="Q21" s="170">
        <f>IF($A$25=$A$101,(SUMIFS('Petroleum Employment Monthly'!$B16:$BS16,'Petroleum Employment Monthly'!$B$17:$BS$17,2,'Petroleum Employment Monthly'!$B$18:$BS$18,VALUE(LEFT('Employment Financial Year'!Q$7,4)))+SUMIFS('Petroleum Employment Monthly'!$B16:$BS16,'Petroleum Employment Monthly'!$B$17:$BS$17,1,'Petroleum Employment Monthly'!$B$18:$BS$18,VALUE(CONCATENATE("20",RIGHT('Employment Financial Year'!Q$7,2)))))/2,(SUMIFS('Petroleum Employment Monthly'!$B30:$BS30,'Petroleum Employment Monthly'!$B$17:$BS$17,2,'Petroleum Employment Monthly'!$B$18:$BS$18,VALUE(LEFT('Employment Financial Year'!Q$7,4)))+SUMIFS('Petroleum Employment Monthly'!$B30:$BS30,'Petroleum Employment Monthly'!$B$17:$BS$17,1,'Petroleum Employment Monthly'!$B$18:$BS$18,VALUE(CONCATENATE("20",RIGHT('Employment Financial Year'!Q$7,2)))))/2)</f>
        <v>1380.25</v>
      </c>
      <c r="R21" s="233">
        <f>IF($A$25=$A$101,(SUMIFS('Petroleum Employment Monthly'!$B16:$BS16,'Petroleum Employment Monthly'!$B$17:$BS$17,2,'Petroleum Employment Monthly'!$B$18:$BS$18,VALUE(LEFT('Employment Financial Year'!R$7,4)))+SUMIFS('Petroleum Employment Monthly'!$B16:$BS16,'Petroleum Employment Monthly'!$B$17:$BS$17,1,'Petroleum Employment Monthly'!$B$18:$BS$18,VALUE(CONCATENATE("20",RIGHT('Employment Financial Year'!R$7,2)))))/2,(SUMIFS('Petroleum Employment Monthly'!$B30:$BS30,'Petroleum Employment Monthly'!$B$17:$BS$17,2,'Petroleum Employment Monthly'!$B$18:$BS$18,VALUE(LEFT('Employment Financial Year'!R$7,4)))+SUMIFS('Petroleum Employment Monthly'!$B30:$BS30,'Petroleum Employment Monthly'!$B$17:$BS$17,1,'Petroleum Employment Monthly'!$B$18:$BS$18,VALUE(CONCATENATE("20",RIGHT('Employment Financial Year'!R$7,2)))))/2)</f>
        <v>1202.75</v>
      </c>
      <c r="S21" s="233">
        <f>IF($A$25=$A$101,(SUMIFS('Petroleum Employment Monthly'!$B16:$BS16,'Petroleum Employment Monthly'!$B$17:$BS$17,2,'Petroleum Employment Monthly'!$B$18:$BS$18,VALUE(LEFT('Employment Financial Year'!S$7,4)))+SUMIFS('Petroleum Employment Monthly'!$B16:$BS16,'Petroleum Employment Monthly'!$B$17:$BS$17,1,'Petroleum Employment Monthly'!$B$18:$BS$18,VALUE(CONCATENATE("20",RIGHT('Employment Financial Year'!S$7,2)))))/2,(SUMIFS('Petroleum Employment Monthly'!$B30:$BS30,'Petroleum Employment Monthly'!$B$17:$BS$17,2,'Petroleum Employment Monthly'!$B$18:$BS$18,VALUE(LEFT('Employment Financial Year'!S$7,4)))+SUMIFS('Petroleum Employment Monthly'!$B30:$BS30,'Petroleum Employment Monthly'!$B$17:$BS$17,1,'Petroleum Employment Monthly'!$B$18:$BS$18,VALUE(CONCATENATE("20",RIGHT('Employment Financial Year'!S$7,2)))))/2)</f>
        <v>1244.5833333333335</v>
      </c>
      <c r="T21" s="233">
        <f>IF($A$25=$A$101,(SUMIFS('Petroleum Employment Monthly'!$B16:$BS16,'Petroleum Employment Monthly'!$B$17:$BS$17,2,'Petroleum Employment Monthly'!$B$18:$BS$18,VALUE(LEFT('Employment Financial Year'!T$7,4)))+SUMIFS('Petroleum Employment Monthly'!$B16:$BS16,'Petroleum Employment Monthly'!$B$17:$BS$17,1,'Petroleum Employment Monthly'!$B$18:$BS$18,VALUE(CONCATENATE("20",RIGHT('Employment Financial Year'!T$7,2)))))/2,(SUMIFS('Petroleum Employment Monthly'!$B30:$BS30,'Petroleum Employment Monthly'!$B$17:$BS$17,2,'Petroleum Employment Monthly'!$B$18:$BS$18,VALUE(LEFT('Employment Financial Year'!T$7,4)))+SUMIFS('Petroleum Employment Monthly'!$B30:$BS30,'Petroleum Employment Monthly'!$B$17:$BS$17,1,'Petroleum Employment Monthly'!$B$18:$BS$18,VALUE(CONCATENATE("20",RIGHT('Employment Financial Year'!T$7,2)))))/2)</f>
        <v>1396.3333333333335</v>
      </c>
      <c r="U21" s="233">
        <f>IF($A$25=$A$101,(SUMIFS('Petroleum Employment Monthly'!$B16:$BS16,'Petroleum Employment Monthly'!$B$17:$BS$17,2,'Petroleum Employment Monthly'!$B$18:$BS$18,VALUE(LEFT('Employment Financial Year'!U$7,4)))+SUMIFS('Petroleum Employment Monthly'!$B16:$BS16,'Petroleum Employment Monthly'!$B$17:$BS$17,1,'Petroleum Employment Monthly'!$B$18:$BS$18,VALUE(CONCATENATE("20",RIGHT('Employment Financial Year'!U$7,2)))))/2,(SUMIFS('Petroleum Employment Monthly'!$B30:$BS30,'Petroleum Employment Monthly'!$B$17:$BS$17,2,'Petroleum Employment Monthly'!$B$18:$BS$18,VALUE(LEFT('Employment Financial Year'!U$7,4)))+SUMIFS('Petroleum Employment Monthly'!$B30:$BS30,'Petroleum Employment Monthly'!$B$17:$BS$17,1,'Petroleum Employment Monthly'!$B$18:$BS$18,VALUE(CONCATENATE("20",RIGHT('Employment Financial Year'!U$7,2)))))/2)</f>
        <v>1276.9166666666667</v>
      </c>
      <c r="V21" s="988">
        <f>IF($A$25=$A$101,(SUMIFS('Petroleum Employment Monthly'!$B16:$BS16,'Petroleum Employment Monthly'!$B$17:$BS$17,2,'Petroleum Employment Monthly'!$B$18:$BS$18,VALUE(LEFT('Employment Financial Year'!V$7,4)))+SUMIFS('Petroleum Employment Monthly'!$B16:$BS16,'Petroleum Employment Monthly'!$B$17:$BS$17,1,'Petroleum Employment Monthly'!$B$18:$BS$18,VALUE(CONCATENATE("20",RIGHT('Employment Financial Year'!V$7,2)))))/2,(SUMIFS('Petroleum Employment Monthly'!$B30:$BS30,'Petroleum Employment Monthly'!$B$17:$BS$17,2,'Petroleum Employment Monthly'!$B$18:$BS$18,VALUE(LEFT('Employment Financial Year'!V$7,4)))+SUMIFS('Petroleum Employment Monthly'!$B30:$BS30,'Petroleum Employment Monthly'!$B$17:$BS$17,1,'Petroleum Employment Monthly'!$B$18:$BS$18,VALUE(CONCATENATE("20",RIGHT('Employment Financial Year'!V$7,2)))))/2)</f>
        <v>1073.1162176756466</v>
      </c>
      <c r="W21" s="206"/>
      <c r="X21" s="483"/>
      <c r="Y21" s="206"/>
      <c r="Z21" s="483"/>
    </row>
    <row r="22" spans="1:26" s="55" customFormat="1">
      <c r="A22" s="457" t="s">
        <v>1293</v>
      </c>
      <c r="B22" s="480"/>
      <c r="C22" s="480">
        <f t="shared" ref="C22:T22" si="7">SUM(C8:C20)</f>
        <v>41559.083333333336</v>
      </c>
      <c r="D22" s="480">
        <f t="shared" si="7"/>
        <v>43505.916666666664</v>
      </c>
      <c r="E22" s="480">
        <f t="shared" si="7"/>
        <v>46352.583333333336</v>
      </c>
      <c r="F22" s="480">
        <f t="shared" si="7"/>
        <v>51779.666666666657</v>
      </c>
      <c r="G22" s="480">
        <f t="shared" si="7"/>
        <v>57130.083333333343</v>
      </c>
      <c r="H22" s="480">
        <f t="shared" si="7"/>
        <v>62117.166666666672</v>
      </c>
      <c r="I22" s="480">
        <f t="shared" si="7"/>
        <v>67899.666666666657</v>
      </c>
      <c r="J22" s="480">
        <f t="shared" si="7"/>
        <v>72884</v>
      </c>
      <c r="K22" s="480">
        <f t="shared" si="7"/>
        <v>71592.249999999985</v>
      </c>
      <c r="L22" s="480">
        <f t="shared" si="7"/>
        <v>85288.5</v>
      </c>
      <c r="M22" s="480">
        <f t="shared" si="7"/>
        <v>100583.75</v>
      </c>
      <c r="N22" s="480">
        <f t="shared" si="7"/>
        <v>108960.91666666669</v>
      </c>
      <c r="O22" s="480">
        <f t="shared" si="7"/>
        <v>110190.58333333333</v>
      </c>
      <c r="P22" s="480">
        <f t="shared" si="7"/>
        <v>107692.16666666669</v>
      </c>
      <c r="Q22" s="480">
        <f t="shared" si="7"/>
        <v>104553.25000000001</v>
      </c>
      <c r="R22" s="480">
        <f t="shared" si="7"/>
        <v>108780.99999999999</v>
      </c>
      <c r="S22" s="480">
        <f t="shared" si="7"/>
        <v>114737.75</v>
      </c>
      <c r="T22" s="480">
        <f t="shared" si="7"/>
        <v>126977.33333333333</v>
      </c>
      <c r="U22" s="480">
        <f>SUM(U8:U20)</f>
        <v>135166.41666666669</v>
      </c>
      <c r="V22" s="846">
        <f>SUM(V8:V20)</f>
        <v>148395.41666666669</v>
      </c>
    </row>
    <row r="23" spans="1:26" s="298" customFormat="1" ht="15.75" thickBot="1">
      <c r="A23" s="50" t="s">
        <v>1294</v>
      </c>
      <c r="B23" s="475"/>
      <c r="C23" s="476" t="s">
        <v>1073</v>
      </c>
      <c r="D23" s="476" t="s">
        <v>1073</v>
      </c>
      <c r="E23" s="476" t="s">
        <v>1073</v>
      </c>
      <c r="F23" s="476" t="s">
        <v>1073</v>
      </c>
      <c r="G23" s="476" t="s">
        <v>1073</v>
      </c>
      <c r="H23" s="476" t="s">
        <v>1073</v>
      </c>
      <c r="I23" s="476" t="s">
        <v>1073</v>
      </c>
      <c r="J23" s="476" t="s">
        <v>1073</v>
      </c>
      <c r="K23" s="475">
        <f t="shared" ref="K23:T23" si="8">SUM(K22+K21)</f>
        <v>72937.666666666657</v>
      </c>
      <c r="L23" s="475">
        <f t="shared" si="8"/>
        <v>88141.166666666672</v>
      </c>
      <c r="M23" s="475">
        <f t="shared" si="8"/>
        <v>103519.41666666667</v>
      </c>
      <c r="N23" s="475">
        <f t="shared" si="8"/>
        <v>111346.33333333336</v>
      </c>
      <c r="O23" s="475">
        <f t="shared" si="8"/>
        <v>112103.5</v>
      </c>
      <c r="P23" s="475">
        <f t="shared" si="8"/>
        <v>109750.33333333336</v>
      </c>
      <c r="Q23" s="475">
        <f t="shared" si="8"/>
        <v>105933.50000000001</v>
      </c>
      <c r="R23" s="475">
        <f t="shared" si="8"/>
        <v>109983.74999999999</v>
      </c>
      <c r="S23" s="475">
        <f t="shared" si="8"/>
        <v>115982.33333333333</v>
      </c>
      <c r="T23" s="475">
        <f t="shared" si="8"/>
        <v>128373.66666666666</v>
      </c>
      <c r="U23" s="475">
        <f t="shared" ref="U23:V23" si="9">SUM(U22+U21)</f>
        <v>136443.33333333334</v>
      </c>
      <c r="V23" s="756">
        <f t="shared" si="9"/>
        <v>149468.53288434233</v>
      </c>
    </row>
    <row r="24" spans="1:26" ht="15.75" thickBot="1">
      <c r="D24" s="180"/>
      <c r="E24" s="180"/>
      <c r="F24" s="180"/>
      <c r="G24" s="180"/>
      <c r="H24" s="180"/>
      <c r="I24" s="180"/>
      <c r="J24" s="180"/>
      <c r="K24" s="180"/>
      <c r="L24" s="180"/>
      <c r="M24" s="180"/>
      <c r="N24" s="180"/>
      <c r="O24" s="180"/>
      <c r="P24" s="180"/>
      <c r="Q24" s="180"/>
      <c r="R24" s="180"/>
    </row>
    <row r="25" spans="1:26" ht="15.75" thickBot="1">
      <c r="A25" s="136" t="s">
        <v>1076</v>
      </c>
      <c r="D25" s="217"/>
      <c r="E25" s="217"/>
      <c r="F25" s="217"/>
      <c r="G25" s="217"/>
      <c r="H25" s="217"/>
      <c r="I25" s="217"/>
      <c r="J25" s="217"/>
      <c r="K25" s="217"/>
      <c r="L25" s="217"/>
      <c r="M25" s="217"/>
      <c r="N25" s="217"/>
      <c r="O25" s="217"/>
      <c r="P25" s="217"/>
      <c r="Q25" s="217"/>
      <c r="R25" s="217"/>
    </row>
    <row r="50" spans="14:26" ht="15.75" thickBot="1"/>
    <row r="51" spans="14:26" ht="15.75" thickBot="1">
      <c r="N51" s="298"/>
      <c r="P51" s="1005" t="s">
        <v>1102</v>
      </c>
      <c r="Q51" s="1006"/>
      <c r="R51" s="1006"/>
      <c r="S51" s="1006"/>
      <c r="T51" s="1007"/>
    </row>
    <row r="52" spans="14:26" ht="15.75" thickBot="1">
      <c r="N52" s="298"/>
      <c r="P52" s="1008" t="s">
        <v>1294</v>
      </c>
      <c r="Q52" s="1009"/>
      <c r="R52" s="1009"/>
      <c r="S52" s="1009"/>
      <c r="T52" s="1010"/>
    </row>
    <row r="53" spans="14:26" ht="0.2" customHeight="1"/>
    <row r="54" spans="14:26">
      <c r="P54" s="1011" t="s">
        <v>1101</v>
      </c>
      <c r="Q54" s="1011"/>
      <c r="R54" s="1011"/>
      <c r="S54" s="1011"/>
      <c r="T54" s="1011"/>
    </row>
    <row r="61" spans="14:26">
      <c r="Y61" s="205"/>
      <c r="Z61" s="205"/>
    </row>
    <row r="91" spans="10:44">
      <c r="M91" s="168"/>
      <c r="N91" s="168"/>
      <c r="O91" s="168"/>
      <c r="P91" s="168"/>
      <c r="Q91" s="168"/>
      <c r="R91" s="168"/>
      <c r="S91" s="168"/>
      <c r="T91" s="168"/>
      <c r="U91" s="168"/>
      <c r="V91" s="168"/>
      <c r="W91" s="168"/>
      <c r="X91" s="168"/>
      <c r="Y91" s="168"/>
      <c r="Z91" s="168"/>
      <c r="AA91" s="168"/>
    </row>
    <row r="92" spans="10:44">
      <c r="M92" s="168"/>
      <c r="N92" s="168"/>
      <c r="O92" s="168"/>
      <c r="P92" s="168"/>
      <c r="Q92" s="168"/>
      <c r="R92" s="168"/>
      <c r="S92" s="168"/>
      <c r="T92" s="168"/>
      <c r="U92" s="168"/>
      <c r="V92" s="168"/>
      <c r="W92" s="168"/>
      <c r="X92" s="168"/>
      <c r="Y92" s="168"/>
      <c r="Z92" s="168"/>
      <c r="AA92" s="168"/>
    </row>
    <row r="93" spans="10:44">
      <c r="J93" s="33"/>
      <c r="K93" s="33"/>
      <c r="L93" s="33"/>
      <c r="M93" s="168"/>
      <c r="N93" s="168"/>
      <c r="O93" s="168"/>
      <c r="P93" s="168"/>
      <c r="Q93" s="168"/>
      <c r="R93" s="168"/>
      <c r="S93" s="168"/>
      <c r="T93" s="168"/>
      <c r="U93" s="168"/>
      <c r="V93" s="168"/>
      <c r="W93" s="168"/>
      <c r="X93" s="168"/>
      <c r="Y93" s="168"/>
      <c r="Z93" s="168"/>
      <c r="AA93" s="168"/>
      <c r="AB93" s="33"/>
      <c r="AC93" s="33"/>
      <c r="AD93" s="33"/>
      <c r="AE93" s="33"/>
      <c r="AF93" s="33"/>
      <c r="AG93" s="33"/>
      <c r="AH93" s="33"/>
      <c r="AI93" s="33"/>
      <c r="AJ93" s="33"/>
      <c r="AK93" s="33"/>
      <c r="AL93" s="33"/>
      <c r="AM93" s="33"/>
      <c r="AN93" s="33"/>
      <c r="AO93" s="33"/>
      <c r="AP93" s="33"/>
      <c r="AQ93" s="33"/>
      <c r="AR93" s="33"/>
    </row>
    <row r="94" spans="10:44">
      <c r="J94" s="33"/>
      <c r="K94" s="33"/>
      <c r="L94" s="33"/>
      <c r="M94" s="168"/>
      <c r="N94" s="168"/>
      <c r="O94" s="168"/>
      <c r="P94" s="168"/>
      <c r="Q94" s="168"/>
      <c r="R94" s="168"/>
      <c r="S94" s="168"/>
      <c r="T94" s="168"/>
      <c r="U94" s="168"/>
      <c r="V94" s="168"/>
      <c r="W94" s="168"/>
      <c r="X94" s="168"/>
      <c r="Y94" s="168"/>
      <c r="Z94" s="168"/>
      <c r="AA94" s="168"/>
      <c r="AB94" s="33"/>
      <c r="AC94" s="33"/>
      <c r="AD94" s="33"/>
      <c r="AE94" s="33"/>
      <c r="AF94" s="33"/>
      <c r="AG94" s="33"/>
      <c r="AH94" s="33"/>
      <c r="AI94" s="33"/>
      <c r="AJ94" s="33"/>
      <c r="AK94" s="33"/>
      <c r="AL94" s="33"/>
      <c r="AM94" s="33"/>
      <c r="AN94" s="33"/>
      <c r="AO94" s="33"/>
      <c r="AP94" s="33"/>
      <c r="AQ94" s="33"/>
      <c r="AR94" s="33"/>
    </row>
    <row r="95" spans="10:44">
      <c r="J95" s="33"/>
      <c r="K95" s="33"/>
      <c r="L95" s="33"/>
      <c r="M95" s="168"/>
      <c r="N95" s="168"/>
      <c r="O95" s="168"/>
      <c r="P95" s="168"/>
      <c r="Q95" s="168"/>
      <c r="R95" s="168"/>
      <c r="S95" s="168"/>
      <c r="T95" s="168"/>
      <c r="U95" s="168"/>
      <c r="V95" s="168"/>
      <c r="W95" s="168"/>
      <c r="X95" s="168"/>
      <c r="Y95" s="168"/>
      <c r="Z95" s="168"/>
      <c r="AA95" s="168"/>
      <c r="AB95" s="33"/>
      <c r="AC95" s="33"/>
      <c r="AD95" s="33"/>
      <c r="AE95" s="33"/>
      <c r="AF95" s="33"/>
      <c r="AG95" s="33"/>
      <c r="AH95" s="33"/>
      <c r="AI95" s="33"/>
      <c r="AJ95" s="33"/>
      <c r="AK95" s="33"/>
      <c r="AL95" s="33"/>
      <c r="AM95" s="33"/>
      <c r="AN95" s="33"/>
      <c r="AO95" s="33"/>
      <c r="AP95" s="33"/>
      <c r="AQ95" s="33"/>
      <c r="AR95" s="33"/>
    </row>
    <row r="96" spans="10:44" s="775" customFormat="1" ht="11.25"/>
    <row r="97" spans="1:24" s="775" customFormat="1" ht="11.25"/>
    <row r="98" spans="1:24" s="775" customFormat="1" ht="11.25"/>
    <row r="99" spans="1:24" s="775" customFormat="1" ht="11.25"/>
    <row r="100" spans="1:24" s="848" customFormat="1" ht="12.75"/>
    <row r="101" spans="1:24" s="775" customFormat="1" ht="11.25">
      <c r="A101" s="959" t="s">
        <v>1077</v>
      </c>
    </row>
    <row r="102" spans="1:24" s="775" customFormat="1" ht="11.25">
      <c r="A102" s="959" t="s">
        <v>1076</v>
      </c>
      <c r="O102" s="775" t="str">
        <f>INDEX($C$7:$BE$7,1,MATCH(LARGE($C$2:$BD$2,10),$C$2:$BD$2,0))</f>
        <v>2011-12</v>
      </c>
      <c r="P102" s="775" t="str">
        <f>INDEX($C$7:$BE$7,1,MATCH(LARGE($C$2:$BD$2,9),$C$2:$BD$2,0))</f>
        <v>2012-13</v>
      </c>
      <c r="Q102" s="775" t="str">
        <f>INDEX($C$7:$BE$7,1,MATCH(LARGE($C$2:$BD$2,8),$C$2:$BD$2,0))</f>
        <v>2013-14</v>
      </c>
      <c r="R102" s="775" t="str">
        <f>INDEX($C$7:$BE$7,1,MATCH(LARGE($C$2:$BD$2,7),$C$2:$BD$2,0))</f>
        <v>2014-15</v>
      </c>
      <c r="S102" s="775" t="str">
        <f>INDEX($C$7:$BE$7,1,MATCH(LARGE($C$2:$BD$2,6),$C$2:$BD$2,0))</f>
        <v>2015-16</v>
      </c>
      <c r="T102" s="775" t="str">
        <f>INDEX($C$7:$BE$7,1,MATCH(LARGE($C$2:$BD$2,5),$C$2:$BD$2,0))</f>
        <v>2016-17</v>
      </c>
      <c r="U102" s="775" t="str">
        <f>INDEX($C$7:$BE$7,1,MATCH(LARGE($C$2:$BD$2,4),$C$2:$BD$2,0))</f>
        <v>2017-18</v>
      </c>
      <c r="V102" s="775" t="str">
        <f>INDEX($C$7:$BE$7,1,MATCH(LARGE($C$2:$BD$2,3),$C$2:$BD$2,0))</f>
        <v>2018-19</v>
      </c>
      <c r="W102" s="775" t="str">
        <f>INDEX($C$7:$BE$7,1,MATCH(LARGE($C$2:$BD$2,2),$C$2:$BD$2,0))</f>
        <v>2019-20</v>
      </c>
      <c r="X102" s="775" t="str">
        <f>INDEX($C$7:$BE$7,1,MATCH(LARGE($C$2:$BD$2,1),$C$2:$BD$2,0))</f>
        <v>2020-21</v>
      </c>
    </row>
    <row r="103" spans="1:24" s="775" customFormat="1" ht="11.25">
      <c r="B103" s="959"/>
      <c r="O103" s="775">
        <f ca="1">INDEX($C$1:$BD$1,1,MATCH(LARGE($C$2:$BD$2,10),$C$2:$BD$2,0))</f>
        <v>103519.41666666667</v>
      </c>
      <c r="P103" s="775">
        <f ca="1">INDEX($C$1:$BD$1,1,MATCH(LARGE($C$2:$BD$2,9),$C$2:$BD$2,0))</f>
        <v>111346.33333333336</v>
      </c>
      <c r="Q103" s="775">
        <f ca="1">INDEX($C$1:$BD$1,1,MATCH(LARGE($C$2:$BD$2,8),$C$2:$BD$2,0))</f>
        <v>112103.5</v>
      </c>
      <c r="R103" s="775">
        <f ca="1">INDEX($C$1:$BD$1,1,MATCH(LARGE($C$2:$BD$2,7),$C$2:$BD$2,0))</f>
        <v>109750.33333333336</v>
      </c>
      <c r="S103" s="775">
        <f ca="1">INDEX($C$1:$BD$1,1,MATCH(LARGE($C$2:$BD$2,6),$C$2:$BD$2,0))</f>
        <v>105933.50000000001</v>
      </c>
      <c r="T103" s="775">
        <f ca="1">INDEX($C$1:$BD$1,1,MATCH(LARGE($C$2:$BD$2,5),$C$2:$BD$2,0))</f>
        <v>109983.74999999999</v>
      </c>
      <c r="U103" s="775">
        <f ca="1">INDEX($C$1:$BD$1,1,MATCH(LARGE($C$2:$BD$2,4),$C$2:$BD$2,0))</f>
        <v>115982.33333333333</v>
      </c>
      <c r="V103" s="775">
        <f ca="1">INDEX($C$1:$BD$1,1,MATCH(LARGE($C$2:$BD$2,3),$C$2:$BD$2,0))</f>
        <v>128373.66666666666</v>
      </c>
      <c r="W103" s="775">
        <f ca="1">INDEX($C$1:$BD$1,1,MATCH(LARGE($C$2:$BD$2,2),$C$2:$BD$2,0))</f>
        <v>136443.33333333334</v>
      </c>
      <c r="X103" s="775">
        <f ca="1">INDEX($C$1:$BD$1,1,MATCH(LARGE($C$2:$BD$2,1),$C$2:$BD$2,0))</f>
        <v>149468.53288434233</v>
      </c>
    </row>
    <row r="104" spans="1:24" s="944" customFormat="1" ht="12.75">
      <c r="B104" s="943"/>
    </row>
    <row r="105" spans="1:24" s="848" customFormat="1" ht="12.75"/>
    <row r="106" spans="1:24" s="848" customFormat="1" ht="12.75"/>
    <row r="107" spans="1:24" s="848" customFormat="1" ht="12.75"/>
    <row r="108" spans="1:24" s="848" customFormat="1" ht="12.75"/>
    <row r="109" spans="1:24" s="848" customFormat="1" ht="12.75"/>
    <row r="110" spans="1:24" s="848" customFormat="1" ht="12.75"/>
    <row r="111" spans="1:24" s="848" customFormat="1" ht="12.75"/>
    <row r="112" spans="1:24" s="848" customFormat="1" ht="12.75"/>
    <row r="113" spans="17:44" s="848" customFormat="1" ht="12.75"/>
    <row r="114" spans="17:44" s="848" customFormat="1" ht="12.75"/>
    <row r="115" spans="17:44" s="848" customFormat="1" ht="12.75"/>
    <row r="116" spans="17:44" s="848" customFormat="1" ht="12.75"/>
    <row r="117" spans="17:44" s="848" customFormat="1" ht="12.75"/>
    <row r="118" spans="17:44" s="848" customFormat="1" ht="12.75"/>
    <row r="119" spans="17:44" s="848" customFormat="1" ht="12.75"/>
    <row r="120" spans="17:44" s="849" customFormat="1" ht="12.75"/>
    <row r="121" spans="17:44">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row>
    <row r="122" spans="17:44">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row>
    <row r="123" spans="17:44">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row>
    <row r="124" spans="17:44">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row>
    <row r="125" spans="17:44">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row>
    <row r="126" spans="17:44">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row>
    <row r="127" spans="17:44">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row>
    <row r="128" spans="17:44">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row>
    <row r="129" spans="17:44">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row>
    <row r="130" spans="17:44">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row>
    <row r="131" spans="17:44">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row>
    <row r="132" spans="17:44">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row>
    <row r="133" spans="17:44">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row>
    <row r="134" spans="17:44">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row>
    <row r="135" spans="17:44">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row>
    <row r="136" spans="17:44">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row>
    <row r="137" spans="17:44">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row>
    <row r="138" spans="17:44">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row>
    <row r="139" spans="17:44">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row>
    <row r="140" spans="17:44">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row>
    <row r="141" spans="17:44">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row>
    <row r="142" spans="17:44">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row>
    <row r="143" spans="17:44">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row>
    <row r="144" spans="17:44">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row>
    <row r="145" spans="17:44">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row>
    <row r="146" spans="17:44">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row>
    <row r="147" spans="17:44">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row>
    <row r="148" spans="17:44">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7:44">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7:44">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7:44">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row>
    <row r="152" spans="17:44">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row>
    <row r="153" spans="17:44">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row>
    <row r="237" spans="2:2">
      <c r="B237" s="202">
        <v>63.54</v>
      </c>
    </row>
    <row r="238" spans="2:2">
      <c r="B238" s="202">
        <v>63.86</v>
      </c>
    </row>
    <row r="239" spans="2:2">
      <c r="B239" s="202">
        <v>63.7</v>
      </c>
    </row>
    <row r="240" spans="2:2">
      <c r="B240" s="202">
        <v>64.67</v>
      </c>
    </row>
    <row r="241" spans="1:2">
      <c r="B241" s="202">
        <v>65.03</v>
      </c>
    </row>
    <row r="242" spans="1:2">
      <c r="A242" s="202"/>
      <c r="B242" s="202">
        <v>64.67</v>
      </c>
    </row>
    <row r="243" spans="1:2">
      <c r="A243" s="202"/>
      <c r="B243" s="202">
        <v>65.260000000000005</v>
      </c>
    </row>
    <row r="244" spans="1:2">
      <c r="A244" s="202"/>
      <c r="B244" s="202">
        <v>66.599999999999994</v>
      </c>
    </row>
    <row r="245" spans="1:2">
      <c r="A245" s="202"/>
      <c r="B245" s="202">
        <v>66.28</v>
      </c>
    </row>
    <row r="246" spans="1:2">
      <c r="A246" s="202"/>
      <c r="B246" s="202">
        <v>65.11</v>
      </c>
    </row>
    <row r="247" spans="1:2">
      <c r="A247" s="202"/>
      <c r="B247" s="202">
        <v>64.040000000000006</v>
      </c>
    </row>
    <row r="248" spans="1:2">
      <c r="A248" s="202"/>
      <c r="B248" s="202">
        <v>64.569999999999993</v>
      </c>
    </row>
  </sheetData>
  <mergeCells count="3">
    <mergeCell ref="P51:T51"/>
    <mergeCell ref="P52:T52"/>
    <mergeCell ref="P54:T54"/>
  </mergeCells>
  <dataValidations count="3">
    <dataValidation type="list" allowBlank="1" showInputMessage="1" showErrorMessage="1" sqref="B7">
      <formula1>$A$101:$A$102</formula1>
    </dataValidation>
    <dataValidation type="list" allowBlank="1" showInputMessage="1" showErrorMessage="1" promptTitle="Click to Select" prompt="Click to Select between Number of Individuals employed (NoI) of Full Time Equivalent employees (FTE)" sqref="A25">
      <formula1>$A$101:$A$102</formula1>
    </dataValidation>
    <dataValidation type="list" allowBlank="1" showInputMessage="1" showErrorMessage="1" promptTitle="Select a Commodity" prompt="Select a Commodity for graphical display, or total employment." sqref="P52:T52">
      <formula1>$A$8:$A$23</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O229"/>
  <sheetViews>
    <sheetView showGridLines="0" zoomScaleNormal="100" workbookViewId="0">
      <pane xSplit="1" topLeftCell="B1" activePane="topRight" state="frozen"/>
      <selection activeCell="A3" sqref="A3"/>
      <selection pane="topRight" activeCell="HR185" sqref="HR185"/>
    </sheetView>
  </sheetViews>
  <sheetFormatPr defaultColWidth="9.140625" defaultRowHeight="15"/>
  <cols>
    <col min="1" max="1" width="46.7109375" style="165" bestFit="1" customWidth="1"/>
    <col min="2" max="43" width="9.28515625" style="165" bestFit="1" customWidth="1"/>
    <col min="44" max="71" width="10.85546875" style="165" bestFit="1" customWidth="1"/>
    <col min="72" max="229" width="9.140625" style="165"/>
    <col min="230" max="235" width="8.7109375" style="298" bestFit="1" customWidth="1"/>
    <col min="236" max="247" width="9.140625" style="683"/>
    <col min="248" max="248" width="12" style="55" bestFit="1" customWidth="1"/>
    <col min="249" max="16384" width="9.140625" style="165"/>
  </cols>
  <sheetData>
    <row r="1" spans="1:515" s="774" customFormat="1" ht="11.25">
      <c r="A1" s="774" t="s">
        <v>187</v>
      </c>
      <c r="B1" s="774">
        <f>MONTH(B9)</f>
        <v>1</v>
      </c>
      <c r="C1" s="774">
        <f>MONTH(C9)</f>
        <v>2</v>
      </c>
      <c r="D1" s="774">
        <f t="shared" ref="D1:BO1" si="0">MONTH(D9)</f>
        <v>3</v>
      </c>
      <c r="E1" s="774">
        <f t="shared" si="0"/>
        <v>4</v>
      </c>
      <c r="F1" s="774">
        <f t="shared" si="0"/>
        <v>5</v>
      </c>
      <c r="G1" s="774">
        <f t="shared" si="0"/>
        <v>6</v>
      </c>
      <c r="H1" s="774">
        <f t="shared" si="0"/>
        <v>7</v>
      </c>
      <c r="I1" s="774">
        <f t="shared" si="0"/>
        <v>8</v>
      </c>
      <c r="J1" s="774">
        <f t="shared" si="0"/>
        <v>9</v>
      </c>
      <c r="K1" s="774">
        <f t="shared" si="0"/>
        <v>10</v>
      </c>
      <c r="L1" s="774">
        <f t="shared" si="0"/>
        <v>11</v>
      </c>
      <c r="M1" s="774">
        <f t="shared" si="0"/>
        <v>12</v>
      </c>
      <c r="N1" s="774">
        <f t="shared" si="0"/>
        <v>1</v>
      </c>
      <c r="O1" s="774">
        <f t="shared" si="0"/>
        <v>2</v>
      </c>
      <c r="P1" s="774">
        <f t="shared" si="0"/>
        <v>3</v>
      </c>
      <c r="Q1" s="774">
        <f t="shared" si="0"/>
        <v>4</v>
      </c>
      <c r="R1" s="774">
        <f t="shared" si="0"/>
        <v>5</v>
      </c>
      <c r="S1" s="774">
        <f t="shared" si="0"/>
        <v>6</v>
      </c>
      <c r="T1" s="774">
        <f t="shared" si="0"/>
        <v>7</v>
      </c>
      <c r="U1" s="774">
        <f t="shared" si="0"/>
        <v>8</v>
      </c>
      <c r="V1" s="774">
        <f t="shared" si="0"/>
        <v>9</v>
      </c>
      <c r="W1" s="774">
        <f t="shared" si="0"/>
        <v>10</v>
      </c>
      <c r="X1" s="774">
        <f t="shared" si="0"/>
        <v>11</v>
      </c>
      <c r="Y1" s="774">
        <f t="shared" si="0"/>
        <v>12</v>
      </c>
      <c r="Z1" s="774">
        <f t="shared" si="0"/>
        <v>1</v>
      </c>
      <c r="AA1" s="774">
        <f t="shared" si="0"/>
        <v>2</v>
      </c>
      <c r="AB1" s="774">
        <f t="shared" si="0"/>
        <v>3</v>
      </c>
      <c r="AC1" s="774">
        <f t="shared" si="0"/>
        <v>4</v>
      </c>
      <c r="AD1" s="774">
        <f t="shared" si="0"/>
        <v>5</v>
      </c>
      <c r="AE1" s="774">
        <f t="shared" si="0"/>
        <v>6</v>
      </c>
      <c r="AF1" s="774">
        <f t="shared" si="0"/>
        <v>7</v>
      </c>
      <c r="AG1" s="774">
        <f t="shared" si="0"/>
        <v>8</v>
      </c>
      <c r="AH1" s="774">
        <f t="shared" si="0"/>
        <v>9</v>
      </c>
      <c r="AI1" s="774">
        <f t="shared" si="0"/>
        <v>10</v>
      </c>
      <c r="AJ1" s="774">
        <f t="shared" si="0"/>
        <v>11</v>
      </c>
      <c r="AK1" s="774">
        <f t="shared" si="0"/>
        <v>12</v>
      </c>
      <c r="AL1" s="774">
        <f t="shared" si="0"/>
        <v>1</v>
      </c>
      <c r="AM1" s="774">
        <f t="shared" si="0"/>
        <v>2</v>
      </c>
      <c r="AN1" s="774">
        <f t="shared" si="0"/>
        <v>3</v>
      </c>
      <c r="AO1" s="774">
        <f t="shared" si="0"/>
        <v>4</v>
      </c>
      <c r="AP1" s="774">
        <f t="shared" si="0"/>
        <v>5</v>
      </c>
      <c r="AQ1" s="774">
        <f t="shared" si="0"/>
        <v>6</v>
      </c>
      <c r="AR1" s="774">
        <f t="shared" si="0"/>
        <v>7</v>
      </c>
      <c r="AS1" s="774">
        <f t="shared" si="0"/>
        <v>8</v>
      </c>
      <c r="AT1" s="774">
        <f t="shared" si="0"/>
        <v>9</v>
      </c>
      <c r="AU1" s="774">
        <f t="shared" si="0"/>
        <v>10</v>
      </c>
      <c r="AV1" s="774">
        <f t="shared" si="0"/>
        <v>11</v>
      </c>
      <c r="AW1" s="774">
        <f t="shared" si="0"/>
        <v>12</v>
      </c>
      <c r="AX1" s="774">
        <f t="shared" si="0"/>
        <v>1</v>
      </c>
      <c r="AY1" s="774">
        <f t="shared" si="0"/>
        <v>2</v>
      </c>
      <c r="AZ1" s="774">
        <f t="shared" si="0"/>
        <v>3</v>
      </c>
      <c r="BA1" s="774">
        <f t="shared" si="0"/>
        <v>4</v>
      </c>
      <c r="BB1" s="774">
        <f t="shared" si="0"/>
        <v>5</v>
      </c>
      <c r="BC1" s="774">
        <f t="shared" si="0"/>
        <v>6</v>
      </c>
      <c r="BD1" s="774">
        <f t="shared" si="0"/>
        <v>7</v>
      </c>
      <c r="BE1" s="774">
        <f t="shared" si="0"/>
        <v>8</v>
      </c>
      <c r="BF1" s="774">
        <f t="shared" si="0"/>
        <v>9</v>
      </c>
      <c r="BG1" s="774">
        <f t="shared" si="0"/>
        <v>10</v>
      </c>
      <c r="BH1" s="774">
        <f t="shared" si="0"/>
        <v>11</v>
      </c>
      <c r="BI1" s="774">
        <f t="shared" si="0"/>
        <v>12</v>
      </c>
      <c r="BJ1" s="774">
        <f t="shared" si="0"/>
        <v>1</v>
      </c>
      <c r="BK1" s="774">
        <f t="shared" si="0"/>
        <v>2</v>
      </c>
      <c r="BL1" s="774">
        <f t="shared" si="0"/>
        <v>3</v>
      </c>
      <c r="BM1" s="774">
        <f t="shared" si="0"/>
        <v>4</v>
      </c>
      <c r="BN1" s="774">
        <f t="shared" si="0"/>
        <v>5</v>
      </c>
      <c r="BO1" s="774">
        <f t="shared" si="0"/>
        <v>6</v>
      </c>
      <c r="BP1" s="774">
        <f t="shared" ref="BP1:EA1" si="1">MONTH(BP9)</f>
        <v>7</v>
      </c>
      <c r="BQ1" s="774">
        <f t="shared" si="1"/>
        <v>8</v>
      </c>
      <c r="BR1" s="774">
        <f t="shared" si="1"/>
        <v>9</v>
      </c>
      <c r="BS1" s="774">
        <f t="shared" si="1"/>
        <v>10</v>
      </c>
      <c r="BT1" s="774">
        <f t="shared" si="1"/>
        <v>11</v>
      </c>
      <c r="BU1" s="774">
        <f t="shared" si="1"/>
        <v>12</v>
      </c>
      <c r="BV1" s="774">
        <f t="shared" si="1"/>
        <v>1</v>
      </c>
      <c r="BW1" s="774">
        <f t="shared" si="1"/>
        <v>2</v>
      </c>
      <c r="BX1" s="774">
        <f t="shared" si="1"/>
        <v>3</v>
      </c>
      <c r="BY1" s="774">
        <f t="shared" si="1"/>
        <v>4</v>
      </c>
      <c r="BZ1" s="774">
        <f t="shared" si="1"/>
        <v>5</v>
      </c>
      <c r="CA1" s="774">
        <f t="shared" si="1"/>
        <v>6</v>
      </c>
      <c r="CB1" s="774">
        <f t="shared" si="1"/>
        <v>7</v>
      </c>
      <c r="CC1" s="774">
        <f t="shared" si="1"/>
        <v>8</v>
      </c>
      <c r="CD1" s="774">
        <f t="shared" si="1"/>
        <v>9</v>
      </c>
      <c r="CE1" s="774">
        <f t="shared" si="1"/>
        <v>10</v>
      </c>
      <c r="CF1" s="774">
        <f t="shared" si="1"/>
        <v>11</v>
      </c>
      <c r="CG1" s="774">
        <f t="shared" si="1"/>
        <v>12</v>
      </c>
      <c r="CH1" s="774">
        <f t="shared" si="1"/>
        <v>1</v>
      </c>
      <c r="CI1" s="774">
        <f t="shared" si="1"/>
        <v>2</v>
      </c>
      <c r="CJ1" s="774">
        <f t="shared" si="1"/>
        <v>3</v>
      </c>
      <c r="CK1" s="774">
        <f t="shared" si="1"/>
        <v>4</v>
      </c>
      <c r="CL1" s="774">
        <f t="shared" si="1"/>
        <v>5</v>
      </c>
      <c r="CM1" s="774">
        <f t="shared" si="1"/>
        <v>6</v>
      </c>
      <c r="CN1" s="774">
        <f t="shared" si="1"/>
        <v>7</v>
      </c>
      <c r="CO1" s="774">
        <f t="shared" si="1"/>
        <v>8</v>
      </c>
      <c r="CP1" s="774">
        <f t="shared" si="1"/>
        <v>9</v>
      </c>
      <c r="CQ1" s="774">
        <f t="shared" si="1"/>
        <v>10</v>
      </c>
      <c r="CR1" s="774">
        <f t="shared" si="1"/>
        <v>11</v>
      </c>
      <c r="CS1" s="774">
        <f t="shared" si="1"/>
        <v>12</v>
      </c>
      <c r="CT1" s="774">
        <f t="shared" si="1"/>
        <v>1</v>
      </c>
      <c r="CU1" s="774">
        <f t="shared" si="1"/>
        <v>2</v>
      </c>
      <c r="CV1" s="774">
        <f t="shared" si="1"/>
        <v>3</v>
      </c>
      <c r="CW1" s="774">
        <f t="shared" si="1"/>
        <v>4</v>
      </c>
      <c r="CX1" s="774">
        <f t="shared" si="1"/>
        <v>5</v>
      </c>
      <c r="CY1" s="774">
        <f t="shared" si="1"/>
        <v>6</v>
      </c>
      <c r="CZ1" s="774">
        <f t="shared" si="1"/>
        <v>7</v>
      </c>
      <c r="DA1" s="774">
        <f t="shared" si="1"/>
        <v>8</v>
      </c>
      <c r="DB1" s="774">
        <f t="shared" si="1"/>
        <v>9</v>
      </c>
      <c r="DC1" s="774">
        <f t="shared" si="1"/>
        <v>10</v>
      </c>
      <c r="DD1" s="774">
        <f t="shared" si="1"/>
        <v>11</v>
      </c>
      <c r="DE1" s="774">
        <f t="shared" si="1"/>
        <v>12</v>
      </c>
      <c r="DF1" s="774">
        <f t="shared" si="1"/>
        <v>1</v>
      </c>
      <c r="DG1" s="774">
        <f t="shared" si="1"/>
        <v>2</v>
      </c>
      <c r="DH1" s="774">
        <f t="shared" si="1"/>
        <v>3</v>
      </c>
      <c r="DI1" s="774">
        <f t="shared" si="1"/>
        <v>4</v>
      </c>
      <c r="DJ1" s="774">
        <f t="shared" si="1"/>
        <v>5</v>
      </c>
      <c r="DK1" s="774">
        <f t="shared" si="1"/>
        <v>6</v>
      </c>
      <c r="DL1" s="774">
        <f t="shared" si="1"/>
        <v>7</v>
      </c>
      <c r="DM1" s="774">
        <f t="shared" si="1"/>
        <v>8</v>
      </c>
      <c r="DN1" s="774">
        <f t="shared" si="1"/>
        <v>9</v>
      </c>
      <c r="DO1" s="774">
        <f t="shared" si="1"/>
        <v>10</v>
      </c>
      <c r="DP1" s="774">
        <f t="shared" si="1"/>
        <v>11</v>
      </c>
      <c r="DQ1" s="774">
        <f t="shared" si="1"/>
        <v>12</v>
      </c>
      <c r="DR1" s="774">
        <f t="shared" si="1"/>
        <v>1</v>
      </c>
      <c r="DS1" s="774">
        <f t="shared" si="1"/>
        <v>2</v>
      </c>
      <c r="DT1" s="774">
        <f t="shared" si="1"/>
        <v>3</v>
      </c>
      <c r="DU1" s="774">
        <f t="shared" si="1"/>
        <v>4</v>
      </c>
      <c r="DV1" s="774">
        <f t="shared" si="1"/>
        <v>5</v>
      </c>
      <c r="DW1" s="774">
        <f t="shared" si="1"/>
        <v>6</v>
      </c>
      <c r="DX1" s="774">
        <f t="shared" si="1"/>
        <v>7</v>
      </c>
      <c r="DY1" s="774">
        <f t="shared" si="1"/>
        <v>8</v>
      </c>
      <c r="DZ1" s="774">
        <f t="shared" si="1"/>
        <v>9</v>
      </c>
      <c r="EA1" s="774">
        <f t="shared" si="1"/>
        <v>10</v>
      </c>
      <c r="EB1" s="774">
        <f t="shared" ref="EB1:GM1" si="2">MONTH(EB9)</f>
        <v>11</v>
      </c>
      <c r="EC1" s="774">
        <f t="shared" si="2"/>
        <v>12</v>
      </c>
      <c r="ED1" s="774">
        <f t="shared" si="2"/>
        <v>1</v>
      </c>
      <c r="EE1" s="774">
        <f t="shared" si="2"/>
        <v>2</v>
      </c>
      <c r="EF1" s="774">
        <f t="shared" si="2"/>
        <v>3</v>
      </c>
      <c r="EG1" s="774">
        <f t="shared" si="2"/>
        <v>4</v>
      </c>
      <c r="EH1" s="774">
        <f t="shared" si="2"/>
        <v>5</v>
      </c>
      <c r="EI1" s="774">
        <f t="shared" si="2"/>
        <v>6</v>
      </c>
      <c r="EJ1" s="774">
        <f t="shared" si="2"/>
        <v>7</v>
      </c>
      <c r="EK1" s="774">
        <f t="shared" si="2"/>
        <v>8</v>
      </c>
      <c r="EL1" s="774">
        <f t="shared" si="2"/>
        <v>9</v>
      </c>
      <c r="EM1" s="774">
        <f t="shared" si="2"/>
        <v>10</v>
      </c>
      <c r="EN1" s="774">
        <f t="shared" si="2"/>
        <v>11</v>
      </c>
      <c r="EO1" s="774">
        <f t="shared" si="2"/>
        <v>12</v>
      </c>
      <c r="EP1" s="774">
        <f t="shared" si="2"/>
        <v>1</v>
      </c>
      <c r="EQ1" s="774">
        <f t="shared" si="2"/>
        <v>2</v>
      </c>
      <c r="ER1" s="774">
        <f t="shared" si="2"/>
        <v>3</v>
      </c>
      <c r="ES1" s="774">
        <f t="shared" si="2"/>
        <v>4</v>
      </c>
      <c r="ET1" s="774">
        <f t="shared" si="2"/>
        <v>5</v>
      </c>
      <c r="EU1" s="774">
        <f t="shared" si="2"/>
        <v>6</v>
      </c>
      <c r="EV1" s="774">
        <f t="shared" si="2"/>
        <v>7</v>
      </c>
      <c r="EW1" s="774">
        <f t="shared" si="2"/>
        <v>8</v>
      </c>
      <c r="EX1" s="774">
        <f t="shared" si="2"/>
        <v>9</v>
      </c>
      <c r="EY1" s="774">
        <f t="shared" si="2"/>
        <v>10</v>
      </c>
      <c r="EZ1" s="774">
        <f t="shared" si="2"/>
        <v>11</v>
      </c>
      <c r="FA1" s="774">
        <f t="shared" si="2"/>
        <v>12</v>
      </c>
      <c r="FB1" s="774">
        <f t="shared" si="2"/>
        <v>1</v>
      </c>
      <c r="FC1" s="774">
        <f t="shared" si="2"/>
        <v>2</v>
      </c>
      <c r="FD1" s="774">
        <f t="shared" si="2"/>
        <v>3</v>
      </c>
      <c r="FE1" s="774">
        <f t="shared" si="2"/>
        <v>4</v>
      </c>
      <c r="FF1" s="774">
        <f t="shared" si="2"/>
        <v>5</v>
      </c>
      <c r="FG1" s="774">
        <f t="shared" si="2"/>
        <v>6</v>
      </c>
      <c r="FH1" s="774">
        <f t="shared" si="2"/>
        <v>7</v>
      </c>
      <c r="FI1" s="774">
        <f t="shared" si="2"/>
        <v>8</v>
      </c>
      <c r="FJ1" s="774">
        <f t="shared" si="2"/>
        <v>9</v>
      </c>
      <c r="FK1" s="774">
        <f t="shared" si="2"/>
        <v>10</v>
      </c>
      <c r="FL1" s="774">
        <f t="shared" si="2"/>
        <v>11</v>
      </c>
      <c r="FM1" s="774">
        <f t="shared" si="2"/>
        <v>12</v>
      </c>
      <c r="FN1" s="774">
        <f t="shared" si="2"/>
        <v>1</v>
      </c>
      <c r="FO1" s="774">
        <f t="shared" si="2"/>
        <v>2</v>
      </c>
      <c r="FP1" s="774">
        <f t="shared" si="2"/>
        <v>3</v>
      </c>
      <c r="FQ1" s="774">
        <f t="shared" si="2"/>
        <v>4</v>
      </c>
      <c r="FR1" s="774">
        <f t="shared" si="2"/>
        <v>5</v>
      </c>
      <c r="FS1" s="774">
        <f t="shared" si="2"/>
        <v>6</v>
      </c>
      <c r="FT1" s="774">
        <f t="shared" si="2"/>
        <v>7</v>
      </c>
      <c r="FU1" s="774">
        <f t="shared" si="2"/>
        <v>8</v>
      </c>
      <c r="FV1" s="774">
        <f t="shared" si="2"/>
        <v>9</v>
      </c>
      <c r="FW1" s="774">
        <f t="shared" si="2"/>
        <v>10</v>
      </c>
      <c r="FX1" s="774">
        <f t="shared" si="2"/>
        <v>11</v>
      </c>
      <c r="FY1" s="774">
        <f t="shared" si="2"/>
        <v>12</v>
      </c>
      <c r="FZ1" s="774">
        <f t="shared" si="2"/>
        <v>1</v>
      </c>
      <c r="GA1" s="774">
        <f t="shared" si="2"/>
        <v>2</v>
      </c>
      <c r="GB1" s="774">
        <f t="shared" si="2"/>
        <v>3</v>
      </c>
      <c r="GC1" s="774">
        <f t="shared" si="2"/>
        <v>4</v>
      </c>
      <c r="GD1" s="774">
        <f t="shared" si="2"/>
        <v>5</v>
      </c>
      <c r="GE1" s="774">
        <f t="shared" si="2"/>
        <v>6</v>
      </c>
      <c r="GF1" s="774">
        <f t="shared" si="2"/>
        <v>7</v>
      </c>
      <c r="GG1" s="774">
        <f t="shared" si="2"/>
        <v>8</v>
      </c>
      <c r="GH1" s="774">
        <f t="shared" si="2"/>
        <v>9</v>
      </c>
      <c r="GI1" s="774">
        <f t="shared" si="2"/>
        <v>10</v>
      </c>
      <c r="GJ1" s="774">
        <f t="shared" si="2"/>
        <v>11</v>
      </c>
      <c r="GK1" s="774">
        <f t="shared" si="2"/>
        <v>12</v>
      </c>
      <c r="GL1" s="774">
        <f t="shared" si="2"/>
        <v>1</v>
      </c>
      <c r="GM1" s="774">
        <f t="shared" si="2"/>
        <v>2</v>
      </c>
      <c r="GN1" s="774">
        <f t="shared" ref="GN1:JP1" si="3">MONTH(GN9)</f>
        <v>3</v>
      </c>
      <c r="GO1" s="774">
        <f t="shared" si="3"/>
        <v>4</v>
      </c>
      <c r="GP1" s="774">
        <f t="shared" si="3"/>
        <v>5</v>
      </c>
      <c r="GQ1" s="774">
        <f t="shared" si="3"/>
        <v>6</v>
      </c>
      <c r="GR1" s="774">
        <f t="shared" si="3"/>
        <v>7</v>
      </c>
      <c r="GS1" s="774">
        <f t="shared" si="3"/>
        <v>8</v>
      </c>
      <c r="GT1" s="774">
        <f t="shared" si="3"/>
        <v>9</v>
      </c>
      <c r="GU1" s="774">
        <f t="shared" si="3"/>
        <v>10</v>
      </c>
      <c r="GV1" s="774">
        <f t="shared" si="3"/>
        <v>11</v>
      </c>
      <c r="GW1" s="774">
        <f t="shared" si="3"/>
        <v>12</v>
      </c>
      <c r="GX1" s="774">
        <f t="shared" si="3"/>
        <v>1</v>
      </c>
      <c r="GY1" s="774">
        <f t="shared" si="3"/>
        <v>2</v>
      </c>
      <c r="GZ1" s="774">
        <f t="shared" si="3"/>
        <v>3</v>
      </c>
      <c r="HA1" s="774">
        <f t="shared" si="3"/>
        <v>4</v>
      </c>
      <c r="HB1" s="774">
        <f t="shared" si="3"/>
        <v>5</v>
      </c>
      <c r="HC1" s="774">
        <f t="shared" si="3"/>
        <v>6</v>
      </c>
      <c r="HD1" s="774">
        <f t="shared" si="3"/>
        <v>7</v>
      </c>
      <c r="HE1" s="774">
        <f t="shared" si="3"/>
        <v>8</v>
      </c>
      <c r="HF1" s="774">
        <f t="shared" si="3"/>
        <v>9</v>
      </c>
      <c r="HG1" s="774">
        <f t="shared" si="3"/>
        <v>10</v>
      </c>
      <c r="HH1" s="774">
        <f t="shared" si="3"/>
        <v>11</v>
      </c>
      <c r="HI1" s="774">
        <f t="shared" si="3"/>
        <v>12</v>
      </c>
      <c r="HJ1" s="774">
        <f t="shared" si="3"/>
        <v>1</v>
      </c>
      <c r="HK1" s="774">
        <f t="shared" si="3"/>
        <v>2</v>
      </c>
      <c r="HL1" s="774">
        <f t="shared" si="3"/>
        <v>3</v>
      </c>
      <c r="HM1" s="774">
        <f t="shared" si="3"/>
        <v>4</v>
      </c>
      <c r="HN1" s="774">
        <f t="shared" si="3"/>
        <v>5</v>
      </c>
      <c r="HO1" s="774">
        <f t="shared" si="3"/>
        <v>6</v>
      </c>
      <c r="HP1" s="774">
        <f t="shared" si="3"/>
        <v>7</v>
      </c>
      <c r="HQ1" s="774">
        <f t="shared" si="3"/>
        <v>8</v>
      </c>
      <c r="HR1" s="774">
        <f t="shared" si="3"/>
        <v>9</v>
      </c>
      <c r="HS1" s="774">
        <f t="shared" si="3"/>
        <v>10</v>
      </c>
      <c r="HT1" s="774">
        <f t="shared" si="3"/>
        <v>11</v>
      </c>
      <c r="HU1" s="774">
        <f t="shared" si="3"/>
        <v>12</v>
      </c>
      <c r="HV1" s="774">
        <f t="shared" si="3"/>
        <v>1</v>
      </c>
      <c r="HW1" s="774">
        <f t="shared" si="3"/>
        <v>2</v>
      </c>
      <c r="HX1" s="774">
        <f t="shared" si="3"/>
        <v>3</v>
      </c>
      <c r="HY1" s="774">
        <f t="shared" si="3"/>
        <v>4</v>
      </c>
      <c r="HZ1" s="774">
        <f t="shared" si="3"/>
        <v>5</v>
      </c>
      <c r="IA1" s="774">
        <f t="shared" si="3"/>
        <v>6</v>
      </c>
      <c r="IB1" s="774">
        <f t="shared" si="3"/>
        <v>7</v>
      </c>
      <c r="IC1" s="774">
        <f t="shared" si="3"/>
        <v>8</v>
      </c>
      <c r="ID1" s="774">
        <f t="shared" si="3"/>
        <v>9</v>
      </c>
      <c r="IE1" s="774">
        <f t="shared" si="3"/>
        <v>10</v>
      </c>
      <c r="IF1" s="774">
        <f t="shared" si="3"/>
        <v>11</v>
      </c>
      <c r="IG1" s="774">
        <f t="shared" si="3"/>
        <v>12</v>
      </c>
      <c r="IH1" s="774">
        <f t="shared" si="3"/>
        <v>1</v>
      </c>
      <c r="II1" s="774">
        <f t="shared" si="3"/>
        <v>2</v>
      </c>
      <c r="IJ1" s="774">
        <f t="shared" si="3"/>
        <v>3</v>
      </c>
      <c r="IK1" s="774">
        <f t="shared" si="3"/>
        <v>4</v>
      </c>
      <c r="IL1" s="774">
        <f t="shared" si="3"/>
        <v>5</v>
      </c>
      <c r="IM1" s="774">
        <f t="shared" si="3"/>
        <v>6</v>
      </c>
      <c r="IN1" s="774">
        <f>MONTH(IN9)</f>
        <v>7</v>
      </c>
      <c r="IO1" s="774">
        <f t="shared" si="3"/>
        <v>1</v>
      </c>
      <c r="IP1" s="774">
        <f t="shared" si="3"/>
        <v>1</v>
      </c>
      <c r="IQ1" s="774">
        <f t="shared" si="3"/>
        <v>1</v>
      </c>
      <c r="IR1" s="774">
        <f t="shared" si="3"/>
        <v>1</v>
      </c>
      <c r="IS1" s="774">
        <f t="shared" si="3"/>
        <v>1</v>
      </c>
      <c r="IT1" s="774">
        <f t="shared" si="3"/>
        <v>1</v>
      </c>
      <c r="IU1" s="774">
        <f t="shared" si="3"/>
        <v>1</v>
      </c>
      <c r="IV1" s="774">
        <f t="shared" si="3"/>
        <v>1</v>
      </c>
      <c r="IW1" s="774">
        <f t="shared" si="3"/>
        <v>1</v>
      </c>
      <c r="IX1" s="774">
        <f t="shared" si="3"/>
        <v>1</v>
      </c>
      <c r="IY1" s="774">
        <f t="shared" si="3"/>
        <v>1</v>
      </c>
      <c r="IZ1" s="774">
        <f t="shared" si="3"/>
        <v>1</v>
      </c>
      <c r="JA1" s="774">
        <f t="shared" si="3"/>
        <v>1</v>
      </c>
      <c r="JB1" s="774">
        <f t="shared" si="3"/>
        <v>1</v>
      </c>
      <c r="JC1" s="774">
        <f t="shared" si="3"/>
        <v>1</v>
      </c>
      <c r="JD1" s="774">
        <f t="shared" si="3"/>
        <v>1</v>
      </c>
      <c r="JE1" s="774">
        <f t="shared" si="3"/>
        <v>1</v>
      </c>
      <c r="JF1" s="774">
        <f t="shared" si="3"/>
        <v>1</v>
      </c>
      <c r="JG1" s="774">
        <f t="shared" si="3"/>
        <v>1</v>
      </c>
      <c r="JH1" s="774">
        <f t="shared" si="3"/>
        <v>1</v>
      </c>
      <c r="JI1" s="774">
        <f t="shared" si="3"/>
        <v>1</v>
      </c>
      <c r="JJ1" s="774">
        <f t="shared" si="3"/>
        <v>1</v>
      </c>
      <c r="JK1" s="774">
        <f t="shared" si="3"/>
        <v>1</v>
      </c>
      <c r="JL1" s="774">
        <f t="shared" si="3"/>
        <v>1</v>
      </c>
      <c r="JM1" s="774">
        <f t="shared" si="3"/>
        <v>1</v>
      </c>
      <c r="JN1" s="774">
        <f t="shared" si="3"/>
        <v>1</v>
      </c>
      <c r="JO1" s="774">
        <f t="shared" si="3"/>
        <v>1</v>
      </c>
      <c r="JP1" s="774">
        <f t="shared" si="3"/>
        <v>1</v>
      </c>
      <c r="JQ1" s="774">
        <f t="shared" ref="JQ1:MB1" si="4">MONTH(JQ9)</f>
        <v>1</v>
      </c>
      <c r="JR1" s="774">
        <f t="shared" si="4"/>
        <v>1</v>
      </c>
      <c r="JS1" s="774">
        <f t="shared" si="4"/>
        <v>1</v>
      </c>
      <c r="JT1" s="774">
        <f t="shared" si="4"/>
        <v>1</v>
      </c>
      <c r="JU1" s="774">
        <f t="shared" si="4"/>
        <v>1</v>
      </c>
      <c r="JV1" s="774">
        <f t="shared" si="4"/>
        <v>1</v>
      </c>
      <c r="JW1" s="774">
        <f t="shared" si="4"/>
        <v>1</v>
      </c>
      <c r="JX1" s="774">
        <f t="shared" si="4"/>
        <v>1</v>
      </c>
      <c r="JY1" s="774">
        <f t="shared" si="4"/>
        <v>1</v>
      </c>
      <c r="JZ1" s="774">
        <f t="shared" si="4"/>
        <v>1</v>
      </c>
      <c r="KA1" s="774">
        <f t="shared" si="4"/>
        <v>1</v>
      </c>
      <c r="KB1" s="774">
        <f t="shared" si="4"/>
        <v>1</v>
      </c>
      <c r="KC1" s="774">
        <f t="shared" si="4"/>
        <v>1</v>
      </c>
      <c r="KD1" s="774">
        <f t="shared" si="4"/>
        <v>1</v>
      </c>
      <c r="KE1" s="774">
        <f t="shared" si="4"/>
        <v>1</v>
      </c>
      <c r="KF1" s="774">
        <f t="shared" si="4"/>
        <v>1</v>
      </c>
      <c r="KG1" s="774">
        <f t="shared" si="4"/>
        <v>1</v>
      </c>
      <c r="KH1" s="774">
        <f t="shared" si="4"/>
        <v>1</v>
      </c>
      <c r="KI1" s="774">
        <f t="shared" si="4"/>
        <v>1</v>
      </c>
      <c r="KJ1" s="774">
        <f t="shared" si="4"/>
        <v>1</v>
      </c>
      <c r="KK1" s="774">
        <f t="shared" si="4"/>
        <v>1</v>
      </c>
      <c r="KL1" s="774">
        <f t="shared" si="4"/>
        <v>1</v>
      </c>
      <c r="KM1" s="774">
        <f t="shared" si="4"/>
        <v>1</v>
      </c>
      <c r="KN1" s="774">
        <f t="shared" si="4"/>
        <v>1</v>
      </c>
      <c r="KO1" s="774">
        <f t="shared" si="4"/>
        <v>1</v>
      </c>
      <c r="KP1" s="774">
        <f t="shared" si="4"/>
        <v>1</v>
      </c>
      <c r="KQ1" s="774">
        <f t="shared" si="4"/>
        <v>1</v>
      </c>
      <c r="KR1" s="774">
        <f t="shared" si="4"/>
        <v>1</v>
      </c>
      <c r="KS1" s="774">
        <f t="shared" si="4"/>
        <v>1</v>
      </c>
      <c r="KT1" s="774">
        <f t="shared" si="4"/>
        <v>1</v>
      </c>
      <c r="KU1" s="774">
        <f t="shared" si="4"/>
        <v>1</v>
      </c>
      <c r="KV1" s="774">
        <f t="shared" si="4"/>
        <v>1</v>
      </c>
      <c r="KW1" s="774">
        <f t="shared" si="4"/>
        <v>1</v>
      </c>
      <c r="KX1" s="774">
        <f t="shared" si="4"/>
        <v>1</v>
      </c>
      <c r="KY1" s="774">
        <f t="shared" si="4"/>
        <v>1</v>
      </c>
      <c r="KZ1" s="774">
        <f t="shared" si="4"/>
        <v>1</v>
      </c>
      <c r="LA1" s="774">
        <f t="shared" si="4"/>
        <v>1</v>
      </c>
      <c r="LB1" s="774">
        <f t="shared" si="4"/>
        <v>1</v>
      </c>
      <c r="LC1" s="774">
        <f t="shared" si="4"/>
        <v>1</v>
      </c>
      <c r="LD1" s="774">
        <f t="shared" si="4"/>
        <v>1</v>
      </c>
      <c r="LE1" s="774">
        <f t="shared" si="4"/>
        <v>1</v>
      </c>
      <c r="LF1" s="774">
        <f t="shared" si="4"/>
        <v>1</v>
      </c>
      <c r="LG1" s="774">
        <f t="shared" si="4"/>
        <v>1</v>
      </c>
      <c r="LH1" s="774">
        <f t="shared" si="4"/>
        <v>1</v>
      </c>
      <c r="LI1" s="774">
        <f t="shared" si="4"/>
        <v>1</v>
      </c>
      <c r="LJ1" s="774">
        <f t="shared" si="4"/>
        <v>1</v>
      </c>
      <c r="LK1" s="774">
        <f t="shared" si="4"/>
        <v>1</v>
      </c>
      <c r="LL1" s="774">
        <f t="shared" si="4"/>
        <v>1</v>
      </c>
      <c r="LM1" s="774">
        <f t="shared" si="4"/>
        <v>1</v>
      </c>
      <c r="LN1" s="774">
        <f t="shared" si="4"/>
        <v>1</v>
      </c>
      <c r="LO1" s="774">
        <f t="shared" si="4"/>
        <v>1</v>
      </c>
      <c r="LP1" s="774">
        <f t="shared" si="4"/>
        <v>1</v>
      </c>
      <c r="LQ1" s="774">
        <f t="shared" si="4"/>
        <v>1</v>
      </c>
      <c r="LR1" s="774">
        <f t="shared" si="4"/>
        <v>1</v>
      </c>
      <c r="LS1" s="774">
        <f t="shared" si="4"/>
        <v>1</v>
      </c>
      <c r="LT1" s="774">
        <f t="shared" si="4"/>
        <v>1</v>
      </c>
      <c r="LU1" s="774">
        <f t="shared" si="4"/>
        <v>1</v>
      </c>
      <c r="LV1" s="774">
        <f t="shared" si="4"/>
        <v>1</v>
      </c>
      <c r="LW1" s="774">
        <f t="shared" si="4"/>
        <v>1</v>
      </c>
      <c r="LX1" s="774">
        <f t="shared" si="4"/>
        <v>1</v>
      </c>
      <c r="LY1" s="774">
        <f t="shared" si="4"/>
        <v>1</v>
      </c>
      <c r="LZ1" s="774">
        <f t="shared" si="4"/>
        <v>1</v>
      </c>
      <c r="MA1" s="774">
        <f t="shared" si="4"/>
        <v>1</v>
      </c>
      <c r="MB1" s="774">
        <f t="shared" si="4"/>
        <v>1</v>
      </c>
      <c r="MC1" s="774">
        <f t="shared" ref="MC1:ON1" si="5">MONTH(MC9)</f>
        <v>1</v>
      </c>
      <c r="MD1" s="774">
        <f t="shared" si="5"/>
        <v>1</v>
      </c>
      <c r="ME1" s="774">
        <f t="shared" si="5"/>
        <v>1</v>
      </c>
      <c r="MF1" s="774">
        <f t="shared" si="5"/>
        <v>1</v>
      </c>
      <c r="MG1" s="774">
        <f t="shared" si="5"/>
        <v>1</v>
      </c>
      <c r="MH1" s="774">
        <f t="shared" si="5"/>
        <v>1</v>
      </c>
      <c r="MI1" s="774">
        <f t="shared" si="5"/>
        <v>1</v>
      </c>
      <c r="MJ1" s="774">
        <f t="shared" si="5"/>
        <v>1</v>
      </c>
      <c r="MK1" s="774">
        <f t="shared" si="5"/>
        <v>1</v>
      </c>
      <c r="ML1" s="774">
        <f t="shared" si="5"/>
        <v>1</v>
      </c>
      <c r="MM1" s="774">
        <f t="shared" si="5"/>
        <v>1</v>
      </c>
      <c r="MN1" s="774">
        <f t="shared" si="5"/>
        <v>1</v>
      </c>
      <c r="MO1" s="774">
        <f t="shared" si="5"/>
        <v>1</v>
      </c>
      <c r="MP1" s="774">
        <f t="shared" si="5"/>
        <v>1</v>
      </c>
      <c r="MQ1" s="774">
        <f t="shared" si="5"/>
        <v>1</v>
      </c>
      <c r="MR1" s="774">
        <f t="shared" si="5"/>
        <v>1</v>
      </c>
      <c r="MS1" s="774">
        <f t="shared" si="5"/>
        <v>1</v>
      </c>
      <c r="MT1" s="774">
        <f t="shared" si="5"/>
        <v>1</v>
      </c>
      <c r="MU1" s="774">
        <f t="shared" si="5"/>
        <v>1</v>
      </c>
      <c r="MV1" s="774">
        <f t="shared" si="5"/>
        <v>1</v>
      </c>
      <c r="MW1" s="774">
        <f t="shared" si="5"/>
        <v>1</v>
      </c>
      <c r="MX1" s="774">
        <f t="shared" si="5"/>
        <v>1</v>
      </c>
      <c r="MY1" s="774">
        <f t="shared" si="5"/>
        <v>1</v>
      </c>
      <c r="MZ1" s="774">
        <f t="shared" si="5"/>
        <v>1</v>
      </c>
      <c r="NA1" s="774">
        <f t="shared" si="5"/>
        <v>1</v>
      </c>
      <c r="NB1" s="774">
        <f t="shared" si="5"/>
        <v>1</v>
      </c>
      <c r="NC1" s="774">
        <f t="shared" si="5"/>
        <v>1</v>
      </c>
      <c r="ND1" s="774">
        <f t="shared" si="5"/>
        <v>1</v>
      </c>
      <c r="NE1" s="774">
        <f t="shared" si="5"/>
        <v>1</v>
      </c>
      <c r="NF1" s="774">
        <f t="shared" si="5"/>
        <v>1</v>
      </c>
      <c r="NG1" s="774">
        <f t="shared" si="5"/>
        <v>1</v>
      </c>
      <c r="NH1" s="774">
        <f t="shared" si="5"/>
        <v>1</v>
      </c>
      <c r="NI1" s="774">
        <f t="shared" si="5"/>
        <v>1</v>
      </c>
      <c r="NJ1" s="774">
        <f t="shared" si="5"/>
        <v>1</v>
      </c>
      <c r="NK1" s="774">
        <f t="shared" si="5"/>
        <v>1</v>
      </c>
      <c r="NL1" s="774">
        <f t="shared" si="5"/>
        <v>1</v>
      </c>
      <c r="NM1" s="774">
        <f t="shared" si="5"/>
        <v>1</v>
      </c>
      <c r="NN1" s="774">
        <f t="shared" si="5"/>
        <v>1</v>
      </c>
      <c r="NO1" s="774">
        <f t="shared" si="5"/>
        <v>1</v>
      </c>
      <c r="NP1" s="774">
        <f t="shared" si="5"/>
        <v>1</v>
      </c>
      <c r="NQ1" s="774">
        <f t="shared" si="5"/>
        <v>1</v>
      </c>
      <c r="NR1" s="774">
        <f t="shared" si="5"/>
        <v>1</v>
      </c>
      <c r="NS1" s="774">
        <f t="shared" si="5"/>
        <v>1</v>
      </c>
      <c r="NT1" s="774">
        <f t="shared" si="5"/>
        <v>1</v>
      </c>
      <c r="NU1" s="774">
        <f t="shared" si="5"/>
        <v>1</v>
      </c>
      <c r="NV1" s="774">
        <f t="shared" si="5"/>
        <v>1</v>
      </c>
      <c r="NW1" s="774">
        <f t="shared" si="5"/>
        <v>1</v>
      </c>
      <c r="NX1" s="774">
        <f t="shared" si="5"/>
        <v>1</v>
      </c>
      <c r="NY1" s="774">
        <f t="shared" si="5"/>
        <v>1</v>
      </c>
      <c r="NZ1" s="774">
        <f t="shared" si="5"/>
        <v>1</v>
      </c>
      <c r="OA1" s="774">
        <f t="shared" si="5"/>
        <v>1</v>
      </c>
      <c r="OB1" s="774">
        <f t="shared" si="5"/>
        <v>1</v>
      </c>
      <c r="OC1" s="774">
        <f t="shared" si="5"/>
        <v>1</v>
      </c>
      <c r="OD1" s="774">
        <f t="shared" si="5"/>
        <v>1</v>
      </c>
      <c r="OE1" s="774">
        <f t="shared" si="5"/>
        <v>1</v>
      </c>
      <c r="OF1" s="774">
        <f t="shared" si="5"/>
        <v>1</v>
      </c>
      <c r="OG1" s="774">
        <f t="shared" si="5"/>
        <v>1</v>
      </c>
      <c r="OH1" s="774">
        <f t="shared" si="5"/>
        <v>1</v>
      </c>
      <c r="OI1" s="774">
        <f t="shared" si="5"/>
        <v>1</v>
      </c>
      <c r="OJ1" s="774">
        <f t="shared" si="5"/>
        <v>1</v>
      </c>
      <c r="OK1" s="774">
        <f t="shared" si="5"/>
        <v>1</v>
      </c>
      <c r="OL1" s="774">
        <f t="shared" si="5"/>
        <v>1</v>
      </c>
      <c r="OM1" s="774">
        <f t="shared" si="5"/>
        <v>1</v>
      </c>
      <c r="ON1" s="774">
        <f t="shared" si="5"/>
        <v>1</v>
      </c>
      <c r="OO1" s="774">
        <f t="shared" ref="OO1:QZ1" si="6">MONTH(OO9)</f>
        <v>1</v>
      </c>
      <c r="OP1" s="774">
        <f t="shared" si="6"/>
        <v>1</v>
      </c>
      <c r="OQ1" s="774">
        <f t="shared" si="6"/>
        <v>1</v>
      </c>
      <c r="OR1" s="774">
        <f t="shared" si="6"/>
        <v>1</v>
      </c>
      <c r="OS1" s="774">
        <f t="shared" si="6"/>
        <v>1</v>
      </c>
      <c r="OT1" s="774">
        <f t="shared" si="6"/>
        <v>1</v>
      </c>
      <c r="OU1" s="774">
        <f t="shared" si="6"/>
        <v>1</v>
      </c>
      <c r="OV1" s="774">
        <f t="shared" si="6"/>
        <v>1</v>
      </c>
      <c r="OW1" s="774">
        <f t="shared" si="6"/>
        <v>1</v>
      </c>
      <c r="OX1" s="774">
        <f t="shared" si="6"/>
        <v>1</v>
      </c>
      <c r="OY1" s="774">
        <f t="shared" si="6"/>
        <v>1</v>
      </c>
      <c r="OZ1" s="774">
        <f t="shared" si="6"/>
        <v>1</v>
      </c>
      <c r="PA1" s="774">
        <f t="shared" si="6"/>
        <v>1</v>
      </c>
      <c r="PB1" s="774">
        <f t="shared" si="6"/>
        <v>1</v>
      </c>
      <c r="PC1" s="774">
        <f t="shared" si="6"/>
        <v>1</v>
      </c>
      <c r="PD1" s="774">
        <f t="shared" si="6"/>
        <v>1</v>
      </c>
      <c r="PE1" s="774">
        <f t="shared" si="6"/>
        <v>1</v>
      </c>
      <c r="PF1" s="774">
        <f t="shared" si="6"/>
        <v>1</v>
      </c>
      <c r="PG1" s="774">
        <f t="shared" si="6"/>
        <v>1</v>
      </c>
      <c r="PH1" s="774">
        <f t="shared" si="6"/>
        <v>1</v>
      </c>
      <c r="PI1" s="774">
        <f t="shared" si="6"/>
        <v>1</v>
      </c>
      <c r="PJ1" s="774">
        <f t="shared" si="6"/>
        <v>1</v>
      </c>
      <c r="PK1" s="774">
        <f t="shared" si="6"/>
        <v>1</v>
      </c>
      <c r="PL1" s="774">
        <f t="shared" si="6"/>
        <v>1</v>
      </c>
      <c r="PM1" s="774">
        <f t="shared" si="6"/>
        <v>1</v>
      </c>
      <c r="PN1" s="774">
        <f t="shared" si="6"/>
        <v>1</v>
      </c>
      <c r="PO1" s="774">
        <f t="shared" si="6"/>
        <v>1</v>
      </c>
      <c r="PP1" s="774">
        <f t="shared" si="6"/>
        <v>1</v>
      </c>
      <c r="PQ1" s="774">
        <f t="shared" si="6"/>
        <v>1</v>
      </c>
      <c r="PR1" s="774">
        <f t="shared" si="6"/>
        <v>1</v>
      </c>
      <c r="PS1" s="774">
        <f t="shared" si="6"/>
        <v>1</v>
      </c>
      <c r="PT1" s="774">
        <f t="shared" si="6"/>
        <v>1</v>
      </c>
      <c r="PU1" s="774">
        <f t="shared" si="6"/>
        <v>1</v>
      </c>
      <c r="PV1" s="774">
        <f t="shared" si="6"/>
        <v>1</v>
      </c>
      <c r="PW1" s="774">
        <f t="shared" si="6"/>
        <v>1</v>
      </c>
      <c r="PX1" s="774">
        <f t="shared" si="6"/>
        <v>1</v>
      </c>
      <c r="PY1" s="774">
        <f t="shared" si="6"/>
        <v>1</v>
      </c>
      <c r="PZ1" s="774">
        <f t="shared" si="6"/>
        <v>1</v>
      </c>
      <c r="QA1" s="774">
        <f t="shared" si="6"/>
        <v>1</v>
      </c>
      <c r="QB1" s="774">
        <f t="shared" si="6"/>
        <v>1</v>
      </c>
      <c r="QC1" s="774">
        <f t="shared" si="6"/>
        <v>1</v>
      </c>
      <c r="QD1" s="774">
        <f t="shared" si="6"/>
        <v>1</v>
      </c>
      <c r="QE1" s="774">
        <f t="shared" si="6"/>
        <v>1</v>
      </c>
      <c r="QF1" s="774">
        <f t="shared" si="6"/>
        <v>1</v>
      </c>
      <c r="QG1" s="774">
        <f t="shared" si="6"/>
        <v>1</v>
      </c>
      <c r="QH1" s="774">
        <f t="shared" si="6"/>
        <v>1</v>
      </c>
      <c r="QI1" s="774">
        <f t="shared" si="6"/>
        <v>1</v>
      </c>
      <c r="QJ1" s="774">
        <f t="shared" si="6"/>
        <v>1</v>
      </c>
      <c r="QK1" s="774">
        <f t="shared" si="6"/>
        <v>1</v>
      </c>
      <c r="QL1" s="774">
        <f t="shared" si="6"/>
        <v>1</v>
      </c>
      <c r="QM1" s="774">
        <f t="shared" si="6"/>
        <v>1</v>
      </c>
      <c r="QN1" s="774">
        <f t="shared" si="6"/>
        <v>1</v>
      </c>
      <c r="QO1" s="774">
        <f t="shared" si="6"/>
        <v>1</v>
      </c>
      <c r="QP1" s="774">
        <f t="shared" si="6"/>
        <v>1</v>
      </c>
      <c r="QQ1" s="774">
        <f t="shared" si="6"/>
        <v>1</v>
      </c>
      <c r="QR1" s="774">
        <f t="shared" si="6"/>
        <v>1</v>
      </c>
      <c r="QS1" s="774">
        <f t="shared" si="6"/>
        <v>1</v>
      </c>
      <c r="QT1" s="774">
        <f t="shared" si="6"/>
        <v>1</v>
      </c>
      <c r="QU1" s="774">
        <f t="shared" si="6"/>
        <v>1</v>
      </c>
      <c r="QV1" s="774">
        <f t="shared" si="6"/>
        <v>1</v>
      </c>
      <c r="QW1" s="774">
        <f t="shared" si="6"/>
        <v>1</v>
      </c>
      <c r="QX1" s="774">
        <f t="shared" si="6"/>
        <v>1</v>
      </c>
      <c r="QY1" s="774">
        <f t="shared" si="6"/>
        <v>1</v>
      </c>
      <c r="QZ1" s="774">
        <f t="shared" si="6"/>
        <v>1</v>
      </c>
      <c r="RA1" s="774">
        <f t="shared" ref="RA1:SU1" si="7">MONTH(RA9)</f>
        <v>1</v>
      </c>
      <c r="RB1" s="774">
        <f t="shared" si="7"/>
        <v>1</v>
      </c>
      <c r="RC1" s="774">
        <f t="shared" si="7"/>
        <v>1</v>
      </c>
      <c r="RD1" s="774">
        <f t="shared" si="7"/>
        <v>1</v>
      </c>
      <c r="RE1" s="774">
        <f t="shared" si="7"/>
        <v>1</v>
      </c>
      <c r="RF1" s="774">
        <f t="shared" si="7"/>
        <v>1</v>
      </c>
      <c r="RG1" s="774">
        <f t="shared" si="7"/>
        <v>1</v>
      </c>
      <c r="RH1" s="774">
        <f t="shared" si="7"/>
        <v>1</v>
      </c>
      <c r="RI1" s="774">
        <f t="shared" si="7"/>
        <v>1</v>
      </c>
      <c r="RJ1" s="774">
        <f t="shared" si="7"/>
        <v>1</v>
      </c>
      <c r="RK1" s="774">
        <f t="shared" si="7"/>
        <v>1</v>
      </c>
      <c r="RL1" s="774">
        <f t="shared" si="7"/>
        <v>1</v>
      </c>
      <c r="RM1" s="774">
        <f t="shared" si="7"/>
        <v>1</v>
      </c>
      <c r="RN1" s="774">
        <f t="shared" si="7"/>
        <v>1</v>
      </c>
      <c r="RO1" s="774">
        <f t="shared" si="7"/>
        <v>1</v>
      </c>
      <c r="RP1" s="774">
        <f t="shared" si="7"/>
        <v>1</v>
      </c>
      <c r="RQ1" s="774">
        <f t="shared" si="7"/>
        <v>1</v>
      </c>
      <c r="RR1" s="774">
        <f t="shared" si="7"/>
        <v>1</v>
      </c>
      <c r="RS1" s="774">
        <f t="shared" si="7"/>
        <v>1</v>
      </c>
      <c r="RT1" s="774">
        <f t="shared" si="7"/>
        <v>1</v>
      </c>
      <c r="RU1" s="774">
        <f t="shared" si="7"/>
        <v>1</v>
      </c>
      <c r="RV1" s="774">
        <f t="shared" si="7"/>
        <v>1</v>
      </c>
      <c r="RW1" s="774">
        <f t="shared" si="7"/>
        <v>1</v>
      </c>
      <c r="RX1" s="774">
        <f t="shared" si="7"/>
        <v>1</v>
      </c>
      <c r="RY1" s="774">
        <f t="shared" si="7"/>
        <v>1</v>
      </c>
      <c r="RZ1" s="774">
        <f t="shared" si="7"/>
        <v>1</v>
      </c>
      <c r="SA1" s="774">
        <f t="shared" si="7"/>
        <v>1</v>
      </c>
      <c r="SB1" s="774">
        <f t="shared" si="7"/>
        <v>1</v>
      </c>
      <c r="SC1" s="774">
        <f t="shared" si="7"/>
        <v>1</v>
      </c>
      <c r="SD1" s="774">
        <f t="shared" si="7"/>
        <v>1</v>
      </c>
      <c r="SE1" s="774">
        <f t="shared" si="7"/>
        <v>1</v>
      </c>
      <c r="SF1" s="774">
        <f t="shared" si="7"/>
        <v>1</v>
      </c>
      <c r="SG1" s="774">
        <f t="shared" si="7"/>
        <v>1</v>
      </c>
      <c r="SH1" s="774">
        <f t="shared" si="7"/>
        <v>1</v>
      </c>
      <c r="SI1" s="774">
        <f t="shared" si="7"/>
        <v>1</v>
      </c>
      <c r="SJ1" s="774">
        <f t="shared" si="7"/>
        <v>1</v>
      </c>
      <c r="SK1" s="774">
        <f t="shared" si="7"/>
        <v>1</v>
      </c>
      <c r="SL1" s="774">
        <f t="shared" si="7"/>
        <v>1</v>
      </c>
      <c r="SM1" s="774">
        <f t="shared" si="7"/>
        <v>1</v>
      </c>
      <c r="SN1" s="774">
        <f t="shared" si="7"/>
        <v>1</v>
      </c>
      <c r="SO1" s="774">
        <f t="shared" si="7"/>
        <v>1</v>
      </c>
      <c r="SP1" s="774">
        <f t="shared" si="7"/>
        <v>1</v>
      </c>
      <c r="SQ1" s="774">
        <f t="shared" si="7"/>
        <v>1</v>
      </c>
      <c r="SR1" s="774">
        <f t="shared" si="7"/>
        <v>1</v>
      </c>
      <c r="SS1" s="774">
        <f t="shared" si="7"/>
        <v>1</v>
      </c>
      <c r="ST1" s="774">
        <f t="shared" si="7"/>
        <v>1</v>
      </c>
      <c r="SU1" s="774">
        <f t="shared" si="7"/>
        <v>1</v>
      </c>
    </row>
    <row r="2" spans="1:515" s="774" customFormat="1" ht="11.25">
      <c r="A2" s="774" t="s">
        <v>188</v>
      </c>
      <c r="B2" s="774">
        <f>YEAR(B9)</f>
        <v>2001</v>
      </c>
      <c r="C2" s="774">
        <f>YEAR(C9)</f>
        <v>2001</v>
      </c>
      <c r="D2" s="774">
        <f t="shared" ref="D2:BO2" si="8">YEAR(D9)</f>
        <v>2001</v>
      </c>
      <c r="E2" s="774">
        <f t="shared" si="8"/>
        <v>2001</v>
      </c>
      <c r="F2" s="774">
        <f t="shared" si="8"/>
        <v>2001</v>
      </c>
      <c r="G2" s="774">
        <f t="shared" si="8"/>
        <v>2001</v>
      </c>
      <c r="H2" s="774">
        <f t="shared" si="8"/>
        <v>2001</v>
      </c>
      <c r="I2" s="774">
        <f t="shared" si="8"/>
        <v>2001</v>
      </c>
      <c r="J2" s="774">
        <f t="shared" si="8"/>
        <v>2001</v>
      </c>
      <c r="K2" s="774">
        <f t="shared" si="8"/>
        <v>2001</v>
      </c>
      <c r="L2" s="774">
        <f t="shared" si="8"/>
        <v>2001</v>
      </c>
      <c r="M2" s="774">
        <f t="shared" si="8"/>
        <v>2001</v>
      </c>
      <c r="N2" s="774">
        <f t="shared" si="8"/>
        <v>2002</v>
      </c>
      <c r="O2" s="774">
        <f t="shared" si="8"/>
        <v>2002</v>
      </c>
      <c r="P2" s="774">
        <f t="shared" si="8"/>
        <v>2002</v>
      </c>
      <c r="Q2" s="774">
        <f t="shared" si="8"/>
        <v>2002</v>
      </c>
      <c r="R2" s="774">
        <f t="shared" si="8"/>
        <v>2002</v>
      </c>
      <c r="S2" s="774">
        <f t="shared" si="8"/>
        <v>2002</v>
      </c>
      <c r="T2" s="774">
        <f t="shared" si="8"/>
        <v>2002</v>
      </c>
      <c r="U2" s="774">
        <f t="shared" si="8"/>
        <v>2002</v>
      </c>
      <c r="V2" s="774">
        <f t="shared" si="8"/>
        <v>2002</v>
      </c>
      <c r="W2" s="774">
        <f t="shared" si="8"/>
        <v>2002</v>
      </c>
      <c r="X2" s="774">
        <f t="shared" si="8"/>
        <v>2002</v>
      </c>
      <c r="Y2" s="774">
        <f t="shared" si="8"/>
        <v>2002</v>
      </c>
      <c r="Z2" s="774">
        <f t="shared" si="8"/>
        <v>2003</v>
      </c>
      <c r="AA2" s="774">
        <f t="shared" si="8"/>
        <v>2003</v>
      </c>
      <c r="AB2" s="774">
        <f t="shared" si="8"/>
        <v>2003</v>
      </c>
      <c r="AC2" s="774">
        <f t="shared" si="8"/>
        <v>2003</v>
      </c>
      <c r="AD2" s="774">
        <f t="shared" si="8"/>
        <v>2003</v>
      </c>
      <c r="AE2" s="774">
        <f t="shared" si="8"/>
        <v>2003</v>
      </c>
      <c r="AF2" s="774">
        <f t="shared" si="8"/>
        <v>2003</v>
      </c>
      <c r="AG2" s="774">
        <f t="shared" si="8"/>
        <v>2003</v>
      </c>
      <c r="AH2" s="774">
        <f t="shared" si="8"/>
        <v>2003</v>
      </c>
      <c r="AI2" s="774">
        <f t="shared" si="8"/>
        <v>2003</v>
      </c>
      <c r="AJ2" s="774">
        <f t="shared" si="8"/>
        <v>2003</v>
      </c>
      <c r="AK2" s="774">
        <f t="shared" si="8"/>
        <v>2003</v>
      </c>
      <c r="AL2" s="774">
        <f t="shared" si="8"/>
        <v>2004</v>
      </c>
      <c r="AM2" s="774">
        <f t="shared" si="8"/>
        <v>2004</v>
      </c>
      <c r="AN2" s="774">
        <f t="shared" si="8"/>
        <v>2004</v>
      </c>
      <c r="AO2" s="774">
        <f t="shared" si="8"/>
        <v>2004</v>
      </c>
      <c r="AP2" s="774">
        <f t="shared" si="8"/>
        <v>2004</v>
      </c>
      <c r="AQ2" s="774">
        <f t="shared" si="8"/>
        <v>2004</v>
      </c>
      <c r="AR2" s="774">
        <f t="shared" si="8"/>
        <v>2004</v>
      </c>
      <c r="AS2" s="774">
        <f t="shared" si="8"/>
        <v>2004</v>
      </c>
      <c r="AT2" s="774">
        <f t="shared" si="8"/>
        <v>2004</v>
      </c>
      <c r="AU2" s="774">
        <f t="shared" si="8"/>
        <v>2004</v>
      </c>
      <c r="AV2" s="774">
        <f t="shared" si="8"/>
        <v>2004</v>
      </c>
      <c r="AW2" s="774">
        <f t="shared" si="8"/>
        <v>2004</v>
      </c>
      <c r="AX2" s="774">
        <f t="shared" si="8"/>
        <v>2005</v>
      </c>
      <c r="AY2" s="774">
        <f t="shared" si="8"/>
        <v>2005</v>
      </c>
      <c r="AZ2" s="774">
        <f t="shared" si="8"/>
        <v>2005</v>
      </c>
      <c r="BA2" s="774">
        <f t="shared" si="8"/>
        <v>2005</v>
      </c>
      <c r="BB2" s="774">
        <f t="shared" si="8"/>
        <v>2005</v>
      </c>
      <c r="BC2" s="774">
        <f t="shared" si="8"/>
        <v>2005</v>
      </c>
      <c r="BD2" s="774">
        <f t="shared" si="8"/>
        <v>2005</v>
      </c>
      <c r="BE2" s="774">
        <f t="shared" si="8"/>
        <v>2005</v>
      </c>
      <c r="BF2" s="774">
        <f t="shared" si="8"/>
        <v>2005</v>
      </c>
      <c r="BG2" s="774">
        <f t="shared" si="8"/>
        <v>2005</v>
      </c>
      <c r="BH2" s="774">
        <f t="shared" si="8"/>
        <v>2005</v>
      </c>
      <c r="BI2" s="774">
        <f t="shared" si="8"/>
        <v>2005</v>
      </c>
      <c r="BJ2" s="774">
        <f t="shared" si="8"/>
        <v>2006</v>
      </c>
      <c r="BK2" s="774">
        <f t="shared" si="8"/>
        <v>2006</v>
      </c>
      <c r="BL2" s="774">
        <f t="shared" si="8"/>
        <v>2006</v>
      </c>
      <c r="BM2" s="774">
        <f t="shared" si="8"/>
        <v>2006</v>
      </c>
      <c r="BN2" s="774">
        <f t="shared" si="8"/>
        <v>2006</v>
      </c>
      <c r="BO2" s="774">
        <f t="shared" si="8"/>
        <v>2006</v>
      </c>
      <c r="BP2" s="774">
        <f t="shared" ref="BP2:EA2" si="9">YEAR(BP9)</f>
        <v>2006</v>
      </c>
      <c r="BQ2" s="774">
        <f t="shared" si="9"/>
        <v>2006</v>
      </c>
      <c r="BR2" s="774">
        <f t="shared" si="9"/>
        <v>2006</v>
      </c>
      <c r="BS2" s="774">
        <f t="shared" si="9"/>
        <v>2006</v>
      </c>
      <c r="BT2" s="774">
        <f t="shared" si="9"/>
        <v>2006</v>
      </c>
      <c r="BU2" s="774">
        <f t="shared" si="9"/>
        <v>2006</v>
      </c>
      <c r="BV2" s="774">
        <f t="shared" si="9"/>
        <v>2007</v>
      </c>
      <c r="BW2" s="774">
        <f t="shared" si="9"/>
        <v>2007</v>
      </c>
      <c r="BX2" s="774">
        <f t="shared" si="9"/>
        <v>2007</v>
      </c>
      <c r="BY2" s="774">
        <f t="shared" si="9"/>
        <v>2007</v>
      </c>
      <c r="BZ2" s="774">
        <f t="shared" si="9"/>
        <v>2007</v>
      </c>
      <c r="CA2" s="774">
        <f t="shared" si="9"/>
        <v>2007</v>
      </c>
      <c r="CB2" s="774">
        <f t="shared" si="9"/>
        <v>2007</v>
      </c>
      <c r="CC2" s="774">
        <f t="shared" si="9"/>
        <v>2007</v>
      </c>
      <c r="CD2" s="774">
        <f t="shared" si="9"/>
        <v>2007</v>
      </c>
      <c r="CE2" s="774">
        <f t="shared" si="9"/>
        <v>2007</v>
      </c>
      <c r="CF2" s="774">
        <f t="shared" si="9"/>
        <v>2007</v>
      </c>
      <c r="CG2" s="774">
        <f t="shared" si="9"/>
        <v>2007</v>
      </c>
      <c r="CH2" s="774">
        <f t="shared" si="9"/>
        <v>2008</v>
      </c>
      <c r="CI2" s="774">
        <f t="shared" si="9"/>
        <v>2008</v>
      </c>
      <c r="CJ2" s="774">
        <f t="shared" si="9"/>
        <v>2008</v>
      </c>
      <c r="CK2" s="774">
        <f t="shared" si="9"/>
        <v>2008</v>
      </c>
      <c r="CL2" s="774">
        <f t="shared" si="9"/>
        <v>2008</v>
      </c>
      <c r="CM2" s="774">
        <f t="shared" si="9"/>
        <v>2008</v>
      </c>
      <c r="CN2" s="774">
        <f t="shared" si="9"/>
        <v>2008</v>
      </c>
      <c r="CO2" s="774">
        <f t="shared" si="9"/>
        <v>2008</v>
      </c>
      <c r="CP2" s="774">
        <f t="shared" si="9"/>
        <v>2008</v>
      </c>
      <c r="CQ2" s="774">
        <f t="shared" si="9"/>
        <v>2008</v>
      </c>
      <c r="CR2" s="774">
        <f t="shared" si="9"/>
        <v>2008</v>
      </c>
      <c r="CS2" s="774">
        <f t="shared" si="9"/>
        <v>2008</v>
      </c>
      <c r="CT2" s="774">
        <f t="shared" si="9"/>
        <v>2009</v>
      </c>
      <c r="CU2" s="774">
        <f t="shared" si="9"/>
        <v>2009</v>
      </c>
      <c r="CV2" s="774">
        <f t="shared" si="9"/>
        <v>2009</v>
      </c>
      <c r="CW2" s="774">
        <f t="shared" si="9"/>
        <v>2009</v>
      </c>
      <c r="CX2" s="774">
        <f t="shared" si="9"/>
        <v>2009</v>
      </c>
      <c r="CY2" s="774">
        <f t="shared" si="9"/>
        <v>2009</v>
      </c>
      <c r="CZ2" s="774">
        <f t="shared" si="9"/>
        <v>2009</v>
      </c>
      <c r="DA2" s="774">
        <f t="shared" si="9"/>
        <v>2009</v>
      </c>
      <c r="DB2" s="774">
        <f t="shared" si="9"/>
        <v>2009</v>
      </c>
      <c r="DC2" s="774">
        <f t="shared" si="9"/>
        <v>2009</v>
      </c>
      <c r="DD2" s="774">
        <f t="shared" si="9"/>
        <v>2009</v>
      </c>
      <c r="DE2" s="774">
        <f t="shared" si="9"/>
        <v>2009</v>
      </c>
      <c r="DF2" s="774">
        <f t="shared" si="9"/>
        <v>2010</v>
      </c>
      <c r="DG2" s="774">
        <f t="shared" si="9"/>
        <v>2010</v>
      </c>
      <c r="DH2" s="774">
        <f t="shared" si="9"/>
        <v>2010</v>
      </c>
      <c r="DI2" s="774">
        <f t="shared" si="9"/>
        <v>2010</v>
      </c>
      <c r="DJ2" s="774">
        <f t="shared" si="9"/>
        <v>2010</v>
      </c>
      <c r="DK2" s="774">
        <f t="shared" si="9"/>
        <v>2010</v>
      </c>
      <c r="DL2" s="774">
        <f t="shared" si="9"/>
        <v>2010</v>
      </c>
      <c r="DM2" s="774">
        <f t="shared" si="9"/>
        <v>2010</v>
      </c>
      <c r="DN2" s="774">
        <f t="shared" si="9"/>
        <v>2010</v>
      </c>
      <c r="DO2" s="774">
        <f t="shared" si="9"/>
        <v>2010</v>
      </c>
      <c r="DP2" s="774">
        <f t="shared" si="9"/>
        <v>2010</v>
      </c>
      <c r="DQ2" s="774">
        <f t="shared" si="9"/>
        <v>2010</v>
      </c>
      <c r="DR2" s="774">
        <f t="shared" si="9"/>
        <v>2011</v>
      </c>
      <c r="DS2" s="774">
        <f t="shared" si="9"/>
        <v>2011</v>
      </c>
      <c r="DT2" s="774">
        <f t="shared" si="9"/>
        <v>2011</v>
      </c>
      <c r="DU2" s="774">
        <f t="shared" si="9"/>
        <v>2011</v>
      </c>
      <c r="DV2" s="774">
        <f t="shared" si="9"/>
        <v>2011</v>
      </c>
      <c r="DW2" s="774">
        <f t="shared" si="9"/>
        <v>2011</v>
      </c>
      <c r="DX2" s="774">
        <f t="shared" si="9"/>
        <v>2011</v>
      </c>
      <c r="DY2" s="774">
        <f t="shared" si="9"/>
        <v>2011</v>
      </c>
      <c r="DZ2" s="774">
        <f t="shared" si="9"/>
        <v>2011</v>
      </c>
      <c r="EA2" s="774">
        <f t="shared" si="9"/>
        <v>2011</v>
      </c>
      <c r="EB2" s="774">
        <f t="shared" ref="EB2:GM2" si="10">YEAR(EB9)</f>
        <v>2011</v>
      </c>
      <c r="EC2" s="774">
        <f t="shared" si="10"/>
        <v>2011</v>
      </c>
      <c r="ED2" s="774">
        <f t="shared" si="10"/>
        <v>2012</v>
      </c>
      <c r="EE2" s="774">
        <f t="shared" si="10"/>
        <v>2012</v>
      </c>
      <c r="EF2" s="774">
        <f t="shared" si="10"/>
        <v>2012</v>
      </c>
      <c r="EG2" s="774">
        <f t="shared" si="10"/>
        <v>2012</v>
      </c>
      <c r="EH2" s="774">
        <f t="shared" si="10"/>
        <v>2012</v>
      </c>
      <c r="EI2" s="774">
        <f t="shared" si="10"/>
        <v>2012</v>
      </c>
      <c r="EJ2" s="774">
        <f t="shared" si="10"/>
        <v>2012</v>
      </c>
      <c r="EK2" s="774">
        <f t="shared" si="10"/>
        <v>2012</v>
      </c>
      <c r="EL2" s="774">
        <f t="shared" si="10"/>
        <v>2012</v>
      </c>
      <c r="EM2" s="774">
        <f t="shared" si="10"/>
        <v>2012</v>
      </c>
      <c r="EN2" s="774">
        <f t="shared" si="10"/>
        <v>2012</v>
      </c>
      <c r="EO2" s="774">
        <f t="shared" si="10"/>
        <v>2012</v>
      </c>
      <c r="EP2" s="774">
        <f t="shared" si="10"/>
        <v>2013</v>
      </c>
      <c r="EQ2" s="774">
        <f t="shared" si="10"/>
        <v>2013</v>
      </c>
      <c r="ER2" s="774">
        <f t="shared" si="10"/>
        <v>2013</v>
      </c>
      <c r="ES2" s="774">
        <f t="shared" si="10"/>
        <v>2013</v>
      </c>
      <c r="ET2" s="774">
        <f t="shared" si="10"/>
        <v>2013</v>
      </c>
      <c r="EU2" s="774">
        <f t="shared" si="10"/>
        <v>2013</v>
      </c>
      <c r="EV2" s="774">
        <f t="shared" si="10"/>
        <v>2013</v>
      </c>
      <c r="EW2" s="774">
        <f t="shared" si="10"/>
        <v>2013</v>
      </c>
      <c r="EX2" s="774">
        <f t="shared" si="10"/>
        <v>2013</v>
      </c>
      <c r="EY2" s="774">
        <f t="shared" si="10"/>
        <v>2013</v>
      </c>
      <c r="EZ2" s="774">
        <f t="shared" si="10"/>
        <v>2013</v>
      </c>
      <c r="FA2" s="774">
        <f t="shared" si="10"/>
        <v>2013</v>
      </c>
      <c r="FB2" s="774">
        <f t="shared" si="10"/>
        <v>2014</v>
      </c>
      <c r="FC2" s="774">
        <f t="shared" si="10"/>
        <v>2014</v>
      </c>
      <c r="FD2" s="774">
        <f t="shared" si="10"/>
        <v>2014</v>
      </c>
      <c r="FE2" s="774">
        <f t="shared" si="10"/>
        <v>2014</v>
      </c>
      <c r="FF2" s="774">
        <f t="shared" si="10"/>
        <v>2014</v>
      </c>
      <c r="FG2" s="774">
        <f t="shared" si="10"/>
        <v>2014</v>
      </c>
      <c r="FH2" s="774">
        <f t="shared" si="10"/>
        <v>2014</v>
      </c>
      <c r="FI2" s="774">
        <f t="shared" si="10"/>
        <v>2014</v>
      </c>
      <c r="FJ2" s="774">
        <f t="shared" si="10"/>
        <v>2014</v>
      </c>
      <c r="FK2" s="774">
        <f t="shared" si="10"/>
        <v>2014</v>
      </c>
      <c r="FL2" s="774">
        <f t="shared" si="10"/>
        <v>2014</v>
      </c>
      <c r="FM2" s="774">
        <f t="shared" si="10"/>
        <v>2014</v>
      </c>
      <c r="FN2" s="774">
        <f t="shared" si="10"/>
        <v>2015</v>
      </c>
      <c r="FO2" s="774">
        <f t="shared" si="10"/>
        <v>2015</v>
      </c>
      <c r="FP2" s="774">
        <f t="shared" si="10"/>
        <v>2015</v>
      </c>
      <c r="FQ2" s="774">
        <f t="shared" si="10"/>
        <v>2015</v>
      </c>
      <c r="FR2" s="774">
        <f t="shared" si="10"/>
        <v>2015</v>
      </c>
      <c r="FS2" s="774">
        <f t="shared" si="10"/>
        <v>2015</v>
      </c>
      <c r="FT2" s="774">
        <f t="shared" si="10"/>
        <v>2015</v>
      </c>
      <c r="FU2" s="774">
        <f t="shared" si="10"/>
        <v>2015</v>
      </c>
      <c r="FV2" s="774">
        <f t="shared" si="10"/>
        <v>2015</v>
      </c>
      <c r="FW2" s="774">
        <f t="shared" si="10"/>
        <v>2015</v>
      </c>
      <c r="FX2" s="774">
        <f t="shared" si="10"/>
        <v>2015</v>
      </c>
      <c r="FY2" s="774">
        <f t="shared" si="10"/>
        <v>2015</v>
      </c>
      <c r="FZ2" s="774">
        <f t="shared" si="10"/>
        <v>2016</v>
      </c>
      <c r="GA2" s="774">
        <f t="shared" si="10"/>
        <v>2016</v>
      </c>
      <c r="GB2" s="774">
        <f t="shared" si="10"/>
        <v>2016</v>
      </c>
      <c r="GC2" s="774">
        <f t="shared" si="10"/>
        <v>2016</v>
      </c>
      <c r="GD2" s="774">
        <f t="shared" si="10"/>
        <v>2016</v>
      </c>
      <c r="GE2" s="774">
        <f t="shared" si="10"/>
        <v>2016</v>
      </c>
      <c r="GF2" s="774">
        <f t="shared" si="10"/>
        <v>2016</v>
      </c>
      <c r="GG2" s="774">
        <f t="shared" si="10"/>
        <v>2016</v>
      </c>
      <c r="GH2" s="774">
        <f t="shared" si="10"/>
        <v>2016</v>
      </c>
      <c r="GI2" s="774">
        <f t="shared" si="10"/>
        <v>2016</v>
      </c>
      <c r="GJ2" s="774">
        <f t="shared" si="10"/>
        <v>2016</v>
      </c>
      <c r="GK2" s="774">
        <f t="shared" si="10"/>
        <v>2016</v>
      </c>
      <c r="GL2" s="774">
        <f t="shared" si="10"/>
        <v>2017</v>
      </c>
      <c r="GM2" s="774">
        <f t="shared" si="10"/>
        <v>2017</v>
      </c>
      <c r="GN2" s="774">
        <f t="shared" ref="GN2:JP2" si="11">YEAR(GN9)</f>
        <v>2017</v>
      </c>
      <c r="GO2" s="774">
        <f t="shared" si="11"/>
        <v>2017</v>
      </c>
      <c r="GP2" s="774">
        <f t="shared" si="11"/>
        <v>2017</v>
      </c>
      <c r="GQ2" s="774">
        <f t="shared" si="11"/>
        <v>2017</v>
      </c>
      <c r="GR2" s="774">
        <f t="shared" si="11"/>
        <v>2017</v>
      </c>
      <c r="GS2" s="774">
        <f t="shared" si="11"/>
        <v>2017</v>
      </c>
      <c r="GT2" s="774">
        <f t="shared" si="11"/>
        <v>2017</v>
      </c>
      <c r="GU2" s="774">
        <f t="shared" si="11"/>
        <v>2017</v>
      </c>
      <c r="GV2" s="774">
        <f t="shared" si="11"/>
        <v>2017</v>
      </c>
      <c r="GW2" s="774">
        <f t="shared" si="11"/>
        <v>2017</v>
      </c>
      <c r="GX2" s="774">
        <f t="shared" si="11"/>
        <v>2018</v>
      </c>
      <c r="GY2" s="774">
        <f t="shared" si="11"/>
        <v>2018</v>
      </c>
      <c r="GZ2" s="774">
        <f t="shared" si="11"/>
        <v>2018</v>
      </c>
      <c r="HA2" s="774">
        <f t="shared" si="11"/>
        <v>2018</v>
      </c>
      <c r="HB2" s="774">
        <f t="shared" si="11"/>
        <v>2018</v>
      </c>
      <c r="HC2" s="774">
        <f t="shared" si="11"/>
        <v>2018</v>
      </c>
      <c r="HD2" s="774">
        <f t="shared" si="11"/>
        <v>2018</v>
      </c>
      <c r="HE2" s="774">
        <f t="shared" si="11"/>
        <v>2018</v>
      </c>
      <c r="HF2" s="774">
        <f t="shared" si="11"/>
        <v>2018</v>
      </c>
      <c r="HG2" s="774">
        <f t="shared" si="11"/>
        <v>2018</v>
      </c>
      <c r="HH2" s="774">
        <f t="shared" si="11"/>
        <v>2018</v>
      </c>
      <c r="HI2" s="774">
        <f t="shared" si="11"/>
        <v>2018</v>
      </c>
      <c r="HJ2" s="774">
        <f t="shared" si="11"/>
        <v>2019</v>
      </c>
      <c r="HK2" s="774">
        <f t="shared" si="11"/>
        <v>2019</v>
      </c>
      <c r="HL2" s="774">
        <f t="shared" si="11"/>
        <v>2019</v>
      </c>
      <c r="HM2" s="774">
        <f t="shared" si="11"/>
        <v>2019</v>
      </c>
      <c r="HN2" s="774">
        <f t="shared" si="11"/>
        <v>2019</v>
      </c>
      <c r="HO2" s="774">
        <f t="shared" si="11"/>
        <v>2019</v>
      </c>
      <c r="HP2" s="774">
        <f t="shared" si="11"/>
        <v>2019</v>
      </c>
      <c r="HQ2" s="774">
        <f t="shared" si="11"/>
        <v>2019</v>
      </c>
      <c r="HR2" s="774">
        <f t="shared" si="11"/>
        <v>2019</v>
      </c>
      <c r="HS2" s="774">
        <f t="shared" si="11"/>
        <v>2019</v>
      </c>
      <c r="HT2" s="774">
        <f t="shared" si="11"/>
        <v>2019</v>
      </c>
      <c r="HU2" s="774">
        <f t="shared" si="11"/>
        <v>2019</v>
      </c>
      <c r="HV2" s="774">
        <f t="shared" si="11"/>
        <v>2020</v>
      </c>
      <c r="HW2" s="774">
        <f t="shared" si="11"/>
        <v>2020</v>
      </c>
      <c r="HX2" s="774">
        <f t="shared" si="11"/>
        <v>2020</v>
      </c>
      <c r="HY2" s="774">
        <f t="shared" si="11"/>
        <v>2020</v>
      </c>
      <c r="HZ2" s="774">
        <f t="shared" si="11"/>
        <v>2020</v>
      </c>
      <c r="IA2" s="774">
        <f t="shared" si="11"/>
        <v>2020</v>
      </c>
      <c r="IB2" s="774">
        <f t="shared" si="11"/>
        <v>2020</v>
      </c>
      <c r="IC2" s="774">
        <f t="shared" si="11"/>
        <v>2020</v>
      </c>
      <c r="ID2" s="774">
        <f t="shared" si="11"/>
        <v>2020</v>
      </c>
      <c r="IE2" s="774">
        <f t="shared" si="11"/>
        <v>2020</v>
      </c>
      <c r="IF2" s="774">
        <f t="shared" si="11"/>
        <v>2020</v>
      </c>
      <c r="IG2" s="774">
        <f t="shared" si="11"/>
        <v>2020</v>
      </c>
      <c r="IH2" s="774">
        <f t="shared" si="11"/>
        <v>2021</v>
      </c>
      <c r="II2" s="774">
        <f t="shared" si="11"/>
        <v>2021</v>
      </c>
      <c r="IJ2" s="774">
        <f t="shared" si="11"/>
        <v>2021</v>
      </c>
      <c r="IK2" s="774">
        <f t="shared" si="11"/>
        <v>2021</v>
      </c>
      <c r="IL2" s="774">
        <f t="shared" si="11"/>
        <v>2021</v>
      </c>
      <c r="IM2" s="774">
        <f t="shared" si="11"/>
        <v>2021</v>
      </c>
      <c r="IN2" s="774">
        <f>YEAR(IN9)</f>
        <v>2021</v>
      </c>
      <c r="IO2" s="774">
        <f t="shared" si="11"/>
        <v>1900</v>
      </c>
      <c r="IP2" s="774">
        <f t="shared" si="11"/>
        <v>1900</v>
      </c>
      <c r="IQ2" s="774">
        <f t="shared" si="11"/>
        <v>1900</v>
      </c>
      <c r="IR2" s="774">
        <f t="shared" si="11"/>
        <v>1900</v>
      </c>
      <c r="IS2" s="774">
        <f t="shared" si="11"/>
        <v>1900</v>
      </c>
      <c r="IT2" s="774">
        <f t="shared" si="11"/>
        <v>1900</v>
      </c>
      <c r="IU2" s="774">
        <f t="shared" si="11"/>
        <v>1900</v>
      </c>
      <c r="IV2" s="774">
        <f t="shared" si="11"/>
        <v>1900</v>
      </c>
      <c r="IW2" s="774">
        <f t="shared" si="11"/>
        <v>1900</v>
      </c>
      <c r="IX2" s="774">
        <f t="shared" si="11"/>
        <v>1900</v>
      </c>
      <c r="IY2" s="774">
        <f t="shared" si="11"/>
        <v>1900</v>
      </c>
      <c r="IZ2" s="774">
        <f t="shared" si="11"/>
        <v>1900</v>
      </c>
      <c r="JA2" s="774">
        <f t="shared" si="11"/>
        <v>1900</v>
      </c>
      <c r="JB2" s="774">
        <f t="shared" si="11"/>
        <v>1900</v>
      </c>
      <c r="JC2" s="774">
        <f t="shared" si="11"/>
        <v>1900</v>
      </c>
      <c r="JD2" s="774">
        <f t="shared" si="11"/>
        <v>1900</v>
      </c>
      <c r="JE2" s="774">
        <f t="shared" si="11"/>
        <v>1900</v>
      </c>
      <c r="JF2" s="774">
        <f t="shared" si="11"/>
        <v>1900</v>
      </c>
      <c r="JG2" s="774">
        <f t="shared" si="11"/>
        <v>1900</v>
      </c>
      <c r="JH2" s="774">
        <f t="shared" si="11"/>
        <v>1900</v>
      </c>
      <c r="JI2" s="774">
        <f t="shared" si="11"/>
        <v>1900</v>
      </c>
      <c r="JJ2" s="774">
        <f t="shared" si="11"/>
        <v>1900</v>
      </c>
      <c r="JK2" s="774">
        <f t="shared" si="11"/>
        <v>1900</v>
      </c>
      <c r="JL2" s="774">
        <f t="shared" si="11"/>
        <v>1900</v>
      </c>
      <c r="JM2" s="774">
        <f t="shared" si="11"/>
        <v>1900</v>
      </c>
      <c r="JN2" s="774">
        <f t="shared" si="11"/>
        <v>1900</v>
      </c>
      <c r="JO2" s="774">
        <f t="shared" si="11"/>
        <v>1900</v>
      </c>
      <c r="JP2" s="774">
        <f t="shared" si="11"/>
        <v>1900</v>
      </c>
      <c r="JQ2" s="774">
        <f t="shared" ref="JQ2:MB2" si="12">YEAR(JQ9)</f>
        <v>1900</v>
      </c>
      <c r="JR2" s="774">
        <f t="shared" si="12"/>
        <v>1900</v>
      </c>
      <c r="JS2" s="774">
        <f t="shared" si="12"/>
        <v>1900</v>
      </c>
      <c r="JT2" s="774">
        <f t="shared" si="12"/>
        <v>1900</v>
      </c>
      <c r="JU2" s="774">
        <f t="shared" si="12"/>
        <v>1900</v>
      </c>
      <c r="JV2" s="774">
        <f t="shared" si="12"/>
        <v>1900</v>
      </c>
      <c r="JW2" s="774">
        <f t="shared" si="12"/>
        <v>1900</v>
      </c>
      <c r="JX2" s="774">
        <f t="shared" si="12"/>
        <v>1900</v>
      </c>
      <c r="JY2" s="774">
        <f t="shared" si="12"/>
        <v>1900</v>
      </c>
      <c r="JZ2" s="774">
        <f t="shared" si="12"/>
        <v>1900</v>
      </c>
      <c r="KA2" s="774">
        <f t="shared" si="12"/>
        <v>1900</v>
      </c>
      <c r="KB2" s="774">
        <f t="shared" si="12"/>
        <v>1900</v>
      </c>
      <c r="KC2" s="774">
        <f t="shared" si="12"/>
        <v>1900</v>
      </c>
      <c r="KD2" s="774">
        <f t="shared" si="12"/>
        <v>1900</v>
      </c>
      <c r="KE2" s="774">
        <f t="shared" si="12"/>
        <v>1900</v>
      </c>
      <c r="KF2" s="774">
        <f t="shared" si="12"/>
        <v>1900</v>
      </c>
      <c r="KG2" s="774">
        <f t="shared" si="12"/>
        <v>1900</v>
      </c>
      <c r="KH2" s="774">
        <f t="shared" si="12"/>
        <v>1900</v>
      </c>
      <c r="KI2" s="774">
        <f t="shared" si="12"/>
        <v>1900</v>
      </c>
      <c r="KJ2" s="774">
        <f t="shared" si="12"/>
        <v>1900</v>
      </c>
      <c r="KK2" s="774">
        <f t="shared" si="12"/>
        <v>1900</v>
      </c>
      <c r="KL2" s="774">
        <f t="shared" si="12"/>
        <v>1900</v>
      </c>
      <c r="KM2" s="774">
        <f t="shared" si="12"/>
        <v>1900</v>
      </c>
      <c r="KN2" s="774">
        <f t="shared" si="12"/>
        <v>1900</v>
      </c>
      <c r="KO2" s="774">
        <f t="shared" si="12"/>
        <v>1900</v>
      </c>
      <c r="KP2" s="774">
        <f t="shared" si="12"/>
        <v>1900</v>
      </c>
      <c r="KQ2" s="774">
        <f t="shared" si="12"/>
        <v>1900</v>
      </c>
      <c r="KR2" s="774">
        <f t="shared" si="12"/>
        <v>1900</v>
      </c>
      <c r="KS2" s="774">
        <f t="shared" si="12"/>
        <v>1900</v>
      </c>
      <c r="KT2" s="774">
        <f t="shared" si="12"/>
        <v>1900</v>
      </c>
      <c r="KU2" s="774">
        <f t="shared" si="12"/>
        <v>1900</v>
      </c>
      <c r="KV2" s="774">
        <f t="shared" si="12"/>
        <v>1900</v>
      </c>
      <c r="KW2" s="774">
        <f t="shared" si="12"/>
        <v>1900</v>
      </c>
      <c r="KX2" s="774">
        <f t="shared" si="12"/>
        <v>1900</v>
      </c>
      <c r="KY2" s="774">
        <f t="shared" si="12"/>
        <v>1900</v>
      </c>
      <c r="KZ2" s="774">
        <f t="shared" si="12"/>
        <v>1900</v>
      </c>
      <c r="LA2" s="774">
        <f t="shared" si="12"/>
        <v>1900</v>
      </c>
      <c r="LB2" s="774">
        <f t="shared" si="12"/>
        <v>1900</v>
      </c>
      <c r="LC2" s="774">
        <f t="shared" si="12"/>
        <v>1900</v>
      </c>
      <c r="LD2" s="774">
        <f t="shared" si="12"/>
        <v>1900</v>
      </c>
      <c r="LE2" s="774">
        <f t="shared" si="12"/>
        <v>1900</v>
      </c>
      <c r="LF2" s="774">
        <f t="shared" si="12"/>
        <v>1900</v>
      </c>
      <c r="LG2" s="774">
        <f t="shared" si="12"/>
        <v>1900</v>
      </c>
      <c r="LH2" s="774">
        <f t="shared" si="12"/>
        <v>1900</v>
      </c>
      <c r="LI2" s="774">
        <f t="shared" si="12"/>
        <v>1900</v>
      </c>
      <c r="LJ2" s="774">
        <f t="shared" si="12"/>
        <v>1900</v>
      </c>
      <c r="LK2" s="774">
        <f t="shared" si="12"/>
        <v>1900</v>
      </c>
      <c r="LL2" s="774">
        <f t="shared" si="12"/>
        <v>1900</v>
      </c>
      <c r="LM2" s="774">
        <f t="shared" si="12"/>
        <v>1900</v>
      </c>
      <c r="LN2" s="774">
        <f t="shared" si="12"/>
        <v>1900</v>
      </c>
      <c r="LO2" s="774">
        <f t="shared" si="12"/>
        <v>1900</v>
      </c>
      <c r="LP2" s="774">
        <f t="shared" si="12"/>
        <v>1900</v>
      </c>
      <c r="LQ2" s="774">
        <f t="shared" si="12"/>
        <v>1900</v>
      </c>
      <c r="LR2" s="774">
        <f t="shared" si="12"/>
        <v>1900</v>
      </c>
      <c r="LS2" s="774">
        <f t="shared" si="12"/>
        <v>1900</v>
      </c>
      <c r="LT2" s="774">
        <f t="shared" si="12"/>
        <v>1900</v>
      </c>
      <c r="LU2" s="774">
        <f t="shared" si="12"/>
        <v>1900</v>
      </c>
      <c r="LV2" s="774">
        <f t="shared" si="12"/>
        <v>1900</v>
      </c>
      <c r="LW2" s="774">
        <f t="shared" si="12"/>
        <v>1900</v>
      </c>
      <c r="LX2" s="774">
        <f t="shared" si="12"/>
        <v>1900</v>
      </c>
      <c r="LY2" s="774">
        <f t="shared" si="12"/>
        <v>1900</v>
      </c>
      <c r="LZ2" s="774">
        <f t="shared" si="12"/>
        <v>1900</v>
      </c>
      <c r="MA2" s="774">
        <f t="shared" si="12"/>
        <v>1900</v>
      </c>
      <c r="MB2" s="774">
        <f t="shared" si="12"/>
        <v>1900</v>
      </c>
      <c r="MC2" s="774">
        <f t="shared" ref="MC2:ON2" si="13">YEAR(MC9)</f>
        <v>1900</v>
      </c>
      <c r="MD2" s="774">
        <f t="shared" si="13"/>
        <v>1900</v>
      </c>
      <c r="ME2" s="774">
        <f t="shared" si="13"/>
        <v>1900</v>
      </c>
      <c r="MF2" s="774">
        <f t="shared" si="13"/>
        <v>1900</v>
      </c>
      <c r="MG2" s="774">
        <f t="shared" si="13"/>
        <v>1900</v>
      </c>
      <c r="MH2" s="774">
        <f t="shared" si="13"/>
        <v>1900</v>
      </c>
      <c r="MI2" s="774">
        <f t="shared" si="13"/>
        <v>1900</v>
      </c>
      <c r="MJ2" s="774">
        <f t="shared" si="13"/>
        <v>1900</v>
      </c>
      <c r="MK2" s="774">
        <f t="shared" si="13"/>
        <v>1900</v>
      </c>
      <c r="ML2" s="774">
        <f t="shared" si="13"/>
        <v>1900</v>
      </c>
      <c r="MM2" s="774">
        <f t="shared" si="13"/>
        <v>1900</v>
      </c>
      <c r="MN2" s="774">
        <f t="shared" si="13"/>
        <v>1900</v>
      </c>
      <c r="MO2" s="774">
        <f t="shared" si="13"/>
        <v>1900</v>
      </c>
      <c r="MP2" s="774">
        <f t="shared" si="13"/>
        <v>1900</v>
      </c>
      <c r="MQ2" s="774">
        <f t="shared" si="13"/>
        <v>1900</v>
      </c>
      <c r="MR2" s="774">
        <f t="shared" si="13"/>
        <v>1900</v>
      </c>
      <c r="MS2" s="774">
        <f t="shared" si="13"/>
        <v>1900</v>
      </c>
      <c r="MT2" s="774">
        <f t="shared" si="13"/>
        <v>1900</v>
      </c>
      <c r="MU2" s="774">
        <f t="shared" si="13"/>
        <v>1900</v>
      </c>
      <c r="MV2" s="774">
        <f t="shared" si="13"/>
        <v>1900</v>
      </c>
      <c r="MW2" s="774">
        <f t="shared" si="13"/>
        <v>1900</v>
      </c>
      <c r="MX2" s="774">
        <f t="shared" si="13"/>
        <v>1900</v>
      </c>
      <c r="MY2" s="774">
        <f t="shared" si="13"/>
        <v>1900</v>
      </c>
      <c r="MZ2" s="774">
        <f t="shared" si="13"/>
        <v>1900</v>
      </c>
      <c r="NA2" s="774">
        <f t="shared" si="13"/>
        <v>1900</v>
      </c>
      <c r="NB2" s="774">
        <f t="shared" si="13"/>
        <v>1900</v>
      </c>
      <c r="NC2" s="774">
        <f t="shared" si="13"/>
        <v>1900</v>
      </c>
      <c r="ND2" s="774">
        <f t="shared" si="13"/>
        <v>1900</v>
      </c>
      <c r="NE2" s="774">
        <f t="shared" si="13"/>
        <v>1900</v>
      </c>
      <c r="NF2" s="774">
        <f t="shared" si="13"/>
        <v>1900</v>
      </c>
      <c r="NG2" s="774">
        <f t="shared" si="13"/>
        <v>1900</v>
      </c>
      <c r="NH2" s="774">
        <f t="shared" si="13"/>
        <v>1900</v>
      </c>
      <c r="NI2" s="774">
        <f t="shared" si="13"/>
        <v>1900</v>
      </c>
      <c r="NJ2" s="774">
        <f t="shared" si="13"/>
        <v>1900</v>
      </c>
      <c r="NK2" s="774">
        <f t="shared" si="13"/>
        <v>1900</v>
      </c>
      <c r="NL2" s="774">
        <f t="shared" si="13"/>
        <v>1900</v>
      </c>
      <c r="NM2" s="774">
        <f t="shared" si="13"/>
        <v>1900</v>
      </c>
      <c r="NN2" s="774">
        <f t="shared" si="13"/>
        <v>1900</v>
      </c>
      <c r="NO2" s="774">
        <f t="shared" si="13"/>
        <v>1900</v>
      </c>
      <c r="NP2" s="774">
        <f t="shared" si="13"/>
        <v>1900</v>
      </c>
      <c r="NQ2" s="774">
        <f t="shared" si="13"/>
        <v>1900</v>
      </c>
      <c r="NR2" s="774">
        <f t="shared" si="13"/>
        <v>1900</v>
      </c>
      <c r="NS2" s="774">
        <f t="shared" si="13"/>
        <v>1900</v>
      </c>
      <c r="NT2" s="774">
        <f t="shared" si="13"/>
        <v>1900</v>
      </c>
      <c r="NU2" s="774">
        <f t="shared" si="13"/>
        <v>1900</v>
      </c>
      <c r="NV2" s="774">
        <f t="shared" si="13"/>
        <v>1900</v>
      </c>
      <c r="NW2" s="774">
        <f t="shared" si="13"/>
        <v>1900</v>
      </c>
      <c r="NX2" s="774">
        <f t="shared" si="13"/>
        <v>1900</v>
      </c>
      <c r="NY2" s="774">
        <f t="shared" si="13"/>
        <v>1900</v>
      </c>
      <c r="NZ2" s="774">
        <f t="shared" si="13"/>
        <v>1900</v>
      </c>
      <c r="OA2" s="774">
        <f t="shared" si="13"/>
        <v>1900</v>
      </c>
      <c r="OB2" s="774">
        <f t="shared" si="13"/>
        <v>1900</v>
      </c>
      <c r="OC2" s="774">
        <f t="shared" si="13"/>
        <v>1900</v>
      </c>
      <c r="OD2" s="774">
        <f t="shared" si="13"/>
        <v>1900</v>
      </c>
      <c r="OE2" s="774">
        <f t="shared" si="13"/>
        <v>1900</v>
      </c>
      <c r="OF2" s="774">
        <f t="shared" si="13"/>
        <v>1900</v>
      </c>
      <c r="OG2" s="774">
        <f t="shared" si="13"/>
        <v>1900</v>
      </c>
      <c r="OH2" s="774">
        <f t="shared" si="13"/>
        <v>1900</v>
      </c>
      <c r="OI2" s="774">
        <f t="shared" si="13"/>
        <v>1900</v>
      </c>
      <c r="OJ2" s="774">
        <f t="shared" si="13"/>
        <v>1900</v>
      </c>
      <c r="OK2" s="774">
        <f t="shared" si="13"/>
        <v>1900</v>
      </c>
      <c r="OL2" s="774">
        <f t="shared" si="13"/>
        <v>1900</v>
      </c>
      <c r="OM2" s="774">
        <f t="shared" si="13"/>
        <v>1900</v>
      </c>
      <c r="ON2" s="774">
        <f t="shared" si="13"/>
        <v>1900</v>
      </c>
      <c r="OO2" s="774">
        <f t="shared" ref="OO2:QZ2" si="14">YEAR(OO9)</f>
        <v>1900</v>
      </c>
      <c r="OP2" s="774">
        <f t="shared" si="14"/>
        <v>1900</v>
      </c>
      <c r="OQ2" s="774">
        <f t="shared" si="14"/>
        <v>1900</v>
      </c>
      <c r="OR2" s="774">
        <f t="shared" si="14"/>
        <v>1900</v>
      </c>
      <c r="OS2" s="774">
        <f t="shared" si="14"/>
        <v>1900</v>
      </c>
      <c r="OT2" s="774">
        <f t="shared" si="14"/>
        <v>1900</v>
      </c>
      <c r="OU2" s="774">
        <f t="shared" si="14"/>
        <v>1900</v>
      </c>
      <c r="OV2" s="774">
        <f t="shared" si="14"/>
        <v>1900</v>
      </c>
      <c r="OW2" s="774">
        <f t="shared" si="14"/>
        <v>1900</v>
      </c>
      <c r="OX2" s="774">
        <f t="shared" si="14"/>
        <v>1900</v>
      </c>
      <c r="OY2" s="774">
        <f t="shared" si="14"/>
        <v>1900</v>
      </c>
      <c r="OZ2" s="774">
        <f t="shared" si="14"/>
        <v>1900</v>
      </c>
      <c r="PA2" s="774">
        <f t="shared" si="14"/>
        <v>1900</v>
      </c>
      <c r="PB2" s="774">
        <f t="shared" si="14"/>
        <v>1900</v>
      </c>
      <c r="PC2" s="774">
        <f t="shared" si="14"/>
        <v>1900</v>
      </c>
      <c r="PD2" s="774">
        <f t="shared" si="14"/>
        <v>1900</v>
      </c>
      <c r="PE2" s="774">
        <f t="shared" si="14"/>
        <v>1900</v>
      </c>
      <c r="PF2" s="774">
        <f t="shared" si="14"/>
        <v>1900</v>
      </c>
      <c r="PG2" s="774">
        <f t="shared" si="14"/>
        <v>1900</v>
      </c>
      <c r="PH2" s="774">
        <f t="shared" si="14"/>
        <v>1900</v>
      </c>
      <c r="PI2" s="774">
        <f t="shared" si="14"/>
        <v>1900</v>
      </c>
      <c r="PJ2" s="774">
        <f t="shared" si="14"/>
        <v>1900</v>
      </c>
      <c r="PK2" s="774">
        <f t="shared" si="14"/>
        <v>1900</v>
      </c>
      <c r="PL2" s="774">
        <f t="shared" si="14"/>
        <v>1900</v>
      </c>
      <c r="PM2" s="774">
        <f t="shared" si="14"/>
        <v>1900</v>
      </c>
      <c r="PN2" s="774">
        <f t="shared" si="14"/>
        <v>1900</v>
      </c>
      <c r="PO2" s="774">
        <f t="shared" si="14"/>
        <v>1900</v>
      </c>
      <c r="PP2" s="774">
        <f t="shared" si="14"/>
        <v>1900</v>
      </c>
      <c r="PQ2" s="774">
        <f t="shared" si="14"/>
        <v>1900</v>
      </c>
      <c r="PR2" s="774">
        <f t="shared" si="14"/>
        <v>1900</v>
      </c>
      <c r="PS2" s="774">
        <f t="shared" si="14"/>
        <v>1900</v>
      </c>
      <c r="PT2" s="774">
        <f t="shared" si="14"/>
        <v>1900</v>
      </c>
      <c r="PU2" s="774">
        <f t="shared" si="14"/>
        <v>1900</v>
      </c>
      <c r="PV2" s="774">
        <f t="shared" si="14"/>
        <v>1900</v>
      </c>
      <c r="PW2" s="774">
        <f t="shared" si="14"/>
        <v>1900</v>
      </c>
      <c r="PX2" s="774">
        <f t="shared" si="14"/>
        <v>1900</v>
      </c>
      <c r="PY2" s="774">
        <f t="shared" si="14"/>
        <v>1900</v>
      </c>
      <c r="PZ2" s="774">
        <f t="shared" si="14"/>
        <v>1900</v>
      </c>
      <c r="QA2" s="774">
        <f t="shared" si="14"/>
        <v>1900</v>
      </c>
      <c r="QB2" s="774">
        <f t="shared" si="14"/>
        <v>1900</v>
      </c>
      <c r="QC2" s="774">
        <f t="shared" si="14"/>
        <v>1900</v>
      </c>
      <c r="QD2" s="774">
        <f t="shared" si="14"/>
        <v>1900</v>
      </c>
      <c r="QE2" s="774">
        <f t="shared" si="14"/>
        <v>1900</v>
      </c>
      <c r="QF2" s="774">
        <f t="shared" si="14"/>
        <v>1900</v>
      </c>
      <c r="QG2" s="774">
        <f t="shared" si="14"/>
        <v>1900</v>
      </c>
      <c r="QH2" s="774">
        <f t="shared" si="14"/>
        <v>1900</v>
      </c>
      <c r="QI2" s="774">
        <f t="shared" si="14"/>
        <v>1900</v>
      </c>
      <c r="QJ2" s="774">
        <f t="shared" si="14"/>
        <v>1900</v>
      </c>
      <c r="QK2" s="774">
        <f t="shared" si="14"/>
        <v>1900</v>
      </c>
      <c r="QL2" s="774">
        <f t="shared" si="14"/>
        <v>1900</v>
      </c>
      <c r="QM2" s="774">
        <f t="shared" si="14"/>
        <v>1900</v>
      </c>
      <c r="QN2" s="774">
        <f t="shared" si="14"/>
        <v>1900</v>
      </c>
      <c r="QO2" s="774">
        <f t="shared" si="14"/>
        <v>1900</v>
      </c>
      <c r="QP2" s="774">
        <f t="shared" si="14"/>
        <v>1900</v>
      </c>
      <c r="QQ2" s="774">
        <f t="shared" si="14"/>
        <v>1900</v>
      </c>
      <c r="QR2" s="774">
        <f t="shared" si="14"/>
        <v>1900</v>
      </c>
      <c r="QS2" s="774">
        <f t="shared" si="14"/>
        <v>1900</v>
      </c>
      <c r="QT2" s="774">
        <f t="shared" si="14"/>
        <v>1900</v>
      </c>
      <c r="QU2" s="774">
        <f t="shared" si="14"/>
        <v>1900</v>
      </c>
      <c r="QV2" s="774">
        <f t="shared" si="14"/>
        <v>1900</v>
      </c>
      <c r="QW2" s="774">
        <f t="shared" si="14"/>
        <v>1900</v>
      </c>
      <c r="QX2" s="774">
        <f t="shared" si="14"/>
        <v>1900</v>
      </c>
      <c r="QY2" s="774">
        <f t="shared" si="14"/>
        <v>1900</v>
      </c>
      <c r="QZ2" s="774">
        <f t="shared" si="14"/>
        <v>1900</v>
      </c>
      <c r="RA2" s="774">
        <f t="shared" ref="RA2:SU2" si="15">YEAR(RA9)</f>
        <v>1900</v>
      </c>
      <c r="RB2" s="774">
        <f t="shared" si="15"/>
        <v>1900</v>
      </c>
      <c r="RC2" s="774">
        <f t="shared" si="15"/>
        <v>1900</v>
      </c>
      <c r="RD2" s="774">
        <f t="shared" si="15"/>
        <v>1900</v>
      </c>
      <c r="RE2" s="774">
        <f t="shared" si="15"/>
        <v>1900</v>
      </c>
      <c r="RF2" s="774">
        <f t="shared" si="15"/>
        <v>1900</v>
      </c>
      <c r="RG2" s="774">
        <f t="shared" si="15"/>
        <v>1900</v>
      </c>
      <c r="RH2" s="774">
        <f t="shared" si="15"/>
        <v>1900</v>
      </c>
      <c r="RI2" s="774">
        <f t="shared" si="15"/>
        <v>1900</v>
      </c>
      <c r="RJ2" s="774">
        <f t="shared" si="15"/>
        <v>1900</v>
      </c>
      <c r="RK2" s="774">
        <f t="shared" si="15"/>
        <v>1900</v>
      </c>
      <c r="RL2" s="774">
        <f t="shared" si="15"/>
        <v>1900</v>
      </c>
      <c r="RM2" s="774">
        <f t="shared" si="15"/>
        <v>1900</v>
      </c>
      <c r="RN2" s="774">
        <f t="shared" si="15"/>
        <v>1900</v>
      </c>
      <c r="RO2" s="774">
        <f t="shared" si="15"/>
        <v>1900</v>
      </c>
      <c r="RP2" s="774">
        <f t="shared" si="15"/>
        <v>1900</v>
      </c>
      <c r="RQ2" s="774">
        <f t="shared" si="15"/>
        <v>1900</v>
      </c>
      <c r="RR2" s="774">
        <f t="shared" si="15"/>
        <v>1900</v>
      </c>
      <c r="RS2" s="774">
        <f t="shared" si="15"/>
        <v>1900</v>
      </c>
      <c r="RT2" s="774">
        <f t="shared" si="15"/>
        <v>1900</v>
      </c>
      <c r="RU2" s="774">
        <f t="shared" si="15"/>
        <v>1900</v>
      </c>
      <c r="RV2" s="774">
        <f t="shared" si="15"/>
        <v>1900</v>
      </c>
      <c r="RW2" s="774">
        <f t="shared" si="15"/>
        <v>1900</v>
      </c>
      <c r="RX2" s="774">
        <f t="shared" si="15"/>
        <v>1900</v>
      </c>
      <c r="RY2" s="774">
        <f t="shared" si="15"/>
        <v>1900</v>
      </c>
      <c r="RZ2" s="774">
        <f t="shared" si="15"/>
        <v>1900</v>
      </c>
      <c r="SA2" s="774">
        <f t="shared" si="15"/>
        <v>1900</v>
      </c>
      <c r="SB2" s="774">
        <f t="shared" si="15"/>
        <v>1900</v>
      </c>
      <c r="SC2" s="774">
        <f t="shared" si="15"/>
        <v>1900</v>
      </c>
      <c r="SD2" s="774">
        <f t="shared" si="15"/>
        <v>1900</v>
      </c>
      <c r="SE2" s="774">
        <f t="shared" si="15"/>
        <v>1900</v>
      </c>
      <c r="SF2" s="774">
        <f t="shared" si="15"/>
        <v>1900</v>
      </c>
      <c r="SG2" s="774">
        <f t="shared" si="15"/>
        <v>1900</v>
      </c>
      <c r="SH2" s="774">
        <f t="shared" si="15"/>
        <v>1900</v>
      </c>
      <c r="SI2" s="774">
        <f t="shared" si="15"/>
        <v>1900</v>
      </c>
      <c r="SJ2" s="774">
        <f t="shared" si="15"/>
        <v>1900</v>
      </c>
      <c r="SK2" s="774">
        <f t="shared" si="15"/>
        <v>1900</v>
      </c>
      <c r="SL2" s="774">
        <f t="shared" si="15"/>
        <v>1900</v>
      </c>
      <c r="SM2" s="774">
        <f t="shared" si="15"/>
        <v>1900</v>
      </c>
      <c r="SN2" s="774">
        <f t="shared" si="15"/>
        <v>1900</v>
      </c>
      <c r="SO2" s="774">
        <f t="shared" si="15"/>
        <v>1900</v>
      </c>
      <c r="SP2" s="774">
        <f t="shared" si="15"/>
        <v>1900</v>
      </c>
      <c r="SQ2" s="774">
        <f t="shared" si="15"/>
        <v>1900</v>
      </c>
      <c r="SR2" s="774">
        <f t="shared" si="15"/>
        <v>1900</v>
      </c>
      <c r="SS2" s="774">
        <f t="shared" si="15"/>
        <v>1900</v>
      </c>
      <c r="ST2" s="774">
        <f t="shared" si="15"/>
        <v>1900</v>
      </c>
      <c r="SU2" s="774">
        <f t="shared" si="15"/>
        <v>1900</v>
      </c>
    </row>
    <row r="4" spans="1:515">
      <c r="HQ4" s="134"/>
    </row>
    <row r="5" spans="1:515" s="168" customFormat="1">
      <c r="IN5" s="55"/>
    </row>
    <row r="6" spans="1:515" s="168" customFormat="1">
      <c r="IN6" s="55"/>
    </row>
    <row r="7" spans="1:515" s="168" customFormat="1">
      <c r="IN7" s="55"/>
    </row>
    <row r="8" spans="1:515" s="168" customFormat="1" ht="15.75" thickBot="1">
      <c r="A8" s="62" t="s">
        <v>1163</v>
      </c>
      <c r="IN8" s="55"/>
    </row>
    <row r="9" spans="1:515" ht="15.75" thickBot="1">
      <c r="A9" s="2" t="s">
        <v>95</v>
      </c>
      <c r="B9" s="80">
        <v>36892</v>
      </c>
      <c r="C9" s="80">
        <v>36923</v>
      </c>
      <c r="D9" s="80">
        <v>36951</v>
      </c>
      <c r="E9" s="80">
        <v>36982</v>
      </c>
      <c r="F9" s="80">
        <v>37012</v>
      </c>
      <c r="G9" s="80">
        <v>37043</v>
      </c>
      <c r="H9" s="80">
        <v>37073</v>
      </c>
      <c r="I9" s="80">
        <v>37104</v>
      </c>
      <c r="J9" s="80">
        <v>37135</v>
      </c>
      <c r="K9" s="80">
        <v>37165</v>
      </c>
      <c r="L9" s="80">
        <v>37196</v>
      </c>
      <c r="M9" s="80">
        <v>37226</v>
      </c>
      <c r="N9" s="80">
        <v>37257</v>
      </c>
      <c r="O9" s="80">
        <v>37288</v>
      </c>
      <c r="P9" s="80">
        <v>37316</v>
      </c>
      <c r="Q9" s="80">
        <v>37347</v>
      </c>
      <c r="R9" s="80">
        <v>37377</v>
      </c>
      <c r="S9" s="80">
        <v>37408</v>
      </c>
      <c r="T9" s="80">
        <v>37438</v>
      </c>
      <c r="U9" s="80">
        <v>37469</v>
      </c>
      <c r="V9" s="80">
        <v>37500</v>
      </c>
      <c r="W9" s="80">
        <v>37530</v>
      </c>
      <c r="X9" s="80">
        <v>37561</v>
      </c>
      <c r="Y9" s="80">
        <v>37591</v>
      </c>
      <c r="Z9" s="80">
        <v>37622</v>
      </c>
      <c r="AA9" s="80">
        <v>37653</v>
      </c>
      <c r="AB9" s="80">
        <v>37681</v>
      </c>
      <c r="AC9" s="80">
        <v>37712</v>
      </c>
      <c r="AD9" s="80">
        <v>37742</v>
      </c>
      <c r="AE9" s="80">
        <v>37773</v>
      </c>
      <c r="AF9" s="80">
        <v>37803</v>
      </c>
      <c r="AG9" s="80">
        <v>37834</v>
      </c>
      <c r="AH9" s="80">
        <v>37865</v>
      </c>
      <c r="AI9" s="80">
        <v>37895</v>
      </c>
      <c r="AJ9" s="80">
        <v>37926</v>
      </c>
      <c r="AK9" s="80">
        <v>37956</v>
      </c>
      <c r="AL9" s="80">
        <v>37987</v>
      </c>
      <c r="AM9" s="80">
        <v>38018</v>
      </c>
      <c r="AN9" s="80">
        <v>38047</v>
      </c>
      <c r="AO9" s="80">
        <v>38078</v>
      </c>
      <c r="AP9" s="80">
        <v>38108</v>
      </c>
      <c r="AQ9" s="80">
        <v>38139</v>
      </c>
      <c r="AR9" s="80">
        <v>38169</v>
      </c>
      <c r="AS9" s="80">
        <v>38200</v>
      </c>
      <c r="AT9" s="80">
        <v>38231</v>
      </c>
      <c r="AU9" s="80">
        <v>38261</v>
      </c>
      <c r="AV9" s="80">
        <v>38292</v>
      </c>
      <c r="AW9" s="80">
        <v>38322</v>
      </c>
      <c r="AX9" s="80">
        <v>38353</v>
      </c>
      <c r="AY9" s="80">
        <v>38384</v>
      </c>
      <c r="AZ9" s="80">
        <v>38412</v>
      </c>
      <c r="BA9" s="80">
        <v>38443</v>
      </c>
      <c r="BB9" s="80">
        <v>38473</v>
      </c>
      <c r="BC9" s="80">
        <v>38504</v>
      </c>
      <c r="BD9" s="80">
        <v>38534</v>
      </c>
      <c r="BE9" s="80">
        <v>38565</v>
      </c>
      <c r="BF9" s="80">
        <v>38596</v>
      </c>
      <c r="BG9" s="80">
        <v>38626</v>
      </c>
      <c r="BH9" s="80">
        <v>38657</v>
      </c>
      <c r="BI9" s="80">
        <v>38687</v>
      </c>
      <c r="BJ9" s="80">
        <v>38718</v>
      </c>
      <c r="BK9" s="80">
        <v>38749</v>
      </c>
      <c r="BL9" s="80">
        <v>38777</v>
      </c>
      <c r="BM9" s="80">
        <v>38808</v>
      </c>
      <c r="BN9" s="80">
        <v>38838</v>
      </c>
      <c r="BO9" s="80">
        <v>38869</v>
      </c>
      <c r="BP9" s="80">
        <v>38899</v>
      </c>
      <c r="BQ9" s="80">
        <v>38930</v>
      </c>
      <c r="BR9" s="80">
        <v>38961</v>
      </c>
      <c r="BS9" s="80">
        <v>38991</v>
      </c>
      <c r="BT9" s="80">
        <v>39022</v>
      </c>
      <c r="BU9" s="80">
        <v>39052</v>
      </c>
      <c r="BV9" s="80">
        <v>39083</v>
      </c>
      <c r="BW9" s="80">
        <v>39114</v>
      </c>
      <c r="BX9" s="80">
        <v>39142</v>
      </c>
      <c r="BY9" s="80">
        <v>39173</v>
      </c>
      <c r="BZ9" s="80">
        <v>39203</v>
      </c>
      <c r="CA9" s="80">
        <v>39234</v>
      </c>
      <c r="CB9" s="80">
        <v>39264</v>
      </c>
      <c r="CC9" s="80">
        <v>39295</v>
      </c>
      <c r="CD9" s="80">
        <v>39326</v>
      </c>
      <c r="CE9" s="80">
        <v>39356</v>
      </c>
      <c r="CF9" s="169">
        <v>39387</v>
      </c>
      <c r="CG9" s="169">
        <v>39417</v>
      </c>
      <c r="CH9" s="169">
        <v>39448</v>
      </c>
      <c r="CI9" s="169">
        <v>39479</v>
      </c>
      <c r="CJ9" s="169">
        <v>39508</v>
      </c>
      <c r="CK9" s="169">
        <v>39539</v>
      </c>
      <c r="CL9" s="169">
        <v>39569</v>
      </c>
      <c r="CM9" s="169">
        <v>39600</v>
      </c>
      <c r="CN9" s="169">
        <v>39630</v>
      </c>
      <c r="CO9" s="169">
        <v>39661</v>
      </c>
      <c r="CP9" s="169">
        <v>39692</v>
      </c>
      <c r="CQ9" s="169">
        <v>39722</v>
      </c>
      <c r="CR9" s="169">
        <v>39753</v>
      </c>
      <c r="CS9" s="169">
        <v>39783</v>
      </c>
      <c r="CT9" s="169">
        <v>39814</v>
      </c>
      <c r="CU9" s="169">
        <v>39845</v>
      </c>
      <c r="CV9" s="169">
        <v>39873</v>
      </c>
      <c r="CW9" s="169">
        <v>39904</v>
      </c>
      <c r="CX9" s="169">
        <v>39934</v>
      </c>
      <c r="CY9" s="169">
        <v>39965</v>
      </c>
      <c r="CZ9" s="169">
        <v>39995</v>
      </c>
      <c r="DA9" s="169">
        <v>40026</v>
      </c>
      <c r="DB9" s="169">
        <v>40057</v>
      </c>
      <c r="DC9" s="169">
        <v>40087</v>
      </c>
      <c r="DD9" s="169">
        <v>40118</v>
      </c>
      <c r="DE9" s="169">
        <v>40148</v>
      </c>
      <c r="DF9" s="169">
        <v>40179</v>
      </c>
      <c r="DG9" s="169">
        <v>40210</v>
      </c>
      <c r="DH9" s="169">
        <v>40238</v>
      </c>
      <c r="DI9" s="169">
        <v>40269</v>
      </c>
      <c r="DJ9" s="169">
        <v>40299</v>
      </c>
      <c r="DK9" s="169">
        <v>40330</v>
      </c>
      <c r="DL9" s="169">
        <v>40360</v>
      </c>
      <c r="DM9" s="169">
        <v>40391</v>
      </c>
      <c r="DN9" s="169">
        <v>40422</v>
      </c>
      <c r="DO9" s="169">
        <v>40452</v>
      </c>
      <c r="DP9" s="169">
        <v>40483</v>
      </c>
      <c r="DQ9" s="169">
        <v>40513</v>
      </c>
      <c r="DR9" s="169">
        <v>40544</v>
      </c>
      <c r="DS9" s="169">
        <v>40575</v>
      </c>
      <c r="DT9" s="169">
        <v>40603</v>
      </c>
      <c r="DU9" s="169">
        <v>40634</v>
      </c>
      <c r="DV9" s="169">
        <v>40664</v>
      </c>
      <c r="DW9" s="169">
        <v>40695</v>
      </c>
      <c r="DX9" s="169">
        <v>40725</v>
      </c>
      <c r="DY9" s="169">
        <v>40756</v>
      </c>
      <c r="DZ9" s="169">
        <v>40787</v>
      </c>
      <c r="EA9" s="169">
        <v>40817</v>
      </c>
      <c r="EB9" s="169">
        <v>40848</v>
      </c>
      <c r="EC9" s="169">
        <v>40878</v>
      </c>
      <c r="ED9" s="169">
        <v>40909</v>
      </c>
      <c r="EE9" s="169">
        <v>40940</v>
      </c>
      <c r="EF9" s="169">
        <v>40969</v>
      </c>
      <c r="EG9" s="169">
        <v>41000</v>
      </c>
      <c r="EH9" s="169">
        <v>41030</v>
      </c>
      <c r="EI9" s="169">
        <v>41061</v>
      </c>
      <c r="EJ9" s="169">
        <v>41091</v>
      </c>
      <c r="EK9" s="169">
        <v>41122</v>
      </c>
      <c r="EL9" s="169">
        <v>41153</v>
      </c>
      <c r="EM9" s="169">
        <v>41183</v>
      </c>
      <c r="EN9" s="169">
        <v>41214</v>
      </c>
      <c r="EO9" s="169">
        <v>41244</v>
      </c>
      <c r="EP9" s="169">
        <v>41275</v>
      </c>
      <c r="EQ9" s="169">
        <v>41306</v>
      </c>
      <c r="ER9" s="169">
        <v>41334</v>
      </c>
      <c r="ES9" s="169">
        <v>41365</v>
      </c>
      <c r="ET9" s="169">
        <v>41395</v>
      </c>
      <c r="EU9" s="169">
        <v>41426</v>
      </c>
      <c r="EV9" s="169">
        <v>41456</v>
      </c>
      <c r="EW9" s="169">
        <v>41487</v>
      </c>
      <c r="EX9" s="169">
        <v>41518</v>
      </c>
      <c r="EY9" s="169">
        <v>41548</v>
      </c>
      <c r="EZ9" s="169">
        <v>41579</v>
      </c>
      <c r="FA9" s="169">
        <v>41609</v>
      </c>
      <c r="FB9" s="169">
        <v>41640</v>
      </c>
      <c r="FC9" s="169">
        <v>41671</v>
      </c>
      <c r="FD9" s="169">
        <v>41699</v>
      </c>
      <c r="FE9" s="169">
        <v>41730</v>
      </c>
      <c r="FF9" s="169">
        <v>41760</v>
      </c>
      <c r="FG9" s="169">
        <v>41791</v>
      </c>
      <c r="FH9" s="169">
        <v>41821</v>
      </c>
      <c r="FI9" s="169">
        <v>41852</v>
      </c>
      <c r="FJ9" s="169">
        <v>41883</v>
      </c>
      <c r="FK9" s="169">
        <v>41913</v>
      </c>
      <c r="FL9" s="169">
        <v>41944</v>
      </c>
      <c r="FM9" s="169">
        <v>41974</v>
      </c>
      <c r="FN9" s="169">
        <v>42005</v>
      </c>
      <c r="FO9" s="169">
        <v>42036</v>
      </c>
      <c r="FP9" s="169">
        <v>42064</v>
      </c>
      <c r="FQ9" s="169">
        <v>42095</v>
      </c>
      <c r="FR9" s="169">
        <v>42125</v>
      </c>
      <c r="FS9" s="169">
        <v>42156</v>
      </c>
      <c r="FT9" s="169">
        <v>42186</v>
      </c>
      <c r="FU9" s="169">
        <v>42217</v>
      </c>
      <c r="FV9" s="169">
        <v>42248</v>
      </c>
      <c r="FW9" s="169">
        <v>42278</v>
      </c>
      <c r="FX9" s="169">
        <v>42309</v>
      </c>
      <c r="FY9" s="169">
        <v>42339</v>
      </c>
      <c r="FZ9" s="169">
        <v>42370</v>
      </c>
      <c r="GA9" s="169">
        <v>42401</v>
      </c>
      <c r="GB9" s="169">
        <v>42430</v>
      </c>
      <c r="GC9" s="169">
        <v>42461</v>
      </c>
      <c r="GD9" s="169">
        <v>42491</v>
      </c>
      <c r="GE9" s="169">
        <v>42522</v>
      </c>
      <c r="GF9" s="169">
        <v>42552</v>
      </c>
      <c r="GG9" s="169">
        <v>42583</v>
      </c>
      <c r="GH9" s="169">
        <v>42614</v>
      </c>
      <c r="GI9" s="169">
        <v>42644</v>
      </c>
      <c r="GJ9" s="169">
        <v>42675</v>
      </c>
      <c r="GK9" s="169">
        <v>42705</v>
      </c>
      <c r="GL9" s="169">
        <v>42736</v>
      </c>
      <c r="GM9" s="169">
        <v>42767</v>
      </c>
      <c r="GN9" s="169">
        <v>42795</v>
      </c>
      <c r="GO9" s="169">
        <v>42826</v>
      </c>
      <c r="GP9" s="169">
        <v>42856</v>
      </c>
      <c r="GQ9" s="169">
        <v>42887</v>
      </c>
      <c r="GR9" s="169">
        <v>42917</v>
      </c>
      <c r="GS9" s="169">
        <v>42948</v>
      </c>
      <c r="GT9" s="169">
        <v>42979</v>
      </c>
      <c r="GU9" s="169">
        <v>43009</v>
      </c>
      <c r="GV9" s="169">
        <v>43040</v>
      </c>
      <c r="GW9" s="169">
        <v>43070</v>
      </c>
      <c r="GX9" s="169">
        <v>43101</v>
      </c>
      <c r="GY9" s="169">
        <v>43132</v>
      </c>
      <c r="GZ9" s="169">
        <v>43160</v>
      </c>
      <c r="HA9" s="169">
        <v>43191</v>
      </c>
      <c r="HB9" s="169">
        <v>43221</v>
      </c>
      <c r="HC9" s="169">
        <v>43252</v>
      </c>
      <c r="HD9" s="169">
        <v>43282</v>
      </c>
      <c r="HE9" s="169">
        <v>43313</v>
      </c>
      <c r="HF9" s="169">
        <v>43344</v>
      </c>
      <c r="HG9" s="169">
        <v>43374</v>
      </c>
      <c r="HH9" s="169">
        <v>43405</v>
      </c>
      <c r="HI9" s="169">
        <v>43435</v>
      </c>
      <c r="HJ9" s="169">
        <v>43466</v>
      </c>
      <c r="HK9" s="169">
        <v>43497</v>
      </c>
      <c r="HL9" s="169">
        <v>43525</v>
      </c>
      <c r="HM9" s="169">
        <v>43556</v>
      </c>
      <c r="HN9" s="169">
        <v>43586</v>
      </c>
      <c r="HO9" s="169">
        <v>43617</v>
      </c>
      <c r="HP9" s="169">
        <v>43647</v>
      </c>
      <c r="HQ9" s="169">
        <v>43678</v>
      </c>
      <c r="HR9" s="169">
        <v>43709</v>
      </c>
      <c r="HS9" s="169">
        <v>43739</v>
      </c>
      <c r="HT9" s="169">
        <v>43770</v>
      </c>
      <c r="HU9" s="169">
        <v>43800</v>
      </c>
      <c r="HV9" s="169">
        <v>43831</v>
      </c>
      <c r="HW9" s="169">
        <v>43862</v>
      </c>
      <c r="HX9" s="169">
        <v>43891</v>
      </c>
      <c r="HY9" s="169">
        <v>43922</v>
      </c>
      <c r="HZ9" s="169">
        <v>43952</v>
      </c>
      <c r="IA9" s="169">
        <v>43983</v>
      </c>
      <c r="IB9" s="169">
        <v>44013</v>
      </c>
      <c r="IC9" s="169">
        <v>44044</v>
      </c>
      <c r="ID9" s="169">
        <v>44075</v>
      </c>
      <c r="IE9" s="169">
        <v>44105</v>
      </c>
      <c r="IF9" s="169">
        <v>44136</v>
      </c>
      <c r="IG9" s="169">
        <v>44166</v>
      </c>
      <c r="IH9" s="169">
        <v>44197</v>
      </c>
      <c r="II9" s="169">
        <v>44228</v>
      </c>
      <c r="IJ9" s="169">
        <v>44256</v>
      </c>
      <c r="IK9" s="169">
        <v>44287</v>
      </c>
      <c r="IL9" s="169">
        <v>44317</v>
      </c>
      <c r="IM9" s="169">
        <v>44348</v>
      </c>
      <c r="IN9" s="199">
        <v>44378</v>
      </c>
    </row>
    <row r="10" spans="1:515">
      <c r="A10" s="81" t="s">
        <v>1030</v>
      </c>
      <c r="B10" s="284">
        <v>4531</v>
      </c>
      <c r="C10" s="284">
        <v>4546</v>
      </c>
      <c r="D10" s="284">
        <v>4540</v>
      </c>
      <c r="E10" s="284">
        <v>4546</v>
      </c>
      <c r="F10" s="284">
        <v>4615</v>
      </c>
      <c r="G10" s="284">
        <v>4589</v>
      </c>
      <c r="H10" s="284">
        <v>4616</v>
      </c>
      <c r="I10" s="284">
        <v>4813</v>
      </c>
      <c r="J10" s="284">
        <v>4629</v>
      </c>
      <c r="K10" s="284">
        <v>4676</v>
      </c>
      <c r="L10" s="284">
        <v>4618</v>
      </c>
      <c r="M10" s="284">
        <v>4978</v>
      </c>
      <c r="N10" s="284">
        <v>4663</v>
      </c>
      <c r="O10" s="284">
        <v>4589</v>
      </c>
      <c r="P10" s="284">
        <v>4679</v>
      </c>
      <c r="Q10" s="284">
        <v>4647</v>
      </c>
      <c r="R10" s="284">
        <v>4733</v>
      </c>
      <c r="S10" s="284">
        <v>4708</v>
      </c>
      <c r="T10" s="284">
        <v>4748</v>
      </c>
      <c r="U10" s="284">
        <v>4759</v>
      </c>
      <c r="V10" s="284">
        <v>4617</v>
      </c>
      <c r="W10" s="284">
        <v>4769</v>
      </c>
      <c r="X10" s="284">
        <v>4625</v>
      </c>
      <c r="Y10" s="284">
        <v>4700</v>
      </c>
      <c r="Z10" s="284">
        <v>4713</v>
      </c>
      <c r="AA10" s="284">
        <v>4571</v>
      </c>
      <c r="AB10" s="284">
        <v>4628</v>
      </c>
      <c r="AC10" s="284">
        <v>4634</v>
      </c>
      <c r="AD10" s="284">
        <v>4628</v>
      </c>
      <c r="AE10" s="284">
        <v>4615</v>
      </c>
      <c r="AF10" s="284">
        <v>4653</v>
      </c>
      <c r="AG10" s="284">
        <v>4848</v>
      </c>
      <c r="AH10" s="284">
        <v>4686</v>
      </c>
      <c r="AI10" s="284">
        <v>4656</v>
      </c>
      <c r="AJ10" s="284">
        <v>4583</v>
      </c>
      <c r="AK10" s="284">
        <v>4628</v>
      </c>
      <c r="AL10" s="284">
        <v>4433</v>
      </c>
      <c r="AM10" s="284">
        <v>4420</v>
      </c>
      <c r="AN10" s="284">
        <v>4536</v>
      </c>
      <c r="AO10" s="284">
        <v>4581</v>
      </c>
      <c r="AP10" s="284">
        <v>4597</v>
      </c>
      <c r="AQ10" s="284">
        <v>4648</v>
      </c>
      <c r="AR10" s="284">
        <v>4689</v>
      </c>
      <c r="AS10" s="284">
        <v>4820</v>
      </c>
      <c r="AT10" s="284">
        <v>4670</v>
      </c>
      <c r="AU10" s="284">
        <v>4660</v>
      </c>
      <c r="AV10" s="284">
        <v>4711</v>
      </c>
      <c r="AW10" s="284">
        <v>4781</v>
      </c>
      <c r="AX10" s="284">
        <v>4794</v>
      </c>
      <c r="AY10" s="284">
        <v>4700</v>
      </c>
      <c r="AZ10" s="284">
        <v>4819</v>
      </c>
      <c r="BA10" s="284">
        <v>4846</v>
      </c>
      <c r="BB10" s="284">
        <v>4967</v>
      </c>
      <c r="BC10" s="284">
        <v>4984</v>
      </c>
      <c r="BD10" s="284">
        <v>5069</v>
      </c>
      <c r="BE10" s="284">
        <v>5093</v>
      </c>
      <c r="BF10" s="284">
        <v>5046</v>
      </c>
      <c r="BG10" s="284">
        <v>5075</v>
      </c>
      <c r="BH10" s="284">
        <v>5021</v>
      </c>
      <c r="BI10" s="284">
        <v>5108</v>
      </c>
      <c r="BJ10" s="284">
        <v>5143</v>
      </c>
      <c r="BK10" s="284">
        <v>4985</v>
      </c>
      <c r="BL10" s="284">
        <v>5131</v>
      </c>
      <c r="BM10" s="284">
        <v>5042</v>
      </c>
      <c r="BN10" s="284">
        <v>5300</v>
      </c>
      <c r="BO10" s="284">
        <v>5248</v>
      </c>
      <c r="BP10" s="284">
        <v>5465</v>
      </c>
      <c r="BQ10" s="284">
        <v>5445</v>
      </c>
      <c r="BR10" s="284">
        <v>5308</v>
      </c>
      <c r="BS10" s="284">
        <v>5377</v>
      </c>
      <c r="BT10" s="284">
        <v>5322</v>
      </c>
      <c r="BU10" s="284">
        <v>5322</v>
      </c>
      <c r="BV10" s="284">
        <v>5278</v>
      </c>
      <c r="BW10" s="284">
        <v>5231</v>
      </c>
      <c r="BX10" s="284">
        <v>5410</v>
      </c>
      <c r="BY10" s="284">
        <v>5374</v>
      </c>
      <c r="BZ10" s="284">
        <v>5466</v>
      </c>
      <c r="CA10" s="284">
        <v>5332</v>
      </c>
      <c r="CB10" s="284">
        <v>5457</v>
      </c>
      <c r="CC10" s="284">
        <v>5520</v>
      </c>
      <c r="CD10" s="284">
        <v>5495</v>
      </c>
      <c r="CE10" s="284">
        <v>5589</v>
      </c>
      <c r="CF10" s="284">
        <v>5570</v>
      </c>
      <c r="CG10" s="284">
        <v>5593</v>
      </c>
      <c r="CH10" s="284">
        <v>5536</v>
      </c>
      <c r="CI10" s="284">
        <v>5460</v>
      </c>
      <c r="CJ10" s="284">
        <v>5292</v>
      </c>
      <c r="CK10" s="284">
        <v>5366</v>
      </c>
      <c r="CL10" s="284">
        <v>5405</v>
      </c>
      <c r="CM10" s="284">
        <v>5304</v>
      </c>
      <c r="CN10" s="284">
        <v>5425</v>
      </c>
      <c r="CO10" s="284">
        <v>5384</v>
      </c>
      <c r="CP10" s="284">
        <v>5321</v>
      </c>
      <c r="CQ10" s="284">
        <v>5409</v>
      </c>
      <c r="CR10" s="284">
        <v>5277</v>
      </c>
      <c r="CS10" s="284">
        <v>5274</v>
      </c>
      <c r="CT10" s="284">
        <v>5250</v>
      </c>
      <c r="CU10" s="284">
        <v>5176</v>
      </c>
      <c r="CV10" s="284">
        <v>5305</v>
      </c>
      <c r="CW10" s="284">
        <v>5177</v>
      </c>
      <c r="CX10" s="284">
        <v>5318</v>
      </c>
      <c r="CY10" s="284">
        <v>5321</v>
      </c>
      <c r="CZ10" s="284">
        <v>5370</v>
      </c>
      <c r="DA10" s="284">
        <v>5334</v>
      </c>
      <c r="DB10" s="284">
        <v>5322</v>
      </c>
      <c r="DC10" s="284">
        <v>5310</v>
      </c>
      <c r="DD10" s="284">
        <v>5352</v>
      </c>
      <c r="DE10" s="284">
        <v>5303</v>
      </c>
      <c r="DF10" s="284">
        <v>5228</v>
      </c>
      <c r="DG10" s="284">
        <v>5340</v>
      </c>
      <c r="DH10" s="284">
        <v>5467</v>
      </c>
      <c r="DI10" s="284">
        <v>5593</v>
      </c>
      <c r="DJ10" s="284">
        <v>5397</v>
      </c>
      <c r="DK10" s="284">
        <v>5370</v>
      </c>
      <c r="DL10" s="284">
        <v>5295</v>
      </c>
      <c r="DM10" s="284">
        <v>5287</v>
      </c>
      <c r="DN10" s="284">
        <v>5311</v>
      </c>
      <c r="DO10" s="284">
        <v>5348</v>
      </c>
      <c r="DP10" s="284">
        <v>5453</v>
      </c>
      <c r="DQ10" s="284">
        <v>5448</v>
      </c>
      <c r="DR10" s="284">
        <v>5280</v>
      </c>
      <c r="DS10" s="284">
        <v>5461</v>
      </c>
      <c r="DT10" s="284">
        <v>5651</v>
      </c>
      <c r="DU10" s="284">
        <v>5397</v>
      </c>
      <c r="DV10" s="284">
        <v>5744</v>
      </c>
      <c r="DW10" s="284">
        <v>5484</v>
      </c>
      <c r="DX10" s="284">
        <v>5508</v>
      </c>
      <c r="DY10" s="284">
        <v>5638</v>
      </c>
      <c r="DZ10" s="284">
        <v>5546</v>
      </c>
      <c r="EA10" s="284">
        <v>5713</v>
      </c>
      <c r="EB10" s="284">
        <v>5728</v>
      </c>
      <c r="EC10" s="284">
        <v>5754</v>
      </c>
      <c r="ED10" s="284">
        <v>5131</v>
      </c>
      <c r="EE10" s="284">
        <v>5358</v>
      </c>
      <c r="EF10" s="284">
        <v>5371</v>
      </c>
      <c r="EG10" s="284">
        <v>4998</v>
      </c>
      <c r="EH10" s="284">
        <v>5275</v>
      </c>
      <c r="EI10" s="284">
        <v>4941</v>
      </c>
      <c r="EJ10" s="284">
        <v>4803</v>
      </c>
      <c r="EK10" s="284">
        <v>4885</v>
      </c>
      <c r="EL10" s="284">
        <v>4713</v>
      </c>
      <c r="EM10" s="284">
        <v>4694</v>
      </c>
      <c r="EN10" s="284">
        <v>4692</v>
      </c>
      <c r="EO10" s="284">
        <v>4591</v>
      </c>
      <c r="EP10" s="284">
        <v>4572</v>
      </c>
      <c r="EQ10" s="284">
        <v>4821</v>
      </c>
      <c r="ER10" s="284">
        <v>4770</v>
      </c>
      <c r="ES10" s="284">
        <v>4803</v>
      </c>
      <c r="ET10" s="284">
        <v>4903</v>
      </c>
      <c r="EU10" s="284">
        <v>4830</v>
      </c>
      <c r="EV10" s="284">
        <v>4997</v>
      </c>
      <c r="EW10" s="284">
        <v>4866</v>
      </c>
      <c r="EX10" s="284">
        <v>4891</v>
      </c>
      <c r="EY10" s="284">
        <v>5171</v>
      </c>
      <c r="EZ10" s="284">
        <v>5019</v>
      </c>
      <c r="FA10" s="284">
        <v>4883</v>
      </c>
      <c r="FB10" s="284">
        <v>4838</v>
      </c>
      <c r="FC10" s="284">
        <v>4988</v>
      </c>
      <c r="FD10" s="284">
        <v>5006</v>
      </c>
      <c r="FE10" s="284">
        <v>4758</v>
      </c>
      <c r="FF10" s="284">
        <v>4927</v>
      </c>
      <c r="FG10" s="284">
        <v>4796</v>
      </c>
      <c r="FH10" s="284">
        <v>4839</v>
      </c>
      <c r="FI10" s="284">
        <v>4744</v>
      </c>
      <c r="FJ10" s="284">
        <v>4793</v>
      </c>
      <c r="FK10" s="284">
        <v>4878</v>
      </c>
      <c r="FL10" s="284">
        <v>4835</v>
      </c>
      <c r="FM10" s="284">
        <v>4772</v>
      </c>
      <c r="FN10" s="284">
        <v>4564</v>
      </c>
      <c r="FO10" s="284">
        <v>4806</v>
      </c>
      <c r="FP10" s="284">
        <v>4891</v>
      </c>
      <c r="FQ10" s="284">
        <v>4537</v>
      </c>
      <c r="FR10" s="284">
        <v>4747</v>
      </c>
      <c r="FS10" s="284">
        <v>4725</v>
      </c>
      <c r="FT10" s="284">
        <v>4674</v>
      </c>
      <c r="FU10" s="284">
        <v>4739</v>
      </c>
      <c r="FV10" s="284">
        <v>4641</v>
      </c>
      <c r="FW10" s="284">
        <v>4671</v>
      </c>
      <c r="FX10" s="284">
        <v>5055</v>
      </c>
      <c r="FY10" s="284">
        <v>4520</v>
      </c>
      <c r="FZ10" s="284">
        <v>4371</v>
      </c>
      <c r="GA10" s="284">
        <v>4782</v>
      </c>
      <c r="GB10" s="284">
        <v>4347</v>
      </c>
      <c r="GC10" s="284">
        <v>4286</v>
      </c>
      <c r="GD10" s="284">
        <v>4515</v>
      </c>
      <c r="GE10" s="284">
        <v>4359</v>
      </c>
      <c r="GF10" s="284">
        <v>4477.8999999999996</v>
      </c>
      <c r="GG10" s="284">
        <v>4649</v>
      </c>
      <c r="GH10" s="284">
        <v>3974.6</v>
      </c>
      <c r="GI10" s="284">
        <v>4498.5</v>
      </c>
      <c r="GJ10" s="284">
        <v>4468.8999999999996</v>
      </c>
      <c r="GK10" s="284">
        <v>4227.3999999999996</v>
      </c>
      <c r="GL10" s="284">
        <v>4181.8</v>
      </c>
      <c r="GM10" s="284">
        <v>4399.3</v>
      </c>
      <c r="GN10" s="284">
        <v>4415.3999999999996</v>
      </c>
      <c r="GO10" s="284">
        <v>4067.4</v>
      </c>
      <c r="GP10" s="284">
        <v>4467.7</v>
      </c>
      <c r="GQ10" s="284">
        <v>4283.7</v>
      </c>
      <c r="GR10" s="284">
        <v>4283</v>
      </c>
      <c r="GS10" s="284">
        <v>4413.3</v>
      </c>
      <c r="GT10" s="284">
        <v>4464.1000000000004</v>
      </c>
      <c r="GU10" s="284">
        <v>4343.7</v>
      </c>
      <c r="GV10" s="284">
        <v>4548.5</v>
      </c>
      <c r="GW10" s="284">
        <v>4187.5</v>
      </c>
      <c r="GX10" s="284">
        <v>4899.7</v>
      </c>
      <c r="GY10" s="284">
        <v>4195.3999999999996</v>
      </c>
      <c r="GZ10" s="284">
        <v>3986</v>
      </c>
      <c r="HA10" s="284">
        <v>4076.7</v>
      </c>
      <c r="HB10" s="284">
        <v>4144.5</v>
      </c>
      <c r="HC10" s="284">
        <v>4497.3999999999996</v>
      </c>
      <c r="HD10" s="284">
        <v>4543.6000000000004</v>
      </c>
      <c r="HE10" s="284">
        <v>3725.3</v>
      </c>
      <c r="HF10" s="284">
        <v>3209.4</v>
      </c>
      <c r="HG10" s="284">
        <v>4186.1000000000004</v>
      </c>
      <c r="HH10" s="284">
        <v>4295.3999999999996</v>
      </c>
      <c r="HI10" s="284">
        <v>4885.5</v>
      </c>
      <c r="HJ10" s="284">
        <v>4087.5</v>
      </c>
      <c r="HK10" s="284">
        <v>4187.8</v>
      </c>
      <c r="HL10" s="284">
        <v>4284.5</v>
      </c>
      <c r="HM10" s="284">
        <v>4051.1</v>
      </c>
      <c r="HN10" s="284">
        <v>4401.3</v>
      </c>
      <c r="HO10" s="284">
        <v>5435.6</v>
      </c>
      <c r="HP10" s="284">
        <v>4303.8</v>
      </c>
      <c r="HQ10" s="284">
        <v>4271.8999999999996</v>
      </c>
      <c r="HR10" s="284">
        <v>4386</v>
      </c>
      <c r="HS10" s="284">
        <v>4307.8</v>
      </c>
      <c r="HT10" s="284">
        <v>4347.2</v>
      </c>
      <c r="HU10" s="284">
        <v>5098.1000000000004</v>
      </c>
      <c r="HV10" s="284">
        <v>4457.0451000000003</v>
      </c>
      <c r="HW10" s="284">
        <v>4474.5111000000006</v>
      </c>
      <c r="HX10" s="284">
        <v>4400.5311000000002</v>
      </c>
      <c r="HY10" s="284">
        <v>3672.4972999999995</v>
      </c>
      <c r="HZ10" s="284">
        <v>4168.3011000000006</v>
      </c>
      <c r="IA10" s="284">
        <v>4356.2030999999997</v>
      </c>
      <c r="IB10" s="284">
        <v>4256.9811</v>
      </c>
      <c r="IC10" s="284">
        <v>4431.2750999999998</v>
      </c>
      <c r="ID10" s="284">
        <v>4056.0111999999999</v>
      </c>
      <c r="IE10" s="284">
        <v>4690.2169999999996</v>
      </c>
      <c r="IF10" s="284">
        <v>3950.0753</v>
      </c>
      <c r="IG10" s="284">
        <v>4076.5911000000006</v>
      </c>
      <c r="IH10" s="284">
        <v>4206.2929999999997</v>
      </c>
      <c r="II10" s="284">
        <v>4410.0951000000005</v>
      </c>
      <c r="IJ10" s="284">
        <v>4487.2251000000006</v>
      </c>
      <c r="IK10" s="284">
        <v>4419.401100000001</v>
      </c>
      <c r="IL10" s="284">
        <v>4446.3591000000006</v>
      </c>
      <c r="IM10" s="850">
        <v>4600.3550999999998</v>
      </c>
      <c r="IN10" s="168"/>
    </row>
    <row r="11" spans="1:515">
      <c r="A11" s="81" t="s">
        <v>189</v>
      </c>
      <c r="B11" s="285">
        <v>597</v>
      </c>
      <c r="C11" s="285">
        <v>607</v>
      </c>
      <c r="D11" s="285">
        <v>638</v>
      </c>
      <c r="E11" s="285">
        <v>664</v>
      </c>
      <c r="F11" s="285">
        <v>674</v>
      </c>
      <c r="G11" s="285">
        <v>624</v>
      </c>
      <c r="H11" s="285">
        <v>634</v>
      </c>
      <c r="I11" s="285">
        <v>653</v>
      </c>
      <c r="J11" s="285">
        <v>623</v>
      </c>
      <c r="K11" s="285">
        <v>638</v>
      </c>
      <c r="L11" s="285">
        <v>620</v>
      </c>
      <c r="M11" s="285">
        <v>592</v>
      </c>
      <c r="N11" s="285">
        <v>594</v>
      </c>
      <c r="O11" s="285">
        <v>471</v>
      </c>
      <c r="P11" s="285">
        <v>697</v>
      </c>
      <c r="Q11" s="285">
        <v>615</v>
      </c>
      <c r="R11" s="285">
        <v>662</v>
      </c>
      <c r="S11" s="285">
        <v>632</v>
      </c>
      <c r="T11" s="285">
        <v>615</v>
      </c>
      <c r="U11" s="285">
        <v>523</v>
      </c>
      <c r="V11" s="285">
        <v>612</v>
      </c>
      <c r="W11" s="285">
        <v>671</v>
      </c>
      <c r="X11" s="285">
        <v>632</v>
      </c>
      <c r="Y11" s="285">
        <v>594</v>
      </c>
      <c r="Z11" s="285">
        <v>587</v>
      </c>
      <c r="AA11" s="285">
        <v>556</v>
      </c>
      <c r="AB11" s="285">
        <v>626</v>
      </c>
      <c r="AC11" s="285">
        <v>659</v>
      </c>
      <c r="AD11" s="285">
        <v>600</v>
      </c>
      <c r="AE11" s="285">
        <v>590</v>
      </c>
      <c r="AF11" s="285">
        <v>614</v>
      </c>
      <c r="AG11" s="285">
        <v>551</v>
      </c>
      <c r="AH11" s="285">
        <v>551</v>
      </c>
      <c r="AI11" s="285">
        <v>555</v>
      </c>
      <c r="AJ11" s="285">
        <v>366</v>
      </c>
      <c r="AK11" s="285">
        <v>301</v>
      </c>
      <c r="AL11" s="285">
        <v>320</v>
      </c>
      <c r="AM11" s="285">
        <v>326</v>
      </c>
      <c r="AN11" s="285">
        <v>336</v>
      </c>
      <c r="AO11" s="285">
        <v>360</v>
      </c>
      <c r="AP11" s="285">
        <v>388</v>
      </c>
      <c r="AQ11" s="285">
        <v>415</v>
      </c>
      <c r="AR11" s="285">
        <v>397</v>
      </c>
      <c r="AS11" s="285">
        <v>431</v>
      </c>
      <c r="AT11" s="285">
        <v>459</v>
      </c>
      <c r="AU11" s="285">
        <v>459</v>
      </c>
      <c r="AV11" s="285">
        <v>481</v>
      </c>
      <c r="AW11" s="285">
        <v>450</v>
      </c>
      <c r="AX11" s="285">
        <v>515</v>
      </c>
      <c r="AY11" s="285">
        <v>517</v>
      </c>
      <c r="AZ11" s="285">
        <v>520</v>
      </c>
      <c r="BA11" s="285">
        <v>539</v>
      </c>
      <c r="BB11" s="285">
        <v>543</v>
      </c>
      <c r="BC11" s="285">
        <v>550</v>
      </c>
      <c r="BD11" s="285">
        <v>578</v>
      </c>
      <c r="BE11" s="285">
        <v>582</v>
      </c>
      <c r="BF11" s="285">
        <v>709</v>
      </c>
      <c r="BG11" s="285">
        <v>727</v>
      </c>
      <c r="BH11" s="285">
        <v>719</v>
      </c>
      <c r="BI11" s="285">
        <v>622</v>
      </c>
      <c r="BJ11" s="285">
        <v>658</v>
      </c>
      <c r="BK11" s="285">
        <v>659</v>
      </c>
      <c r="BL11" s="285">
        <v>777</v>
      </c>
      <c r="BM11" s="285">
        <v>791</v>
      </c>
      <c r="BN11" s="285">
        <v>912</v>
      </c>
      <c r="BO11" s="285">
        <v>734</v>
      </c>
      <c r="BP11" s="285">
        <v>733</v>
      </c>
      <c r="BQ11" s="285">
        <v>765</v>
      </c>
      <c r="BR11" s="285">
        <v>769</v>
      </c>
      <c r="BS11" s="285">
        <v>776</v>
      </c>
      <c r="BT11" s="285">
        <v>810</v>
      </c>
      <c r="BU11" s="285">
        <v>762</v>
      </c>
      <c r="BV11" s="285">
        <v>855</v>
      </c>
      <c r="BW11" s="285">
        <v>908</v>
      </c>
      <c r="BX11" s="285">
        <v>929</v>
      </c>
      <c r="BY11" s="285">
        <v>959</v>
      </c>
      <c r="BZ11" s="285">
        <v>970</v>
      </c>
      <c r="CA11" s="285">
        <v>918</v>
      </c>
      <c r="CB11" s="285">
        <v>980</v>
      </c>
      <c r="CC11" s="285">
        <v>992</v>
      </c>
      <c r="CD11" s="285">
        <v>1027</v>
      </c>
      <c r="CE11" s="285">
        <v>1074</v>
      </c>
      <c r="CF11" s="285">
        <v>1118</v>
      </c>
      <c r="CG11" s="285">
        <v>1108</v>
      </c>
      <c r="CH11" s="285">
        <v>1156</v>
      </c>
      <c r="CI11" s="285">
        <v>1171</v>
      </c>
      <c r="CJ11" s="285">
        <v>1161</v>
      </c>
      <c r="CK11" s="285">
        <v>1117</v>
      </c>
      <c r="CL11" s="285">
        <v>1158</v>
      </c>
      <c r="CM11" s="285">
        <v>1162</v>
      </c>
      <c r="CN11" s="285">
        <v>1196</v>
      </c>
      <c r="CO11" s="285">
        <v>1466</v>
      </c>
      <c r="CP11" s="285">
        <v>1120</v>
      </c>
      <c r="CQ11" s="285">
        <v>1140</v>
      </c>
      <c r="CR11" s="285">
        <v>1055</v>
      </c>
      <c r="CS11" s="285">
        <v>1073</v>
      </c>
      <c r="CT11" s="285">
        <v>927</v>
      </c>
      <c r="CU11" s="285">
        <v>868</v>
      </c>
      <c r="CV11" s="285">
        <v>910</v>
      </c>
      <c r="CW11" s="285">
        <v>852</v>
      </c>
      <c r="CX11" s="285">
        <v>864</v>
      </c>
      <c r="CY11" s="285">
        <v>849</v>
      </c>
      <c r="CZ11" s="285">
        <v>861</v>
      </c>
      <c r="DA11" s="285">
        <v>845</v>
      </c>
      <c r="DB11" s="285">
        <v>837</v>
      </c>
      <c r="DC11" s="285">
        <v>871</v>
      </c>
      <c r="DD11" s="285">
        <v>859</v>
      </c>
      <c r="DE11" s="285">
        <v>864</v>
      </c>
      <c r="DF11" s="285">
        <v>708</v>
      </c>
      <c r="DG11" s="285">
        <v>779</v>
      </c>
      <c r="DH11" s="285">
        <v>831</v>
      </c>
      <c r="DI11" s="285">
        <v>854</v>
      </c>
      <c r="DJ11" s="285">
        <v>891</v>
      </c>
      <c r="DK11" s="285">
        <v>900</v>
      </c>
      <c r="DL11" s="285">
        <v>922</v>
      </c>
      <c r="DM11" s="285">
        <v>927</v>
      </c>
      <c r="DN11" s="285">
        <v>845</v>
      </c>
      <c r="DO11" s="285">
        <v>905</v>
      </c>
      <c r="DP11" s="285">
        <v>936</v>
      </c>
      <c r="DQ11" s="285">
        <v>989</v>
      </c>
      <c r="DR11" s="285">
        <v>1016</v>
      </c>
      <c r="DS11" s="285">
        <v>954</v>
      </c>
      <c r="DT11" s="285">
        <v>1076</v>
      </c>
      <c r="DU11" s="285">
        <v>853</v>
      </c>
      <c r="DV11" s="285">
        <v>1078</v>
      </c>
      <c r="DW11" s="285">
        <v>1101</v>
      </c>
      <c r="DX11" s="285">
        <v>1140</v>
      </c>
      <c r="DY11" s="285">
        <v>1142</v>
      </c>
      <c r="DZ11" s="285">
        <v>1152</v>
      </c>
      <c r="EA11" s="285">
        <v>1131</v>
      </c>
      <c r="EB11" s="285">
        <v>1173</v>
      </c>
      <c r="EC11" s="285">
        <v>1128</v>
      </c>
      <c r="ED11" s="285">
        <v>1177</v>
      </c>
      <c r="EE11" s="285">
        <v>1176</v>
      </c>
      <c r="EF11" s="285">
        <v>1205</v>
      </c>
      <c r="EG11" s="285">
        <v>1152</v>
      </c>
      <c r="EH11" s="285">
        <v>1297</v>
      </c>
      <c r="EI11" s="285">
        <v>1237</v>
      </c>
      <c r="EJ11" s="285">
        <v>1297</v>
      </c>
      <c r="EK11" s="285">
        <v>1336</v>
      </c>
      <c r="EL11" s="285">
        <v>1279</v>
      </c>
      <c r="EM11" s="285">
        <v>1337</v>
      </c>
      <c r="EN11" s="285">
        <v>1234</v>
      </c>
      <c r="EO11" s="285">
        <v>1190</v>
      </c>
      <c r="EP11" s="285">
        <v>1210</v>
      </c>
      <c r="EQ11" s="285">
        <v>1184</v>
      </c>
      <c r="ER11" s="285">
        <v>1284</v>
      </c>
      <c r="ES11" s="285">
        <v>1264</v>
      </c>
      <c r="ET11" s="285">
        <v>1328</v>
      </c>
      <c r="EU11" s="285">
        <v>1282</v>
      </c>
      <c r="EV11" s="285">
        <v>1336</v>
      </c>
      <c r="EW11" s="285">
        <v>1324</v>
      </c>
      <c r="EX11" s="285">
        <v>1264</v>
      </c>
      <c r="EY11" s="285">
        <v>1347</v>
      </c>
      <c r="EZ11" s="285">
        <v>1276</v>
      </c>
      <c r="FA11" s="285">
        <v>1266</v>
      </c>
      <c r="FB11" s="285">
        <v>1290</v>
      </c>
      <c r="FC11" s="285">
        <v>1200</v>
      </c>
      <c r="FD11" s="285">
        <v>1215</v>
      </c>
      <c r="FE11" s="285">
        <v>920</v>
      </c>
      <c r="FF11" s="285">
        <v>994</v>
      </c>
      <c r="FG11" s="285">
        <v>983</v>
      </c>
      <c r="FH11" s="285">
        <v>1040</v>
      </c>
      <c r="FI11" s="285">
        <v>1168</v>
      </c>
      <c r="FJ11" s="285">
        <v>1146</v>
      </c>
      <c r="FK11" s="285">
        <v>1174</v>
      </c>
      <c r="FL11" s="285">
        <v>1120</v>
      </c>
      <c r="FM11" s="285">
        <v>1093</v>
      </c>
      <c r="FN11" s="285">
        <v>1093</v>
      </c>
      <c r="FO11" s="285">
        <v>968</v>
      </c>
      <c r="FP11" s="285">
        <v>1027</v>
      </c>
      <c r="FQ11" s="285">
        <v>992</v>
      </c>
      <c r="FR11" s="285">
        <v>1028</v>
      </c>
      <c r="FS11" s="285">
        <v>998</v>
      </c>
      <c r="FT11" s="285">
        <v>1028</v>
      </c>
      <c r="FU11" s="285">
        <v>1018</v>
      </c>
      <c r="FV11" s="285">
        <v>953</v>
      </c>
      <c r="FW11" s="285">
        <v>984</v>
      </c>
      <c r="FX11" s="285">
        <v>966</v>
      </c>
      <c r="FY11" s="285">
        <v>979</v>
      </c>
      <c r="FZ11" s="285">
        <v>929</v>
      </c>
      <c r="GA11" s="285">
        <v>902</v>
      </c>
      <c r="GB11" s="285">
        <v>921</v>
      </c>
      <c r="GC11" s="285">
        <v>867</v>
      </c>
      <c r="GD11" s="285">
        <v>908</v>
      </c>
      <c r="GE11" s="285">
        <v>907</v>
      </c>
      <c r="GF11" s="285">
        <v>911.4</v>
      </c>
      <c r="GG11" s="285">
        <v>921.9</v>
      </c>
      <c r="GH11" s="285">
        <v>873.1</v>
      </c>
      <c r="GI11" s="285">
        <v>876.1</v>
      </c>
      <c r="GJ11" s="285">
        <v>882.6</v>
      </c>
      <c r="GK11" s="285">
        <v>852.8</v>
      </c>
      <c r="GL11" s="285">
        <v>850</v>
      </c>
      <c r="GM11" s="285">
        <v>797.7</v>
      </c>
      <c r="GN11" s="285">
        <v>888.7</v>
      </c>
      <c r="GO11" s="285">
        <v>739.2</v>
      </c>
      <c r="GP11" s="285">
        <v>795.2</v>
      </c>
      <c r="GQ11" s="285">
        <v>792</v>
      </c>
      <c r="GR11" s="285">
        <v>807.5</v>
      </c>
      <c r="GS11" s="285">
        <v>800.2</v>
      </c>
      <c r="GT11" s="285">
        <v>792.5</v>
      </c>
      <c r="GU11" s="285">
        <v>833.6</v>
      </c>
      <c r="GV11" s="285">
        <v>843.9</v>
      </c>
      <c r="GW11" s="285">
        <v>831.6</v>
      </c>
      <c r="GX11" s="285">
        <v>861.9</v>
      </c>
      <c r="GY11" s="285">
        <v>798.9</v>
      </c>
      <c r="GZ11" s="285">
        <v>904.5</v>
      </c>
      <c r="HA11" s="285">
        <v>855.1</v>
      </c>
      <c r="HB11" s="285">
        <v>917.8</v>
      </c>
      <c r="HC11" s="285">
        <v>870.6</v>
      </c>
      <c r="HD11" s="285">
        <v>898.7</v>
      </c>
      <c r="HE11" s="285">
        <v>920.4</v>
      </c>
      <c r="HF11" s="285">
        <v>902</v>
      </c>
      <c r="HG11" s="285">
        <v>921.5</v>
      </c>
      <c r="HH11" s="285">
        <v>786.7</v>
      </c>
      <c r="HI11" s="285">
        <v>879.6</v>
      </c>
      <c r="HJ11" s="285">
        <v>919.7</v>
      </c>
      <c r="HK11" s="285">
        <v>859.8</v>
      </c>
      <c r="HL11" s="285">
        <v>902</v>
      </c>
      <c r="HM11" s="285">
        <v>762.3</v>
      </c>
      <c r="HN11" s="285">
        <v>847.7</v>
      </c>
      <c r="HO11" s="285">
        <v>818.9</v>
      </c>
      <c r="HP11" s="286">
        <v>857.4</v>
      </c>
      <c r="HQ11" s="286">
        <v>865.6</v>
      </c>
      <c r="HR11" s="286">
        <v>727.9</v>
      </c>
      <c r="HS11" s="286">
        <v>872.9</v>
      </c>
      <c r="HT11" s="286">
        <v>847.9</v>
      </c>
      <c r="HU11" s="286">
        <v>630.20000000000005</v>
      </c>
      <c r="HV11" s="545">
        <v>567.726</v>
      </c>
      <c r="HW11" s="545">
        <v>551.96399999999994</v>
      </c>
      <c r="HX11" s="545">
        <v>578.64</v>
      </c>
      <c r="HY11" s="545">
        <v>553.83000000000004</v>
      </c>
      <c r="HZ11" s="545">
        <v>593.61599999999999</v>
      </c>
      <c r="IA11" s="545">
        <v>574.74600000000009</v>
      </c>
      <c r="IB11" s="545">
        <v>585.15000000000009</v>
      </c>
      <c r="IC11" s="545">
        <v>617.76599999999996</v>
      </c>
      <c r="ID11" s="545">
        <v>646.46999999999991</v>
      </c>
      <c r="IE11" s="545">
        <v>596.07600000000002</v>
      </c>
      <c r="IF11" s="545">
        <v>531.08399999999995</v>
      </c>
      <c r="IG11" s="545">
        <v>560.99399999999991</v>
      </c>
      <c r="IH11" s="545">
        <v>547.77600000000007</v>
      </c>
      <c r="II11" s="545">
        <v>582.13200000000006</v>
      </c>
      <c r="IJ11" s="545">
        <v>613.98</v>
      </c>
      <c r="IK11" s="545">
        <v>589.12800000000004</v>
      </c>
      <c r="IL11" s="545">
        <v>609.25799999999992</v>
      </c>
      <c r="IM11" s="851">
        <v>604.18200000000002</v>
      </c>
      <c r="IN11" s="168"/>
    </row>
    <row r="12" spans="1:515">
      <c r="A12" s="81" t="s">
        <v>146</v>
      </c>
      <c r="B12" s="284">
        <v>545</v>
      </c>
      <c r="C12" s="284">
        <v>558</v>
      </c>
      <c r="D12" s="284">
        <v>624</v>
      </c>
      <c r="E12" s="284">
        <v>523</v>
      </c>
      <c r="F12" s="284">
        <v>605</v>
      </c>
      <c r="G12" s="284">
        <v>683</v>
      </c>
      <c r="H12" s="284">
        <v>559</v>
      </c>
      <c r="I12" s="284">
        <v>576</v>
      </c>
      <c r="J12" s="284">
        <v>626</v>
      </c>
      <c r="K12" s="284">
        <v>546</v>
      </c>
      <c r="L12" s="284">
        <v>563</v>
      </c>
      <c r="M12" s="284">
        <v>580</v>
      </c>
      <c r="N12" s="284">
        <v>487</v>
      </c>
      <c r="O12" s="284">
        <v>538</v>
      </c>
      <c r="P12" s="284">
        <v>614</v>
      </c>
      <c r="Q12" s="284">
        <v>531</v>
      </c>
      <c r="R12" s="284">
        <v>563</v>
      </c>
      <c r="S12" s="284">
        <v>629</v>
      </c>
      <c r="T12" s="284">
        <v>556</v>
      </c>
      <c r="U12" s="284">
        <v>630</v>
      </c>
      <c r="V12" s="284">
        <v>533</v>
      </c>
      <c r="W12" s="284">
        <v>513</v>
      </c>
      <c r="X12" s="284">
        <v>586</v>
      </c>
      <c r="Y12" s="284">
        <v>473</v>
      </c>
      <c r="Z12" s="284">
        <v>470</v>
      </c>
      <c r="AA12" s="284">
        <v>503</v>
      </c>
      <c r="AB12" s="284">
        <v>587</v>
      </c>
      <c r="AC12" s="284">
        <v>481</v>
      </c>
      <c r="AD12" s="284">
        <v>571</v>
      </c>
      <c r="AE12" s="284">
        <v>548</v>
      </c>
      <c r="AF12" s="284">
        <v>550</v>
      </c>
      <c r="AG12" s="284">
        <v>565</v>
      </c>
      <c r="AH12" s="284">
        <v>533</v>
      </c>
      <c r="AI12" s="284">
        <v>552</v>
      </c>
      <c r="AJ12" s="284">
        <v>522</v>
      </c>
      <c r="AK12" s="284">
        <v>511</v>
      </c>
      <c r="AL12" s="284">
        <v>492</v>
      </c>
      <c r="AM12" s="284">
        <v>504</v>
      </c>
      <c r="AN12" s="284">
        <v>556</v>
      </c>
      <c r="AO12" s="284">
        <v>443</v>
      </c>
      <c r="AP12" s="284">
        <v>553</v>
      </c>
      <c r="AQ12" s="284">
        <v>532</v>
      </c>
      <c r="AR12" s="284">
        <v>498</v>
      </c>
      <c r="AS12" s="284">
        <v>534</v>
      </c>
      <c r="AT12" s="284">
        <v>542</v>
      </c>
      <c r="AU12" s="284">
        <v>524</v>
      </c>
      <c r="AV12" s="284">
        <v>555</v>
      </c>
      <c r="AW12" s="284">
        <v>541</v>
      </c>
      <c r="AX12" s="284">
        <v>518</v>
      </c>
      <c r="AY12" s="284">
        <v>539</v>
      </c>
      <c r="AZ12" s="284">
        <v>479</v>
      </c>
      <c r="BA12" s="284">
        <v>439</v>
      </c>
      <c r="BB12" s="284">
        <v>590</v>
      </c>
      <c r="BC12" s="284">
        <v>583</v>
      </c>
      <c r="BD12" s="284">
        <v>581</v>
      </c>
      <c r="BE12" s="284">
        <v>609</v>
      </c>
      <c r="BF12" s="284">
        <v>588</v>
      </c>
      <c r="BG12" s="284">
        <v>606</v>
      </c>
      <c r="BH12" s="284">
        <v>614</v>
      </c>
      <c r="BI12" s="284">
        <v>613</v>
      </c>
      <c r="BJ12" s="284">
        <v>630</v>
      </c>
      <c r="BK12" s="284">
        <v>637</v>
      </c>
      <c r="BL12" s="284">
        <v>676</v>
      </c>
      <c r="BM12" s="284">
        <v>606</v>
      </c>
      <c r="BN12" s="284">
        <v>710</v>
      </c>
      <c r="BO12" s="284">
        <v>635</v>
      </c>
      <c r="BP12" s="284">
        <v>663</v>
      </c>
      <c r="BQ12" s="284">
        <v>669</v>
      </c>
      <c r="BR12" s="284">
        <v>648</v>
      </c>
      <c r="BS12" s="284">
        <v>640</v>
      </c>
      <c r="BT12" s="284">
        <v>663</v>
      </c>
      <c r="BU12" s="284">
        <v>574</v>
      </c>
      <c r="BV12" s="284">
        <v>596</v>
      </c>
      <c r="BW12" s="284">
        <v>603</v>
      </c>
      <c r="BX12" s="284">
        <v>630</v>
      </c>
      <c r="BY12" s="284">
        <v>537</v>
      </c>
      <c r="BZ12" s="284">
        <v>621</v>
      </c>
      <c r="CA12" s="284">
        <v>592</v>
      </c>
      <c r="CB12" s="284">
        <v>611</v>
      </c>
      <c r="CC12" s="284">
        <v>598</v>
      </c>
      <c r="CD12" s="284">
        <v>605</v>
      </c>
      <c r="CE12" s="284">
        <v>588</v>
      </c>
      <c r="CF12" s="284">
        <v>624</v>
      </c>
      <c r="CG12" s="284">
        <v>577</v>
      </c>
      <c r="CH12" s="284">
        <v>585</v>
      </c>
      <c r="CI12" s="284">
        <v>629</v>
      </c>
      <c r="CJ12" s="284">
        <v>620</v>
      </c>
      <c r="CK12" s="284">
        <v>620</v>
      </c>
      <c r="CL12" s="284">
        <v>678</v>
      </c>
      <c r="CM12" s="284">
        <v>652</v>
      </c>
      <c r="CN12" s="284">
        <v>668</v>
      </c>
      <c r="CO12" s="284">
        <v>657</v>
      </c>
      <c r="CP12" s="284">
        <v>662</v>
      </c>
      <c r="CQ12" s="284">
        <v>724</v>
      </c>
      <c r="CR12" s="284">
        <v>708</v>
      </c>
      <c r="CS12" s="284">
        <v>673</v>
      </c>
      <c r="CT12" s="284">
        <v>676</v>
      </c>
      <c r="CU12" s="284">
        <v>684</v>
      </c>
      <c r="CV12" s="284">
        <v>731</v>
      </c>
      <c r="CW12" s="284">
        <v>647</v>
      </c>
      <c r="CX12" s="284">
        <v>715</v>
      </c>
      <c r="CY12" s="284">
        <v>712</v>
      </c>
      <c r="CZ12" s="284">
        <v>697</v>
      </c>
      <c r="DA12" s="284">
        <v>688</v>
      </c>
      <c r="DB12" s="284">
        <v>680</v>
      </c>
      <c r="DC12" s="284">
        <v>685</v>
      </c>
      <c r="DD12" s="284">
        <v>663</v>
      </c>
      <c r="DE12" s="284">
        <v>642</v>
      </c>
      <c r="DF12" s="284">
        <v>646</v>
      </c>
      <c r="DG12" s="284">
        <v>648</v>
      </c>
      <c r="DH12" s="284">
        <v>710</v>
      </c>
      <c r="DI12" s="284">
        <v>610</v>
      </c>
      <c r="DJ12" s="284">
        <v>681</v>
      </c>
      <c r="DK12" s="284">
        <v>674</v>
      </c>
      <c r="DL12" s="284">
        <v>648</v>
      </c>
      <c r="DM12" s="284">
        <v>669</v>
      </c>
      <c r="DN12" s="284">
        <v>646</v>
      </c>
      <c r="DO12" s="284">
        <v>634</v>
      </c>
      <c r="DP12" s="284">
        <v>650</v>
      </c>
      <c r="DQ12" s="284">
        <v>609</v>
      </c>
      <c r="DR12" s="284">
        <v>619</v>
      </c>
      <c r="DS12" s="284">
        <v>609</v>
      </c>
      <c r="DT12" s="284">
        <v>657</v>
      </c>
      <c r="DU12" s="284">
        <v>594</v>
      </c>
      <c r="DV12" s="284">
        <v>628</v>
      </c>
      <c r="DW12" s="284">
        <v>624</v>
      </c>
      <c r="DX12" s="284">
        <v>624</v>
      </c>
      <c r="DY12" s="284">
        <v>643</v>
      </c>
      <c r="DZ12" s="284">
        <v>633</v>
      </c>
      <c r="EA12" s="284">
        <v>646</v>
      </c>
      <c r="EB12" s="284">
        <v>680</v>
      </c>
      <c r="EC12" s="284">
        <v>676</v>
      </c>
      <c r="ED12" s="284">
        <v>678</v>
      </c>
      <c r="EE12" s="284">
        <v>706</v>
      </c>
      <c r="EF12" s="284">
        <v>737</v>
      </c>
      <c r="EG12" s="284">
        <v>652</v>
      </c>
      <c r="EH12" s="284">
        <v>734</v>
      </c>
      <c r="EI12" s="284">
        <v>712</v>
      </c>
      <c r="EJ12" s="284">
        <v>705</v>
      </c>
      <c r="EK12" s="284">
        <v>731</v>
      </c>
      <c r="EL12" s="284">
        <v>692</v>
      </c>
      <c r="EM12" s="284">
        <v>709</v>
      </c>
      <c r="EN12" s="284">
        <v>711</v>
      </c>
      <c r="EO12" s="284">
        <v>670</v>
      </c>
      <c r="EP12" s="284">
        <v>680</v>
      </c>
      <c r="EQ12" s="284">
        <v>670</v>
      </c>
      <c r="ER12" s="284">
        <v>675</v>
      </c>
      <c r="ES12" s="284">
        <v>633</v>
      </c>
      <c r="ET12" s="284">
        <v>704</v>
      </c>
      <c r="EU12" s="284">
        <v>672</v>
      </c>
      <c r="EV12" s="284">
        <v>682</v>
      </c>
      <c r="EW12" s="284">
        <v>687</v>
      </c>
      <c r="EX12" s="284">
        <v>641</v>
      </c>
      <c r="EY12" s="284">
        <v>648</v>
      </c>
      <c r="EZ12" s="284">
        <v>661</v>
      </c>
      <c r="FA12" s="284">
        <v>626</v>
      </c>
      <c r="FB12" s="284">
        <v>638</v>
      </c>
      <c r="FC12" s="284">
        <v>667</v>
      </c>
      <c r="FD12" s="284">
        <v>717</v>
      </c>
      <c r="FE12" s="284">
        <v>349</v>
      </c>
      <c r="FF12" s="284">
        <v>402</v>
      </c>
      <c r="FG12" s="284">
        <v>379</v>
      </c>
      <c r="FH12" s="284">
        <v>391</v>
      </c>
      <c r="FI12" s="284">
        <v>390</v>
      </c>
      <c r="FJ12" s="284">
        <v>382</v>
      </c>
      <c r="FK12" s="284">
        <v>394</v>
      </c>
      <c r="FL12" s="284">
        <v>383</v>
      </c>
      <c r="FM12" s="284">
        <v>657</v>
      </c>
      <c r="FN12" s="284">
        <v>615</v>
      </c>
      <c r="FO12" s="284">
        <v>641</v>
      </c>
      <c r="FP12" s="284">
        <v>704</v>
      </c>
      <c r="FQ12" s="284">
        <v>619</v>
      </c>
      <c r="FR12" s="284">
        <v>699</v>
      </c>
      <c r="FS12" s="284">
        <v>708</v>
      </c>
      <c r="FT12" s="284">
        <v>721</v>
      </c>
      <c r="FU12" s="284">
        <v>723</v>
      </c>
      <c r="FV12" s="284">
        <v>727</v>
      </c>
      <c r="FW12" s="284">
        <v>726</v>
      </c>
      <c r="FX12" s="284">
        <v>704</v>
      </c>
      <c r="FY12" s="284">
        <v>710</v>
      </c>
      <c r="FZ12" s="284">
        <v>685</v>
      </c>
      <c r="GA12" s="284">
        <v>715</v>
      </c>
      <c r="GB12" s="284">
        <v>682</v>
      </c>
      <c r="GC12" s="284">
        <v>629</v>
      </c>
      <c r="GD12" s="284">
        <v>686</v>
      </c>
      <c r="GE12" s="284">
        <v>680</v>
      </c>
      <c r="GF12" s="284">
        <v>677.4</v>
      </c>
      <c r="GG12" s="284">
        <v>633.5</v>
      </c>
      <c r="GH12" s="284">
        <v>603</v>
      </c>
      <c r="GI12" s="284">
        <v>669.7</v>
      </c>
      <c r="GJ12" s="284">
        <v>607.1</v>
      </c>
      <c r="GK12" s="284">
        <v>561</v>
      </c>
      <c r="GL12" s="284">
        <v>566.4</v>
      </c>
      <c r="GM12" s="284">
        <v>552.9</v>
      </c>
      <c r="GN12" s="284">
        <v>591.6</v>
      </c>
      <c r="GO12" s="284">
        <v>487.3</v>
      </c>
      <c r="GP12" s="284">
        <v>578.4</v>
      </c>
      <c r="GQ12" s="284">
        <v>547.70000000000005</v>
      </c>
      <c r="GR12" s="284">
        <v>526.9</v>
      </c>
      <c r="GS12" s="284">
        <v>526.4</v>
      </c>
      <c r="GT12" s="284">
        <v>480.2</v>
      </c>
      <c r="GU12" s="284">
        <v>508.4</v>
      </c>
      <c r="GV12" s="284">
        <v>492.6</v>
      </c>
      <c r="GW12" s="284">
        <v>478</v>
      </c>
      <c r="GX12" s="284">
        <v>459.8</v>
      </c>
      <c r="GY12" s="284">
        <v>473.6</v>
      </c>
      <c r="GZ12" s="284">
        <v>542.29999999999995</v>
      </c>
      <c r="HA12" s="284">
        <v>525.20000000000005</v>
      </c>
      <c r="HB12" s="284">
        <v>566.20000000000005</v>
      </c>
      <c r="HC12" s="284">
        <v>535</v>
      </c>
      <c r="HD12" s="284">
        <v>528.29999999999995</v>
      </c>
      <c r="HE12" s="284">
        <v>548.6</v>
      </c>
      <c r="HF12" s="284">
        <v>509.7</v>
      </c>
      <c r="HG12" s="284">
        <v>560.1</v>
      </c>
      <c r="HH12" s="284">
        <v>539.20000000000005</v>
      </c>
      <c r="HI12" s="284">
        <v>458.1</v>
      </c>
      <c r="HJ12" s="284">
        <v>499</v>
      </c>
      <c r="HK12" s="284">
        <v>501.7</v>
      </c>
      <c r="HL12" s="284">
        <v>535.9</v>
      </c>
      <c r="HM12" s="284">
        <v>473.8</v>
      </c>
      <c r="HN12" s="284">
        <v>544.20000000000005</v>
      </c>
      <c r="HO12" s="284">
        <v>502.1</v>
      </c>
      <c r="HP12" s="284">
        <v>508.4</v>
      </c>
      <c r="HQ12" s="284">
        <v>506.2</v>
      </c>
      <c r="HR12" s="284">
        <v>482.7</v>
      </c>
      <c r="HS12" s="284">
        <v>499.4</v>
      </c>
      <c r="HT12" s="284">
        <v>500.7</v>
      </c>
      <c r="HU12" s="284">
        <v>481.9</v>
      </c>
      <c r="HV12" s="284">
        <v>489.1379</v>
      </c>
      <c r="HW12" s="284">
        <v>485.09990000000005</v>
      </c>
      <c r="HX12" s="284">
        <v>507.25189999999998</v>
      </c>
      <c r="HY12" s="284">
        <v>464.00990000000002</v>
      </c>
      <c r="HZ12" s="284">
        <v>518.04589999999996</v>
      </c>
      <c r="IA12" s="284">
        <v>512.96389999999997</v>
      </c>
      <c r="IB12" s="284">
        <v>475.49390000000005</v>
      </c>
      <c r="IC12" s="284">
        <v>501.1739</v>
      </c>
      <c r="ID12" s="284">
        <v>462.68989999999997</v>
      </c>
      <c r="IE12" s="284">
        <v>540.23990000000003</v>
      </c>
      <c r="IF12" s="284">
        <v>460.5299</v>
      </c>
      <c r="IG12" s="284">
        <v>511.99189999999999</v>
      </c>
      <c r="IH12" s="852">
        <v>391.608</v>
      </c>
      <c r="II12" s="852">
        <v>530.73590000000002</v>
      </c>
      <c r="IJ12" s="852">
        <v>491.82590000000005</v>
      </c>
      <c r="IK12" s="852">
        <v>489.49790000000002</v>
      </c>
      <c r="IL12" s="852">
        <v>506.13589999999999</v>
      </c>
      <c r="IM12" s="850">
        <v>518.3519</v>
      </c>
      <c r="IN12" s="168"/>
      <c r="IO12" s="750"/>
    </row>
    <row r="13" spans="1:515">
      <c r="A13" s="81" t="s">
        <v>148</v>
      </c>
      <c r="B13" s="285">
        <v>429</v>
      </c>
      <c r="C13" s="285">
        <v>455</v>
      </c>
      <c r="D13" s="285">
        <v>478</v>
      </c>
      <c r="E13" s="285">
        <v>413</v>
      </c>
      <c r="F13" s="285">
        <v>495</v>
      </c>
      <c r="G13" s="285">
        <v>454</v>
      </c>
      <c r="H13" s="285">
        <v>436</v>
      </c>
      <c r="I13" s="285">
        <v>469</v>
      </c>
      <c r="J13" s="285">
        <v>467</v>
      </c>
      <c r="K13" s="285">
        <v>444</v>
      </c>
      <c r="L13" s="285">
        <v>509</v>
      </c>
      <c r="M13" s="285">
        <v>371</v>
      </c>
      <c r="N13" s="285">
        <v>452</v>
      </c>
      <c r="O13" s="285">
        <v>423</v>
      </c>
      <c r="P13" s="285">
        <v>436</v>
      </c>
      <c r="Q13" s="285">
        <v>216</v>
      </c>
      <c r="R13" s="285">
        <v>226</v>
      </c>
      <c r="S13" s="285">
        <v>195</v>
      </c>
      <c r="T13" s="285">
        <v>212</v>
      </c>
      <c r="U13" s="285">
        <v>204</v>
      </c>
      <c r="V13" s="285">
        <v>207</v>
      </c>
      <c r="W13" s="285">
        <v>239</v>
      </c>
      <c r="X13" s="285">
        <v>238</v>
      </c>
      <c r="Y13" s="285">
        <v>208</v>
      </c>
      <c r="Z13" s="285">
        <v>188</v>
      </c>
      <c r="AA13" s="285">
        <v>205</v>
      </c>
      <c r="AB13" s="285">
        <v>250</v>
      </c>
      <c r="AC13" s="285">
        <v>208</v>
      </c>
      <c r="AD13" s="285">
        <v>203</v>
      </c>
      <c r="AE13" s="285">
        <v>206</v>
      </c>
      <c r="AF13" s="285">
        <v>216</v>
      </c>
      <c r="AG13" s="285">
        <v>206</v>
      </c>
      <c r="AH13" s="285">
        <v>206</v>
      </c>
      <c r="AI13" s="285">
        <v>213</v>
      </c>
      <c r="AJ13" s="285">
        <v>208</v>
      </c>
      <c r="AK13" s="285">
        <v>190</v>
      </c>
      <c r="AL13" s="285">
        <v>180</v>
      </c>
      <c r="AM13" s="285">
        <v>197</v>
      </c>
      <c r="AN13" s="285">
        <v>209</v>
      </c>
      <c r="AO13" s="285">
        <v>217</v>
      </c>
      <c r="AP13" s="285">
        <v>218</v>
      </c>
      <c r="AQ13" s="285">
        <v>237</v>
      </c>
      <c r="AR13" s="285">
        <v>244</v>
      </c>
      <c r="AS13" s="285">
        <v>242</v>
      </c>
      <c r="AT13" s="285">
        <v>248</v>
      </c>
      <c r="AU13" s="285">
        <v>240</v>
      </c>
      <c r="AV13" s="285">
        <v>258</v>
      </c>
      <c r="AW13" s="285">
        <v>228</v>
      </c>
      <c r="AX13" s="285">
        <v>212</v>
      </c>
      <c r="AY13" s="285">
        <v>250</v>
      </c>
      <c r="AZ13" s="285">
        <v>256</v>
      </c>
      <c r="BA13" s="285">
        <v>229</v>
      </c>
      <c r="BB13" s="285">
        <v>251</v>
      </c>
      <c r="BC13" s="285">
        <v>269</v>
      </c>
      <c r="BD13" s="285">
        <v>244</v>
      </c>
      <c r="BE13" s="285">
        <v>269</v>
      </c>
      <c r="BF13" s="285">
        <v>270</v>
      </c>
      <c r="BG13" s="285">
        <v>280</v>
      </c>
      <c r="BH13" s="285">
        <v>291</v>
      </c>
      <c r="BI13" s="285">
        <v>235</v>
      </c>
      <c r="BJ13" s="285">
        <v>261</v>
      </c>
      <c r="BK13" s="285">
        <v>312</v>
      </c>
      <c r="BL13" s="285">
        <v>320</v>
      </c>
      <c r="BM13" s="285">
        <v>262</v>
      </c>
      <c r="BN13" s="285">
        <v>345</v>
      </c>
      <c r="BO13" s="285">
        <v>347</v>
      </c>
      <c r="BP13" s="285">
        <v>334</v>
      </c>
      <c r="BQ13" s="285">
        <v>362</v>
      </c>
      <c r="BR13" s="285">
        <v>346</v>
      </c>
      <c r="BS13" s="285">
        <v>350</v>
      </c>
      <c r="BT13" s="285">
        <v>378</v>
      </c>
      <c r="BU13" s="285">
        <v>310</v>
      </c>
      <c r="BV13" s="285">
        <v>327</v>
      </c>
      <c r="BW13" s="285">
        <v>327</v>
      </c>
      <c r="BX13" s="285">
        <v>352</v>
      </c>
      <c r="BY13" s="285">
        <v>349</v>
      </c>
      <c r="BZ13" s="285">
        <v>415</v>
      </c>
      <c r="CA13" s="285">
        <v>381</v>
      </c>
      <c r="CB13" s="285">
        <v>390</v>
      </c>
      <c r="CC13" s="285">
        <v>397</v>
      </c>
      <c r="CD13" s="285">
        <v>396</v>
      </c>
      <c r="CE13" s="285">
        <v>428</v>
      </c>
      <c r="CF13" s="285">
        <v>440</v>
      </c>
      <c r="CG13" s="285">
        <v>357</v>
      </c>
      <c r="CH13" s="285">
        <v>357</v>
      </c>
      <c r="CI13" s="285">
        <v>386</v>
      </c>
      <c r="CJ13" s="285">
        <v>386</v>
      </c>
      <c r="CK13" s="285">
        <v>407</v>
      </c>
      <c r="CL13" s="285">
        <v>401</v>
      </c>
      <c r="CM13" s="285">
        <v>405</v>
      </c>
      <c r="CN13" s="285">
        <v>391</v>
      </c>
      <c r="CO13" s="285">
        <v>397</v>
      </c>
      <c r="CP13" s="285">
        <v>397</v>
      </c>
      <c r="CQ13" s="285">
        <v>413</v>
      </c>
      <c r="CR13" s="285">
        <v>396</v>
      </c>
      <c r="CS13" s="285">
        <v>388</v>
      </c>
      <c r="CT13" s="285">
        <v>383</v>
      </c>
      <c r="CU13" s="285">
        <v>379</v>
      </c>
      <c r="CV13" s="285">
        <v>391</v>
      </c>
      <c r="CW13" s="285">
        <v>360</v>
      </c>
      <c r="CX13" s="285">
        <v>391</v>
      </c>
      <c r="CY13" s="285">
        <v>382</v>
      </c>
      <c r="CZ13" s="285">
        <v>378</v>
      </c>
      <c r="DA13" s="285">
        <v>353</v>
      </c>
      <c r="DB13" s="285">
        <v>344</v>
      </c>
      <c r="DC13" s="285">
        <v>347</v>
      </c>
      <c r="DD13" s="285">
        <v>357</v>
      </c>
      <c r="DE13" s="285">
        <v>324</v>
      </c>
      <c r="DF13" s="285">
        <v>369</v>
      </c>
      <c r="DG13" s="285">
        <v>393</v>
      </c>
      <c r="DH13" s="285">
        <v>402</v>
      </c>
      <c r="DI13" s="285">
        <v>370</v>
      </c>
      <c r="DJ13" s="285">
        <v>393</v>
      </c>
      <c r="DK13" s="285">
        <v>390</v>
      </c>
      <c r="DL13" s="285">
        <v>402</v>
      </c>
      <c r="DM13" s="285">
        <v>433</v>
      </c>
      <c r="DN13" s="285">
        <v>379</v>
      </c>
      <c r="DO13" s="285">
        <v>405</v>
      </c>
      <c r="DP13" s="285">
        <v>435</v>
      </c>
      <c r="DQ13" s="285">
        <v>343</v>
      </c>
      <c r="DR13" s="285">
        <v>367</v>
      </c>
      <c r="DS13" s="285">
        <v>410</v>
      </c>
      <c r="DT13" s="285">
        <v>420</v>
      </c>
      <c r="DU13" s="285">
        <v>396</v>
      </c>
      <c r="DV13" s="285">
        <v>439</v>
      </c>
      <c r="DW13" s="285">
        <v>461</v>
      </c>
      <c r="DX13" s="285">
        <v>483</v>
      </c>
      <c r="DY13" s="285">
        <v>500</v>
      </c>
      <c r="DZ13" s="285">
        <v>477</v>
      </c>
      <c r="EA13" s="285">
        <v>479</v>
      </c>
      <c r="EB13" s="285">
        <v>508</v>
      </c>
      <c r="EC13" s="285">
        <v>435</v>
      </c>
      <c r="ED13" s="285">
        <v>464</v>
      </c>
      <c r="EE13" s="285">
        <v>525</v>
      </c>
      <c r="EF13" s="285">
        <v>547</v>
      </c>
      <c r="EG13" s="285">
        <v>528</v>
      </c>
      <c r="EH13" s="285">
        <v>556</v>
      </c>
      <c r="EI13" s="285">
        <v>524</v>
      </c>
      <c r="EJ13" s="285">
        <v>559</v>
      </c>
      <c r="EK13" s="285">
        <v>523</v>
      </c>
      <c r="EL13" s="285">
        <v>547</v>
      </c>
      <c r="EM13" s="285">
        <v>584</v>
      </c>
      <c r="EN13" s="285">
        <v>567</v>
      </c>
      <c r="EO13" s="285">
        <v>467</v>
      </c>
      <c r="EP13" s="285">
        <v>504</v>
      </c>
      <c r="EQ13" s="285">
        <v>521</v>
      </c>
      <c r="ER13" s="285">
        <v>559</v>
      </c>
      <c r="ES13" s="285">
        <v>565</v>
      </c>
      <c r="ET13" s="285">
        <v>577</v>
      </c>
      <c r="EU13" s="285">
        <v>508</v>
      </c>
      <c r="EV13" s="285">
        <v>577</v>
      </c>
      <c r="EW13" s="285">
        <v>573</v>
      </c>
      <c r="EX13" s="285">
        <v>550</v>
      </c>
      <c r="EY13" s="285">
        <v>573</v>
      </c>
      <c r="EZ13" s="285">
        <v>586</v>
      </c>
      <c r="FA13" s="285">
        <v>526</v>
      </c>
      <c r="FB13" s="285">
        <v>539</v>
      </c>
      <c r="FC13" s="285">
        <v>535</v>
      </c>
      <c r="FD13" s="285">
        <v>607</v>
      </c>
      <c r="FE13" s="285">
        <v>574</v>
      </c>
      <c r="FF13" s="285">
        <v>625</v>
      </c>
      <c r="FG13" s="285">
        <v>628</v>
      </c>
      <c r="FH13" s="285">
        <v>702</v>
      </c>
      <c r="FI13" s="285">
        <v>676</v>
      </c>
      <c r="FJ13" s="285">
        <v>705</v>
      </c>
      <c r="FK13" s="285">
        <v>692</v>
      </c>
      <c r="FL13" s="285">
        <v>736</v>
      </c>
      <c r="FM13" s="285">
        <v>602</v>
      </c>
      <c r="FN13" s="285">
        <v>552</v>
      </c>
      <c r="FO13" s="285">
        <v>569</v>
      </c>
      <c r="FP13" s="285">
        <v>595</v>
      </c>
      <c r="FQ13" s="285">
        <v>527</v>
      </c>
      <c r="FR13" s="285">
        <v>556</v>
      </c>
      <c r="FS13" s="285">
        <v>569</v>
      </c>
      <c r="FT13" s="285">
        <v>587</v>
      </c>
      <c r="FU13" s="285">
        <v>541</v>
      </c>
      <c r="FV13" s="285">
        <v>515</v>
      </c>
      <c r="FW13" s="285">
        <v>535</v>
      </c>
      <c r="FX13" s="285">
        <v>603</v>
      </c>
      <c r="FY13" s="285">
        <v>477</v>
      </c>
      <c r="FZ13" s="285">
        <v>458</v>
      </c>
      <c r="GA13" s="285">
        <v>516</v>
      </c>
      <c r="GB13" s="285">
        <v>534</v>
      </c>
      <c r="GC13" s="285">
        <v>488</v>
      </c>
      <c r="GD13" s="285">
        <v>517</v>
      </c>
      <c r="GE13" s="285">
        <v>419</v>
      </c>
      <c r="GF13" s="285">
        <v>471.9</v>
      </c>
      <c r="GG13" s="285">
        <v>473.1</v>
      </c>
      <c r="GH13" s="285">
        <v>442.2</v>
      </c>
      <c r="GI13" s="285">
        <v>503.6</v>
      </c>
      <c r="GJ13" s="285">
        <v>551.20000000000005</v>
      </c>
      <c r="GK13" s="285">
        <v>463.6</v>
      </c>
      <c r="GL13" s="285">
        <v>443.5</v>
      </c>
      <c r="GM13" s="285">
        <v>461</v>
      </c>
      <c r="GN13" s="285">
        <v>481</v>
      </c>
      <c r="GO13" s="285">
        <v>452.9</v>
      </c>
      <c r="GP13" s="285">
        <v>521.79999999999995</v>
      </c>
      <c r="GQ13" s="285">
        <v>524.70000000000005</v>
      </c>
      <c r="GR13" s="285">
        <v>515.1</v>
      </c>
      <c r="GS13" s="285">
        <v>528.9</v>
      </c>
      <c r="GT13" s="285">
        <v>491.1</v>
      </c>
      <c r="GU13" s="285">
        <v>569.1</v>
      </c>
      <c r="GV13" s="285">
        <v>575.1</v>
      </c>
      <c r="GW13" s="285">
        <v>431.2</v>
      </c>
      <c r="GX13" s="285">
        <v>433.7</v>
      </c>
      <c r="GY13" s="285">
        <v>474.2</v>
      </c>
      <c r="GZ13" s="285">
        <v>459.2</v>
      </c>
      <c r="HA13" s="285">
        <v>468</v>
      </c>
      <c r="HB13" s="285">
        <v>542.1</v>
      </c>
      <c r="HC13" s="285">
        <v>531.29999999999995</v>
      </c>
      <c r="HD13" s="285">
        <v>543</v>
      </c>
      <c r="HE13" s="285">
        <v>482.8</v>
      </c>
      <c r="HF13" s="285">
        <v>456.3</v>
      </c>
      <c r="HG13" s="285">
        <v>491</v>
      </c>
      <c r="HH13" s="285">
        <v>527.79999999999995</v>
      </c>
      <c r="HI13" s="285">
        <v>396.6</v>
      </c>
      <c r="HJ13" s="285">
        <v>446.2</v>
      </c>
      <c r="HK13" s="285">
        <v>496</v>
      </c>
      <c r="HL13" s="285">
        <v>519.6</v>
      </c>
      <c r="HM13" s="285">
        <v>484.1</v>
      </c>
      <c r="HN13" s="285">
        <v>532.1</v>
      </c>
      <c r="HO13" s="285">
        <v>461.6</v>
      </c>
      <c r="HP13" s="286">
        <v>516.79999999999995</v>
      </c>
      <c r="HQ13" s="286">
        <v>507.2</v>
      </c>
      <c r="HR13" s="286">
        <v>490.8</v>
      </c>
      <c r="HS13" s="286">
        <v>518.5</v>
      </c>
      <c r="HT13" s="286">
        <v>495.8</v>
      </c>
      <c r="HU13" s="286">
        <v>372.5</v>
      </c>
      <c r="HV13" s="545">
        <v>400.07400000000007</v>
      </c>
      <c r="HW13" s="545">
        <v>468.94199999999978</v>
      </c>
      <c r="HX13" s="545">
        <v>489.13199999999989</v>
      </c>
      <c r="HY13" s="545">
        <v>403.1280000000001</v>
      </c>
      <c r="HZ13" s="545">
        <v>423.48000000000008</v>
      </c>
      <c r="IA13" s="545">
        <v>397.32600000000002</v>
      </c>
      <c r="IB13" s="545">
        <v>518.29799999999989</v>
      </c>
      <c r="IC13" s="545">
        <v>509.90400000000005</v>
      </c>
      <c r="ID13" s="545">
        <v>468.3420000000001</v>
      </c>
      <c r="IE13" s="545">
        <v>520.77600000000007</v>
      </c>
      <c r="IF13" s="545">
        <v>471.24599999999998</v>
      </c>
      <c r="IG13" s="545">
        <v>403.17599999999993</v>
      </c>
      <c r="IH13" s="545">
        <v>415.87799999999993</v>
      </c>
      <c r="II13" s="545">
        <v>459.48000000000008</v>
      </c>
      <c r="IJ13" s="545">
        <v>455.69999999999993</v>
      </c>
      <c r="IK13" s="545">
        <v>423.24000000000018</v>
      </c>
      <c r="IL13" s="545">
        <v>444.23400000000004</v>
      </c>
      <c r="IM13" s="851">
        <v>436.10399999999976</v>
      </c>
      <c r="IN13" s="168"/>
    </row>
    <row r="14" spans="1:515">
      <c r="A14" s="81" t="s">
        <v>145</v>
      </c>
      <c r="B14" s="284">
        <v>588</v>
      </c>
      <c r="C14" s="284">
        <v>558</v>
      </c>
      <c r="D14" s="284">
        <v>618</v>
      </c>
      <c r="E14" s="284">
        <v>576</v>
      </c>
      <c r="F14" s="284">
        <v>634</v>
      </c>
      <c r="G14" s="284">
        <v>592</v>
      </c>
      <c r="H14" s="284">
        <v>611</v>
      </c>
      <c r="I14" s="284">
        <v>660</v>
      </c>
      <c r="J14" s="284">
        <v>610</v>
      </c>
      <c r="K14" s="284">
        <v>718</v>
      </c>
      <c r="L14" s="284">
        <v>649</v>
      </c>
      <c r="M14" s="284">
        <v>779</v>
      </c>
      <c r="N14" s="284">
        <v>773</v>
      </c>
      <c r="O14" s="284">
        <v>596</v>
      </c>
      <c r="P14" s="284">
        <v>695</v>
      </c>
      <c r="Q14" s="284">
        <v>677</v>
      </c>
      <c r="R14" s="284">
        <v>726</v>
      </c>
      <c r="S14" s="284">
        <v>744</v>
      </c>
      <c r="T14" s="284">
        <v>761</v>
      </c>
      <c r="U14" s="284">
        <v>759</v>
      </c>
      <c r="V14" s="284">
        <v>699</v>
      </c>
      <c r="W14" s="284">
        <v>741</v>
      </c>
      <c r="X14" s="284">
        <v>740</v>
      </c>
      <c r="Y14" s="284">
        <v>724</v>
      </c>
      <c r="Z14" s="284">
        <v>726</v>
      </c>
      <c r="AA14" s="284">
        <v>669</v>
      </c>
      <c r="AB14" s="284">
        <v>713</v>
      </c>
      <c r="AC14" s="284">
        <v>688</v>
      </c>
      <c r="AD14" s="284">
        <v>843</v>
      </c>
      <c r="AE14" s="284">
        <v>639</v>
      </c>
      <c r="AF14" s="284">
        <v>644</v>
      </c>
      <c r="AG14" s="284">
        <v>631</v>
      </c>
      <c r="AH14" s="284">
        <v>658</v>
      </c>
      <c r="AI14" s="284">
        <v>743</v>
      </c>
      <c r="AJ14" s="284">
        <v>764</v>
      </c>
      <c r="AK14" s="284">
        <v>690</v>
      </c>
      <c r="AL14" s="284">
        <v>686</v>
      </c>
      <c r="AM14" s="284">
        <v>690</v>
      </c>
      <c r="AN14" s="284">
        <v>721</v>
      </c>
      <c r="AO14" s="284">
        <v>690</v>
      </c>
      <c r="AP14" s="284">
        <v>697</v>
      </c>
      <c r="AQ14" s="284">
        <v>903</v>
      </c>
      <c r="AR14" s="284">
        <v>928</v>
      </c>
      <c r="AS14" s="284">
        <v>971</v>
      </c>
      <c r="AT14" s="284">
        <v>932</v>
      </c>
      <c r="AU14" s="284">
        <v>730</v>
      </c>
      <c r="AV14" s="284">
        <v>737</v>
      </c>
      <c r="AW14" s="284">
        <v>660</v>
      </c>
      <c r="AX14" s="284">
        <v>823</v>
      </c>
      <c r="AY14" s="284">
        <v>859</v>
      </c>
      <c r="AZ14" s="284">
        <v>885</v>
      </c>
      <c r="BA14" s="284">
        <v>929</v>
      </c>
      <c r="BB14" s="284">
        <v>979</v>
      </c>
      <c r="BC14" s="284">
        <v>998</v>
      </c>
      <c r="BD14" s="284">
        <v>983</v>
      </c>
      <c r="BE14" s="284">
        <v>859</v>
      </c>
      <c r="BF14" s="284">
        <v>955</v>
      </c>
      <c r="BG14" s="284">
        <v>904</v>
      </c>
      <c r="BH14" s="284">
        <v>938</v>
      </c>
      <c r="BI14" s="284">
        <v>925</v>
      </c>
      <c r="BJ14" s="284">
        <v>918</v>
      </c>
      <c r="BK14" s="284">
        <v>920</v>
      </c>
      <c r="BL14" s="284">
        <v>951</v>
      </c>
      <c r="BM14" s="284">
        <v>906</v>
      </c>
      <c r="BN14" s="284">
        <v>960</v>
      </c>
      <c r="BO14" s="284">
        <v>928</v>
      </c>
      <c r="BP14" s="284">
        <v>965</v>
      </c>
      <c r="BQ14" s="284">
        <v>977</v>
      </c>
      <c r="BR14" s="284">
        <v>949</v>
      </c>
      <c r="BS14" s="284">
        <v>1006</v>
      </c>
      <c r="BT14" s="284">
        <v>1053</v>
      </c>
      <c r="BU14" s="284">
        <v>953</v>
      </c>
      <c r="BV14" s="284">
        <v>895</v>
      </c>
      <c r="BW14" s="284">
        <v>911</v>
      </c>
      <c r="BX14" s="284">
        <v>1019</v>
      </c>
      <c r="BY14" s="284">
        <v>1031</v>
      </c>
      <c r="BZ14" s="284">
        <v>1002</v>
      </c>
      <c r="CA14" s="284">
        <v>1031</v>
      </c>
      <c r="CB14" s="284">
        <v>1057</v>
      </c>
      <c r="CC14" s="284">
        <v>1093</v>
      </c>
      <c r="CD14" s="284">
        <v>1091</v>
      </c>
      <c r="CE14" s="284">
        <v>1140</v>
      </c>
      <c r="CF14" s="284">
        <v>1121</v>
      </c>
      <c r="CG14" s="284">
        <v>1088</v>
      </c>
      <c r="CH14" s="284">
        <v>1106</v>
      </c>
      <c r="CI14" s="284">
        <v>1100</v>
      </c>
      <c r="CJ14" s="284">
        <v>1143</v>
      </c>
      <c r="CK14" s="284">
        <v>1112</v>
      </c>
      <c r="CL14" s="284">
        <v>1089</v>
      </c>
      <c r="CM14" s="284">
        <v>1265</v>
      </c>
      <c r="CN14" s="284">
        <v>1133</v>
      </c>
      <c r="CO14" s="284">
        <v>1107</v>
      </c>
      <c r="CP14" s="284">
        <v>1123</v>
      </c>
      <c r="CQ14" s="284">
        <v>1117</v>
      </c>
      <c r="CR14" s="284">
        <v>1094</v>
      </c>
      <c r="CS14" s="284">
        <v>1066</v>
      </c>
      <c r="CT14" s="284">
        <v>1018</v>
      </c>
      <c r="CU14" s="284">
        <v>846</v>
      </c>
      <c r="CV14" s="284">
        <v>832</v>
      </c>
      <c r="CW14" s="284">
        <v>840</v>
      </c>
      <c r="CX14" s="284">
        <v>998</v>
      </c>
      <c r="CY14" s="284">
        <v>836</v>
      </c>
      <c r="CZ14" s="284">
        <v>775</v>
      </c>
      <c r="DA14" s="284">
        <v>780</v>
      </c>
      <c r="DB14" s="284">
        <v>762</v>
      </c>
      <c r="DC14" s="284">
        <v>762</v>
      </c>
      <c r="DD14" s="284">
        <v>777</v>
      </c>
      <c r="DE14" s="284">
        <v>673</v>
      </c>
      <c r="DF14" s="284">
        <v>661</v>
      </c>
      <c r="DG14" s="284">
        <v>644</v>
      </c>
      <c r="DH14" s="284">
        <v>719</v>
      </c>
      <c r="DI14" s="284">
        <v>671</v>
      </c>
      <c r="DJ14" s="284">
        <v>699</v>
      </c>
      <c r="DK14" s="284">
        <v>703</v>
      </c>
      <c r="DL14" s="284">
        <v>737</v>
      </c>
      <c r="DM14" s="284">
        <v>745</v>
      </c>
      <c r="DN14" s="284">
        <v>733</v>
      </c>
      <c r="DO14" s="284">
        <v>767</v>
      </c>
      <c r="DP14" s="284">
        <v>786</v>
      </c>
      <c r="DQ14" s="284">
        <v>799</v>
      </c>
      <c r="DR14" s="284">
        <v>729</v>
      </c>
      <c r="DS14" s="284">
        <v>667</v>
      </c>
      <c r="DT14" s="284">
        <v>750</v>
      </c>
      <c r="DU14" s="284">
        <v>707</v>
      </c>
      <c r="DV14" s="284">
        <v>733</v>
      </c>
      <c r="DW14" s="284">
        <v>715</v>
      </c>
      <c r="DX14" s="284">
        <v>715</v>
      </c>
      <c r="DY14" s="284">
        <v>741</v>
      </c>
      <c r="DZ14" s="284">
        <v>741</v>
      </c>
      <c r="EA14" s="284">
        <v>754</v>
      </c>
      <c r="EB14" s="284">
        <v>727</v>
      </c>
      <c r="EC14" s="284">
        <v>729</v>
      </c>
      <c r="ED14" s="284">
        <v>751</v>
      </c>
      <c r="EE14" s="284">
        <v>749</v>
      </c>
      <c r="EF14" s="284">
        <v>811</v>
      </c>
      <c r="EG14" s="284">
        <v>718</v>
      </c>
      <c r="EH14" s="284">
        <v>778</v>
      </c>
      <c r="EI14" s="284">
        <v>731</v>
      </c>
      <c r="EJ14" s="284">
        <v>756</v>
      </c>
      <c r="EK14" s="284">
        <v>762</v>
      </c>
      <c r="EL14" s="284">
        <v>734</v>
      </c>
      <c r="EM14" s="284">
        <v>791</v>
      </c>
      <c r="EN14" s="284">
        <v>767</v>
      </c>
      <c r="EO14" s="284">
        <v>742</v>
      </c>
      <c r="EP14" s="284">
        <v>798</v>
      </c>
      <c r="EQ14" s="284">
        <v>747</v>
      </c>
      <c r="ER14" s="284">
        <v>841</v>
      </c>
      <c r="ES14" s="284">
        <v>816</v>
      </c>
      <c r="ET14" s="284">
        <v>837</v>
      </c>
      <c r="EU14" s="284">
        <v>765</v>
      </c>
      <c r="EV14" s="284">
        <v>768</v>
      </c>
      <c r="EW14" s="284">
        <v>753</v>
      </c>
      <c r="EX14" s="284">
        <v>670</v>
      </c>
      <c r="EY14" s="284">
        <v>703</v>
      </c>
      <c r="EZ14" s="284">
        <v>692</v>
      </c>
      <c r="FA14" s="284">
        <v>648</v>
      </c>
      <c r="FB14" s="284">
        <v>568</v>
      </c>
      <c r="FC14" s="284">
        <v>553</v>
      </c>
      <c r="FD14" s="284">
        <v>621</v>
      </c>
      <c r="FE14" s="284">
        <v>609</v>
      </c>
      <c r="FF14" s="284">
        <v>644</v>
      </c>
      <c r="FG14" s="284">
        <v>531</v>
      </c>
      <c r="FH14" s="284">
        <v>645</v>
      </c>
      <c r="FI14" s="284">
        <v>626</v>
      </c>
      <c r="FJ14" s="284">
        <v>677</v>
      </c>
      <c r="FK14" s="284">
        <v>695</v>
      </c>
      <c r="FL14" s="284">
        <v>662</v>
      </c>
      <c r="FM14" s="284">
        <v>633</v>
      </c>
      <c r="FN14" s="284">
        <v>652</v>
      </c>
      <c r="FO14" s="284">
        <v>618</v>
      </c>
      <c r="FP14" s="284">
        <v>665</v>
      </c>
      <c r="FQ14" s="284">
        <v>617</v>
      </c>
      <c r="FR14" s="284">
        <v>625</v>
      </c>
      <c r="FS14" s="284">
        <v>611</v>
      </c>
      <c r="FT14" s="284">
        <v>494</v>
      </c>
      <c r="FU14" s="284">
        <v>485</v>
      </c>
      <c r="FV14" s="284">
        <v>464</v>
      </c>
      <c r="FW14" s="284">
        <v>471</v>
      </c>
      <c r="FX14" s="284">
        <v>474</v>
      </c>
      <c r="FY14" s="284">
        <v>427</v>
      </c>
      <c r="FZ14" s="284">
        <v>424</v>
      </c>
      <c r="GA14" s="284">
        <v>443</v>
      </c>
      <c r="GB14" s="284">
        <v>476</v>
      </c>
      <c r="GC14" s="284">
        <v>438</v>
      </c>
      <c r="GD14" s="284">
        <v>436</v>
      </c>
      <c r="GE14" s="284">
        <v>429</v>
      </c>
      <c r="GF14" s="284">
        <v>404</v>
      </c>
      <c r="GG14" s="284">
        <v>400.1</v>
      </c>
      <c r="GH14" s="284">
        <v>375.9</v>
      </c>
      <c r="GI14" s="284">
        <v>364.5</v>
      </c>
      <c r="GJ14" s="284">
        <v>355.8</v>
      </c>
      <c r="GK14" s="284">
        <v>347.4</v>
      </c>
      <c r="GL14" s="284">
        <v>403.9</v>
      </c>
      <c r="GM14" s="284">
        <v>326.10000000000002</v>
      </c>
      <c r="GN14" s="284">
        <v>359.6</v>
      </c>
      <c r="GO14" s="284">
        <v>328.7</v>
      </c>
      <c r="GP14" s="284">
        <v>368.3</v>
      </c>
      <c r="GQ14" s="284">
        <v>363.3</v>
      </c>
      <c r="GR14" s="284">
        <v>374.5</v>
      </c>
      <c r="GS14" s="284">
        <v>409.7</v>
      </c>
      <c r="GT14" s="284">
        <v>391.6</v>
      </c>
      <c r="GU14" s="284">
        <v>395.2</v>
      </c>
      <c r="GV14" s="284">
        <v>405</v>
      </c>
      <c r="GW14" s="284">
        <v>377.5</v>
      </c>
      <c r="GX14" s="284">
        <v>381.6</v>
      </c>
      <c r="GY14" s="284">
        <v>340.1</v>
      </c>
      <c r="GZ14" s="284">
        <v>375.4</v>
      </c>
      <c r="HA14" s="284">
        <v>372</v>
      </c>
      <c r="HB14" s="284">
        <v>391.5</v>
      </c>
      <c r="HC14" s="284">
        <v>370.3</v>
      </c>
      <c r="HD14" s="284">
        <v>356.2</v>
      </c>
      <c r="HE14" s="284">
        <v>392.1</v>
      </c>
      <c r="HF14" s="284">
        <v>361.6</v>
      </c>
      <c r="HG14" s="284">
        <v>352</v>
      </c>
      <c r="HH14" s="284">
        <v>385.7</v>
      </c>
      <c r="HI14" s="284">
        <v>347.3</v>
      </c>
      <c r="HJ14" s="284">
        <v>370.8</v>
      </c>
      <c r="HK14" s="284">
        <v>341.8</v>
      </c>
      <c r="HL14" s="284">
        <v>374.1</v>
      </c>
      <c r="HM14" s="284">
        <v>342</v>
      </c>
      <c r="HN14" s="284">
        <v>367.9</v>
      </c>
      <c r="HO14" s="284">
        <v>338.8</v>
      </c>
      <c r="HP14" s="284">
        <v>351.7</v>
      </c>
      <c r="HQ14" s="284">
        <v>348.1</v>
      </c>
      <c r="HR14" s="284">
        <v>331.3</v>
      </c>
      <c r="HS14" s="284">
        <v>337.8</v>
      </c>
      <c r="HT14" s="284">
        <v>330.9</v>
      </c>
      <c r="HU14" s="284">
        <v>295.8</v>
      </c>
      <c r="HV14" s="284">
        <v>304.80599999999998</v>
      </c>
      <c r="HW14" s="284">
        <v>291.06600000000003</v>
      </c>
      <c r="HX14" s="284">
        <v>221.142</v>
      </c>
      <c r="HY14" s="284">
        <v>161.54399999999998</v>
      </c>
      <c r="HZ14" s="284">
        <v>266.964</v>
      </c>
      <c r="IA14" s="284">
        <v>268.39800000000002</v>
      </c>
      <c r="IB14" s="284">
        <v>46.686</v>
      </c>
      <c r="IC14" s="284">
        <v>46.686</v>
      </c>
      <c r="ID14" s="284">
        <v>44.94</v>
      </c>
      <c r="IE14" s="284">
        <v>71.460000000000008</v>
      </c>
      <c r="IF14" s="284">
        <v>55.59</v>
      </c>
      <c r="IG14" s="284">
        <v>78.641999999999996</v>
      </c>
      <c r="IH14" s="284">
        <v>140.86199999999999</v>
      </c>
      <c r="II14" s="284">
        <v>216.58199999999999</v>
      </c>
      <c r="IJ14" s="284">
        <v>233.55599999999998</v>
      </c>
      <c r="IK14" s="284">
        <v>106.06800000000001</v>
      </c>
      <c r="IL14" s="284">
        <v>246.108</v>
      </c>
      <c r="IM14" s="850">
        <v>251.13599999999997</v>
      </c>
      <c r="IN14" s="168"/>
    </row>
    <row r="15" spans="1:515">
      <c r="A15" s="81" t="s">
        <v>8</v>
      </c>
      <c r="B15" s="285">
        <v>4791</v>
      </c>
      <c r="C15" s="285">
        <v>4828</v>
      </c>
      <c r="D15" s="285">
        <v>5115</v>
      </c>
      <c r="E15" s="285">
        <v>5068</v>
      </c>
      <c r="F15" s="285">
        <v>5445</v>
      </c>
      <c r="G15" s="285">
        <v>5089</v>
      </c>
      <c r="H15" s="285">
        <v>5572</v>
      </c>
      <c r="I15" s="285">
        <v>5383</v>
      </c>
      <c r="J15" s="285">
        <v>4998</v>
      </c>
      <c r="K15" s="285">
        <v>5008</v>
      </c>
      <c r="L15" s="285">
        <v>4919</v>
      </c>
      <c r="M15" s="285">
        <v>4729</v>
      </c>
      <c r="N15" s="285">
        <v>5094</v>
      </c>
      <c r="O15" s="285">
        <v>4205</v>
      </c>
      <c r="P15" s="285">
        <v>4756</v>
      </c>
      <c r="Q15" s="285">
        <v>4901</v>
      </c>
      <c r="R15" s="285">
        <v>4734</v>
      </c>
      <c r="S15" s="285">
        <v>4742</v>
      </c>
      <c r="T15" s="285">
        <v>5532</v>
      </c>
      <c r="U15" s="285">
        <v>4547</v>
      </c>
      <c r="V15" s="285">
        <v>4909</v>
      </c>
      <c r="W15" s="285">
        <v>4755</v>
      </c>
      <c r="X15" s="285">
        <v>4705</v>
      </c>
      <c r="Y15" s="285">
        <v>5064</v>
      </c>
      <c r="Z15" s="285">
        <v>5068</v>
      </c>
      <c r="AA15" s="285">
        <v>4986</v>
      </c>
      <c r="AB15" s="285">
        <v>5310</v>
      </c>
      <c r="AC15" s="285">
        <v>5093</v>
      </c>
      <c r="AD15" s="285">
        <v>5144</v>
      </c>
      <c r="AE15" s="285">
        <v>5376</v>
      </c>
      <c r="AF15" s="285">
        <v>5673</v>
      </c>
      <c r="AG15" s="285">
        <v>5500</v>
      </c>
      <c r="AH15" s="285">
        <v>5469</v>
      </c>
      <c r="AI15" s="285">
        <v>5452</v>
      </c>
      <c r="AJ15" s="285">
        <v>5244</v>
      </c>
      <c r="AK15" s="285">
        <v>5623</v>
      </c>
      <c r="AL15" s="285">
        <v>5256</v>
      </c>
      <c r="AM15" s="285">
        <v>5214</v>
      </c>
      <c r="AN15" s="285">
        <v>5248</v>
      </c>
      <c r="AO15" s="285">
        <v>5025</v>
      </c>
      <c r="AP15" s="285">
        <v>5080</v>
      </c>
      <c r="AQ15" s="285">
        <v>5569</v>
      </c>
      <c r="AR15" s="285">
        <v>5258</v>
      </c>
      <c r="AS15" s="285">
        <v>5287</v>
      </c>
      <c r="AT15" s="285">
        <v>5203</v>
      </c>
      <c r="AU15" s="285">
        <v>5084</v>
      </c>
      <c r="AV15" s="285">
        <v>5547</v>
      </c>
      <c r="AW15" s="285">
        <v>5024</v>
      </c>
      <c r="AX15" s="285">
        <v>4973</v>
      </c>
      <c r="AY15" s="285">
        <v>4818</v>
      </c>
      <c r="AZ15" s="285">
        <v>5010</v>
      </c>
      <c r="BA15" s="285">
        <v>4829</v>
      </c>
      <c r="BB15" s="285">
        <v>5053</v>
      </c>
      <c r="BC15" s="285">
        <v>5313</v>
      </c>
      <c r="BD15" s="285">
        <v>4971</v>
      </c>
      <c r="BE15" s="285">
        <v>4970</v>
      </c>
      <c r="BF15" s="285">
        <v>4939</v>
      </c>
      <c r="BG15" s="285">
        <v>4953</v>
      </c>
      <c r="BH15" s="285">
        <v>4986</v>
      </c>
      <c r="BI15" s="285">
        <v>5055</v>
      </c>
      <c r="BJ15" s="285">
        <v>4969</v>
      </c>
      <c r="BK15" s="285">
        <v>4851</v>
      </c>
      <c r="BL15" s="285">
        <v>5166</v>
      </c>
      <c r="BM15" s="285">
        <v>5050</v>
      </c>
      <c r="BN15" s="285">
        <v>5354</v>
      </c>
      <c r="BO15" s="285">
        <v>5692</v>
      </c>
      <c r="BP15" s="285">
        <v>5431</v>
      </c>
      <c r="BQ15" s="285">
        <v>5713</v>
      </c>
      <c r="BR15" s="285">
        <v>5392</v>
      </c>
      <c r="BS15" s="285">
        <v>5384</v>
      </c>
      <c r="BT15" s="285">
        <v>5366</v>
      </c>
      <c r="BU15" s="285">
        <v>5476</v>
      </c>
      <c r="BV15" s="285">
        <v>5364</v>
      </c>
      <c r="BW15" s="285">
        <v>5295</v>
      </c>
      <c r="BX15" s="285">
        <v>5729</v>
      </c>
      <c r="BY15" s="285">
        <v>5462</v>
      </c>
      <c r="BZ15" s="285">
        <v>5728</v>
      </c>
      <c r="CA15" s="285">
        <v>6021</v>
      </c>
      <c r="CB15" s="285">
        <v>6127</v>
      </c>
      <c r="CC15" s="285">
        <v>5726</v>
      </c>
      <c r="CD15" s="285">
        <v>5631</v>
      </c>
      <c r="CE15" s="285">
        <v>5869</v>
      </c>
      <c r="CF15" s="285">
        <v>6840</v>
      </c>
      <c r="CG15" s="285">
        <v>5975</v>
      </c>
      <c r="CH15" s="285">
        <v>5840</v>
      </c>
      <c r="CI15" s="285">
        <v>5859</v>
      </c>
      <c r="CJ15" s="285">
        <v>5739</v>
      </c>
      <c r="CK15" s="285">
        <v>5960</v>
      </c>
      <c r="CL15" s="285">
        <v>6404</v>
      </c>
      <c r="CM15" s="285">
        <v>6060</v>
      </c>
      <c r="CN15" s="285">
        <v>6097</v>
      </c>
      <c r="CO15" s="285">
        <v>6016</v>
      </c>
      <c r="CP15" s="285">
        <v>5770</v>
      </c>
      <c r="CQ15" s="285">
        <v>6146</v>
      </c>
      <c r="CR15" s="285">
        <v>5951</v>
      </c>
      <c r="CS15" s="285">
        <v>5812</v>
      </c>
      <c r="CT15" s="285">
        <v>6114</v>
      </c>
      <c r="CU15" s="285">
        <v>5835</v>
      </c>
      <c r="CV15" s="285">
        <v>6435</v>
      </c>
      <c r="CW15" s="285">
        <v>6625</v>
      </c>
      <c r="CX15" s="285">
        <v>6592</v>
      </c>
      <c r="CY15" s="285">
        <v>6492</v>
      </c>
      <c r="CZ15" s="285">
        <v>6794</v>
      </c>
      <c r="DA15" s="285">
        <v>6644</v>
      </c>
      <c r="DB15" s="285">
        <v>6558</v>
      </c>
      <c r="DC15" s="285">
        <v>6986</v>
      </c>
      <c r="DD15" s="285">
        <v>6412</v>
      </c>
      <c r="DE15" s="285">
        <v>6516</v>
      </c>
      <c r="DF15" s="285">
        <v>6469</v>
      </c>
      <c r="DG15" s="285">
        <v>6500</v>
      </c>
      <c r="DH15" s="285">
        <v>6836</v>
      </c>
      <c r="DI15" s="285">
        <v>7214</v>
      </c>
      <c r="DJ15" s="285">
        <v>6948</v>
      </c>
      <c r="DK15" s="285">
        <v>7111</v>
      </c>
      <c r="DL15" s="285">
        <v>7139</v>
      </c>
      <c r="DM15" s="285">
        <v>7191</v>
      </c>
      <c r="DN15" s="285">
        <v>7229</v>
      </c>
      <c r="DO15" s="285">
        <v>7173</v>
      </c>
      <c r="DP15" s="285">
        <v>7170</v>
      </c>
      <c r="DQ15" s="285">
        <v>7385</v>
      </c>
      <c r="DR15" s="285">
        <v>7321</v>
      </c>
      <c r="DS15" s="285">
        <v>7162</v>
      </c>
      <c r="DT15" s="285">
        <v>7834</v>
      </c>
      <c r="DU15" s="285">
        <v>7896</v>
      </c>
      <c r="DV15" s="285">
        <v>8089</v>
      </c>
      <c r="DW15" s="285">
        <v>7844</v>
      </c>
      <c r="DX15" s="285">
        <v>8218</v>
      </c>
      <c r="DY15" s="285">
        <v>8605</v>
      </c>
      <c r="DZ15" s="285">
        <v>8738</v>
      </c>
      <c r="EA15" s="285">
        <v>8369</v>
      </c>
      <c r="EB15" s="285">
        <v>8668</v>
      </c>
      <c r="EC15" s="285">
        <v>8696</v>
      </c>
      <c r="ED15" s="285">
        <v>8614</v>
      </c>
      <c r="EE15" s="285">
        <v>8660</v>
      </c>
      <c r="EF15" s="285">
        <v>8726</v>
      </c>
      <c r="EG15" s="285">
        <v>8621</v>
      </c>
      <c r="EH15" s="285">
        <v>9191</v>
      </c>
      <c r="EI15" s="285">
        <v>8984</v>
      </c>
      <c r="EJ15" s="285">
        <v>9118</v>
      </c>
      <c r="EK15" s="285">
        <v>9206</v>
      </c>
      <c r="EL15" s="285">
        <v>8921</v>
      </c>
      <c r="EM15" s="285">
        <v>9369</v>
      </c>
      <c r="EN15" s="285">
        <v>9205</v>
      </c>
      <c r="EO15" s="285">
        <v>8709</v>
      </c>
      <c r="EP15" s="285">
        <v>9486</v>
      </c>
      <c r="EQ15" s="285">
        <v>8747</v>
      </c>
      <c r="ER15" s="285">
        <v>9192</v>
      </c>
      <c r="ES15" s="285">
        <v>9093</v>
      </c>
      <c r="ET15" s="285">
        <v>8998</v>
      </c>
      <c r="EU15" s="285">
        <v>8769</v>
      </c>
      <c r="EV15" s="285">
        <v>8756</v>
      </c>
      <c r="EW15" s="285">
        <v>8602</v>
      </c>
      <c r="EX15" s="285">
        <v>8123</v>
      </c>
      <c r="EY15" s="285">
        <v>8515</v>
      </c>
      <c r="EZ15" s="285">
        <v>8888</v>
      </c>
      <c r="FA15" s="285">
        <v>7899</v>
      </c>
      <c r="FB15" s="285">
        <v>7751</v>
      </c>
      <c r="FC15" s="285">
        <v>7516</v>
      </c>
      <c r="FD15" s="285">
        <v>7690</v>
      </c>
      <c r="FE15" s="285">
        <v>7419</v>
      </c>
      <c r="FF15" s="285">
        <v>7827</v>
      </c>
      <c r="FG15" s="285">
        <v>7598</v>
      </c>
      <c r="FH15" s="285">
        <v>7916</v>
      </c>
      <c r="FI15" s="285">
        <v>7616</v>
      </c>
      <c r="FJ15" s="285">
        <v>7555</v>
      </c>
      <c r="FK15" s="285">
        <v>7792</v>
      </c>
      <c r="FL15" s="285">
        <v>7559</v>
      </c>
      <c r="FM15" s="285">
        <v>7588</v>
      </c>
      <c r="FN15" s="285">
        <v>7408</v>
      </c>
      <c r="FO15" s="285">
        <v>7203</v>
      </c>
      <c r="FP15" s="285">
        <v>7741</v>
      </c>
      <c r="FQ15" s="285">
        <v>7702</v>
      </c>
      <c r="FR15" s="285">
        <v>7871</v>
      </c>
      <c r="FS15" s="285">
        <v>7907</v>
      </c>
      <c r="FT15" s="285">
        <v>8055</v>
      </c>
      <c r="FU15" s="285">
        <v>8206</v>
      </c>
      <c r="FV15" s="285">
        <v>7743</v>
      </c>
      <c r="FW15" s="285">
        <v>7752</v>
      </c>
      <c r="FX15" s="285">
        <v>7816</v>
      </c>
      <c r="FY15" s="285">
        <v>7796</v>
      </c>
      <c r="FZ15" s="285">
        <v>7828</v>
      </c>
      <c r="GA15" s="285">
        <v>8026</v>
      </c>
      <c r="GB15" s="285">
        <v>8127</v>
      </c>
      <c r="GC15" s="285">
        <v>7942</v>
      </c>
      <c r="GD15" s="285">
        <v>8397</v>
      </c>
      <c r="GE15" s="285">
        <v>8322</v>
      </c>
      <c r="GF15" s="285">
        <v>7813</v>
      </c>
      <c r="GG15" s="285">
        <v>8338.7999999999993</v>
      </c>
      <c r="GH15" s="285">
        <v>7971.4</v>
      </c>
      <c r="GI15" s="285">
        <v>8097.1</v>
      </c>
      <c r="GJ15" s="285">
        <v>8214.9</v>
      </c>
      <c r="GK15" s="285">
        <v>7972.6</v>
      </c>
      <c r="GL15" s="285">
        <v>8162.5</v>
      </c>
      <c r="GM15" s="285">
        <v>7934.9</v>
      </c>
      <c r="GN15" s="285">
        <v>8573.7999999999993</v>
      </c>
      <c r="GO15" s="285">
        <v>7930.5</v>
      </c>
      <c r="GP15" s="285">
        <v>8600.6</v>
      </c>
      <c r="GQ15" s="285">
        <v>8447.7000000000007</v>
      </c>
      <c r="GR15" s="285">
        <v>8758.5</v>
      </c>
      <c r="GS15" s="285">
        <v>8980.1</v>
      </c>
      <c r="GT15" s="285">
        <v>8512.1</v>
      </c>
      <c r="GU15" s="285">
        <v>8856.6</v>
      </c>
      <c r="GV15" s="285">
        <v>8985.5</v>
      </c>
      <c r="GW15" s="285">
        <v>8638.2000000000007</v>
      </c>
      <c r="GX15" s="285">
        <v>9196.2000000000007</v>
      </c>
      <c r="GY15" s="285">
        <v>9058.9</v>
      </c>
      <c r="GZ15" s="285">
        <v>9600.6</v>
      </c>
      <c r="HA15" s="285">
        <v>9370.2000000000007</v>
      </c>
      <c r="HB15" s="285">
        <v>9739.2000000000007</v>
      </c>
      <c r="HC15" s="285">
        <v>9580.2999999999993</v>
      </c>
      <c r="HD15" s="285">
        <v>9910.9</v>
      </c>
      <c r="HE15" s="285">
        <v>9935.7999999999993</v>
      </c>
      <c r="HF15" s="285">
        <v>9309.5</v>
      </c>
      <c r="HG15" s="285">
        <v>9888.2999999999993</v>
      </c>
      <c r="HH15" s="285">
        <v>9768.1</v>
      </c>
      <c r="HI15" s="285">
        <v>9376.7999999999993</v>
      </c>
      <c r="HJ15" s="285">
        <v>9909</v>
      </c>
      <c r="HK15" s="285">
        <v>9400.7000000000007</v>
      </c>
      <c r="HL15" s="285">
        <v>9939.6</v>
      </c>
      <c r="HM15" s="285">
        <v>9600.6</v>
      </c>
      <c r="HN15" s="285">
        <v>10318</v>
      </c>
      <c r="HO15" s="285">
        <v>9772.9</v>
      </c>
      <c r="HP15" s="286">
        <v>10466.9</v>
      </c>
      <c r="HQ15" s="286">
        <v>10318.1</v>
      </c>
      <c r="HR15" s="286">
        <v>9827.9</v>
      </c>
      <c r="HS15" s="286">
        <v>10405.299999999999</v>
      </c>
      <c r="HT15" s="286">
        <v>10169.200000000001</v>
      </c>
      <c r="HU15" s="286">
        <v>9761.2999999999993</v>
      </c>
      <c r="HV15" s="545">
        <v>10155.269200000004</v>
      </c>
      <c r="HW15" s="545">
        <v>10044.929200000002</v>
      </c>
      <c r="HX15" s="545">
        <v>10206.2153</v>
      </c>
      <c r="HY15" s="545">
        <v>9638.9274000000005</v>
      </c>
      <c r="HZ15" s="545">
        <v>10294.4933</v>
      </c>
      <c r="IA15" s="545">
        <v>10413.257200000002</v>
      </c>
      <c r="IB15" s="545">
        <v>10792.775399999999</v>
      </c>
      <c r="IC15" s="545">
        <v>11077.067299999995</v>
      </c>
      <c r="ID15" s="545">
        <v>10612.169299999989</v>
      </c>
      <c r="IE15" s="545">
        <v>11172.575400000005</v>
      </c>
      <c r="IF15" s="545">
        <v>9860.6334000000024</v>
      </c>
      <c r="IG15" s="545">
        <v>10548.347399999999</v>
      </c>
      <c r="IH15" s="545">
        <v>10350.347500000003</v>
      </c>
      <c r="II15" s="545">
        <v>10527.011400000003</v>
      </c>
      <c r="IJ15" s="545">
        <v>10578.785399999995</v>
      </c>
      <c r="IK15" s="545">
        <v>10348.385399999999</v>
      </c>
      <c r="IL15" s="545">
        <v>10550.693299999999</v>
      </c>
      <c r="IM15" s="851">
        <v>10442.015299999999</v>
      </c>
      <c r="IN15" s="168"/>
    </row>
    <row r="16" spans="1:515">
      <c r="A16" s="81" t="s">
        <v>142</v>
      </c>
      <c r="B16" s="284">
        <v>5565</v>
      </c>
      <c r="C16" s="284">
        <v>5320</v>
      </c>
      <c r="D16" s="284">
        <v>5988</v>
      </c>
      <c r="E16" s="284">
        <v>5303</v>
      </c>
      <c r="F16" s="284">
        <v>5850</v>
      </c>
      <c r="G16" s="284">
        <v>5701</v>
      </c>
      <c r="H16" s="284">
        <v>5838</v>
      </c>
      <c r="I16" s="284">
        <v>5997</v>
      </c>
      <c r="J16" s="284">
        <v>5011</v>
      </c>
      <c r="K16" s="284">
        <v>5387</v>
      </c>
      <c r="L16" s="284">
        <v>5305</v>
      </c>
      <c r="M16" s="284">
        <v>5021</v>
      </c>
      <c r="N16" s="284">
        <v>5253</v>
      </c>
      <c r="O16" s="284">
        <v>4658</v>
      </c>
      <c r="P16" s="284">
        <v>5572</v>
      </c>
      <c r="Q16" s="284">
        <v>5193</v>
      </c>
      <c r="R16" s="284">
        <v>5505</v>
      </c>
      <c r="S16" s="284">
        <v>5618</v>
      </c>
      <c r="T16" s="284">
        <v>5463</v>
      </c>
      <c r="U16" s="284">
        <v>5258</v>
      </c>
      <c r="V16" s="284">
        <v>5409</v>
      </c>
      <c r="W16" s="284">
        <v>5653</v>
      </c>
      <c r="X16" s="284">
        <v>5165</v>
      </c>
      <c r="Y16" s="284">
        <v>5468</v>
      </c>
      <c r="Z16" s="284">
        <v>5347</v>
      </c>
      <c r="AA16" s="284">
        <v>5270</v>
      </c>
      <c r="AB16" s="284">
        <v>5741</v>
      </c>
      <c r="AC16" s="284">
        <v>5588</v>
      </c>
      <c r="AD16" s="284">
        <v>5916</v>
      </c>
      <c r="AE16" s="284">
        <v>5763</v>
      </c>
      <c r="AF16" s="284">
        <v>6090</v>
      </c>
      <c r="AG16" s="284">
        <v>5816</v>
      </c>
      <c r="AH16" s="284">
        <v>5805</v>
      </c>
      <c r="AI16" s="284">
        <v>6164</v>
      </c>
      <c r="AJ16" s="284">
        <v>5863</v>
      </c>
      <c r="AK16" s="284">
        <v>6111</v>
      </c>
      <c r="AL16" s="284">
        <v>6131</v>
      </c>
      <c r="AM16" s="284">
        <v>6082</v>
      </c>
      <c r="AN16" s="284">
        <v>6779</v>
      </c>
      <c r="AO16" s="284">
        <v>6141</v>
      </c>
      <c r="AP16" s="284">
        <v>6651</v>
      </c>
      <c r="AQ16" s="284">
        <v>7321</v>
      </c>
      <c r="AR16" s="284">
        <v>6547</v>
      </c>
      <c r="AS16" s="284">
        <v>6657</v>
      </c>
      <c r="AT16" s="284">
        <v>6726</v>
      </c>
      <c r="AU16" s="284">
        <v>6758</v>
      </c>
      <c r="AV16" s="284">
        <v>6742</v>
      </c>
      <c r="AW16" s="284">
        <v>6547</v>
      </c>
      <c r="AX16" s="284">
        <v>5804</v>
      </c>
      <c r="AY16" s="284">
        <v>5996</v>
      </c>
      <c r="AZ16" s="284">
        <v>6413</v>
      </c>
      <c r="BA16" s="284">
        <v>5906</v>
      </c>
      <c r="BB16" s="284">
        <v>6494</v>
      </c>
      <c r="BC16" s="284">
        <v>6491</v>
      </c>
      <c r="BD16" s="284">
        <v>6682</v>
      </c>
      <c r="BE16" s="284">
        <v>6384</v>
      </c>
      <c r="BF16" s="284">
        <v>6636</v>
      </c>
      <c r="BG16" s="284">
        <v>6920</v>
      </c>
      <c r="BH16" s="284">
        <v>7081</v>
      </c>
      <c r="BI16" s="284">
        <v>6896</v>
      </c>
      <c r="BJ16" s="284">
        <v>6895</v>
      </c>
      <c r="BK16" s="284">
        <v>6904</v>
      </c>
      <c r="BL16" s="284">
        <v>7599</v>
      </c>
      <c r="BM16" s="284">
        <v>6922</v>
      </c>
      <c r="BN16" s="284">
        <v>7988</v>
      </c>
      <c r="BO16" s="284">
        <v>7975</v>
      </c>
      <c r="BP16" s="284">
        <v>7686</v>
      </c>
      <c r="BQ16" s="284">
        <v>8031</v>
      </c>
      <c r="BR16" s="284">
        <v>7411</v>
      </c>
      <c r="BS16" s="284">
        <v>7341</v>
      </c>
      <c r="BT16" s="284">
        <v>7448</v>
      </c>
      <c r="BU16" s="284">
        <v>7135</v>
      </c>
      <c r="BV16" s="284">
        <v>7096</v>
      </c>
      <c r="BW16" s="284">
        <v>7579</v>
      </c>
      <c r="BX16" s="284">
        <v>7570</v>
      </c>
      <c r="BY16" s="284">
        <v>7414</v>
      </c>
      <c r="BZ16" s="284">
        <v>8562</v>
      </c>
      <c r="CA16" s="284">
        <v>8126</v>
      </c>
      <c r="CB16" s="284">
        <v>8265</v>
      </c>
      <c r="CC16" s="284">
        <v>8920</v>
      </c>
      <c r="CD16" s="284">
        <v>8146</v>
      </c>
      <c r="CE16" s="284">
        <v>8348</v>
      </c>
      <c r="CF16" s="284">
        <v>8431</v>
      </c>
      <c r="CG16" s="284">
        <v>8250</v>
      </c>
      <c r="CH16" s="284">
        <v>9403</v>
      </c>
      <c r="CI16" s="284">
        <v>9192</v>
      </c>
      <c r="CJ16" s="284">
        <v>9864</v>
      </c>
      <c r="CK16" s="284">
        <v>10032</v>
      </c>
      <c r="CL16" s="284">
        <v>10414</v>
      </c>
      <c r="CM16" s="284">
        <v>10221</v>
      </c>
      <c r="CN16" s="284">
        <v>10992</v>
      </c>
      <c r="CO16" s="284">
        <v>11186</v>
      </c>
      <c r="CP16" s="284">
        <v>11249</v>
      </c>
      <c r="CQ16" s="284">
        <v>11788</v>
      </c>
      <c r="CR16" s="284">
        <v>11370</v>
      </c>
      <c r="CS16" s="284">
        <v>10289</v>
      </c>
      <c r="CT16" s="284">
        <v>11192</v>
      </c>
      <c r="CU16" s="284">
        <v>11608</v>
      </c>
      <c r="CV16" s="284">
        <v>12415</v>
      </c>
      <c r="CW16" s="284">
        <v>12051</v>
      </c>
      <c r="CX16" s="284">
        <v>12599</v>
      </c>
      <c r="CY16" s="284">
        <v>12850</v>
      </c>
      <c r="CZ16" s="284">
        <v>13472</v>
      </c>
      <c r="DA16" s="284">
        <v>13145</v>
      </c>
      <c r="DB16" s="284">
        <v>13483</v>
      </c>
      <c r="DC16" s="284">
        <v>13641</v>
      </c>
      <c r="DD16" s="284">
        <v>13565</v>
      </c>
      <c r="DE16" s="284">
        <v>13733</v>
      </c>
      <c r="DF16" s="284">
        <v>13300</v>
      </c>
      <c r="DG16" s="284">
        <v>13291</v>
      </c>
      <c r="DH16" s="284">
        <v>14516</v>
      </c>
      <c r="DI16" s="284">
        <v>13503</v>
      </c>
      <c r="DJ16" s="284">
        <v>13834</v>
      </c>
      <c r="DK16" s="284">
        <v>14771</v>
      </c>
      <c r="DL16" s="284">
        <v>15745</v>
      </c>
      <c r="DM16" s="284">
        <v>15984</v>
      </c>
      <c r="DN16" s="284">
        <v>15118</v>
      </c>
      <c r="DO16" s="284">
        <v>15687</v>
      </c>
      <c r="DP16" s="284">
        <v>16196</v>
      </c>
      <c r="DQ16" s="284">
        <v>14896</v>
      </c>
      <c r="DR16" s="284">
        <v>14835</v>
      </c>
      <c r="DS16" s="284">
        <v>14410</v>
      </c>
      <c r="DT16" s="284">
        <v>15807</v>
      </c>
      <c r="DU16" s="284">
        <v>15220</v>
      </c>
      <c r="DV16" s="284">
        <v>16414</v>
      </c>
      <c r="DW16" s="284">
        <v>16163</v>
      </c>
      <c r="DX16" s="284">
        <v>16440</v>
      </c>
      <c r="DY16" s="284">
        <v>18188</v>
      </c>
      <c r="DZ16" s="284">
        <v>16981</v>
      </c>
      <c r="EA16" s="284">
        <v>17516</v>
      </c>
      <c r="EB16" s="284">
        <v>17521</v>
      </c>
      <c r="EC16" s="284">
        <v>17816</v>
      </c>
      <c r="ED16" s="284">
        <v>14058</v>
      </c>
      <c r="EE16" s="284">
        <v>14241</v>
      </c>
      <c r="EF16" s="284">
        <v>15141</v>
      </c>
      <c r="EG16" s="284">
        <v>15386</v>
      </c>
      <c r="EH16" s="284">
        <v>16776</v>
      </c>
      <c r="EI16" s="284">
        <v>16457</v>
      </c>
      <c r="EJ16" s="284">
        <v>16806</v>
      </c>
      <c r="EK16" s="284">
        <v>18000</v>
      </c>
      <c r="EL16" s="284">
        <v>17866</v>
      </c>
      <c r="EM16" s="284">
        <v>18871</v>
      </c>
      <c r="EN16" s="284">
        <v>18628</v>
      </c>
      <c r="EO16" s="284">
        <v>17936</v>
      </c>
      <c r="EP16" s="284">
        <v>18548</v>
      </c>
      <c r="EQ16" s="284">
        <v>18001</v>
      </c>
      <c r="ER16" s="284">
        <v>19724</v>
      </c>
      <c r="ES16" s="284">
        <v>19746</v>
      </c>
      <c r="ET16" s="284">
        <v>20728</v>
      </c>
      <c r="EU16" s="284">
        <v>20472</v>
      </c>
      <c r="EV16" s="284">
        <v>21726</v>
      </c>
      <c r="EW16" s="284">
        <v>22155</v>
      </c>
      <c r="EX16" s="284">
        <v>21593</v>
      </c>
      <c r="EY16" s="284">
        <v>22639</v>
      </c>
      <c r="EZ16" s="284">
        <v>22235</v>
      </c>
      <c r="FA16" s="284">
        <v>21169</v>
      </c>
      <c r="FB16" s="284">
        <v>22065</v>
      </c>
      <c r="FC16" s="284">
        <v>20631</v>
      </c>
      <c r="FD16" s="284">
        <v>22348</v>
      </c>
      <c r="FE16" s="284">
        <v>21909</v>
      </c>
      <c r="FF16" s="284">
        <v>22953</v>
      </c>
      <c r="FG16" s="284">
        <v>22607</v>
      </c>
      <c r="FH16" s="284">
        <v>23663</v>
      </c>
      <c r="FI16" s="284">
        <v>23043</v>
      </c>
      <c r="FJ16" s="284">
        <v>22779</v>
      </c>
      <c r="FK16" s="284">
        <v>23454</v>
      </c>
      <c r="FL16" s="284">
        <v>22448</v>
      </c>
      <c r="FM16" s="284">
        <v>22314</v>
      </c>
      <c r="FN16" s="284">
        <v>22079</v>
      </c>
      <c r="FO16" s="284">
        <v>20753</v>
      </c>
      <c r="FP16" s="284">
        <v>22840</v>
      </c>
      <c r="FQ16" s="284">
        <v>21098</v>
      </c>
      <c r="FR16" s="284">
        <v>21453</v>
      </c>
      <c r="FS16" s="284">
        <v>21438</v>
      </c>
      <c r="FT16" s="284">
        <v>21606</v>
      </c>
      <c r="FU16" s="284">
        <v>21083</v>
      </c>
      <c r="FV16" s="284">
        <v>20498</v>
      </c>
      <c r="FW16" s="284">
        <v>20472</v>
      </c>
      <c r="FX16" s="284">
        <v>20502</v>
      </c>
      <c r="FY16" s="284">
        <v>20799</v>
      </c>
      <c r="FZ16" s="284">
        <v>20491</v>
      </c>
      <c r="GA16" s="284">
        <v>20348</v>
      </c>
      <c r="GB16" s="284">
        <v>21667</v>
      </c>
      <c r="GC16" s="284">
        <v>20519</v>
      </c>
      <c r="GD16" s="284">
        <v>21797</v>
      </c>
      <c r="GE16" s="284">
        <v>21044</v>
      </c>
      <c r="GF16" s="284">
        <v>20996.400000000001</v>
      </c>
      <c r="GG16" s="284">
        <v>21474.1</v>
      </c>
      <c r="GH16" s="284">
        <v>20620.3</v>
      </c>
      <c r="GI16" s="284">
        <v>20392.8</v>
      </c>
      <c r="GJ16" s="284">
        <v>20740.3</v>
      </c>
      <c r="GK16" s="284">
        <v>19807.7</v>
      </c>
      <c r="GL16" s="284">
        <v>19949.599999999999</v>
      </c>
      <c r="GM16" s="284">
        <v>19485.599999999999</v>
      </c>
      <c r="GN16" s="284">
        <v>21248.2</v>
      </c>
      <c r="GO16" s="284">
        <v>19717.8</v>
      </c>
      <c r="GP16" s="284">
        <v>21429.3</v>
      </c>
      <c r="GQ16" s="284">
        <v>20413.8</v>
      </c>
      <c r="GR16" s="284">
        <v>20692.599999999999</v>
      </c>
      <c r="GS16" s="284">
        <v>21287.9</v>
      </c>
      <c r="GT16" s="284">
        <v>20253.3</v>
      </c>
      <c r="GU16" s="284">
        <v>20701.400000000001</v>
      </c>
      <c r="GV16" s="284">
        <v>20637.8</v>
      </c>
      <c r="GW16" s="284">
        <v>19435.7</v>
      </c>
      <c r="GX16" s="284">
        <v>20341.7</v>
      </c>
      <c r="GY16" s="284">
        <v>19553.2</v>
      </c>
      <c r="GZ16" s="284">
        <v>21158.1</v>
      </c>
      <c r="HA16" s="284">
        <v>20053.400000000001</v>
      </c>
      <c r="HB16" s="284">
        <v>21651</v>
      </c>
      <c r="HC16" s="284">
        <v>20578.599999999999</v>
      </c>
      <c r="HD16" s="284">
        <v>21355.5</v>
      </c>
      <c r="HE16" s="284">
        <v>21593.7</v>
      </c>
      <c r="HF16" s="284">
        <v>20592.8</v>
      </c>
      <c r="HG16" s="284">
        <v>21626.6</v>
      </c>
      <c r="HH16" s="284">
        <v>21487.4</v>
      </c>
      <c r="HI16" s="284">
        <v>20637.2</v>
      </c>
      <c r="HJ16" s="284">
        <v>20585.599999999999</v>
      </c>
      <c r="HK16" s="284">
        <v>19439.599999999999</v>
      </c>
      <c r="HL16" s="284">
        <v>21035.8</v>
      </c>
      <c r="HM16" s="284">
        <v>19889.900000000001</v>
      </c>
      <c r="HN16" s="284">
        <v>21979.599999999999</v>
      </c>
      <c r="HO16" s="284">
        <v>21025</v>
      </c>
      <c r="HP16" s="284">
        <v>22548.400000000001</v>
      </c>
      <c r="HQ16" s="284">
        <v>22761.200000000001</v>
      </c>
      <c r="HR16" s="284">
        <v>22005.4</v>
      </c>
      <c r="HS16" s="284">
        <v>22674.6</v>
      </c>
      <c r="HT16" s="284">
        <v>22034.799999999999</v>
      </c>
      <c r="HU16" s="284">
        <v>21948.3</v>
      </c>
      <c r="HV16" s="284">
        <v>21959.623799999998</v>
      </c>
      <c r="HW16" s="284">
        <v>21795.979799999997</v>
      </c>
      <c r="HX16" s="284">
        <v>22887.277699999999</v>
      </c>
      <c r="HY16" s="284">
        <v>22498.477699999996</v>
      </c>
      <c r="HZ16" s="284">
        <v>23900.677300000003</v>
      </c>
      <c r="IA16" s="284">
        <v>21203.725699999992</v>
      </c>
      <c r="IB16" s="284">
        <v>25952.148999999994</v>
      </c>
      <c r="IC16" s="284">
        <v>25623.996899999995</v>
      </c>
      <c r="ID16" s="284">
        <v>24240.247399999997</v>
      </c>
      <c r="IE16" s="284">
        <v>26988.660700000004</v>
      </c>
      <c r="IF16" s="284">
        <v>22805.425799999997</v>
      </c>
      <c r="IG16" s="284">
        <v>24149.419399999999</v>
      </c>
      <c r="IH16" s="284">
        <v>24485.419399999984</v>
      </c>
      <c r="II16" s="284">
        <v>25207.117200000004</v>
      </c>
      <c r="IJ16" s="284">
        <v>24520.993399999985</v>
      </c>
      <c r="IK16" s="284">
        <v>24365.791399999998</v>
      </c>
      <c r="IL16" s="284">
        <v>25010.419099999999</v>
      </c>
      <c r="IM16" s="850">
        <v>24520.039200000003</v>
      </c>
      <c r="IN16" s="168"/>
    </row>
    <row r="17" spans="1:248">
      <c r="A17" s="81" t="s">
        <v>1203</v>
      </c>
      <c r="B17" s="285">
        <v>215</v>
      </c>
      <c r="C17" s="285">
        <v>227</v>
      </c>
      <c r="D17" s="285">
        <v>293</v>
      </c>
      <c r="E17" s="285">
        <v>231</v>
      </c>
      <c r="F17" s="285">
        <v>245</v>
      </c>
      <c r="G17" s="285">
        <v>302</v>
      </c>
      <c r="H17" s="285">
        <v>281</v>
      </c>
      <c r="I17" s="285">
        <v>309</v>
      </c>
      <c r="J17" s="285">
        <v>382</v>
      </c>
      <c r="K17" s="285">
        <v>325</v>
      </c>
      <c r="L17" s="285">
        <v>330</v>
      </c>
      <c r="M17" s="285">
        <v>336</v>
      </c>
      <c r="N17" s="285">
        <v>272</v>
      </c>
      <c r="O17" s="285">
        <v>341</v>
      </c>
      <c r="P17" s="285">
        <v>403</v>
      </c>
      <c r="Q17" s="285">
        <v>352</v>
      </c>
      <c r="R17" s="285">
        <v>758</v>
      </c>
      <c r="S17" s="285">
        <v>429</v>
      </c>
      <c r="T17" s="285">
        <v>345</v>
      </c>
      <c r="U17" s="285">
        <v>334</v>
      </c>
      <c r="V17" s="285">
        <v>384</v>
      </c>
      <c r="W17" s="285">
        <v>361</v>
      </c>
      <c r="X17" s="285">
        <v>324</v>
      </c>
      <c r="Y17" s="285">
        <v>323</v>
      </c>
      <c r="Z17" s="285">
        <v>260</v>
      </c>
      <c r="AA17" s="285">
        <v>304</v>
      </c>
      <c r="AB17" s="285">
        <v>362</v>
      </c>
      <c r="AC17" s="285">
        <v>297</v>
      </c>
      <c r="AD17" s="285">
        <v>313</v>
      </c>
      <c r="AE17" s="285">
        <v>356</v>
      </c>
      <c r="AF17" s="285">
        <v>268</v>
      </c>
      <c r="AG17" s="285">
        <v>279</v>
      </c>
      <c r="AH17" s="285">
        <v>337</v>
      </c>
      <c r="AI17" s="285">
        <v>309</v>
      </c>
      <c r="AJ17" s="285">
        <v>266</v>
      </c>
      <c r="AK17" s="285">
        <v>322</v>
      </c>
      <c r="AL17" s="285">
        <v>248</v>
      </c>
      <c r="AM17" s="285">
        <v>266</v>
      </c>
      <c r="AN17" s="285">
        <v>322</v>
      </c>
      <c r="AO17" s="285">
        <v>268</v>
      </c>
      <c r="AP17" s="285">
        <v>308</v>
      </c>
      <c r="AQ17" s="285">
        <v>357</v>
      </c>
      <c r="AR17" s="285">
        <v>336</v>
      </c>
      <c r="AS17" s="285">
        <v>334</v>
      </c>
      <c r="AT17" s="285">
        <v>333</v>
      </c>
      <c r="AU17" s="285">
        <v>284</v>
      </c>
      <c r="AV17" s="285">
        <v>293</v>
      </c>
      <c r="AW17" s="285">
        <v>331</v>
      </c>
      <c r="AX17" s="285">
        <v>274</v>
      </c>
      <c r="AY17" s="285">
        <v>306</v>
      </c>
      <c r="AZ17" s="285">
        <v>358</v>
      </c>
      <c r="BA17" s="285">
        <v>310</v>
      </c>
      <c r="BB17" s="285">
        <v>362</v>
      </c>
      <c r="BC17" s="285">
        <v>364</v>
      </c>
      <c r="BD17" s="285">
        <v>319</v>
      </c>
      <c r="BE17" s="285">
        <v>313</v>
      </c>
      <c r="BF17" s="285">
        <v>358</v>
      </c>
      <c r="BG17" s="285">
        <v>350</v>
      </c>
      <c r="BH17" s="285">
        <v>349</v>
      </c>
      <c r="BI17" s="285">
        <v>339</v>
      </c>
      <c r="BJ17" s="285">
        <v>263</v>
      </c>
      <c r="BK17" s="285">
        <v>287</v>
      </c>
      <c r="BL17" s="285">
        <v>348</v>
      </c>
      <c r="BM17" s="285">
        <v>297</v>
      </c>
      <c r="BN17" s="285">
        <v>264</v>
      </c>
      <c r="BO17" s="285">
        <v>336</v>
      </c>
      <c r="BP17" s="285">
        <v>246</v>
      </c>
      <c r="BQ17" s="285">
        <v>249</v>
      </c>
      <c r="BR17" s="285">
        <v>267</v>
      </c>
      <c r="BS17" s="285">
        <v>223</v>
      </c>
      <c r="BT17" s="285">
        <v>233</v>
      </c>
      <c r="BU17" s="285">
        <v>269</v>
      </c>
      <c r="BV17" s="285">
        <v>234</v>
      </c>
      <c r="BW17" s="285">
        <v>238</v>
      </c>
      <c r="BX17" s="285">
        <v>207</v>
      </c>
      <c r="BY17" s="285">
        <v>220</v>
      </c>
      <c r="BZ17" s="285">
        <v>227</v>
      </c>
      <c r="CA17" s="285">
        <v>299</v>
      </c>
      <c r="CB17" s="285">
        <v>251</v>
      </c>
      <c r="CC17" s="285">
        <v>209</v>
      </c>
      <c r="CD17" s="285">
        <v>327</v>
      </c>
      <c r="CE17" s="285">
        <v>275</v>
      </c>
      <c r="CF17" s="285">
        <v>291</v>
      </c>
      <c r="CG17" s="285">
        <v>298</v>
      </c>
      <c r="CH17" s="285">
        <v>240</v>
      </c>
      <c r="CI17" s="285">
        <v>257</v>
      </c>
      <c r="CJ17" s="285">
        <v>323</v>
      </c>
      <c r="CK17" s="285">
        <v>257</v>
      </c>
      <c r="CL17" s="285">
        <v>271</v>
      </c>
      <c r="CM17" s="285">
        <v>330</v>
      </c>
      <c r="CN17" s="285">
        <v>275</v>
      </c>
      <c r="CO17" s="285">
        <v>285</v>
      </c>
      <c r="CP17" s="285">
        <v>342</v>
      </c>
      <c r="CQ17" s="285">
        <v>280</v>
      </c>
      <c r="CR17" s="285">
        <v>279</v>
      </c>
      <c r="CS17" s="285">
        <v>248</v>
      </c>
      <c r="CT17" s="285">
        <v>156</v>
      </c>
      <c r="CU17" s="285">
        <v>176</v>
      </c>
      <c r="CV17" s="285">
        <v>213</v>
      </c>
      <c r="CW17" s="285">
        <v>177</v>
      </c>
      <c r="CX17" s="285">
        <v>170</v>
      </c>
      <c r="CY17" s="285">
        <v>180</v>
      </c>
      <c r="CZ17" s="285">
        <v>139</v>
      </c>
      <c r="DA17" s="285">
        <v>123</v>
      </c>
      <c r="DB17" s="285">
        <v>162</v>
      </c>
      <c r="DC17" s="285">
        <v>134</v>
      </c>
      <c r="DD17" s="285">
        <v>146</v>
      </c>
      <c r="DE17" s="285">
        <v>167</v>
      </c>
      <c r="DF17" s="285">
        <v>139</v>
      </c>
      <c r="DG17" s="285">
        <v>163</v>
      </c>
      <c r="DH17" s="285">
        <v>188</v>
      </c>
      <c r="DI17" s="285">
        <v>157</v>
      </c>
      <c r="DJ17" s="285">
        <v>175</v>
      </c>
      <c r="DK17" s="285">
        <v>225</v>
      </c>
      <c r="DL17" s="285">
        <v>200</v>
      </c>
      <c r="DM17" s="285">
        <v>228</v>
      </c>
      <c r="DN17" s="285">
        <v>232</v>
      </c>
      <c r="DO17" s="285">
        <v>216</v>
      </c>
      <c r="DP17" s="285">
        <v>195</v>
      </c>
      <c r="DQ17" s="285">
        <v>230</v>
      </c>
      <c r="DR17" s="285">
        <v>200</v>
      </c>
      <c r="DS17" s="285">
        <v>225</v>
      </c>
      <c r="DT17" s="285">
        <v>250</v>
      </c>
      <c r="DU17" s="285">
        <v>233</v>
      </c>
      <c r="DV17" s="285">
        <v>278</v>
      </c>
      <c r="DW17" s="285">
        <v>289</v>
      </c>
      <c r="DX17" s="285">
        <v>323</v>
      </c>
      <c r="DY17" s="285">
        <v>306</v>
      </c>
      <c r="DZ17" s="285">
        <v>350</v>
      </c>
      <c r="EA17" s="285">
        <v>343</v>
      </c>
      <c r="EB17" s="285">
        <v>354</v>
      </c>
      <c r="EC17" s="285">
        <v>364</v>
      </c>
      <c r="ED17" s="285">
        <v>356</v>
      </c>
      <c r="EE17" s="285">
        <v>350</v>
      </c>
      <c r="EF17" s="285">
        <v>374</v>
      </c>
      <c r="EG17" s="285">
        <v>341</v>
      </c>
      <c r="EH17" s="285">
        <v>336</v>
      </c>
      <c r="EI17" s="285">
        <v>353</v>
      </c>
      <c r="EJ17" s="285">
        <v>341</v>
      </c>
      <c r="EK17" s="285">
        <v>283</v>
      </c>
      <c r="EL17" s="285">
        <v>357</v>
      </c>
      <c r="EM17" s="285">
        <v>318</v>
      </c>
      <c r="EN17" s="285">
        <v>315</v>
      </c>
      <c r="EO17" s="285">
        <v>320</v>
      </c>
      <c r="EP17" s="285">
        <v>317</v>
      </c>
      <c r="EQ17" s="285">
        <v>322</v>
      </c>
      <c r="ER17" s="285">
        <v>364</v>
      </c>
      <c r="ES17" s="285">
        <v>273</v>
      </c>
      <c r="ET17" s="285">
        <v>248</v>
      </c>
      <c r="EU17" s="285">
        <v>277</v>
      </c>
      <c r="EV17" s="285">
        <v>265</v>
      </c>
      <c r="EW17" s="285">
        <v>254</v>
      </c>
      <c r="EX17" s="285">
        <v>238</v>
      </c>
      <c r="EY17" s="285">
        <v>230</v>
      </c>
      <c r="EZ17" s="285">
        <v>225</v>
      </c>
      <c r="FA17" s="285">
        <v>218</v>
      </c>
      <c r="FB17" s="285">
        <v>231</v>
      </c>
      <c r="FC17" s="285">
        <v>238</v>
      </c>
      <c r="FD17" s="285">
        <v>229</v>
      </c>
      <c r="FE17" s="285">
        <v>229</v>
      </c>
      <c r="FF17" s="285">
        <v>247</v>
      </c>
      <c r="FG17" s="285">
        <v>235</v>
      </c>
      <c r="FH17" s="285">
        <v>245</v>
      </c>
      <c r="FI17" s="285">
        <v>241</v>
      </c>
      <c r="FJ17" s="285">
        <v>239</v>
      </c>
      <c r="FK17" s="285">
        <v>257</v>
      </c>
      <c r="FL17" s="285">
        <v>235</v>
      </c>
      <c r="FM17" s="285">
        <v>232</v>
      </c>
      <c r="FN17" s="285">
        <v>235</v>
      </c>
      <c r="FO17" s="285">
        <v>255</v>
      </c>
      <c r="FP17" s="285">
        <v>269</v>
      </c>
      <c r="FQ17" s="285">
        <v>243</v>
      </c>
      <c r="FR17" s="285">
        <v>251</v>
      </c>
      <c r="FS17" s="285">
        <v>237</v>
      </c>
      <c r="FT17" s="285">
        <v>241</v>
      </c>
      <c r="FU17" s="285">
        <v>269</v>
      </c>
      <c r="FV17" s="285">
        <v>253</v>
      </c>
      <c r="FW17" s="285">
        <v>245</v>
      </c>
      <c r="FX17" s="285">
        <v>227</v>
      </c>
      <c r="FY17" s="285">
        <v>230</v>
      </c>
      <c r="FZ17" s="285">
        <v>222</v>
      </c>
      <c r="GA17" s="285">
        <v>313</v>
      </c>
      <c r="GB17" s="285">
        <v>382</v>
      </c>
      <c r="GC17" s="285">
        <v>383</v>
      </c>
      <c r="GD17" s="285">
        <v>383</v>
      </c>
      <c r="GE17" s="285">
        <v>389</v>
      </c>
      <c r="GF17" s="285">
        <v>271.10000000000002</v>
      </c>
      <c r="GG17" s="285">
        <v>296.89999999999998</v>
      </c>
      <c r="GH17" s="285">
        <v>284.60000000000002</v>
      </c>
      <c r="GI17" s="285">
        <v>307.89999999999998</v>
      </c>
      <c r="GJ17" s="285">
        <v>406.8</v>
      </c>
      <c r="GK17" s="285">
        <v>407.9</v>
      </c>
      <c r="GL17" s="285">
        <v>462</v>
      </c>
      <c r="GM17" s="285">
        <v>478.1</v>
      </c>
      <c r="GN17" s="285">
        <v>592.9</v>
      </c>
      <c r="GO17" s="285">
        <v>762.3</v>
      </c>
      <c r="GP17" s="285">
        <v>852.3</v>
      </c>
      <c r="GQ17" s="285">
        <v>789.5</v>
      </c>
      <c r="GR17" s="285">
        <v>945</v>
      </c>
      <c r="GS17" s="285">
        <v>876.8</v>
      </c>
      <c r="GT17" s="285">
        <v>867.3</v>
      </c>
      <c r="GU17" s="285">
        <v>878.1</v>
      </c>
      <c r="GV17" s="285">
        <v>1102.5999999999999</v>
      </c>
      <c r="GW17" s="285">
        <v>1071.3</v>
      </c>
      <c r="GX17" s="285">
        <v>1252.0999999999999</v>
      </c>
      <c r="GY17" s="285">
        <v>1042.0999999999999</v>
      </c>
      <c r="GZ17" s="285">
        <v>1114</v>
      </c>
      <c r="HA17" s="285">
        <v>1234</v>
      </c>
      <c r="HB17" s="285">
        <v>1407.1</v>
      </c>
      <c r="HC17" s="285">
        <v>1442.1</v>
      </c>
      <c r="HD17" s="285">
        <v>1499.2</v>
      </c>
      <c r="HE17" s="285">
        <v>1629.2</v>
      </c>
      <c r="HF17" s="285">
        <v>1739.2</v>
      </c>
      <c r="HG17" s="285">
        <v>1822.7</v>
      </c>
      <c r="HH17" s="285">
        <v>1919.3</v>
      </c>
      <c r="HI17" s="285">
        <v>1703.7</v>
      </c>
      <c r="HJ17" s="285">
        <v>1779.1</v>
      </c>
      <c r="HK17" s="285">
        <v>2165.5</v>
      </c>
      <c r="HL17" s="285">
        <v>2076.4</v>
      </c>
      <c r="HM17" s="285">
        <v>2058.6</v>
      </c>
      <c r="HN17" s="285">
        <v>2226.1</v>
      </c>
      <c r="HO17" s="285">
        <v>2136.9</v>
      </c>
      <c r="HP17" s="286">
        <v>2229.6999999999998</v>
      </c>
      <c r="HQ17" s="286">
        <v>1916.6</v>
      </c>
      <c r="HR17" s="286">
        <v>1663</v>
      </c>
      <c r="HS17" s="286">
        <v>1656.5</v>
      </c>
      <c r="HT17" s="286">
        <v>1076</v>
      </c>
      <c r="HU17" s="286">
        <v>933.3</v>
      </c>
      <c r="HV17" s="545">
        <v>906.35400000000004</v>
      </c>
      <c r="HW17" s="545">
        <v>926.63389999999993</v>
      </c>
      <c r="HX17" s="545">
        <v>848.47199999999987</v>
      </c>
      <c r="HY17" s="545">
        <v>823.8420000000001</v>
      </c>
      <c r="HZ17" s="545">
        <v>885.61800000000017</v>
      </c>
      <c r="IA17" s="545">
        <v>854.7299999999999</v>
      </c>
      <c r="IB17" s="545">
        <v>830.21989999999994</v>
      </c>
      <c r="IC17" s="545">
        <v>789.49189999999999</v>
      </c>
      <c r="ID17" s="545">
        <v>732.43799999999999</v>
      </c>
      <c r="IE17" s="545">
        <v>759.10800000000006</v>
      </c>
      <c r="IF17" s="545">
        <v>684.94799999999998</v>
      </c>
      <c r="IG17" s="545">
        <v>673.69200000000001</v>
      </c>
      <c r="IH17" s="545">
        <v>673.65000000000009</v>
      </c>
      <c r="II17" s="545">
        <v>718.06799999999998</v>
      </c>
      <c r="IJ17" s="545">
        <v>766.05600000000004</v>
      </c>
      <c r="IK17" s="545">
        <v>738.92399999999986</v>
      </c>
      <c r="IL17" s="545">
        <v>746.13</v>
      </c>
      <c r="IM17" s="851">
        <v>763.97399999999993</v>
      </c>
      <c r="IN17" s="168"/>
    </row>
    <row r="18" spans="1:248">
      <c r="A18" s="81" t="s">
        <v>192</v>
      </c>
      <c r="B18" s="284">
        <v>1699</v>
      </c>
      <c r="C18" s="284">
        <v>1390</v>
      </c>
      <c r="D18" s="284">
        <v>1423</v>
      </c>
      <c r="E18" s="284">
        <v>1363</v>
      </c>
      <c r="F18" s="284">
        <v>1682</v>
      </c>
      <c r="G18" s="284">
        <v>1507</v>
      </c>
      <c r="H18" s="284">
        <v>1573</v>
      </c>
      <c r="I18" s="284">
        <v>1536</v>
      </c>
      <c r="J18" s="284">
        <v>1476</v>
      </c>
      <c r="K18" s="284">
        <v>1541</v>
      </c>
      <c r="L18" s="284">
        <v>1491</v>
      </c>
      <c r="M18" s="284">
        <v>1498</v>
      </c>
      <c r="N18" s="284">
        <v>1173</v>
      </c>
      <c r="O18" s="284">
        <v>1249</v>
      </c>
      <c r="P18" s="284">
        <v>1152</v>
      </c>
      <c r="Q18" s="284">
        <v>1327</v>
      </c>
      <c r="R18" s="284">
        <v>1239</v>
      </c>
      <c r="S18" s="284">
        <v>1119</v>
      </c>
      <c r="T18" s="284">
        <v>1209</v>
      </c>
      <c r="U18" s="284">
        <v>1209</v>
      </c>
      <c r="V18" s="284">
        <v>1387</v>
      </c>
      <c r="W18" s="284">
        <v>1202</v>
      </c>
      <c r="X18" s="284">
        <v>1201</v>
      </c>
      <c r="Y18" s="284">
        <v>1211</v>
      </c>
      <c r="Z18" s="284">
        <v>1118</v>
      </c>
      <c r="AA18" s="284">
        <v>1154</v>
      </c>
      <c r="AB18" s="284">
        <v>1098</v>
      </c>
      <c r="AC18" s="284">
        <v>1122</v>
      </c>
      <c r="AD18" s="284">
        <v>1035</v>
      </c>
      <c r="AE18" s="284">
        <v>1073</v>
      </c>
      <c r="AF18" s="284">
        <v>1161</v>
      </c>
      <c r="AG18" s="284">
        <v>1076</v>
      </c>
      <c r="AH18" s="284">
        <v>1062</v>
      </c>
      <c r="AI18" s="284">
        <v>1086</v>
      </c>
      <c r="AJ18" s="284">
        <v>1098</v>
      </c>
      <c r="AK18" s="284">
        <v>1173</v>
      </c>
      <c r="AL18" s="284">
        <v>1113</v>
      </c>
      <c r="AM18" s="284">
        <v>1139</v>
      </c>
      <c r="AN18" s="284">
        <v>1081</v>
      </c>
      <c r="AO18" s="284">
        <v>1015</v>
      </c>
      <c r="AP18" s="284">
        <v>1067</v>
      </c>
      <c r="AQ18" s="284">
        <v>980</v>
      </c>
      <c r="AR18" s="284">
        <v>1097</v>
      </c>
      <c r="AS18" s="284">
        <v>994</v>
      </c>
      <c r="AT18" s="284">
        <v>998</v>
      </c>
      <c r="AU18" s="284">
        <v>987</v>
      </c>
      <c r="AV18" s="284">
        <v>1032</v>
      </c>
      <c r="AW18" s="284">
        <v>1153</v>
      </c>
      <c r="AX18" s="284">
        <v>1006</v>
      </c>
      <c r="AY18" s="284">
        <v>1041</v>
      </c>
      <c r="AZ18" s="284">
        <v>1121</v>
      </c>
      <c r="BA18" s="284">
        <v>1084</v>
      </c>
      <c r="BB18" s="284">
        <v>1092</v>
      </c>
      <c r="BC18" s="284">
        <v>1212</v>
      </c>
      <c r="BD18" s="284">
        <v>1257</v>
      </c>
      <c r="BE18" s="284">
        <v>1197</v>
      </c>
      <c r="BF18" s="284">
        <v>1161</v>
      </c>
      <c r="BG18" s="284">
        <v>1188</v>
      </c>
      <c r="BH18" s="284">
        <v>1204</v>
      </c>
      <c r="BI18" s="284">
        <v>1234</v>
      </c>
      <c r="BJ18" s="284">
        <v>1189</v>
      </c>
      <c r="BK18" s="284">
        <v>1283</v>
      </c>
      <c r="BL18" s="284">
        <v>1317</v>
      </c>
      <c r="BM18" s="284">
        <v>1196</v>
      </c>
      <c r="BN18" s="284">
        <v>1255</v>
      </c>
      <c r="BO18" s="284">
        <v>1284</v>
      </c>
      <c r="BP18" s="284">
        <v>1346</v>
      </c>
      <c r="BQ18" s="284">
        <v>1273</v>
      </c>
      <c r="BR18" s="284">
        <v>1265</v>
      </c>
      <c r="BS18" s="284">
        <v>1268</v>
      </c>
      <c r="BT18" s="284">
        <v>1281</v>
      </c>
      <c r="BU18" s="284">
        <v>1325</v>
      </c>
      <c r="BV18" s="284">
        <v>1224</v>
      </c>
      <c r="BW18" s="284">
        <v>1315</v>
      </c>
      <c r="BX18" s="284">
        <v>1309</v>
      </c>
      <c r="BY18" s="284">
        <v>1292</v>
      </c>
      <c r="BZ18" s="284">
        <v>1279</v>
      </c>
      <c r="CA18" s="284">
        <v>1373</v>
      </c>
      <c r="CB18" s="284">
        <v>1266</v>
      </c>
      <c r="CC18" s="284">
        <v>1309</v>
      </c>
      <c r="CD18" s="284">
        <v>1249</v>
      </c>
      <c r="CE18" s="284">
        <v>1246</v>
      </c>
      <c r="CF18" s="284">
        <v>1291</v>
      </c>
      <c r="CG18" s="284">
        <v>1305</v>
      </c>
      <c r="CH18" s="284">
        <v>1177</v>
      </c>
      <c r="CI18" s="284">
        <v>1269</v>
      </c>
      <c r="CJ18" s="284">
        <v>1266</v>
      </c>
      <c r="CK18" s="284">
        <v>1218</v>
      </c>
      <c r="CL18" s="284">
        <v>1217</v>
      </c>
      <c r="CM18" s="284">
        <v>1299</v>
      </c>
      <c r="CN18" s="284">
        <v>1179</v>
      </c>
      <c r="CO18" s="284">
        <v>1201</v>
      </c>
      <c r="CP18" s="284">
        <v>1226</v>
      </c>
      <c r="CQ18" s="284">
        <v>1271</v>
      </c>
      <c r="CR18" s="284">
        <v>1183</v>
      </c>
      <c r="CS18" s="284">
        <v>1141</v>
      </c>
      <c r="CT18" s="284">
        <v>1095</v>
      </c>
      <c r="CU18" s="284">
        <v>1200</v>
      </c>
      <c r="CV18" s="284">
        <v>1204</v>
      </c>
      <c r="CW18" s="284">
        <v>1207</v>
      </c>
      <c r="CX18" s="284">
        <v>1087</v>
      </c>
      <c r="CY18" s="284">
        <v>1046</v>
      </c>
      <c r="CZ18" s="284">
        <v>959</v>
      </c>
      <c r="DA18" s="284">
        <v>970</v>
      </c>
      <c r="DB18" s="284">
        <v>982</v>
      </c>
      <c r="DC18" s="284">
        <v>901</v>
      </c>
      <c r="DD18" s="284">
        <v>939</v>
      </c>
      <c r="DE18" s="284">
        <v>930</v>
      </c>
      <c r="DF18" s="284">
        <v>839</v>
      </c>
      <c r="DG18" s="284">
        <v>873</v>
      </c>
      <c r="DH18" s="284">
        <v>911</v>
      </c>
      <c r="DI18" s="284">
        <v>869</v>
      </c>
      <c r="DJ18" s="284">
        <v>869</v>
      </c>
      <c r="DK18" s="284">
        <v>846</v>
      </c>
      <c r="DL18" s="284">
        <v>793</v>
      </c>
      <c r="DM18" s="284">
        <v>825</v>
      </c>
      <c r="DN18" s="284">
        <v>798</v>
      </c>
      <c r="DO18" s="284">
        <v>787</v>
      </c>
      <c r="DP18" s="284">
        <v>847</v>
      </c>
      <c r="DQ18" s="284">
        <v>805</v>
      </c>
      <c r="DR18" s="284">
        <v>744</v>
      </c>
      <c r="DS18" s="284">
        <v>829</v>
      </c>
      <c r="DT18" s="284">
        <v>835</v>
      </c>
      <c r="DU18" s="284">
        <v>816</v>
      </c>
      <c r="DV18" s="284">
        <v>849</v>
      </c>
      <c r="DW18" s="284">
        <v>843</v>
      </c>
      <c r="DX18" s="284">
        <v>836</v>
      </c>
      <c r="DY18" s="284">
        <v>856</v>
      </c>
      <c r="DZ18" s="284">
        <v>843</v>
      </c>
      <c r="EA18" s="284">
        <v>857</v>
      </c>
      <c r="EB18" s="284">
        <v>891</v>
      </c>
      <c r="EC18" s="284">
        <v>881</v>
      </c>
      <c r="ED18" s="284">
        <v>893</v>
      </c>
      <c r="EE18" s="284">
        <v>949</v>
      </c>
      <c r="EF18" s="284">
        <v>947</v>
      </c>
      <c r="EG18" s="284">
        <v>880</v>
      </c>
      <c r="EH18" s="284">
        <v>965</v>
      </c>
      <c r="EI18" s="284">
        <v>883</v>
      </c>
      <c r="EJ18" s="284">
        <v>933</v>
      </c>
      <c r="EK18" s="284">
        <v>919</v>
      </c>
      <c r="EL18" s="284">
        <v>894</v>
      </c>
      <c r="EM18" s="284">
        <v>914</v>
      </c>
      <c r="EN18" s="284">
        <v>908</v>
      </c>
      <c r="EO18" s="284">
        <v>793</v>
      </c>
      <c r="EP18" s="284">
        <v>850</v>
      </c>
      <c r="EQ18" s="284">
        <v>884</v>
      </c>
      <c r="ER18" s="284">
        <v>833</v>
      </c>
      <c r="ES18" s="284">
        <v>869</v>
      </c>
      <c r="ET18" s="284">
        <v>807</v>
      </c>
      <c r="EU18" s="284">
        <v>766</v>
      </c>
      <c r="EV18" s="284">
        <v>792</v>
      </c>
      <c r="EW18" s="284">
        <v>761</v>
      </c>
      <c r="EX18" s="284">
        <v>734</v>
      </c>
      <c r="EY18" s="284">
        <v>758</v>
      </c>
      <c r="EZ18" s="284">
        <v>751</v>
      </c>
      <c r="FA18" s="284">
        <v>698</v>
      </c>
      <c r="FB18" s="284">
        <v>688</v>
      </c>
      <c r="FC18" s="284">
        <v>738</v>
      </c>
      <c r="FD18" s="284">
        <v>797</v>
      </c>
      <c r="FE18" s="284">
        <v>726</v>
      </c>
      <c r="FF18" s="284">
        <v>745</v>
      </c>
      <c r="FG18" s="284">
        <v>734</v>
      </c>
      <c r="FH18" s="284">
        <v>745</v>
      </c>
      <c r="FI18" s="284">
        <v>726</v>
      </c>
      <c r="FJ18" s="284">
        <v>704</v>
      </c>
      <c r="FK18" s="284">
        <v>709</v>
      </c>
      <c r="FL18" s="284">
        <v>720</v>
      </c>
      <c r="FM18" s="284">
        <v>647</v>
      </c>
      <c r="FN18" s="284">
        <v>682</v>
      </c>
      <c r="FO18" s="284">
        <v>728</v>
      </c>
      <c r="FP18" s="284">
        <v>779</v>
      </c>
      <c r="FQ18" s="284">
        <v>759</v>
      </c>
      <c r="FR18" s="284">
        <v>827</v>
      </c>
      <c r="FS18" s="284">
        <v>781</v>
      </c>
      <c r="FT18" s="284">
        <v>820</v>
      </c>
      <c r="FU18" s="284">
        <v>828</v>
      </c>
      <c r="FV18" s="284">
        <v>827</v>
      </c>
      <c r="FW18" s="284">
        <v>873</v>
      </c>
      <c r="FX18" s="284">
        <v>830</v>
      </c>
      <c r="FY18" s="284">
        <v>754</v>
      </c>
      <c r="FZ18" s="284">
        <v>768</v>
      </c>
      <c r="GA18" s="284">
        <v>814</v>
      </c>
      <c r="GB18" s="284">
        <v>805</v>
      </c>
      <c r="GC18" s="284">
        <v>788</v>
      </c>
      <c r="GD18" s="284">
        <v>806</v>
      </c>
      <c r="GE18" s="284">
        <v>792</v>
      </c>
      <c r="GF18" s="284">
        <v>791.7</v>
      </c>
      <c r="GG18" s="284">
        <v>813.1</v>
      </c>
      <c r="GH18" s="284">
        <v>799.9</v>
      </c>
      <c r="GI18" s="284">
        <v>816</v>
      </c>
      <c r="GJ18" s="284">
        <v>820.5</v>
      </c>
      <c r="GK18" s="284">
        <v>754.6</v>
      </c>
      <c r="GL18" s="284">
        <v>744.4</v>
      </c>
      <c r="GM18" s="284">
        <v>804.7</v>
      </c>
      <c r="GN18" s="284">
        <v>876.4</v>
      </c>
      <c r="GO18" s="284">
        <v>725.4</v>
      </c>
      <c r="GP18" s="284">
        <v>834.9</v>
      </c>
      <c r="GQ18" s="284">
        <v>802.8</v>
      </c>
      <c r="GR18" s="284">
        <v>824.6</v>
      </c>
      <c r="GS18" s="284">
        <v>841.2</v>
      </c>
      <c r="GT18" s="284">
        <v>779.2</v>
      </c>
      <c r="GU18" s="284">
        <v>805.5</v>
      </c>
      <c r="GV18" s="284">
        <v>834.7</v>
      </c>
      <c r="GW18" s="284">
        <v>787.3</v>
      </c>
      <c r="GX18" s="284">
        <v>841</v>
      </c>
      <c r="GY18" s="284">
        <v>826.1</v>
      </c>
      <c r="GZ18" s="284">
        <v>894.4</v>
      </c>
      <c r="HA18" s="284">
        <v>846.8</v>
      </c>
      <c r="HB18" s="284">
        <v>919.5</v>
      </c>
      <c r="HC18" s="284">
        <v>862.7</v>
      </c>
      <c r="HD18" s="284">
        <v>871.3</v>
      </c>
      <c r="HE18" s="284">
        <v>937.2</v>
      </c>
      <c r="HF18" s="284">
        <v>836.1</v>
      </c>
      <c r="HG18" s="284">
        <v>978.6</v>
      </c>
      <c r="HH18" s="284">
        <v>975.2</v>
      </c>
      <c r="HI18" s="284">
        <v>876.8</v>
      </c>
      <c r="HJ18" s="284">
        <v>933</v>
      </c>
      <c r="HK18" s="284">
        <v>916.4</v>
      </c>
      <c r="HL18" s="284">
        <v>916.9</v>
      </c>
      <c r="HM18" s="284">
        <v>934.2</v>
      </c>
      <c r="HN18" s="284">
        <v>964.3</v>
      </c>
      <c r="HO18" s="284">
        <v>942.6</v>
      </c>
      <c r="HP18" s="284">
        <v>992.8</v>
      </c>
      <c r="HQ18" s="284">
        <v>948.7</v>
      </c>
      <c r="HR18" s="284">
        <v>929.6</v>
      </c>
      <c r="HS18" s="284">
        <v>966.5</v>
      </c>
      <c r="HT18" s="284">
        <v>957.7</v>
      </c>
      <c r="HU18" s="284">
        <v>782.9</v>
      </c>
      <c r="HV18" s="284">
        <v>935.08199999999988</v>
      </c>
      <c r="HW18" s="284">
        <v>931.32599999999991</v>
      </c>
      <c r="HX18" s="284">
        <v>957.42599999999993</v>
      </c>
      <c r="HY18" s="284">
        <v>835.21799999999996</v>
      </c>
      <c r="HZ18" s="284">
        <v>932.71199999999999</v>
      </c>
      <c r="IA18" s="284">
        <v>927.91799999999989</v>
      </c>
      <c r="IB18" s="284">
        <v>922.94399999999996</v>
      </c>
      <c r="IC18" s="284">
        <v>978.27600000000018</v>
      </c>
      <c r="ID18" s="284">
        <v>867.54600000000005</v>
      </c>
      <c r="IE18" s="284">
        <v>1006.296</v>
      </c>
      <c r="IF18" s="284">
        <v>871.30200000000013</v>
      </c>
      <c r="IG18" s="284">
        <v>855.87599999999998</v>
      </c>
      <c r="IH18" s="284">
        <v>869.81999999999994</v>
      </c>
      <c r="II18" s="284">
        <v>915.73800000000017</v>
      </c>
      <c r="IJ18" s="284">
        <v>915.28800000000012</v>
      </c>
      <c r="IK18" s="284">
        <v>896.87400000000002</v>
      </c>
      <c r="IL18" s="284">
        <v>901.71600000000024</v>
      </c>
      <c r="IM18" s="850">
        <v>956.97000000000014</v>
      </c>
      <c r="IN18" s="168"/>
    </row>
    <row r="19" spans="1:248">
      <c r="A19" s="81" t="s">
        <v>144</v>
      </c>
      <c r="B19" s="285">
        <v>2421</v>
      </c>
      <c r="C19" s="285">
        <v>2346</v>
      </c>
      <c r="D19" s="285">
        <v>3569</v>
      </c>
      <c r="E19" s="285">
        <v>2470</v>
      </c>
      <c r="F19" s="285">
        <v>2697</v>
      </c>
      <c r="G19" s="285">
        <v>2496</v>
      </c>
      <c r="H19" s="285">
        <v>2633</v>
      </c>
      <c r="I19" s="285">
        <v>2472</v>
      </c>
      <c r="J19" s="285">
        <v>2282</v>
      </c>
      <c r="K19" s="285">
        <v>2463</v>
      </c>
      <c r="L19" s="285">
        <v>2606</v>
      </c>
      <c r="M19" s="285">
        <v>2458</v>
      </c>
      <c r="N19" s="285">
        <v>2469</v>
      </c>
      <c r="O19" s="285">
        <v>2499</v>
      </c>
      <c r="P19" s="285">
        <v>2402</v>
      </c>
      <c r="Q19" s="285">
        <v>2421</v>
      </c>
      <c r="R19" s="285">
        <v>2439</v>
      </c>
      <c r="S19" s="285">
        <v>2309</v>
      </c>
      <c r="T19" s="285">
        <v>2458</v>
      </c>
      <c r="U19" s="285">
        <v>2348</v>
      </c>
      <c r="V19" s="285">
        <v>2252</v>
      </c>
      <c r="W19" s="285">
        <v>2257</v>
      </c>
      <c r="X19" s="285">
        <v>2324</v>
      </c>
      <c r="Y19" s="285">
        <v>2273</v>
      </c>
      <c r="Z19" s="285">
        <v>2219</v>
      </c>
      <c r="AA19" s="285">
        <v>2212</v>
      </c>
      <c r="AB19" s="285">
        <v>2354</v>
      </c>
      <c r="AC19" s="285">
        <v>2340</v>
      </c>
      <c r="AD19" s="285">
        <v>2470</v>
      </c>
      <c r="AE19" s="285">
        <v>2462</v>
      </c>
      <c r="AF19" s="285">
        <v>3128</v>
      </c>
      <c r="AG19" s="285">
        <v>2367</v>
      </c>
      <c r="AH19" s="285">
        <v>2400</v>
      </c>
      <c r="AI19" s="285">
        <v>2367</v>
      </c>
      <c r="AJ19" s="285">
        <v>2307</v>
      </c>
      <c r="AK19" s="285">
        <v>2400</v>
      </c>
      <c r="AL19" s="285">
        <v>2291</v>
      </c>
      <c r="AM19" s="285">
        <v>2414</v>
      </c>
      <c r="AN19" s="285">
        <v>2738</v>
      </c>
      <c r="AO19" s="285">
        <v>2519</v>
      </c>
      <c r="AP19" s="285">
        <v>2621</v>
      </c>
      <c r="AQ19" s="285">
        <v>2708</v>
      </c>
      <c r="AR19" s="285">
        <v>2688</v>
      </c>
      <c r="AS19" s="285">
        <v>2782</v>
      </c>
      <c r="AT19" s="285">
        <v>2615</v>
      </c>
      <c r="AU19" s="285">
        <v>2817</v>
      </c>
      <c r="AV19" s="285">
        <v>2766</v>
      </c>
      <c r="AW19" s="285">
        <v>2813</v>
      </c>
      <c r="AX19" s="285">
        <v>2836</v>
      </c>
      <c r="AY19" s="285">
        <v>2755</v>
      </c>
      <c r="AZ19" s="285">
        <v>2907</v>
      </c>
      <c r="BA19" s="285">
        <v>2907</v>
      </c>
      <c r="BB19" s="285">
        <v>2999</v>
      </c>
      <c r="BC19" s="285">
        <v>3183</v>
      </c>
      <c r="BD19" s="285">
        <v>3319</v>
      </c>
      <c r="BE19" s="285">
        <v>3332</v>
      </c>
      <c r="BF19" s="285">
        <v>3182</v>
      </c>
      <c r="BG19" s="285">
        <v>3204</v>
      </c>
      <c r="BH19" s="285">
        <v>3267</v>
      </c>
      <c r="BI19" s="285">
        <v>3099</v>
      </c>
      <c r="BJ19" s="285">
        <v>3118</v>
      </c>
      <c r="BK19" s="285">
        <v>3205</v>
      </c>
      <c r="BL19" s="285">
        <v>3501</v>
      </c>
      <c r="BM19" s="285">
        <v>3254</v>
      </c>
      <c r="BN19" s="285">
        <v>3533</v>
      </c>
      <c r="BO19" s="285">
        <v>3405</v>
      </c>
      <c r="BP19" s="285">
        <v>3428</v>
      </c>
      <c r="BQ19" s="285">
        <v>3683</v>
      </c>
      <c r="BR19" s="285">
        <v>3485</v>
      </c>
      <c r="BS19" s="285">
        <v>3676</v>
      </c>
      <c r="BT19" s="285">
        <v>3788</v>
      </c>
      <c r="BU19" s="285">
        <v>3609</v>
      </c>
      <c r="BV19" s="285">
        <v>3884</v>
      </c>
      <c r="BW19" s="285">
        <v>3739</v>
      </c>
      <c r="BX19" s="285">
        <v>4086</v>
      </c>
      <c r="BY19" s="285">
        <v>3992</v>
      </c>
      <c r="BZ19" s="285">
        <v>4438</v>
      </c>
      <c r="CA19" s="285">
        <v>4586</v>
      </c>
      <c r="CB19" s="285">
        <v>4586</v>
      </c>
      <c r="CC19" s="285">
        <v>4664</v>
      </c>
      <c r="CD19" s="285">
        <v>4392</v>
      </c>
      <c r="CE19" s="285">
        <v>4612</v>
      </c>
      <c r="CF19" s="285">
        <v>4543</v>
      </c>
      <c r="CG19" s="285">
        <v>4582</v>
      </c>
      <c r="CH19" s="285">
        <v>4839</v>
      </c>
      <c r="CI19" s="285">
        <v>4694</v>
      </c>
      <c r="CJ19" s="285">
        <v>4769</v>
      </c>
      <c r="CK19" s="285">
        <v>4816</v>
      </c>
      <c r="CL19" s="285">
        <v>5041</v>
      </c>
      <c r="CM19" s="285">
        <v>4948</v>
      </c>
      <c r="CN19" s="285">
        <v>5073</v>
      </c>
      <c r="CO19" s="285">
        <v>4799</v>
      </c>
      <c r="CP19" s="285">
        <v>4768</v>
      </c>
      <c r="CQ19" s="285">
        <v>4979</v>
      </c>
      <c r="CR19" s="285">
        <v>4952</v>
      </c>
      <c r="CS19" s="285">
        <v>4792</v>
      </c>
      <c r="CT19" s="285">
        <v>4674</v>
      </c>
      <c r="CU19" s="285">
        <v>4300</v>
      </c>
      <c r="CV19" s="285">
        <v>4217</v>
      </c>
      <c r="CW19" s="285">
        <v>3850</v>
      </c>
      <c r="CX19" s="285">
        <v>3820</v>
      </c>
      <c r="CY19" s="285">
        <v>3854</v>
      </c>
      <c r="CZ19" s="285">
        <v>4034</v>
      </c>
      <c r="DA19" s="285">
        <v>3955</v>
      </c>
      <c r="DB19" s="285">
        <v>3841</v>
      </c>
      <c r="DC19" s="285">
        <v>3817</v>
      </c>
      <c r="DD19" s="285">
        <v>3776</v>
      </c>
      <c r="DE19" s="285">
        <v>3664</v>
      </c>
      <c r="DF19" s="285">
        <v>3633</v>
      </c>
      <c r="DG19" s="285">
        <v>3454</v>
      </c>
      <c r="DH19" s="285">
        <v>3865</v>
      </c>
      <c r="DI19" s="285">
        <v>3659</v>
      </c>
      <c r="DJ19" s="285">
        <v>3650</v>
      </c>
      <c r="DK19" s="285">
        <v>3780</v>
      </c>
      <c r="DL19" s="285">
        <v>3722</v>
      </c>
      <c r="DM19" s="285">
        <v>3825</v>
      </c>
      <c r="DN19" s="285">
        <v>3764</v>
      </c>
      <c r="DO19" s="285">
        <v>3770</v>
      </c>
      <c r="DP19" s="285">
        <v>3913</v>
      </c>
      <c r="DQ19" s="285">
        <v>3681</v>
      </c>
      <c r="DR19" s="285">
        <v>3810</v>
      </c>
      <c r="DS19" s="285">
        <v>3696</v>
      </c>
      <c r="DT19" s="285">
        <v>4077</v>
      </c>
      <c r="DU19" s="285">
        <v>3934</v>
      </c>
      <c r="DV19" s="285">
        <v>4320</v>
      </c>
      <c r="DW19" s="285">
        <v>4272</v>
      </c>
      <c r="DX19" s="285">
        <v>4296</v>
      </c>
      <c r="DY19" s="285">
        <v>4482</v>
      </c>
      <c r="DZ19" s="285">
        <v>4271</v>
      </c>
      <c r="EA19" s="285">
        <v>4370</v>
      </c>
      <c r="EB19" s="285">
        <v>4529</v>
      </c>
      <c r="EC19" s="285">
        <v>4194</v>
      </c>
      <c r="ED19" s="285">
        <v>4368</v>
      </c>
      <c r="EE19" s="285">
        <v>4317</v>
      </c>
      <c r="EF19" s="285">
        <v>4486</v>
      </c>
      <c r="EG19" s="285">
        <v>4270</v>
      </c>
      <c r="EH19" s="285">
        <v>4475</v>
      </c>
      <c r="EI19" s="285">
        <v>4370</v>
      </c>
      <c r="EJ19" s="285">
        <v>4510</v>
      </c>
      <c r="EK19" s="285">
        <v>4562</v>
      </c>
      <c r="EL19" s="285">
        <v>4439</v>
      </c>
      <c r="EM19" s="285">
        <v>4458</v>
      </c>
      <c r="EN19" s="285">
        <v>4436</v>
      </c>
      <c r="EO19" s="285">
        <v>4100</v>
      </c>
      <c r="EP19" s="285">
        <v>4207</v>
      </c>
      <c r="EQ19" s="285">
        <v>4195</v>
      </c>
      <c r="ER19" s="285">
        <v>4250</v>
      </c>
      <c r="ES19" s="285">
        <v>4224</v>
      </c>
      <c r="ET19" s="285">
        <v>4305</v>
      </c>
      <c r="EU19" s="285">
        <v>4177</v>
      </c>
      <c r="EV19" s="285">
        <v>4141</v>
      </c>
      <c r="EW19" s="285">
        <v>4100</v>
      </c>
      <c r="EX19" s="285">
        <v>3957</v>
      </c>
      <c r="EY19" s="285">
        <v>4010</v>
      </c>
      <c r="EZ19" s="285">
        <v>3856</v>
      </c>
      <c r="FA19" s="285">
        <v>3669</v>
      </c>
      <c r="FB19" s="285">
        <v>3612</v>
      </c>
      <c r="FC19" s="285">
        <v>3420</v>
      </c>
      <c r="FD19" s="285">
        <v>3614</v>
      </c>
      <c r="FE19" s="285">
        <v>3381</v>
      </c>
      <c r="FF19" s="285">
        <v>3602</v>
      </c>
      <c r="FG19" s="285">
        <v>3329</v>
      </c>
      <c r="FH19" s="285">
        <v>3461</v>
      </c>
      <c r="FI19" s="285">
        <v>3362</v>
      </c>
      <c r="FJ19" s="285">
        <v>3251</v>
      </c>
      <c r="FK19" s="285">
        <v>3477</v>
      </c>
      <c r="FL19" s="285">
        <v>3229</v>
      </c>
      <c r="FM19" s="285">
        <v>3081</v>
      </c>
      <c r="FN19" s="285">
        <v>3192</v>
      </c>
      <c r="FO19" s="285">
        <v>3100</v>
      </c>
      <c r="FP19" s="285">
        <v>3285</v>
      </c>
      <c r="FQ19" s="285">
        <v>3146</v>
      </c>
      <c r="FR19" s="285">
        <v>3335</v>
      </c>
      <c r="FS19" s="285">
        <v>3274</v>
      </c>
      <c r="FT19" s="285">
        <v>3306</v>
      </c>
      <c r="FU19" s="285">
        <v>3080</v>
      </c>
      <c r="FV19" s="285">
        <v>2920</v>
      </c>
      <c r="FW19" s="285">
        <v>3059</v>
      </c>
      <c r="FX19" s="285">
        <v>2778</v>
      </c>
      <c r="FY19" s="285">
        <v>2673</v>
      </c>
      <c r="FZ19" s="285">
        <v>2623</v>
      </c>
      <c r="GA19" s="285">
        <v>2584</v>
      </c>
      <c r="GB19" s="285">
        <v>2632</v>
      </c>
      <c r="GC19" s="285">
        <v>2433</v>
      </c>
      <c r="GD19" s="285">
        <v>2620</v>
      </c>
      <c r="GE19" s="285">
        <v>2443</v>
      </c>
      <c r="GF19" s="285">
        <v>2368.4</v>
      </c>
      <c r="GG19" s="285">
        <v>2562.8000000000002</v>
      </c>
      <c r="GH19" s="285">
        <v>2417.1999999999998</v>
      </c>
      <c r="GI19" s="285">
        <v>2497.4</v>
      </c>
      <c r="GJ19" s="285">
        <v>2585.6999999999998</v>
      </c>
      <c r="GK19" s="285">
        <v>2473.3000000000002</v>
      </c>
      <c r="GL19" s="285">
        <v>2534.9</v>
      </c>
      <c r="GM19" s="285">
        <v>2389.6999999999998</v>
      </c>
      <c r="GN19" s="285">
        <v>2824.4</v>
      </c>
      <c r="GO19" s="285">
        <v>2459</v>
      </c>
      <c r="GP19" s="285">
        <v>2822.1</v>
      </c>
      <c r="GQ19" s="285">
        <v>2645.5</v>
      </c>
      <c r="GR19" s="285">
        <v>2579.9</v>
      </c>
      <c r="GS19" s="285">
        <v>2685.3</v>
      </c>
      <c r="GT19" s="285">
        <v>2454.1</v>
      </c>
      <c r="GU19" s="285">
        <v>2469.4</v>
      </c>
      <c r="GV19" s="285">
        <v>2378.4</v>
      </c>
      <c r="GW19" s="285">
        <v>2235.6999999999998</v>
      </c>
      <c r="GX19" s="285">
        <v>2344.1999999999998</v>
      </c>
      <c r="GY19" s="285">
        <v>2185.6</v>
      </c>
      <c r="GZ19" s="285">
        <v>2375.6999999999998</v>
      </c>
      <c r="HA19" s="285">
        <v>2245.8000000000002</v>
      </c>
      <c r="HB19" s="285">
        <v>2482.1999999999998</v>
      </c>
      <c r="HC19" s="285">
        <v>2263</v>
      </c>
      <c r="HD19" s="285">
        <v>2348.1999999999998</v>
      </c>
      <c r="HE19" s="285">
        <v>2407.5</v>
      </c>
      <c r="HF19" s="285">
        <v>2284.3000000000002</v>
      </c>
      <c r="HG19" s="285">
        <v>2517.3000000000002</v>
      </c>
      <c r="HH19" s="285">
        <v>2507.6999999999998</v>
      </c>
      <c r="HI19" s="285">
        <v>2442.5</v>
      </c>
      <c r="HJ19" s="285">
        <v>2626</v>
      </c>
      <c r="HK19" s="285">
        <v>2515</v>
      </c>
      <c r="HL19" s="285">
        <v>2737.7</v>
      </c>
      <c r="HM19" s="285">
        <v>2554.3000000000002</v>
      </c>
      <c r="HN19" s="285">
        <v>2743.9</v>
      </c>
      <c r="HO19" s="285">
        <v>2793.8</v>
      </c>
      <c r="HP19" s="286">
        <v>3074</v>
      </c>
      <c r="HQ19" s="286">
        <v>3033.2</v>
      </c>
      <c r="HR19" s="286">
        <v>2982.1</v>
      </c>
      <c r="HS19" s="286">
        <v>2971</v>
      </c>
      <c r="HT19" s="286">
        <v>3177.3</v>
      </c>
      <c r="HU19" s="286">
        <v>3110</v>
      </c>
      <c r="HV19" s="545">
        <v>3300.4977000000008</v>
      </c>
      <c r="HW19" s="545">
        <v>3341.0156000000002</v>
      </c>
      <c r="HX19" s="545">
        <v>3462.8816000000002</v>
      </c>
      <c r="HY19" s="545">
        <v>3239.3695999999995</v>
      </c>
      <c r="HZ19" s="545">
        <v>3373.4035000000003</v>
      </c>
      <c r="IA19" s="545">
        <v>3729.6954999999998</v>
      </c>
      <c r="IB19" s="545">
        <v>3325.0253999999995</v>
      </c>
      <c r="IC19" s="545">
        <v>3388.5893999999998</v>
      </c>
      <c r="ID19" s="545">
        <v>3216.9475000000002</v>
      </c>
      <c r="IE19" s="545">
        <v>3455.7954000000009</v>
      </c>
      <c r="IF19" s="545">
        <v>3070.3613999999998</v>
      </c>
      <c r="IG19" s="545">
        <v>3178.1874999999995</v>
      </c>
      <c r="IH19" s="545">
        <v>3203.8015000000005</v>
      </c>
      <c r="II19" s="545">
        <v>3288.9175000000005</v>
      </c>
      <c r="IJ19" s="545">
        <v>3344.1113999999998</v>
      </c>
      <c r="IK19" s="545">
        <v>3280.0195000000003</v>
      </c>
      <c r="IL19" s="545">
        <v>3419.7355000000002</v>
      </c>
      <c r="IM19" s="851">
        <v>3487.6314000000002</v>
      </c>
      <c r="IN19" s="168"/>
    </row>
    <row r="20" spans="1:248">
      <c r="A20" s="81" t="s">
        <v>147</v>
      </c>
      <c r="B20" s="284">
        <v>400</v>
      </c>
      <c r="C20" s="284">
        <v>443</v>
      </c>
      <c r="D20" s="284">
        <v>476</v>
      </c>
      <c r="E20" s="284">
        <v>450</v>
      </c>
      <c r="F20" s="284">
        <v>460</v>
      </c>
      <c r="G20" s="284">
        <v>449</v>
      </c>
      <c r="H20" s="284">
        <v>422</v>
      </c>
      <c r="I20" s="284">
        <v>415</v>
      </c>
      <c r="J20" s="284">
        <v>422</v>
      </c>
      <c r="K20" s="284">
        <v>469</v>
      </c>
      <c r="L20" s="284">
        <v>469</v>
      </c>
      <c r="M20" s="284">
        <v>424</v>
      </c>
      <c r="N20" s="284">
        <v>380</v>
      </c>
      <c r="O20" s="284">
        <v>395</v>
      </c>
      <c r="P20" s="284">
        <v>427</v>
      </c>
      <c r="Q20" s="284">
        <v>402</v>
      </c>
      <c r="R20" s="284">
        <v>460</v>
      </c>
      <c r="S20" s="284">
        <v>386</v>
      </c>
      <c r="T20" s="284">
        <v>404</v>
      </c>
      <c r="U20" s="284">
        <v>415</v>
      </c>
      <c r="V20" s="284">
        <v>408</v>
      </c>
      <c r="W20" s="284">
        <v>440</v>
      </c>
      <c r="X20" s="284">
        <v>412</v>
      </c>
      <c r="Y20" s="284">
        <v>390</v>
      </c>
      <c r="Z20" s="284">
        <v>394</v>
      </c>
      <c r="AA20" s="284">
        <v>395</v>
      </c>
      <c r="AB20" s="284">
        <v>427</v>
      </c>
      <c r="AC20" s="284">
        <v>385</v>
      </c>
      <c r="AD20" s="284">
        <v>433</v>
      </c>
      <c r="AE20" s="284">
        <v>406</v>
      </c>
      <c r="AF20" s="284">
        <v>407</v>
      </c>
      <c r="AG20" s="284">
        <v>425</v>
      </c>
      <c r="AH20" s="284">
        <v>408</v>
      </c>
      <c r="AI20" s="284">
        <v>425</v>
      </c>
      <c r="AJ20" s="284">
        <v>405</v>
      </c>
      <c r="AK20" s="284">
        <v>398</v>
      </c>
      <c r="AL20" s="284">
        <v>429</v>
      </c>
      <c r="AM20" s="284">
        <v>406</v>
      </c>
      <c r="AN20" s="284">
        <v>420</v>
      </c>
      <c r="AO20" s="284">
        <v>389</v>
      </c>
      <c r="AP20" s="284">
        <v>399</v>
      </c>
      <c r="AQ20" s="284">
        <v>388</v>
      </c>
      <c r="AR20" s="284">
        <v>391</v>
      </c>
      <c r="AS20" s="284">
        <v>402</v>
      </c>
      <c r="AT20" s="284">
        <v>402</v>
      </c>
      <c r="AU20" s="284">
        <v>376</v>
      </c>
      <c r="AV20" s="284">
        <v>412</v>
      </c>
      <c r="AW20" s="284">
        <v>428</v>
      </c>
      <c r="AX20" s="284">
        <v>376</v>
      </c>
      <c r="AY20" s="284">
        <v>391</v>
      </c>
      <c r="AZ20" s="284">
        <v>416</v>
      </c>
      <c r="BA20" s="284">
        <v>375</v>
      </c>
      <c r="BB20" s="284">
        <v>404</v>
      </c>
      <c r="BC20" s="284">
        <v>401</v>
      </c>
      <c r="BD20" s="284">
        <v>408</v>
      </c>
      <c r="BE20" s="284">
        <v>426</v>
      </c>
      <c r="BF20" s="284">
        <v>402</v>
      </c>
      <c r="BG20" s="284">
        <v>433</v>
      </c>
      <c r="BH20" s="284">
        <v>452</v>
      </c>
      <c r="BI20" s="284">
        <v>436</v>
      </c>
      <c r="BJ20" s="284">
        <v>422</v>
      </c>
      <c r="BK20" s="284">
        <v>428</v>
      </c>
      <c r="BL20" s="284">
        <v>454</v>
      </c>
      <c r="BM20" s="284">
        <v>394</v>
      </c>
      <c r="BN20" s="284">
        <v>471</v>
      </c>
      <c r="BO20" s="284">
        <v>468</v>
      </c>
      <c r="BP20" s="284">
        <v>466</v>
      </c>
      <c r="BQ20" s="284">
        <v>485</v>
      </c>
      <c r="BR20" s="284">
        <v>462</v>
      </c>
      <c r="BS20" s="284">
        <v>468</v>
      </c>
      <c r="BT20" s="284">
        <v>483</v>
      </c>
      <c r="BU20" s="284">
        <v>453</v>
      </c>
      <c r="BV20" s="284">
        <v>462</v>
      </c>
      <c r="BW20" s="284">
        <v>460</v>
      </c>
      <c r="BX20" s="284">
        <v>485</v>
      </c>
      <c r="BY20" s="284">
        <v>440</v>
      </c>
      <c r="BZ20" s="284">
        <v>472</v>
      </c>
      <c r="CA20" s="284">
        <v>460</v>
      </c>
      <c r="CB20" s="284">
        <v>451</v>
      </c>
      <c r="CC20" s="284">
        <v>463</v>
      </c>
      <c r="CD20" s="284">
        <v>434</v>
      </c>
      <c r="CE20" s="284">
        <v>489</v>
      </c>
      <c r="CF20" s="284">
        <v>485</v>
      </c>
      <c r="CG20" s="284">
        <v>440</v>
      </c>
      <c r="CH20" s="284">
        <v>451</v>
      </c>
      <c r="CI20" s="284">
        <v>455</v>
      </c>
      <c r="CJ20" s="284">
        <v>440</v>
      </c>
      <c r="CK20" s="284">
        <v>430</v>
      </c>
      <c r="CL20" s="284">
        <v>454</v>
      </c>
      <c r="CM20" s="284">
        <v>446</v>
      </c>
      <c r="CN20" s="284">
        <v>482</v>
      </c>
      <c r="CO20" s="284">
        <v>484</v>
      </c>
      <c r="CP20" s="284">
        <v>480</v>
      </c>
      <c r="CQ20" s="284">
        <v>485</v>
      </c>
      <c r="CR20" s="284">
        <v>492</v>
      </c>
      <c r="CS20" s="284">
        <v>483</v>
      </c>
      <c r="CT20" s="284">
        <v>472</v>
      </c>
      <c r="CU20" s="284">
        <v>475</v>
      </c>
      <c r="CV20" s="284">
        <v>514</v>
      </c>
      <c r="CW20" s="284">
        <v>475</v>
      </c>
      <c r="CX20" s="284">
        <v>498</v>
      </c>
      <c r="CY20" s="284">
        <v>489</v>
      </c>
      <c r="CZ20" s="284">
        <v>506</v>
      </c>
      <c r="DA20" s="284">
        <v>503</v>
      </c>
      <c r="DB20" s="284">
        <v>506</v>
      </c>
      <c r="DC20" s="284">
        <v>502</v>
      </c>
      <c r="DD20" s="284">
        <v>519</v>
      </c>
      <c r="DE20" s="284">
        <v>511</v>
      </c>
      <c r="DF20" s="284">
        <v>475</v>
      </c>
      <c r="DG20" s="284">
        <v>476</v>
      </c>
      <c r="DH20" s="284">
        <v>470</v>
      </c>
      <c r="DI20" s="284">
        <v>472</v>
      </c>
      <c r="DJ20" s="284">
        <v>498</v>
      </c>
      <c r="DK20" s="284">
        <v>500</v>
      </c>
      <c r="DL20" s="284">
        <v>490</v>
      </c>
      <c r="DM20" s="284">
        <v>507</v>
      </c>
      <c r="DN20" s="284">
        <v>520</v>
      </c>
      <c r="DO20" s="284">
        <v>490</v>
      </c>
      <c r="DP20" s="284">
        <v>509</v>
      </c>
      <c r="DQ20" s="284">
        <v>492</v>
      </c>
      <c r="DR20" s="284">
        <v>473</v>
      </c>
      <c r="DS20" s="284">
        <v>469</v>
      </c>
      <c r="DT20" s="284">
        <v>514</v>
      </c>
      <c r="DU20" s="284">
        <v>491</v>
      </c>
      <c r="DV20" s="284">
        <v>540</v>
      </c>
      <c r="DW20" s="284">
        <v>533</v>
      </c>
      <c r="DX20" s="284">
        <v>542</v>
      </c>
      <c r="DY20" s="284">
        <v>571</v>
      </c>
      <c r="DZ20" s="284">
        <v>538</v>
      </c>
      <c r="EA20" s="284">
        <v>530</v>
      </c>
      <c r="EB20" s="284">
        <v>554</v>
      </c>
      <c r="EC20" s="284">
        <v>523</v>
      </c>
      <c r="ED20" s="284">
        <v>562</v>
      </c>
      <c r="EE20" s="284">
        <v>566</v>
      </c>
      <c r="EF20" s="284">
        <v>590</v>
      </c>
      <c r="EG20" s="284">
        <v>578</v>
      </c>
      <c r="EH20" s="284">
        <v>636</v>
      </c>
      <c r="EI20" s="284">
        <v>607</v>
      </c>
      <c r="EJ20" s="284">
        <v>616</v>
      </c>
      <c r="EK20" s="284">
        <v>585</v>
      </c>
      <c r="EL20" s="284">
        <v>548</v>
      </c>
      <c r="EM20" s="284">
        <v>537</v>
      </c>
      <c r="EN20" s="284">
        <v>581</v>
      </c>
      <c r="EO20" s="284">
        <v>556</v>
      </c>
      <c r="EP20" s="284">
        <v>573</v>
      </c>
      <c r="EQ20" s="284">
        <v>547</v>
      </c>
      <c r="ER20" s="284">
        <v>576</v>
      </c>
      <c r="ES20" s="284">
        <v>574</v>
      </c>
      <c r="ET20" s="284">
        <v>538</v>
      </c>
      <c r="EU20" s="284">
        <v>570</v>
      </c>
      <c r="EV20" s="284">
        <v>594</v>
      </c>
      <c r="EW20" s="284">
        <v>594</v>
      </c>
      <c r="EX20" s="284">
        <v>551</v>
      </c>
      <c r="EY20" s="284">
        <v>591</v>
      </c>
      <c r="EZ20" s="284">
        <v>613</v>
      </c>
      <c r="FA20" s="284">
        <v>589</v>
      </c>
      <c r="FB20" s="284">
        <v>559</v>
      </c>
      <c r="FC20" s="284">
        <v>557</v>
      </c>
      <c r="FD20" s="284">
        <v>576</v>
      </c>
      <c r="FE20" s="284">
        <v>573</v>
      </c>
      <c r="FF20" s="284">
        <v>596</v>
      </c>
      <c r="FG20" s="284">
        <v>571</v>
      </c>
      <c r="FH20" s="284">
        <v>554</v>
      </c>
      <c r="FI20" s="284">
        <v>538</v>
      </c>
      <c r="FJ20" s="284">
        <v>538</v>
      </c>
      <c r="FK20" s="284">
        <v>569</v>
      </c>
      <c r="FL20" s="284">
        <v>565</v>
      </c>
      <c r="FM20" s="284">
        <v>544</v>
      </c>
      <c r="FN20" s="284">
        <v>506</v>
      </c>
      <c r="FO20" s="284">
        <v>493</v>
      </c>
      <c r="FP20" s="284">
        <v>503</v>
      </c>
      <c r="FQ20" s="284">
        <v>485</v>
      </c>
      <c r="FR20" s="284">
        <v>501</v>
      </c>
      <c r="FS20" s="284">
        <v>499</v>
      </c>
      <c r="FT20" s="284">
        <v>469</v>
      </c>
      <c r="FU20" s="284">
        <v>484</v>
      </c>
      <c r="FV20" s="284">
        <v>477</v>
      </c>
      <c r="FW20" s="284">
        <v>474</v>
      </c>
      <c r="FX20" s="284">
        <v>485</v>
      </c>
      <c r="FY20" s="284">
        <v>449</v>
      </c>
      <c r="FZ20" s="284">
        <v>426</v>
      </c>
      <c r="GA20" s="284">
        <v>447</v>
      </c>
      <c r="GB20" s="284">
        <v>453</v>
      </c>
      <c r="GC20" s="284">
        <v>411</v>
      </c>
      <c r="GD20" s="284">
        <v>429</v>
      </c>
      <c r="GE20" s="284">
        <v>427</v>
      </c>
      <c r="GF20" s="284">
        <v>405.5</v>
      </c>
      <c r="GG20" s="284">
        <v>422.7</v>
      </c>
      <c r="GH20" s="284">
        <v>422.8</v>
      </c>
      <c r="GI20" s="284">
        <v>413.3</v>
      </c>
      <c r="GJ20" s="284">
        <v>437.8</v>
      </c>
      <c r="GK20" s="284">
        <v>331.3</v>
      </c>
      <c r="GL20" s="284">
        <v>329.8</v>
      </c>
      <c r="GM20" s="284">
        <v>309</v>
      </c>
      <c r="GN20" s="284">
        <v>339.7</v>
      </c>
      <c r="GO20" s="284">
        <v>317.60000000000002</v>
      </c>
      <c r="GP20" s="284">
        <v>354.1</v>
      </c>
      <c r="GQ20" s="284">
        <v>324.7</v>
      </c>
      <c r="GR20" s="284">
        <v>337.1</v>
      </c>
      <c r="GS20" s="284">
        <v>351</v>
      </c>
      <c r="GT20" s="284">
        <v>321.60000000000002</v>
      </c>
      <c r="GU20" s="284">
        <v>355.2</v>
      </c>
      <c r="GV20" s="284">
        <v>344.4</v>
      </c>
      <c r="GW20" s="284">
        <v>301.89999999999998</v>
      </c>
      <c r="GX20" s="284">
        <v>329.6</v>
      </c>
      <c r="GY20" s="284">
        <v>318.39999999999998</v>
      </c>
      <c r="GZ20" s="284">
        <v>351.2</v>
      </c>
      <c r="HA20" s="284">
        <v>324.5</v>
      </c>
      <c r="HB20" s="284">
        <v>349.6</v>
      </c>
      <c r="HC20" s="284">
        <v>348.9</v>
      </c>
      <c r="HD20" s="284">
        <v>402.6</v>
      </c>
      <c r="HE20" s="284">
        <v>394.3</v>
      </c>
      <c r="HF20" s="284">
        <v>341.9</v>
      </c>
      <c r="HG20" s="284">
        <v>413.8</v>
      </c>
      <c r="HH20" s="284">
        <v>397.2</v>
      </c>
      <c r="HI20" s="284">
        <v>383.5</v>
      </c>
      <c r="HJ20" s="284">
        <v>381</v>
      </c>
      <c r="HK20" s="284">
        <v>329.7</v>
      </c>
      <c r="HL20" s="284">
        <v>385.7</v>
      </c>
      <c r="HM20" s="284">
        <v>416.3</v>
      </c>
      <c r="HN20" s="284">
        <v>446.5</v>
      </c>
      <c r="HO20" s="284">
        <v>452.3</v>
      </c>
      <c r="HP20" s="284">
        <v>460.4</v>
      </c>
      <c r="HQ20" s="284">
        <v>443.7</v>
      </c>
      <c r="HR20" s="284">
        <v>454.2</v>
      </c>
      <c r="HS20" s="284">
        <v>438.2</v>
      </c>
      <c r="HT20" s="284">
        <v>428.2</v>
      </c>
      <c r="HU20" s="284">
        <v>395.6</v>
      </c>
      <c r="HV20" s="284">
        <v>418.32599999999996</v>
      </c>
      <c r="HW20" s="284">
        <v>413.14800000000002</v>
      </c>
      <c r="HX20" s="284">
        <v>441.99599999999992</v>
      </c>
      <c r="HY20" s="284">
        <v>410.60400000000004</v>
      </c>
      <c r="HZ20" s="284">
        <v>422.76</v>
      </c>
      <c r="IA20" s="284">
        <v>428.19599999999997</v>
      </c>
      <c r="IB20" s="284">
        <v>412.37400000000002</v>
      </c>
      <c r="IC20" s="284">
        <v>468.39600000000002</v>
      </c>
      <c r="ID20" s="284">
        <v>406.29599999999999</v>
      </c>
      <c r="IE20" s="284">
        <v>412.38599999999997</v>
      </c>
      <c r="IF20" s="284">
        <v>437.04599999999999</v>
      </c>
      <c r="IG20" s="284">
        <v>357.57599999999996</v>
      </c>
      <c r="IH20" s="284">
        <v>379.73999999999995</v>
      </c>
      <c r="II20" s="284">
        <v>417.51</v>
      </c>
      <c r="IJ20" s="284">
        <v>459.81000000000006</v>
      </c>
      <c r="IK20" s="284">
        <v>408.59399999999999</v>
      </c>
      <c r="IL20" s="284">
        <v>413.52</v>
      </c>
      <c r="IM20" s="850">
        <v>398.92800000000005</v>
      </c>
      <c r="IN20" s="168"/>
    </row>
    <row r="21" spans="1:248" ht="15.75" thickBot="1">
      <c r="A21" s="82" t="s">
        <v>48</v>
      </c>
      <c r="B21" s="285">
        <v>923</v>
      </c>
      <c r="C21" s="285">
        <v>940</v>
      </c>
      <c r="D21" s="285">
        <v>1003</v>
      </c>
      <c r="E21" s="285">
        <v>947</v>
      </c>
      <c r="F21" s="285">
        <v>1016</v>
      </c>
      <c r="G21" s="285">
        <v>981</v>
      </c>
      <c r="H21" s="285">
        <v>1015</v>
      </c>
      <c r="I21" s="285">
        <v>1052</v>
      </c>
      <c r="J21" s="285">
        <v>1013</v>
      </c>
      <c r="K21" s="285">
        <v>1045</v>
      </c>
      <c r="L21" s="285">
        <v>1002</v>
      </c>
      <c r="M21" s="285">
        <v>887</v>
      </c>
      <c r="N21" s="285">
        <v>908</v>
      </c>
      <c r="O21" s="285">
        <v>865</v>
      </c>
      <c r="P21" s="285">
        <v>959</v>
      </c>
      <c r="Q21" s="285">
        <v>952</v>
      </c>
      <c r="R21" s="285">
        <v>888</v>
      </c>
      <c r="S21" s="285">
        <v>928</v>
      </c>
      <c r="T21" s="285">
        <v>1076</v>
      </c>
      <c r="U21" s="285">
        <v>1023</v>
      </c>
      <c r="V21" s="285">
        <v>988</v>
      </c>
      <c r="W21" s="285">
        <v>1054</v>
      </c>
      <c r="X21" s="285">
        <v>1067</v>
      </c>
      <c r="Y21" s="285">
        <v>899</v>
      </c>
      <c r="Z21" s="285">
        <v>848</v>
      </c>
      <c r="AA21" s="285">
        <v>874</v>
      </c>
      <c r="AB21" s="285">
        <v>986</v>
      </c>
      <c r="AC21" s="285">
        <v>935</v>
      </c>
      <c r="AD21" s="285">
        <v>919</v>
      </c>
      <c r="AE21" s="285">
        <v>917</v>
      </c>
      <c r="AF21" s="285">
        <v>1011</v>
      </c>
      <c r="AG21" s="285">
        <v>921</v>
      </c>
      <c r="AH21" s="285">
        <v>931</v>
      </c>
      <c r="AI21" s="285">
        <v>1001</v>
      </c>
      <c r="AJ21" s="285">
        <v>946</v>
      </c>
      <c r="AK21" s="285">
        <v>942</v>
      </c>
      <c r="AL21" s="285">
        <v>851</v>
      </c>
      <c r="AM21" s="285">
        <v>951</v>
      </c>
      <c r="AN21" s="285">
        <v>1028</v>
      </c>
      <c r="AO21" s="285">
        <v>959</v>
      </c>
      <c r="AP21" s="285">
        <v>996</v>
      </c>
      <c r="AQ21" s="285">
        <v>1086</v>
      </c>
      <c r="AR21" s="285">
        <v>1012</v>
      </c>
      <c r="AS21" s="285">
        <v>1041</v>
      </c>
      <c r="AT21" s="285">
        <v>1048</v>
      </c>
      <c r="AU21" s="285">
        <v>1071</v>
      </c>
      <c r="AV21" s="285">
        <v>1068</v>
      </c>
      <c r="AW21" s="285">
        <v>1024</v>
      </c>
      <c r="AX21" s="285">
        <v>959</v>
      </c>
      <c r="AY21" s="285">
        <v>1021</v>
      </c>
      <c r="AZ21" s="285">
        <v>1070</v>
      </c>
      <c r="BA21" s="285">
        <v>1060</v>
      </c>
      <c r="BB21" s="285">
        <v>1091</v>
      </c>
      <c r="BC21" s="285">
        <v>1058</v>
      </c>
      <c r="BD21" s="285">
        <v>1073</v>
      </c>
      <c r="BE21" s="285">
        <v>1166</v>
      </c>
      <c r="BF21" s="285">
        <v>1162</v>
      </c>
      <c r="BG21" s="285">
        <v>1341</v>
      </c>
      <c r="BH21" s="285">
        <v>1236</v>
      </c>
      <c r="BI21" s="285">
        <v>1126</v>
      </c>
      <c r="BJ21" s="285">
        <v>1096</v>
      </c>
      <c r="BK21" s="285">
        <v>1054</v>
      </c>
      <c r="BL21" s="285">
        <v>1176</v>
      </c>
      <c r="BM21" s="285">
        <v>1194</v>
      </c>
      <c r="BN21" s="285">
        <v>1182</v>
      </c>
      <c r="BO21" s="285">
        <v>1187</v>
      </c>
      <c r="BP21" s="285">
        <v>1127</v>
      </c>
      <c r="BQ21" s="285">
        <v>1235</v>
      </c>
      <c r="BR21" s="285">
        <v>1111</v>
      </c>
      <c r="BS21" s="285">
        <v>1151</v>
      </c>
      <c r="BT21" s="285">
        <v>1130</v>
      </c>
      <c r="BU21" s="285">
        <v>1076</v>
      </c>
      <c r="BV21" s="285">
        <v>1129</v>
      </c>
      <c r="BW21" s="285">
        <v>1115</v>
      </c>
      <c r="BX21" s="285">
        <v>1149</v>
      </c>
      <c r="BY21" s="285">
        <v>1145</v>
      </c>
      <c r="BZ21" s="285">
        <v>1204</v>
      </c>
      <c r="CA21" s="285">
        <v>1114</v>
      </c>
      <c r="CB21" s="285">
        <v>1176</v>
      </c>
      <c r="CC21" s="285">
        <v>1285</v>
      </c>
      <c r="CD21" s="285">
        <v>1124</v>
      </c>
      <c r="CE21" s="285">
        <v>1209</v>
      </c>
      <c r="CF21" s="285">
        <v>1176</v>
      </c>
      <c r="CG21" s="285">
        <v>1149</v>
      </c>
      <c r="CH21" s="285">
        <v>1201</v>
      </c>
      <c r="CI21" s="285">
        <v>1189</v>
      </c>
      <c r="CJ21" s="285">
        <v>1187</v>
      </c>
      <c r="CK21" s="285">
        <v>1279</v>
      </c>
      <c r="CL21" s="285">
        <v>1308</v>
      </c>
      <c r="CM21" s="285">
        <v>1238</v>
      </c>
      <c r="CN21" s="285">
        <v>1451</v>
      </c>
      <c r="CO21" s="285">
        <v>1489</v>
      </c>
      <c r="CP21" s="285">
        <v>1367</v>
      </c>
      <c r="CQ21" s="285">
        <v>1379</v>
      </c>
      <c r="CR21" s="285">
        <v>1326</v>
      </c>
      <c r="CS21" s="285">
        <v>1263</v>
      </c>
      <c r="CT21" s="285">
        <v>1059</v>
      </c>
      <c r="CU21" s="285">
        <v>1134</v>
      </c>
      <c r="CV21" s="285">
        <v>1285</v>
      </c>
      <c r="CW21" s="285">
        <v>1194</v>
      </c>
      <c r="CX21" s="285">
        <v>1228</v>
      </c>
      <c r="CY21" s="285">
        <v>1240</v>
      </c>
      <c r="CZ21" s="285">
        <v>1349</v>
      </c>
      <c r="DA21" s="285">
        <v>1319</v>
      </c>
      <c r="DB21" s="285">
        <v>1256</v>
      </c>
      <c r="DC21" s="285">
        <v>1301</v>
      </c>
      <c r="DD21" s="285">
        <v>1271</v>
      </c>
      <c r="DE21" s="285">
        <v>1322</v>
      </c>
      <c r="DF21" s="285">
        <v>1220</v>
      </c>
      <c r="DG21" s="285">
        <v>1209</v>
      </c>
      <c r="DH21" s="285">
        <v>1313</v>
      </c>
      <c r="DI21" s="285">
        <v>1241</v>
      </c>
      <c r="DJ21" s="285">
        <v>1309</v>
      </c>
      <c r="DK21" s="285">
        <v>1343</v>
      </c>
      <c r="DL21" s="285">
        <v>1299</v>
      </c>
      <c r="DM21" s="285">
        <v>1476</v>
      </c>
      <c r="DN21" s="285">
        <v>1363</v>
      </c>
      <c r="DO21" s="285">
        <v>1394</v>
      </c>
      <c r="DP21" s="285">
        <v>1387</v>
      </c>
      <c r="DQ21" s="285">
        <v>1440</v>
      </c>
      <c r="DR21" s="285">
        <v>1391</v>
      </c>
      <c r="DS21" s="285">
        <v>1351</v>
      </c>
      <c r="DT21" s="285">
        <v>1536</v>
      </c>
      <c r="DU21" s="285">
        <v>1397</v>
      </c>
      <c r="DV21" s="285">
        <v>1504</v>
      </c>
      <c r="DW21" s="285">
        <v>1559</v>
      </c>
      <c r="DX21" s="285">
        <v>1577</v>
      </c>
      <c r="DY21" s="285">
        <v>1708</v>
      </c>
      <c r="DZ21" s="285">
        <v>1626</v>
      </c>
      <c r="EA21" s="285">
        <v>1668</v>
      </c>
      <c r="EB21" s="285">
        <v>1671</v>
      </c>
      <c r="EC21" s="285">
        <v>1621</v>
      </c>
      <c r="ED21" s="285">
        <v>1641</v>
      </c>
      <c r="EE21" s="285">
        <v>1648</v>
      </c>
      <c r="EF21" s="285">
        <v>1834</v>
      </c>
      <c r="EG21" s="285">
        <v>1686</v>
      </c>
      <c r="EH21" s="285">
        <v>1878</v>
      </c>
      <c r="EI21" s="285">
        <v>1737</v>
      </c>
      <c r="EJ21" s="285">
        <v>1805</v>
      </c>
      <c r="EK21" s="285">
        <v>1841</v>
      </c>
      <c r="EL21" s="285">
        <v>1793</v>
      </c>
      <c r="EM21" s="285">
        <v>1905</v>
      </c>
      <c r="EN21" s="285">
        <v>1681</v>
      </c>
      <c r="EO21" s="285">
        <v>1554</v>
      </c>
      <c r="EP21" s="285">
        <v>1643</v>
      </c>
      <c r="EQ21" s="285">
        <v>1549</v>
      </c>
      <c r="ER21" s="285">
        <v>1669</v>
      </c>
      <c r="ES21" s="285">
        <v>1638</v>
      </c>
      <c r="ET21" s="285">
        <v>1842</v>
      </c>
      <c r="EU21" s="285">
        <v>1676</v>
      </c>
      <c r="EV21" s="285">
        <v>1745</v>
      </c>
      <c r="EW21" s="285">
        <v>1733</v>
      </c>
      <c r="EX21" s="285">
        <v>1684</v>
      </c>
      <c r="EY21" s="285">
        <v>1819</v>
      </c>
      <c r="EZ21" s="285">
        <v>1697</v>
      </c>
      <c r="FA21" s="285">
        <v>1632</v>
      </c>
      <c r="FB21" s="285">
        <v>1634</v>
      </c>
      <c r="FC21" s="285">
        <v>1549</v>
      </c>
      <c r="FD21" s="285">
        <v>1505</v>
      </c>
      <c r="FE21" s="285">
        <v>1496</v>
      </c>
      <c r="FF21" s="285">
        <v>1515</v>
      </c>
      <c r="FG21" s="285">
        <v>1568</v>
      </c>
      <c r="FH21" s="285">
        <v>1578</v>
      </c>
      <c r="FI21" s="285">
        <v>1485</v>
      </c>
      <c r="FJ21" s="285">
        <v>1559</v>
      </c>
      <c r="FK21" s="285">
        <v>1557</v>
      </c>
      <c r="FL21" s="285">
        <v>1538</v>
      </c>
      <c r="FM21" s="285">
        <v>1394</v>
      </c>
      <c r="FN21" s="285">
        <v>1293</v>
      </c>
      <c r="FO21" s="285">
        <v>1384</v>
      </c>
      <c r="FP21" s="285">
        <v>1473</v>
      </c>
      <c r="FQ21" s="285">
        <v>1379</v>
      </c>
      <c r="FR21" s="285">
        <v>1425</v>
      </c>
      <c r="FS21" s="285">
        <v>1523</v>
      </c>
      <c r="FT21" s="285">
        <v>1387</v>
      </c>
      <c r="FU21" s="285">
        <v>1422</v>
      </c>
      <c r="FV21" s="285">
        <v>1393</v>
      </c>
      <c r="FW21" s="285">
        <v>1366</v>
      </c>
      <c r="FX21" s="285">
        <v>1508</v>
      </c>
      <c r="FY21" s="285">
        <v>1336</v>
      </c>
      <c r="FZ21" s="285">
        <v>1261</v>
      </c>
      <c r="GA21" s="285">
        <v>1178</v>
      </c>
      <c r="GB21" s="285">
        <v>1132</v>
      </c>
      <c r="GC21" s="285">
        <v>1018</v>
      </c>
      <c r="GD21" s="285">
        <v>1148</v>
      </c>
      <c r="GE21" s="285">
        <v>1124</v>
      </c>
      <c r="GF21" s="285">
        <v>1051.5</v>
      </c>
      <c r="GG21" s="285">
        <v>1178.0999999999999</v>
      </c>
      <c r="GH21" s="285">
        <v>1023.7</v>
      </c>
      <c r="GI21" s="285">
        <v>1084.5999999999999</v>
      </c>
      <c r="GJ21" s="285">
        <v>1073.3</v>
      </c>
      <c r="GK21" s="285">
        <v>996.2</v>
      </c>
      <c r="GL21" s="285">
        <v>1016.3000000000002</v>
      </c>
      <c r="GM21" s="285">
        <v>1058.8000000000002</v>
      </c>
      <c r="GN21" s="285">
        <v>1205.1000000000001</v>
      </c>
      <c r="GO21" s="285">
        <v>1131.0000000000002</v>
      </c>
      <c r="GP21" s="285">
        <v>1193.8999999999999</v>
      </c>
      <c r="GQ21" s="285">
        <v>1146.3999999999999</v>
      </c>
      <c r="GR21" s="285">
        <v>1168.3999999999999</v>
      </c>
      <c r="GS21" s="285">
        <v>1284.8</v>
      </c>
      <c r="GT21" s="285">
        <v>1226.6000000000001</v>
      </c>
      <c r="GU21" s="285">
        <v>1319.1999999999998</v>
      </c>
      <c r="GV21" s="285">
        <v>1334.0000000000002</v>
      </c>
      <c r="GW21" s="285">
        <v>1221.3</v>
      </c>
      <c r="GX21" s="285">
        <v>1257.8999999999999</v>
      </c>
      <c r="GY21" s="285">
        <v>1258.3</v>
      </c>
      <c r="GZ21" s="285">
        <v>1344.6</v>
      </c>
      <c r="HA21" s="285">
        <v>1363.6999999999998</v>
      </c>
      <c r="HB21" s="285">
        <v>1397.1000000000004</v>
      </c>
      <c r="HC21" s="285">
        <v>1324.3</v>
      </c>
      <c r="HD21" s="285">
        <v>1412.9999999999998</v>
      </c>
      <c r="HE21" s="285">
        <v>1476.9999999999995</v>
      </c>
      <c r="HF21" s="285">
        <v>1607.7</v>
      </c>
      <c r="HG21" s="285">
        <v>1462.8000000000002</v>
      </c>
      <c r="HH21" s="285">
        <v>1421.6</v>
      </c>
      <c r="HI21" s="285">
        <v>1358.7999999999997</v>
      </c>
      <c r="HJ21" s="285">
        <v>1367.4</v>
      </c>
      <c r="HK21" s="285">
        <v>1356.8000000000002</v>
      </c>
      <c r="HL21" s="285">
        <v>1519.6000000000001</v>
      </c>
      <c r="HM21" s="285">
        <v>1357.1999999999998</v>
      </c>
      <c r="HN21" s="285">
        <v>1482.7</v>
      </c>
      <c r="HO21" s="285">
        <v>1366.0000000000002</v>
      </c>
      <c r="HP21" s="286">
        <v>1557.3999999999996</v>
      </c>
      <c r="HQ21" s="286">
        <v>1401.9</v>
      </c>
      <c r="HR21" s="286">
        <v>1416.8</v>
      </c>
      <c r="HS21" s="286">
        <v>1461.6000000000004</v>
      </c>
      <c r="HT21" s="286">
        <v>1441.6</v>
      </c>
      <c r="HU21" s="286">
        <v>1357.1</v>
      </c>
      <c r="HV21" s="545">
        <v>1381.23</v>
      </c>
      <c r="HW21" s="545">
        <v>1384.0739999999998</v>
      </c>
      <c r="HX21" s="545">
        <v>1522.4340000000002</v>
      </c>
      <c r="HY21" s="545">
        <v>1410.0598999999993</v>
      </c>
      <c r="HZ21" s="545">
        <v>1468.7698999999998</v>
      </c>
      <c r="IA21" s="545">
        <v>1483.2838999999999</v>
      </c>
      <c r="IB21" s="545">
        <v>1603.1700000000003</v>
      </c>
      <c r="IC21" s="545">
        <v>1595.856</v>
      </c>
      <c r="ID21" s="545">
        <v>1478.3639999999998</v>
      </c>
      <c r="IE21" s="545">
        <v>1565.6640000000002</v>
      </c>
      <c r="IF21" s="545">
        <v>1381.9619999999995</v>
      </c>
      <c r="IG21" s="545">
        <v>1417.9260000000002</v>
      </c>
      <c r="IH21" s="545">
        <v>1462.0680000000009</v>
      </c>
      <c r="II21" s="545">
        <v>1415.7120000000002</v>
      </c>
      <c r="IJ21" s="545">
        <v>1457.1660000000002</v>
      </c>
      <c r="IK21" s="545">
        <v>1486.452</v>
      </c>
      <c r="IL21" s="545">
        <v>1532.2440000000004</v>
      </c>
      <c r="IM21" s="851">
        <v>1525.1699999999998</v>
      </c>
      <c r="IN21" s="168"/>
    </row>
    <row r="22" spans="1:248" ht="16.5" thickTop="1" thickBot="1">
      <c r="A22" s="50" t="s">
        <v>97</v>
      </c>
      <c r="B22" s="287">
        <v>22705</v>
      </c>
      <c r="C22" s="267">
        <v>22216</v>
      </c>
      <c r="D22" s="267">
        <v>24764</v>
      </c>
      <c r="E22" s="267">
        <v>22553</v>
      </c>
      <c r="F22" s="267">
        <v>24417</v>
      </c>
      <c r="G22" s="267">
        <v>23467</v>
      </c>
      <c r="H22" s="267">
        <v>24189</v>
      </c>
      <c r="I22" s="267">
        <v>24332</v>
      </c>
      <c r="J22" s="267">
        <v>22539</v>
      </c>
      <c r="K22" s="267">
        <v>23261</v>
      </c>
      <c r="L22" s="267">
        <v>23079</v>
      </c>
      <c r="M22" s="267">
        <v>22652</v>
      </c>
      <c r="N22" s="267">
        <v>22518</v>
      </c>
      <c r="O22" s="267">
        <v>20828</v>
      </c>
      <c r="P22" s="267">
        <v>22790</v>
      </c>
      <c r="Q22" s="267">
        <v>22234</v>
      </c>
      <c r="R22" s="267">
        <v>22933</v>
      </c>
      <c r="S22" s="267">
        <v>22438</v>
      </c>
      <c r="T22" s="267">
        <v>23379</v>
      </c>
      <c r="U22" s="267">
        <v>22007</v>
      </c>
      <c r="V22" s="267">
        <v>22404</v>
      </c>
      <c r="W22" s="267">
        <v>22653</v>
      </c>
      <c r="X22" s="267">
        <v>22019</v>
      </c>
      <c r="Y22" s="267">
        <v>22325</v>
      </c>
      <c r="Z22" s="267">
        <v>21938</v>
      </c>
      <c r="AA22" s="267">
        <v>21698</v>
      </c>
      <c r="AB22" s="267">
        <v>23081</v>
      </c>
      <c r="AC22" s="267">
        <v>22428</v>
      </c>
      <c r="AD22" s="267">
        <v>23073</v>
      </c>
      <c r="AE22" s="267">
        <v>22951</v>
      </c>
      <c r="AF22" s="267">
        <v>24416</v>
      </c>
      <c r="AG22" s="267">
        <v>23185</v>
      </c>
      <c r="AH22" s="267">
        <v>23047</v>
      </c>
      <c r="AI22" s="267">
        <v>23524</v>
      </c>
      <c r="AJ22" s="267">
        <v>22571</v>
      </c>
      <c r="AK22" s="267">
        <v>23289</v>
      </c>
      <c r="AL22" s="267">
        <v>22429</v>
      </c>
      <c r="AM22" s="267">
        <v>22608</v>
      </c>
      <c r="AN22" s="267">
        <v>23974</v>
      </c>
      <c r="AO22" s="267">
        <v>22606</v>
      </c>
      <c r="AP22" s="267">
        <v>23576</v>
      </c>
      <c r="AQ22" s="267">
        <v>25143</v>
      </c>
      <c r="AR22" s="267">
        <v>24084</v>
      </c>
      <c r="AS22" s="267">
        <v>24494</v>
      </c>
      <c r="AT22" s="267">
        <v>24175</v>
      </c>
      <c r="AU22" s="267">
        <v>23989</v>
      </c>
      <c r="AV22" s="267">
        <v>24600</v>
      </c>
      <c r="AW22" s="267">
        <v>23979</v>
      </c>
      <c r="AX22" s="267">
        <v>23090</v>
      </c>
      <c r="AY22" s="267">
        <v>23192</v>
      </c>
      <c r="AZ22" s="267">
        <v>24254</v>
      </c>
      <c r="BA22" s="267">
        <v>23452</v>
      </c>
      <c r="BB22" s="267">
        <v>24825</v>
      </c>
      <c r="BC22" s="267">
        <v>25406</v>
      </c>
      <c r="BD22" s="267">
        <v>25483</v>
      </c>
      <c r="BE22" s="267">
        <v>25200</v>
      </c>
      <c r="BF22" s="267">
        <v>25408</v>
      </c>
      <c r="BG22" s="267">
        <v>25981</v>
      </c>
      <c r="BH22" s="267">
        <v>26157</v>
      </c>
      <c r="BI22" s="267">
        <v>25687</v>
      </c>
      <c r="BJ22" s="267">
        <v>25561</v>
      </c>
      <c r="BK22" s="267">
        <v>25525</v>
      </c>
      <c r="BL22" s="267">
        <v>27415</v>
      </c>
      <c r="BM22" s="267">
        <v>25914</v>
      </c>
      <c r="BN22" s="267">
        <v>28275</v>
      </c>
      <c r="BO22" s="267">
        <v>28238</v>
      </c>
      <c r="BP22" s="267">
        <v>27889</v>
      </c>
      <c r="BQ22" s="267">
        <v>28886</v>
      </c>
      <c r="BR22" s="267">
        <v>27413</v>
      </c>
      <c r="BS22" s="267">
        <v>27660</v>
      </c>
      <c r="BT22" s="267">
        <v>27955</v>
      </c>
      <c r="BU22" s="267">
        <v>27263</v>
      </c>
      <c r="BV22" s="267">
        <v>27343</v>
      </c>
      <c r="BW22" s="267">
        <v>27719</v>
      </c>
      <c r="BX22" s="267">
        <v>28875</v>
      </c>
      <c r="BY22" s="267">
        <v>28214</v>
      </c>
      <c r="BZ22" s="267">
        <v>30382</v>
      </c>
      <c r="CA22" s="267">
        <v>30233</v>
      </c>
      <c r="CB22" s="267">
        <v>30616</v>
      </c>
      <c r="CC22" s="267">
        <v>31177</v>
      </c>
      <c r="CD22" s="267">
        <v>29917</v>
      </c>
      <c r="CE22" s="267">
        <v>30866</v>
      </c>
      <c r="CF22" s="267">
        <v>31929</v>
      </c>
      <c r="CG22" s="267">
        <v>30722</v>
      </c>
      <c r="CH22" s="267">
        <v>31890</v>
      </c>
      <c r="CI22" s="267">
        <v>31659</v>
      </c>
      <c r="CJ22" s="267">
        <v>32189</v>
      </c>
      <c r="CK22" s="267">
        <v>32613</v>
      </c>
      <c r="CL22" s="267">
        <v>33839</v>
      </c>
      <c r="CM22" s="267">
        <v>33330</v>
      </c>
      <c r="CN22" s="267">
        <v>34361</v>
      </c>
      <c r="CO22" s="267">
        <v>34470</v>
      </c>
      <c r="CP22" s="267">
        <v>33824</v>
      </c>
      <c r="CQ22" s="267">
        <v>35131</v>
      </c>
      <c r="CR22" s="267">
        <v>34084</v>
      </c>
      <c r="CS22" s="267">
        <v>32503</v>
      </c>
      <c r="CT22" s="267">
        <v>33015</v>
      </c>
      <c r="CU22" s="267">
        <v>32680</v>
      </c>
      <c r="CV22" s="267">
        <v>34452</v>
      </c>
      <c r="CW22" s="267">
        <v>33455</v>
      </c>
      <c r="CX22" s="267">
        <v>34280</v>
      </c>
      <c r="CY22" s="267">
        <v>34252</v>
      </c>
      <c r="CZ22" s="267">
        <v>35332</v>
      </c>
      <c r="DA22" s="267">
        <v>34659</v>
      </c>
      <c r="DB22" s="267">
        <v>34732</v>
      </c>
      <c r="DC22" s="267">
        <v>35258</v>
      </c>
      <c r="DD22" s="267">
        <v>34636</v>
      </c>
      <c r="DE22" s="267">
        <v>34648</v>
      </c>
      <c r="DF22" s="267">
        <v>33686</v>
      </c>
      <c r="DG22" s="267">
        <v>33771</v>
      </c>
      <c r="DH22" s="267">
        <v>36228</v>
      </c>
      <c r="DI22" s="267">
        <v>35215</v>
      </c>
      <c r="DJ22" s="267">
        <v>35344</v>
      </c>
      <c r="DK22" s="267">
        <v>36612</v>
      </c>
      <c r="DL22" s="267">
        <v>37391</v>
      </c>
      <c r="DM22" s="267">
        <v>38096</v>
      </c>
      <c r="DN22" s="267">
        <v>36936</v>
      </c>
      <c r="DO22" s="267">
        <v>37575</v>
      </c>
      <c r="DP22" s="267">
        <v>38475</v>
      </c>
      <c r="DQ22" s="267">
        <v>37114</v>
      </c>
      <c r="DR22" s="267">
        <v>36786</v>
      </c>
      <c r="DS22" s="267">
        <v>36242</v>
      </c>
      <c r="DT22" s="267">
        <v>39407</v>
      </c>
      <c r="DU22" s="267">
        <v>37934</v>
      </c>
      <c r="DV22" s="267">
        <v>40614</v>
      </c>
      <c r="DW22" s="267">
        <v>39888</v>
      </c>
      <c r="DX22" s="267">
        <v>40702</v>
      </c>
      <c r="DY22" s="267">
        <v>43380</v>
      </c>
      <c r="DZ22" s="267">
        <v>41897</v>
      </c>
      <c r="EA22" s="267">
        <v>42374</v>
      </c>
      <c r="EB22" s="267">
        <v>43004</v>
      </c>
      <c r="EC22" s="267">
        <v>42817</v>
      </c>
      <c r="ED22" s="267">
        <v>38692</v>
      </c>
      <c r="EE22" s="267">
        <v>39246</v>
      </c>
      <c r="EF22" s="267">
        <v>40769</v>
      </c>
      <c r="EG22" s="267">
        <v>39809</v>
      </c>
      <c r="EH22" s="267">
        <v>42897</v>
      </c>
      <c r="EI22" s="267">
        <v>41536</v>
      </c>
      <c r="EJ22" s="267">
        <v>42247</v>
      </c>
      <c r="EK22" s="267">
        <v>43635</v>
      </c>
      <c r="EL22" s="267">
        <v>42783</v>
      </c>
      <c r="EM22" s="267">
        <v>44486</v>
      </c>
      <c r="EN22" s="267">
        <v>43726</v>
      </c>
      <c r="EO22" s="267">
        <v>41627</v>
      </c>
      <c r="EP22" s="267">
        <v>43388</v>
      </c>
      <c r="EQ22" s="267">
        <v>42188</v>
      </c>
      <c r="ER22" s="267">
        <v>44737</v>
      </c>
      <c r="ES22" s="267">
        <v>44498</v>
      </c>
      <c r="ET22" s="267">
        <v>45815</v>
      </c>
      <c r="EU22" s="267">
        <v>44761</v>
      </c>
      <c r="EV22" s="267">
        <v>46378</v>
      </c>
      <c r="EW22" s="267">
        <v>46403</v>
      </c>
      <c r="EX22" s="267">
        <v>44897</v>
      </c>
      <c r="EY22" s="267">
        <v>47003</v>
      </c>
      <c r="EZ22" s="267">
        <v>46499</v>
      </c>
      <c r="FA22" s="267">
        <v>43824</v>
      </c>
      <c r="FB22" s="267">
        <v>44412</v>
      </c>
      <c r="FC22" s="267">
        <v>42593</v>
      </c>
      <c r="FD22" s="267">
        <v>44925</v>
      </c>
      <c r="FE22" s="267">
        <v>42943</v>
      </c>
      <c r="FF22" s="267">
        <v>45077</v>
      </c>
      <c r="FG22" s="267">
        <v>43957</v>
      </c>
      <c r="FH22" s="267">
        <v>45779</v>
      </c>
      <c r="FI22" s="267">
        <v>44614</v>
      </c>
      <c r="FJ22" s="267">
        <v>44328</v>
      </c>
      <c r="FK22" s="267">
        <v>45647</v>
      </c>
      <c r="FL22" s="267">
        <v>44027</v>
      </c>
      <c r="FM22" s="267">
        <v>43558</v>
      </c>
      <c r="FN22" s="267">
        <v>41578</v>
      </c>
      <c r="FO22" s="267">
        <v>40134</v>
      </c>
      <c r="FP22" s="267">
        <v>43299</v>
      </c>
      <c r="FQ22" s="267">
        <v>40725</v>
      </c>
      <c r="FR22" s="267">
        <v>41893</v>
      </c>
      <c r="FS22" s="267">
        <v>41747</v>
      </c>
      <c r="FT22" s="267">
        <v>42001</v>
      </c>
      <c r="FU22" s="267">
        <v>41456</v>
      </c>
      <c r="FV22" s="267">
        <v>40018</v>
      </c>
      <c r="FW22" s="267">
        <v>40262</v>
      </c>
      <c r="FX22" s="267">
        <v>40440</v>
      </c>
      <c r="FY22" s="267">
        <v>39814</v>
      </c>
      <c r="FZ22" s="267">
        <v>40485</v>
      </c>
      <c r="GA22" s="267">
        <v>41069</v>
      </c>
      <c r="GB22" s="267">
        <v>42156</v>
      </c>
      <c r="GC22" s="267">
        <v>40202</v>
      </c>
      <c r="GD22" s="267">
        <v>42640</v>
      </c>
      <c r="GE22" s="267">
        <v>41335</v>
      </c>
      <c r="GF22" s="267">
        <v>40640.200000000004</v>
      </c>
      <c r="GG22" s="267">
        <v>42164.099999999991</v>
      </c>
      <c r="GH22" s="267">
        <v>39808.69999999999</v>
      </c>
      <c r="GI22" s="267">
        <v>40521.5</v>
      </c>
      <c r="GJ22" s="267">
        <v>41144.9</v>
      </c>
      <c r="GK22" s="267">
        <v>39195.80000000001</v>
      </c>
      <c r="GL22" s="267">
        <v>39645.100000000006</v>
      </c>
      <c r="GM22" s="267">
        <v>38997.799999999996</v>
      </c>
      <c r="GN22" s="267">
        <v>42396.799999999996</v>
      </c>
      <c r="GO22" s="267">
        <v>39119.1</v>
      </c>
      <c r="GP22" s="267">
        <v>42818.600000000006</v>
      </c>
      <c r="GQ22" s="267">
        <v>41081.799999999996</v>
      </c>
      <c r="GR22" s="267">
        <v>41813.1</v>
      </c>
      <c r="GS22" s="267">
        <v>42985.600000000006</v>
      </c>
      <c r="GT22" s="267">
        <v>41033.69999999999</v>
      </c>
      <c r="GU22" s="267">
        <v>42035.399999999987</v>
      </c>
      <c r="GV22" s="267">
        <v>42482.5</v>
      </c>
      <c r="GW22" s="267">
        <v>39997.200000000004</v>
      </c>
      <c r="GX22" s="267">
        <v>42599.399999999994</v>
      </c>
      <c r="GY22" s="267">
        <v>40524.799999999996</v>
      </c>
      <c r="GZ22" s="267">
        <v>43105.999999999993</v>
      </c>
      <c r="HA22" s="267">
        <v>41735.4</v>
      </c>
      <c r="HB22" s="267">
        <v>44507.799999999988</v>
      </c>
      <c r="HC22" s="267">
        <v>43204.5</v>
      </c>
      <c r="HD22" s="267">
        <v>44670.499999999993</v>
      </c>
      <c r="HE22" s="267">
        <v>44443.9</v>
      </c>
      <c r="HF22" s="267">
        <v>42150.499999999993</v>
      </c>
      <c r="HG22" s="267">
        <v>45220.800000000003</v>
      </c>
      <c r="HH22" s="267">
        <v>45011.299999999988</v>
      </c>
      <c r="HI22" s="267">
        <v>43746.400000000001</v>
      </c>
      <c r="HJ22" s="267">
        <v>43904.299999999996</v>
      </c>
      <c r="HK22" s="267">
        <v>42510.8</v>
      </c>
      <c r="HL22" s="267">
        <v>45227.799999999996</v>
      </c>
      <c r="HM22" s="267">
        <v>42924.4</v>
      </c>
      <c r="HN22" s="267">
        <v>46854.299999999996</v>
      </c>
      <c r="HO22" s="267">
        <v>46046.500000000007</v>
      </c>
      <c r="HP22" s="267">
        <v>47867.700000000012</v>
      </c>
      <c r="HQ22" s="267">
        <v>47322.399999999987</v>
      </c>
      <c r="HR22" s="267">
        <v>45697.700000000004</v>
      </c>
      <c r="HS22" s="267">
        <v>47110.1</v>
      </c>
      <c r="HT22" s="267">
        <v>45807.299999999996</v>
      </c>
      <c r="HU22" s="469">
        <v>45167</v>
      </c>
      <c r="HV22" s="469">
        <v>45279.371700000011</v>
      </c>
      <c r="HW22" s="469">
        <v>45113.495500000005</v>
      </c>
      <c r="HX22" s="469">
        <v>46528.241600000008</v>
      </c>
      <c r="HY22" s="469">
        <v>44118.281799999997</v>
      </c>
      <c r="HZ22" s="469">
        <v>47257.769000000015</v>
      </c>
      <c r="IA22" s="853">
        <v>45150.443300000006</v>
      </c>
      <c r="IB22" s="853">
        <v>49721.266699999993</v>
      </c>
      <c r="IC22" s="853">
        <v>50028.478499999997</v>
      </c>
      <c r="ID22" s="853">
        <v>47232.461299999995</v>
      </c>
      <c r="IE22" s="853">
        <v>51779.254400000005</v>
      </c>
      <c r="IF22" s="853">
        <v>44580.203800000003</v>
      </c>
      <c r="IG22" s="853">
        <v>46812.419299999994</v>
      </c>
      <c r="IH22" s="853">
        <v>47127.263399999982</v>
      </c>
      <c r="II22" s="853">
        <v>48689.099100000014</v>
      </c>
      <c r="IJ22" s="853">
        <v>48324.497199999976</v>
      </c>
      <c r="IK22" s="853">
        <v>47552.3753</v>
      </c>
      <c r="IL22" s="853">
        <v>48826.552899999995</v>
      </c>
      <c r="IM22" s="854">
        <v>48504.856899999999</v>
      </c>
      <c r="IN22" s="168"/>
    </row>
    <row r="23" spans="1:248">
      <c r="GK23" s="205"/>
      <c r="GL23" s="205"/>
      <c r="GM23" s="205"/>
      <c r="GN23" s="205"/>
      <c r="GO23" s="205"/>
      <c r="GP23" s="205"/>
      <c r="GQ23" s="205"/>
      <c r="GR23" s="205"/>
      <c r="GS23" s="205"/>
      <c r="GT23" s="205"/>
      <c r="GU23" s="205"/>
      <c r="GV23" s="205"/>
      <c r="GW23" s="205"/>
      <c r="GX23" s="205"/>
      <c r="GY23" s="205"/>
      <c r="GZ23" s="205"/>
      <c r="HA23" s="205"/>
      <c r="HB23" s="205"/>
      <c r="HC23" s="205"/>
      <c r="IA23" s="722"/>
      <c r="IB23" s="722"/>
      <c r="IC23" s="722"/>
      <c r="ID23" s="722"/>
      <c r="IE23" s="722"/>
      <c r="IF23" s="722"/>
      <c r="IG23" s="722"/>
      <c r="IH23" s="722"/>
      <c r="II23" s="722"/>
      <c r="IJ23" s="722"/>
      <c r="IK23" s="722"/>
      <c r="IL23" s="722"/>
      <c r="IM23" s="722"/>
      <c r="IN23" s="168"/>
    </row>
    <row r="24" spans="1:248">
      <c r="GK24" s="205"/>
      <c r="GL24" s="205"/>
      <c r="GM24" s="205"/>
      <c r="GN24" s="205"/>
      <c r="GO24" s="205"/>
      <c r="GP24" s="205"/>
      <c r="GQ24" s="205"/>
      <c r="GR24" s="205"/>
      <c r="GS24" s="205"/>
      <c r="GT24" s="205"/>
      <c r="GU24" s="205"/>
      <c r="GV24" s="205"/>
      <c r="GW24" s="205"/>
      <c r="GX24" s="205"/>
      <c r="GY24" s="205"/>
      <c r="GZ24" s="205"/>
      <c r="HA24" s="205"/>
      <c r="HB24" s="205"/>
      <c r="HC24" s="205"/>
      <c r="IA24" s="722"/>
      <c r="IB24" s="722"/>
      <c r="IC24" s="722"/>
      <c r="ID24" s="722"/>
      <c r="IE24" s="722"/>
      <c r="IF24" s="722"/>
      <c r="IG24" s="722"/>
      <c r="IH24" s="722"/>
      <c r="II24" s="722"/>
      <c r="IJ24" s="722"/>
      <c r="IK24" s="722"/>
      <c r="IL24" s="722"/>
      <c r="IM24" s="722"/>
      <c r="IN24" s="168"/>
    </row>
    <row r="25" spans="1:248" ht="15.75" thickBot="1">
      <c r="A25" s="269" t="s">
        <v>1164</v>
      </c>
      <c r="GK25" s="205"/>
      <c r="GL25" s="205"/>
      <c r="GM25" s="205"/>
      <c r="GN25" s="205"/>
      <c r="GO25" s="205"/>
      <c r="GP25" s="205"/>
      <c r="GQ25" s="205"/>
      <c r="GR25" s="205"/>
      <c r="GS25" s="205"/>
      <c r="GT25" s="205"/>
      <c r="GU25" s="205"/>
      <c r="GV25" s="205"/>
      <c r="GW25" s="205"/>
      <c r="GX25" s="205"/>
      <c r="GY25" s="205"/>
      <c r="GZ25" s="205"/>
      <c r="HA25" s="205"/>
      <c r="HB25" s="205"/>
      <c r="HC25" s="205"/>
      <c r="IA25" s="722"/>
      <c r="IB25" s="722"/>
      <c r="IC25" s="722"/>
      <c r="ID25" s="722"/>
      <c r="IE25" s="722"/>
      <c r="IF25" s="722"/>
      <c r="IG25" s="722"/>
      <c r="IH25" s="722"/>
      <c r="II25" s="722"/>
      <c r="IJ25" s="722"/>
      <c r="IK25" s="722"/>
      <c r="IL25" s="722"/>
      <c r="IM25" s="722"/>
      <c r="IN25" s="168"/>
    </row>
    <row r="26" spans="1:248" ht="15.75" thickBot="1">
      <c r="A26" s="2" t="s">
        <v>95</v>
      </c>
      <c r="B26" s="80">
        <v>36892</v>
      </c>
      <c r="C26" s="80">
        <v>36923</v>
      </c>
      <c r="D26" s="80">
        <v>36951</v>
      </c>
      <c r="E26" s="80">
        <v>36982</v>
      </c>
      <c r="F26" s="80">
        <v>37012</v>
      </c>
      <c r="G26" s="80">
        <v>37043</v>
      </c>
      <c r="H26" s="80">
        <v>37073</v>
      </c>
      <c r="I26" s="80">
        <v>37104</v>
      </c>
      <c r="J26" s="80">
        <v>37135</v>
      </c>
      <c r="K26" s="80">
        <v>37165</v>
      </c>
      <c r="L26" s="80">
        <v>37196</v>
      </c>
      <c r="M26" s="80">
        <v>37226</v>
      </c>
      <c r="N26" s="80">
        <v>37257</v>
      </c>
      <c r="O26" s="80">
        <v>37288</v>
      </c>
      <c r="P26" s="80">
        <v>37316</v>
      </c>
      <c r="Q26" s="80">
        <v>37347</v>
      </c>
      <c r="R26" s="80">
        <v>37377</v>
      </c>
      <c r="S26" s="80">
        <v>37408</v>
      </c>
      <c r="T26" s="80">
        <v>37438</v>
      </c>
      <c r="U26" s="80">
        <v>37469</v>
      </c>
      <c r="V26" s="80">
        <v>37500</v>
      </c>
      <c r="W26" s="80">
        <v>37530</v>
      </c>
      <c r="X26" s="80">
        <v>37561</v>
      </c>
      <c r="Y26" s="80">
        <v>37591</v>
      </c>
      <c r="Z26" s="80">
        <v>37622</v>
      </c>
      <c r="AA26" s="80">
        <v>37653</v>
      </c>
      <c r="AB26" s="80">
        <v>37681</v>
      </c>
      <c r="AC26" s="80">
        <v>37712</v>
      </c>
      <c r="AD26" s="80">
        <v>37742</v>
      </c>
      <c r="AE26" s="80">
        <v>37773</v>
      </c>
      <c r="AF26" s="80">
        <v>37803</v>
      </c>
      <c r="AG26" s="80">
        <v>37834</v>
      </c>
      <c r="AH26" s="80">
        <v>37865</v>
      </c>
      <c r="AI26" s="80">
        <v>37895</v>
      </c>
      <c r="AJ26" s="80">
        <v>37926</v>
      </c>
      <c r="AK26" s="80">
        <v>37956</v>
      </c>
      <c r="AL26" s="80">
        <v>37987</v>
      </c>
      <c r="AM26" s="80">
        <v>38018</v>
      </c>
      <c r="AN26" s="80">
        <v>38047</v>
      </c>
      <c r="AO26" s="80">
        <v>38078</v>
      </c>
      <c r="AP26" s="80">
        <v>38108</v>
      </c>
      <c r="AQ26" s="80">
        <v>38139</v>
      </c>
      <c r="AR26" s="80">
        <v>38169</v>
      </c>
      <c r="AS26" s="80">
        <v>38200</v>
      </c>
      <c r="AT26" s="80">
        <v>38231</v>
      </c>
      <c r="AU26" s="80">
        <v>38261</v>
      </c>
      <c r="AV26" s="80">
        <v>38292</v>
      </c>
      <c r="AW26" s="80">
        <v>38322</v>
      </c>
      <c r="AX26" s="80">
        <v>38353</v>
      </c>
      <c r="AY26" s="80">
        <v>38384</v>
      </c>
      <c r="AZ26" s="80">
        <v>38412</v>
      </c>
      <c r="BA26" s="80">
        <v>38443</v>
      </c>
      <c r="BB26" s="80">
        <v>38473</v>
      </c>
      <c r="BC26" s="80">
        <v>38504</v>
      </c>
      <c r="BD26" s="80">
        <v>38534</v>
      </c>
      <c r="BE26" s="80">
        <v>38565</v>
      </c>
      <c r="BF26" s="80">
        <v>38596</v>
      </c>
      <c r="BG26" s="80">
        <v>38626</v>
      </c>
      <c r="BH26" s="80">
        <v>38657</v>
      </c>
      <c r="BI26" s="80">
        <v>38687</v>
      </c>
      <c r="BJ26" s="80">
        <v>38718</v>
      </c>
      <c r="BK26" s="80">
        <v>38749</v>
      </c>
      <c r="BL26" s="80">
        <v>38777</v>
      </c>
      <c r="BM26" s="80">
        <v>38808</v>
      </c>
      <c r="BN26" s="80">
        <v>38838</v>
      </c>
      <c r="BO26" s="80">
        <v>38869</v>
      </c>
      <c r="BP26" s="80">
        <v>38899</v>
      </c>
      <c r="BQ26" s="80">
        <v>38930</v>
      </c>
      <c r="BR26" s="80">
        <v>38961</v>
      </c>
      <c r="BS26" s="80">
        <v>38991</v>
      </c>
      <c r="BT26" s="80">
        <v>39022</v>
      </c>
      <c r="BU26" s="80">
        <v>39052</v>
      </c>
      <c r="BV26" s="80">
        <v>39083</v>
      </c>
      <c r="BW26" s="80">
        <v>39114</v>
      </c>
      <c r="BX26" s="80">
        <v>39142</v>
      </c>
      <c r="BY26" s="80">
        <v>39173</v>
      </c>
      <c r="BZ26" s="80">
        <v>39203</v>
      </c>
      <c r="CA26" s="80">
        <v>39234</v>
      </c>
      <c r="CB26" s="80">
        <v>39264</v>
      </c>
      <c r="CC26" s="80">
        <v>39295</v>
      </c>
      <c r="CD26" s="80">
        <v>39326</v>
      </c>
      <c r="CE26" s="80">
        <v>39356</v>
      </c>
      <c r="CF26" s="169">
        <v>39387</v>
      </c>
      <c r="CG26" s="169">
        <v>39417</v>
      </c>
      <c r="CH26" s="169">
        <v>39448</v>
      </c>
      <c r="CI26" s="169">
        <v>39479</v>
      </c>
      <c r="CJ26" s="169">
        <v>39508</v>
      </c>
      <c r="CK26" s="169">
        <v>39539</v>
      </c>
      <c r="CL26" s="169">
        <v>39569</v>
      </c>
      <c r="CM26" s="169">
        <v>39600</v>
      </c>
      <c r="CN26" s="169">
        <v>39630</v>
      </c>
      <c r="CO26" s="169">
        <v>39661</v>
      </c>
      <c r="CP26" s="169">
        <v>39692</v>
      </c>
      <c r="CQ26" s="169">
        <v>39722</v>
      </c>
      <c r="CR26" s="169">
        <v>39753</v>
      </c>
      <c r="CS26" s="169">
        <v>39783</v>
      </c>
      <c r="CT26" s="169">
        <v>39814</v>
      </c>
      <c r="CU26" s="169">
        <v>39845</v>
      </c>
      <c r="CV26" s="169">
        <v>39873</v>
      </c>
      <c r="CW26" s="169">
        <v>39904</v>
      </c>
      <c r="CX26" s="169">
        <v>39934</v>
      </c>
      <c r="CY26" s="169">
        <v>39965</v>
      </c>
      <c r="CZ26" s="169">
        <v>39995</v>
      </c>
      <c r="DA26" s="169">
        <v>40026</v>
      </c>
      <c r="DB26" s="169">
        <v>40057</v>
      </c>
      <c r="DC26" s="169">
        <v>40087</v>
      </c>
      <c r="DD26" s="169">
        <v>40118</v>
      </c>
      <c r="DE26" s="169">
        <v>40148</v>
      </c>
      <c r="DF26" s="169">
        <v>40179</v>
      </c>
      <c r="DG26" s="169">
        <v>40210</v>
      </c>
      <c r="DH26" s="169">
        <v>40238</v>
      </c>
      <c r="DI26" s="169">
        <v>40269</v>
      </c>
      <c r="DJ26" s="169">
        <v>40299</v>
      </c>
      <c r="DK26" s="169">
        <v>40330</v>
      </c>
      <c r="DL26" s="169">
        <v>40360</v>
      </c>
      <c r="DM26" s="169">
        <v>40391</v>
      </c>
      <c r="DN26" s="169">
        <v>40422</v>
      </c>
      <c r="DO26" s="169">
        <v>40452</v>
      </c>
      <c r="DP26" s="169">
        <v>40483</v>
      </c>
      <c r="DQ26" s="169">
        <v>40513</v>
      </c>
      <c r="DR26" s="169">
        <v>40544</v>
      </c>
      <c r="DS26" s="169">
        <v>40575</v>
      </c>
      <c r="DT26" s="169">
        <v>40603</v>
      </c>
      <c r="DU26" s="169">
        <v>40634</v>
      </c>
      <c r="DV26" s="169">
        <v>40664</v>
      </c>
      <c r="DW26" s="169">
        <v>40695</v>
      </c>
      <c r="DX26" s="169">
        <v>40725</v>
      </c>
      <c r="DY26" s="169">
        <v>40756</v>
      </c>
      <c r="DZ26" s="169">
        <v>40787</v>
      </c>
      <c r="EA26" s="169">
        <v>40817</v>
      </c>
      <c r="EB26" s="169">
        <v>40848</v>
      </c>
      <c r="EC26" s="169">
        <v>40878</v>
      </c>
      <c r="ED26" s="169">
        <v>40909</v>
      </c>
      <c r="EE26" s="169">
        <v>40940</v>
      </c>
      <c r="EF26" s="169">
        <v>40969</v>
      </c>
      <c r="EG26" s="169">
        <v>41000</v>
      </c>
      <c r="EH26" s="169">
        <v>41030</v>
      </c>
      <c r="EI26" s="169">
        <v>41061</v>
      </c>
      <c r="EJ26" s="169">
        <v>41091</v>
      </c>
      <c r="EK26" s="169">
        <v>41122</v>
      </c>
      <c r="EL26" s="169">
        <v>41153</v>
      </c>
      <c r="EM26" s="169">
        <v>41183</v>
      </c>
      <c r="EN26" s="169">
        <v>41214</v>
      </c>
      <c r="EO26" s="169">
        <v>41244</v>
      </c>
      <c r="EP26" s="169">
        <v>41275</v>
      </c>
      <c r="EQ26" s="169">
        <v>41306</v>
      </c>
      <c r="ER26" s="169">
        <v>41334</v>
      </c>
      <c r="ES26" s="169">
        <v>41365</v>
      </c>
      <c r="ET26" s="169">
        <v>41395</v>
      </c>
      <c r="EU26" s="169">
        <v>41426</v>
      </c>
      <c r="EV26" s="169">
        <v>41456</v>
      </c>
      <c r="EW26" s="169">
        <v>41487</v>
      </c>
      <c r="EX26" s="169">
        <v>41518</v>
      </c>
      <c r="EY26" s="169">
        <v>41548</v>
      </c>
      <c r="EZ26" s="169">
        <v>41579</v>
      </c>
      <c r="FA26" s="169">
        <v>41609</v>
      </c>
      <c r="FB26" s="169">
        <v>41640</v>
      </c>
      <c r="FC26" s="169">
        <v>41671</v>
      </c>
      <c r="FD26" s="169">
        <v>41699</v>
      </c>
      <c r="FE26" s="169">
        <v>41730</v>
      </c>
      <c r="FF26" s="169">
        <v>41760</v>
      </c>
      <c r="FG26" s="169">
        <v>41791</v>
      </c>
      <c r="FH26" s="169">
        <v>41821</v>
      </c>
      <c r="FI26" s="169">
        <v>41852</v>
      </c>
      <c r="FJ26" s="169">
        <v>41883</v>
      </c>
      <c r="FK26" s="169">
        <v>41913</v>
      </c>
      <c r="FL26" s="169">
        <v>41944</v>
      </c>
      <c r="FM26" s="169">
        <v>41974</v>
      </c>
      <c r="FN26" s="169">
        <v>42005</v>
      </c>
      <c r="FO26" s="169">
        <v>42036</v>
      </c>
      <c r="FP26" s="169">
        <v>42064</v>
      </c>
      <c r="FQ26" s="169">
        <v>42095</v>
      </c>
      <c r="FR26" s="169">
        <v>42125</v>
      </c>
      <c r="FS26" s="169">
        <v>42156</v>
      </c>
      <c r="FT26" s="169">
        <v>42186</v>
      </c>
      <c r="FU26" s="169">
        <v>42217</v>
      </c>
      <c r="FV26" s="169">
        <v>42248</v>
      </c>
      <c r="FW26" s="169">
        <v>42278</v>
      </c>
      <c r="FX26" s="169">
        <v>42309</v>
      </c>
      <c r="FY26" s="169">
        <v>42339</v>
      </c>
      <c r="FZ26" s="169">
        <v>42370</v>
      </c>
      <c r="GA26" s="169">
        <v>42401</v>
      </c>
      <c r="GB26" s="169">
        <v>42430</v>
      </c>
      <c r="GC26" s="169">
        <v>42461</v>
      </c>
      <c r="GD26" s="169">
        <v>42491</v>
      </c>
      <c r="GE26" s="169">
        <v>42522</v>
      </c>
      <c r="GF26" s="169">
        <v>42552</v>
      </c>
      <c r="GG26" s="169">
        <v>42583</v>
      </c>
      <c r="GH26" s="169">
        <v>42614</v>
      </c>
      <c r="GI26" s="169">
        <v>42644</v>
      </c>
      <c r="GJ26" s="169">
        <v>42675</v>
      </c>
      <c r="GK26" s="169">
        <v>42705</v>
      </c>
      <c r="GL26" s="169">
        <v>42736</v>
      </c>
      <c r="GM26" s="169">
        <v>42767</v>
      </c>
      <c r="GN26" s="169">
        <v>42795</v>
      </c>
      <c r="GO26" s="169">
        <v>42826</v>
      </c>
      <c r="GP26" s="169">
        <v>42856</v>
      </c>
      <c r="GQ26" s="169">
        <v>42887</v>
      </c>
      <c r="GR26" s="169">
        <v>42917</v>
      </c>
      <c r="GS26" s="169">
        <v>42948</v>
      </c>
      <c r="GT26" s="169">
        <v>42979</v>
      </c>
      <c r="GU26" s="169">
        <v>43009</v>
      </c>
      <c r="GV26" s="169">
        <v>43040</v>
      </c>
      <c r="GW26" s="169">
        <v>43070</v>
      </c>
      <c r="GX26" s="169">
        <v>43101</v>
      </c>
      <c r="GY26" s="169">
        <v>43132</v>
      </c>
      <c r="GZ26" s="169">
        <v>43160</v>
      </c>
      <c r="HA26" s="169">
        <v>43191</v>
      </c>
      <c r="HB26" s="169">
        <v>43221</v>
      </c>
      <c r="HC26" s="169">
        <v>43252</v>
      </c>
      <c r="HD26" s="169">
        <v>43282</v>
      </c>
      <c r="HE26" s="169">
        <v>43313</v>
      </c>
      <c r="HF26" s="169">
        <v>43344</v>
      </c>
      <c r="HG26" s="169">
        <v>43374</v>
      </c>
      <c r="HH26" s="169">
        <v>43405</v>
      </c>
      <c r="HI26" s="169">
        <v>43435</v>
      </c>
      <c r="HJ26" s="169">
        <v>43466</v>
      </c>
      <c r="HK26" s="169">
        <v>43497</v>
      </c>
      <c r="HL26" s="169">
        <v>43525</v>
      </c>
      <c r="HM26" s="169">
        <v>43556</v>
      </c>
      <c r="HN26" s="169">
        <v>43586</v>
      </c>
      <c r="HO26" s="169">
        <v>43617</v>
      </c>
      <c r="HP26" s="169">
        <v>43647</v>
      </c>
      <c r="HQ26" s="169">
        <v>43678</v>
      </c>
      <c r="HR26" s="169">
        <v>43709</v>
      </c>
      <c r="HS26" s="169">
        <v>43739</v>
      </c>
      <c r="HT26" s="169">
        <v>43770</v>
      </c>
      <c r="HU26" s="169">
        <v>43800</v>
      </c>
      <c r="HV26" s="169">
        <v>43831</v>
      </c>
      <c r="HW26" s="169">
        <v>43862</v>
      </c>
      <c r="HX26" s="169">
        <v>43891</v>
      </c>
      <c r="HY26" s="169">
        <v>43922</v>
      </c>
      <c r="HZ26" s="169">
        <v>43952</v>
      </c>
      <c r="IA26" s="169">
        <v>43983</v>
      </c>
      <c r="IB26" s="169">
        <v>44013</v>
      </c>
      <c r="IC26" s="169">
        <v>44044</v>
      </c>
      <c r="ID26" s="169">
        <v>44075</v>
      </c>
      <c r="IE26" s="169">
        <v>44105</v>
      </c>
      <c r="IF26" s="169">
        <v>44136</v>
      </c>
      <c r="IG26" s="169">
        <v>44166</v>
      </c>
      <c r="IH26" s="169">
        <v>44197</v>
      </c>
      <c r="II26" s="169">
        <v>44228</v>
      </c>
      <c r="IJ26" s="169">
        <v>44256</v>
      </c>
      <c r="IK26" s="169">
        <v>44287</v>
      </c>
      <c r="IL26" s="169">
        <v>44317</v>
      </c>
      <c r="IM26" s="169">
        <v>44348</v>
      </c>
      <c r="IN26" s="199">
        <v>44378</v>
      </c>
    </row>
    <row r="27" spans="1:248">
      <c r="A27" s="81" t="s">
        <v>1030</v>
      </c>
      <c r="B27" s="284">
        <v>1203</v>
      </c>
      <c r="C27" s="284">
        <v>1166</v>
      </c>
      <c r="D27" s="284">
        <v>1268</v>
      </c>
      <c r="E27" s="284">
        <v>1261</v>
      </c>
      <c r="F27" s="284">
        <v>1348</v>
      </c>
      <c r="G27" s="284">
        <v>1371</v>
      </c>
      <c r="H27" s="284">
        <v>1347</v>
      </c>
      <c r="I27" s="284">
        <v>1346</v>
      </c>
      <c r="J27" s="284">
        <v>1250</v>
      </c>
      <c r="K27" s="284">
        <v>1387</v>
      </c>
      <c r="L27" s="284">
        <v>1383</v>
      </c>
      <c r="M27" s="284">
        <v>1993</v>
      </c>
      <c r="N27" s="284">
        <v>1857</v>
      </c>
      <c r="O27" s="284">
        <v>1444</v>
      </c>
      <c r="P27" s="284">
        <v>1538</v>
      </c>
      <c r="Q27" s="284">
        <v>1422</v>
      </c>
      <c r="R27" s="284">
        <v>1493</v>
      </c>
      <c r="S27" s="284">
        <v>1377</v>
      </c>
      <c r="T27" s="284">
        <v>1489</v>
      </c>
      <c r="U27" s="284">
        <v>1330</v>
      </c>
      <c r="V27" s="284">
        <v>1579</v>
      </c>
      <c r="W27" s="284">
        <v>1668</v>
      </c>
      <c r="X27" s="284">
        <v>2227</v>
      </c>
      <c r="Y27" s="284">
        <v>1451</v>
      </c>
      <c r="Z27" s="284">
        <v>1564</v>
      </c>
      <c r="AA27" s="284">
        <v>1519</v>
      </c>
      <c r="AB27" s="284">
        <v>1598</v>
      </c>
      <c r="AC27" s="284">
        <v>1542</v>
      </c>
      <c r="AD27" s="284">
        <v>1892</v>
      </c>
      <c r="AE27" s="284">
        <v>1725</v>
      </c>
      <c r="AF27" s="284">
        <v>1766</v>
      </c>
      <c r="AG27" s="284">
        <v>1765</v>
      </c>
      <c r="AH27" s="284">
        <v>1431</v>
      </c>
      <c r="AI27" s="284">
        <v>1904</v>
      </c>
      <c r="AJ27" s="284">
        <v>1889</v>
      </c>
      <c r="AK27" s="284">
        <v>1485</v>
      </c>
      <c r="AL27" s="284">
        <v>1733</v>
      </c>
      <c r="AM27" s="284">
        <v>1890</v>
      </c>
      <c r="AN27" s="284">
        <v>2137</v>
      </c>
      <c r="AO27" s="284">
        <v>1984</v>
      </c>
      <c r="AP27" s="284">
        <v>2071</v>
      </c>
      <c r="AQ27" s="284">
        <v>1888</v>
      </c>
      <c r="AR27" s="284">
        <v>2299</v>
      </c>
      <c r="AS27" s="284">
        <v>2127</v>
      </c>
      <c r="AT27" s="284">
        <v>2443</v>
      </c>
      <c r="AU27" s="284">
        <v>2382</v>
      </c>
      <c r="AV27" s="284">
        <v>2814</v>
      </c>
      <c r="AW27" s="284">
        <v>3549</v>
      </c>
      <c r="AX27" s="284">
        <v>2831</v>
      </c>
      <c r="AY27" s="284">
        <v>2964</v>
      </c>
      <c r="AZ27" s="284">
        <v>3251</v>
      </c>
      <c r="BA27" s="284">
        <v>3652</v>
      </c>
      <c r="BB27" s="284">
        <v>4174</v>
      </c>
      <c r="BC27" s="284">
        <v>3850</v>
      </c>
      <c r="BD27" s="284">
        <v>3932</v>
      </c>
      <c r="BE27" s="284">
        <v>4237</v>
      </c>
      <c r="BF27" s="284">
        <v>4208</v>
      </c>
      <c r="BG27" s="284">
        <v>3360</v>
      </c>
      <c r="BH27" s="284">
        <v>4612</v>
      </c>
      <c r="BI27" s="284">
        <v>4232</v>
      </c>
      <c r="BJ27" s="284">
        <v>3641</v>
      </c>
      <c r="BK27" s="284">
        <v>4286</v>
      </c>
      <c r="BL27" s="284">
        <v>4469</v>
      </c>
      <c r="BM27" s="284">
        <v>2744</v>
      </c>
      <c r="BN27" s="284">
        <v>4878</v>
      </c>
      <c r="BO27" s="284">
        <v>4408</v>
      </c>
      <c r="BP27" s="284">
        <v>3900</v>
      </c>
      <c r="BQ27" s="284">
        <v>2809</v>
      </c>
      <c r="BR27" s="284">
        <v>2264</v>
      </c>
      <c r="BS27" s="284">
        <v>2492</v>
      </c>
      <c r="BT27" s="284">
        <v>2809</v>
      </c>
      <c r="BU27" s="284">
        <v>2499</v>
      </c>
      <c r="BV27" s="284">
        <v>2389</v>
      </c>
      <c r="BW27" s="284">
        <v>2708</v>
      </c>
      <c r="BX27" s="284">
        <v>2993</v>
      </c>
      <c r="BY27" s="284">
        <v>2090</v>
      </c>
      <c r="BZ27" s="284">
        <v>2897</v>
      </c>
      <c r="CA27" s="284">
        <v>2690</v>
      </c>
      <c r="CB27" s="284">
        <v>2760</v>
      </c>
      <c r="CC27" s="284">
        <v>2749</v>
      </c>
      <c r="CD27" s="284">
        <v>2430</v>
      </c>
      <c r="CE27" s="284">
        <v>2486</v>
      </c>
      <c r="CF27" s="284">
        <v>2479</v>
      </c>
      <c r="CG27" s="284">
        <v>2172</v>
      </c>
      <c r="CH27" s="284">
        <v>2053</v>
      </c>
      <c r="CI27" s="284">
        <v>2703</v>
      </c>
      <c r="CJ27" s="284">
        <v>2278</v>
      </c>
      <c r="CK27" s="284">
        <v>2405</v>
      </c>
      <c r="CL27" s="284">
        <v>2390</v>
      </c>
      <c r="CM27" s="284">
        <v>2486</v>
      </c>
      <c r="CN27" s="284">
        <v>2564</v>
      </c>
      <c r="CO27" s="284">
        <v>2516</v>
      </c>
      <c r="CP27" s="284">
        <v>2543</v>
      </c>
      <c r="CQ27" s="284">
        <v>2756</v>
      </c>
      <c r="CR27" s="284">
        <v>2770</v>
      </c>
      <c r="CS27" s="284">
        <v>2490</v>
      </c>
      <c r="CT27" s="284">
        <v>2436</v>
      </c>
      <c r="CU27" s="284">
        <v>3083</v>
      </c>
      <c r="CV27" s="284">
        <v>2814</v>
      </c>
      <c r="CW27" s="284">
        <v>2645</v>
      </c>
      <c r="CX27" s="284">
        <v>2633</v>
      </c>
      <c r="CY27" s="284">
        <v>2553</v>
      </c>
      <c r="CZ27" s="284">
        <v>2773</v>
      </c>
      <c r="DA27" s="284">
        <v>2659</v>
      </c>
      <c r="DB27" s="284">
        <v>3004</v>
      </c>
      <c r="DC27" s="284">
        <v>3002</v>
      </c>
      <c r="DD27" s="284">
        <v>3419</v>
      </c>
      <c r="DE27" s="284">
        <v>3150</v>
      </c>
      <c r="DF27" s="284">
        <v>3160</v>
      </c>
      <c r="DG27" s="284">
        <v>3587</v>
      </c>
      <c r="DH27" s="284">
        <v>3933</v>
      </c>
      <c r="DI27" s="284">
        <v>3273</v>
      </c>
      <c r="DJ27" s="284">
        <v>4027</v>
      </c>
      <c r="DK27" s="284">
        <v>4102</v>
      </c>
      <c r="DL27" s="284">
        <v>4683</v>
      </c>
      <c r="DM27" s="284">
        <v>4730</v>
      </c>
      <c r="DN27" s="284">
        <v>4846</v>
      </c>
      <c r="DO27" s="284">
        <v>5440</v>
      </c>
      <c r="DP27" s="284">
        <v>5836</v>
      </c>
      <c r="DQ27" s="284">
        <v>4902</v>
      </c>
      <c r="DR27" s="284">
        <v>5055</v>
      </c>
      <c r="DS27" s="284">
        <v>6302</v>
      </c>
      <c r="DT27" s="284">
        <v>6750</v>
      </c>
      <c r="DU27" s="284">
        <v>5663</v>
      </c>
      <c r="DV27" s="284">
        <v>6949</v>
      </c>
      <c r="DW27" s="284">
        <v>6815</v>
      </c>
      <c r="DX27" s="284">
        <v>6737</v>
      </c>
      <c r="DY27" s="284">
        <v>6632</v>
      </c>
      <c r="DZ27" s="284">
        <v>5861</v>
      </c>
      <c r="EA27" s="284">
        <v>5895</v>
      </c>
      <c r="EB27" s="284">
        <v>5797</v>
      </c>
      <c r="EC27" s="284">
        <v>4567</v>
      </c>
      <c r="ED27" s="284">
        <v>4232</v>
      </c>
      <c r="EE27" s="284">
        <v>4569</v>
      </c>
      <c r="EF27" s="284">
        <v>4655</v>
      </c>
      <c r="EG27" s="284">
        <v>4576</v>
      </c>
      <c r="EH27" s="284">
        <v>3431</v>
      </c>
      <c r="EI27" s="284">
        <v>2542</v>
      </c>
      <c r="EJ27" s="284">
        <v>2771</v>
      </c>
      <c r="EK27" s="284">
        <v>2684</v>
      </c>
      <c r="EL27" s="284">
        <v>2218</v>
      </c>
      <c r="EM27" s="284">
        <v>2415</v>
      </c>
      <c r="EN27" s="284">
        <v>2765</v>
      </c>
      <c r="EO27" s="284">
        <v>2249</v>
      </c>
      <c r="EP27" s="284">
        <v>2273</v>
      </c>
      <c r="EQ27" s="284">
        <v>2788</v>
      </c>
      <c r="ER27" s="284">
        <v>2403</v>
      </c>
      <c r="ES27" s="284">
        <v>2512</v>
      </c>
      <c r="ET27" s="284">
        <v>2571</v>
      </c>
      <c r="EU27" s="284">
        <v>2275</v>
      </c>
      <c r="EV27" s="284">
        <v>2438</v>
      </c>
      <c r="EW27" s="284">
        <v>2215</v>
      </c>
      <c r="EX27" s="284">
        <v>1948</v>
      </c>
      <c r="EY27" s="284">
        <v>2248</v>
      </c>
      <c r="EZ27" s="284">
        <v>2362</v>
      </c>
      <c r="FA27" s="284">
        <v>1982</v>
      </c>
      <c r="FB27" s="284">
        <v>2109</v>
      </c>
      <c r="FC27" s="284">
        <v>2582</v>
      </c>
      <c r="FD27" s="284">
        <v>2573</v>
      </c>
      <c r="FE27" s="284">
        <v>2253</v>
      </c>
      <c r="FF27" s="284">
        <v>2279</v>
      </c>
      <c r="FG27" s="284">
        <v>2194</v>
      </c>
      <c r="FH27" s="284">
        <v>2162</v>
      </c>
      <c r="FI27" s="284">
        <v>2076</v>
      </c>
      <c r="FJ27" s="284">
        <v>2083</v>
      </c>
      <c r="FK27" s="284">
        <v>2362</v>
      </c>
      <c r="FL27" s="284">
        <v>2442</v>
      </c>
      <c r="FM27" s="284">
        <v>2004</v>
      </c>
      <c r="FN27" s="284">
        <v>2125</v>
      </c>
      <c r="FO27" s="284">
        <v>2433</v>
      </c>
      <c r="FP27" s="284">
        <v>2304</v>
      </c>
      <c r="FQ27" s="284">
        <v>2286</v>
      </c>
      <c r="FR27" s="284">
        <v>2378</v>
      </c>
      <c r="FS27" s="284">
        <v>2412</v>
      </c>
      <c r="FT27" s="284">
        <v>2700</v>
      </c>
      <c r="FU27" s="284">
        <v>2308</v>
      </c>
      <c r="FV27" s="284">
        <v>2176</v>
      </c>
      <c r="FW27" s="284">
        <v>2359</v>
      </c>
      <c r="FX27" s="284">
        <v>2456</v>
      </c>
      <c r="FY27" s="284">
        <v>1949</v>
      </c>
      <c r="FZ27" s="284">
        <v>1900</v>
      </c>
      <c r="GA27" s="284">
        <v>1899</v>
      </c>
      <c r="GB27" s="284">
        <v>1755</v>
      </c>
      <c r="GC27" s="284">
        <v>1631</v>
      </c>
      <c r="GD27" s="284">
        <v>1718</v>
      </c>
      <c r="GE27" s="284">
        <v>1620</v>
      </c>
      <c r="GF27" s="284">
        <v>1491.9</v>
      </c>
      <c r="GG27" s="284">
        <v>1630.5</v>
      </c>
      <c r="GH27" s="284">
        <v>1680.2</v>
      </c>
      <c r="GI27" s="284">
        <v>1911.2</v>
      </c>
      <c r="GJ27" s="284">
        <v>1645.3</v>
      </c>
      <c r="GK27" s="284">
        <v>1992.4</v>
      </c>
      <c r="GL27" s="284">
        <v>1604.9</v>
      </c>
      <c r="GM27" s="284">
        <v>1834.1</v>
      </c>
      <c r="GN27" s="284">
        <v>1948.5</v>
      </c>
      <c r="GO27" s="284">
        <v>1622.6</v>
      </c>
      <c r="GP27" s="284">
        <v>2152.1999999999998</v>
      </c>
      <c r="GQ27" s="284">
        <v>2115.9</v>
      </c>
      <c r="GR27" s="284">
        <v>1876.7</v>
      </c>
      <c r="GS27" s="284">
        <v>1925</v>
      </c>
      <c r="GT27" s="284">
        <v>1884.7</v>
      </c>
      <c r="GU27" s="284">
        <v>2067.1999999999998</v>
      </c>
      <c r="GV27" s="284">
        <v>2271.1999999999998</v>
      </c>
      <c r="GW27" s="284">
        <v>1865.6</v>
      </c>
      <c r="GX27" s="284">
        <v>2165.9</v>
      </c>
      <c r="GY27" s="284">
        <v>2449.3000000000002</v>
      </c>
      <c r="GZ27" s="284">
        <v>2334.1999999999998</v>
      </c>
      <c r="HA27" s="284">
        <v>2211.3000000000002</v>
      </c>
      <c r="HB27" s="284">
        <v>2525.9</v>
      </c>
      <c r="HC27" s="284">
        <v>2165.9</v>
      </c>
      <c r="HD27" s="284">
        <v>2118</v>
      </c>
      <c r="HE27" s="284">
        <v>2545.4</v>
      </c>
      <c r="HF27" s="284">
        <v>2436.9</v>
      </c>
      <c r="HG27" s="284">
        <v>2875.7</v>
      </c>
      <c r="HH27" s="284">
        <v>2685.6</v>
      </c>
      <c r="HI27" s="284">
        <v>2331.1999999999998</v>
      </c>
      <c r="HJ27" s="284">
        <v>2609.5</v>
      </c>
      <c r="HK27" s="284">
        <v>2870.8</v>
      </c>
      <c r="HL27" s="284">
        <v>3066.9</v>
      </c>
      <c r="HM27" s="284">
        <v>2684.1</v>
      </c>
      <c r="HN27" s="284">
        <v>2942.5</v>
      </c>
      <c r="HO27" s="284">
        <v>2625.5</v>
      </c>
      <c r="HP27" s="284">
        <v>2776.2</v>
      </c>
      <c r="HQ27" s="284">
        <v>2584.8000000000002</v>
      </c>
      <c r="HR27" s="284">
        <v>2486.1999999999998</v>
      </c>
      <c r="HS27" s="284">
        <v>2661.9</v>
      </c>
      <c r="HT27" s="284">
        <v>2363.9</v>
      </c>
      <c r="HU27" s="284">
        <v>1850.5</v>
      </c>
      <c r="HV27" s="284">
        <v>2126.1894999999995</v>
      </c>
      <c r="HW27" s="284">
        <v>2554.9734000000003</v>
      </c>
      <c r="HX27" s="284">
        <v>2689.1513</v>
      </c>
      <c r="HY27" s="284">
        <v>2149.3557000000001</v>
      </c>
      <c r="HZ27" s="284">
        <v>2289.9177</v>
      </c>
      <c r="IA27" s="284">
        <v>2398.7215999999999</v>
      </c>
      <c r="IB27" s="284">
        <v>2427.4315999999999</v>
      </c>
      <c r="IC27" s="284">
        <v>2654.0095999999999</v>
      </c>
      <c r="ID27" s="284">
        <v>2527.3076000000001</v>
      </c>
      <c r="IE27" s="284">
        <v>2965.4514999999997</v>
      </c>
      <c r="IF27" s="284">
        <v>2605.4694999999997</v>
      </c>
      <c r="IG27" s="284">
        <v>2216.3996999999999</v>
      </c>
      <c r="IH27" s="284">
        <v>2063.0697</v>
      </c>
      <c r="II27" s="284">
        <v>2495.1175000000003</v>
      </c>
      <c r="IJ27" s="284">
        <v>2716.9856</v>
      </c>
      <c r="IK27" s="284">
        <v>2626.4214999999995</v>
      </c>
      <c r="IL27" s="284">
        <v>2391.9956000000002</v>
      </c>
      <c r="IM27" s="850">
        <v>2356.7936</v>
      </c>
      <c r="IN27" s="168"/>
    </row>
    <row r="28" spans="1:248">
      <c r="A28" s="81" t="s">
        <v>189</v>
      </c>
      <c r="B28" s="285">
        <v>698</v>
      </c>
      <c r="C28" s="285">
        <v>684</v>
      </c>
      <c r="D28" s="285">
        <v>723</v>
      </c>
      <c r="E28" s="285">
        <v>692</v>
      </c>
      <c r="F28" s="285">
        <v>705</v>
      </c>
      <c r="G28" s="285">
        <v>716</v>
      </c>
      <c r="H28" s="285">
        <v>777</v>
      </c>
      <c r="I28" s="285">
        <v>744</v>
      </c>
      <c r="J28" s="285">
        <v>694</v>
      </c>
      <c r="K28" s="285">
        <v>679</v>
      </c>
      <c r="L28" s="285">
        <v>670</v>
      </c>
      <c r="M28" s="285">
        <v>595</v>
      </c>
      <c r="N28" s="285">
        <v>642</v>
      </c>
      <c r="O28" s="285">
        <v>512</v>
      </c>
      <c r="P28" s="285">
        <v>689</v>
      </c>
      <c r="Q28" s="285">
        <v>619</v>
      </c>
      <c r="R28" s="285">
        <v>705</v>
      </c>
      <c r="S28" s="285">
        <v>677</v>
      </c>
      <c r="T28" s="285">
        <v>646</v>
      </c>
      <c r="U28" s="285">
        <v>725</v>
      </c>
      <c r="V28" s="285">
        <v>725</v>
      </c>
      <c r="W28" s="285">
        <v>807</v>
      </c>
      <c r="X28" s="285">
        <v>826</v>
      </c>
      <c r="Y28" s="285">
        <v>877</v>
      </c>
      <c r="Z28" s="285">
        <v>861</v>
      </c>
      <c r="AA28" s="285">
        <v>829</v>
      </c>
      <c r="AB28" s="285">
        <v>862</v>
      </c>
      <c r="AC28" s="285">
        <v>871</v>
      </c>
      <c r="AD28" s="285">
        <v>896</v>
      </c>
      <c r="AE28" s="285">
        <v>940</v>
      </c>
      <c r="AF28" s="285">
        <v>828</v>
      </c>
      <c r="AG28" s="285">
        <v>887</v>
      </c>
      <c r="AH28" s="285">
        <v>885</v>
      </c>
      <c r="AI28" s="285">
        <v>837</v>
      </c>
      <c r="AJ28" s="285">
        <v>693</v>
      </c>
      <c r="AK28" s="285">
        <v>571</v>
      </c>
      <c r="AL28" s="285">
        <v>621</v>
      </c>
      <c r="AM28" s="285">
        <v>618</v>
      </c>
      <c r="AN28" s="285">
        <v>630</v>
      </c>
      <c r="AO28" s="285">
        <v>594</v>
      </c>
      <c r="AP28" s="285">
        <v>666</v>
      </c>
      <c r="AQ28" s="285">
        <v>675</v>
      </c>
      <c r="AR28" s="285">
        <v>732</v>
      </c>
      <c r="AS28" s="285">
        <v>924</v>
      </c>
      <c r="AT28" s="285">
        <v>863</v>
      </c>
      <c r="AU28" s="285">
        <v>951</v>
      </c>
      <c r="AV28" s="285">
        <v>989</v>
      </c>
      <c r="AW28" s="285">
        <v>841</v>
      </c>
      <c r="AX28" s="285">
        <v>816</v>
      </c>
      <c r="AY28" s="285">
        <v>880</v>
      </c>
      <c r="AZ28" s="285">
        <v>944</v>
      </c>
      <c r="BA28" s="285">
        <v>861</v>
      </c>
      <c r="BB28" s="285">
        <v>958</v>
      </c>
      <c r="BC28" s="285">
        <v>886</v>
      </c>
      <c r="BD28" s="285">
        <v>1065</v>
      </c>
      <c r="BE28" s="285">
        <v>1114</v>
      </c>
      <c r="BF28" s="285">
        <v>1085</v>
      </c>
      <c r="BG28" s="285">
        <v>1410</v>
      </c>
      <c r="BH28" s="285">
        <v>1259</v>
      </c>
      <c r="BI28" s="285">
        <v>1160</v>
      </c>
      <c r="BJ28" s="285">
        <v>1263</v>
      </c>
      <c r="BK28" s="285">
        <v>1157</v>
      </c>
      <c r="BL28" s="285">
        <v>1255</v>
      </c>
      <c r="BM28" s="285">
        <v>1168</v>
      </c>
      <c r="BN28" s="285">
        <v>1144</v>
      </c>
      <c r="BO28" s="285">
        <v>1277</v>
      </c>
      <c r="BP28" s="285">
        <v>1279</v>
      </c>
      <c r="BQ28" s="285">
        <v>1365</v>
      </c>
      <c r="BR28" s="285">
        <v>1421</v>
      </c>
      <c r="BS28" s="285">
        <v>1518</v>
      </c>
      <c r="BT28" s="285">
        <v>1628</v>
      </c>
      <c r="BU28" s="285">
        <v>1504</v>
      </c>
      <c r="BV28" s="285">
        <v>1576</v>
      </c>
      <c r="BW28" s="285">
        <v>1607</v>
      </c>
      <c r="BX28" s="285">
        <v>1759</v>
      </c>
      <c r="BY28" s="285">
        <v>1486</v>
      </c>
      <c r="BZ28" s="285">
        <v>1506</v>
      </c>
      <c r="CA28" s="285">
        <v>1338</v>
      </c>
      <c r="CB28" s="285">
        <v>1324</v>
      </c>
      <c r="CC28" s="285">
        <v>1482</v>
      </c>
      <c r="CD28" s="285">
        <v>1360</v>
      </c>
      <c r="CE28" s="285">
        <v>1519</v>
      </c>
      <c r="CF28" s="285">
        <v>1504</v>
      </c>
      <c r="CG28" s="285">
        <v>1269</v>
      </c>
      <c r="CH28" s="285">
        <v>1271</v>
      </c>
      <c r="CI28" s="285">
        <v>1371</v>
      </c>
      <c r="CJ28" s="285">
        <v>1467</v>
      </c>
      <c r="CK28" s="285">
        <v>1419</v>
      </c>
      <c r="CL28" s="285">
        <v>1480</v>
      </c>
      <c r="CM28" s="285">
        <v>1448</v>
      </c>
      <c r="CN28" s="285">
        <v>1530</v>
      </c>
      <c r="CO28" s="285">
        <v>943</v>
      </c>
      <c r="CP28" s="285">
        <v>1193</v>
      </c>
      <c r="CQ28" s="285">
        <v>1258</v>
      </c>
      <c r="CR28" s="285">
        <v>1119</v>
      </c>
      <c r="CS28" s="285">
        <v>996</v>
      </c>
      <c r="CT28" s="285">
        <v>687</v>
      </c>
      <c r="CU28" s="285">
        <v>473</v>
      </c>
      <c r="CV28" s="285">
        <v>533</v>
      </c>
      <c r="CW28" s="285">
        <v>524</v>
      </c>
      <c r="CX28" s="285">
        <v>617</v>
      </c>
      <c r="CY28" s="285">
        <v>638</v>
      </c>
      <c r="CZ28" s="285">
        <v>613</v>
      </c>
      <c r="DA28" s="285">
        <v>598</v>
      </c>
      <c r="DB28" s="285">
        <v>627</v>
      </c>
      <c r="DC28" s="285">
        <v>660</v>
      </c>
      <c r="DD28" s="285">
        <v>635</v>
      </c>
      <c r="DE28" s="285">
        <v>702</v>
      </c>
      <c r="DF28" s="285">
        <v>767</v>
      </c>
      <c r="DG28" s="285">
        <v>884</v>
      </c>
      <c r="DH28" s="285">
        <v>1062</v>
      </c>
      <c r="DI28" s="285">
        <v>1092</v>
      </c>
      <c r="DJ28" s="285">
        <v>1147</v>
      </c>
      <c r="DK28" s="285">
        <v>1101</v>
      </c>
      <c r="DL28" s="285">
        <v>1123</v>
      </c>
      <c r="DM28" s="285">
        <v>1068</v>
      </c>
      <c r="DN28" s="285">
        <v>1085</v>
      </c>
      <c r="DO28" s="285">
        <v>1033</v>
      </c>
      <c r="DP28" s="285">
        <v>955</v>
      </c>
      <c r="DQ28" s="285">
        <v>994</v>
      </c>
      <c r="DR28" s="285">
        <v>838</v>
      </c>
      <c r="DS28" s="285">
        <v>788</v>
      </c>
      <c r="DT28" s="285">
        <v>1334</v>
      </c>
      <c r="DU28" s="285">
        <v>1209</v>
      </c>
      <c r="DV28" s="285">
        <v>1220</v>
      </c>
      <c r="DW28" s="285">
        <v>1247</v>
      </c>
      <c r="DX28" s="285">
        <v>1213</v>
      </c>
      <c r="DY28" s="285">
        <v>1300</v>
      </c>
      <c r="DZ28" s="285">
        <v>1237</v>
      </c>
      <c r="EA28" s="285">
        <v>1364</v>
      </c>
      <c r="EB28" s="285">
        <v>1502</v>
      </c>
      <c r="EC28" s="285">
        <v>1422</v>
      </c>
      <c r="ED28" s="285">
        <v>1526</v>
      </c>
      <c r="EE28" s="285">
        <v>1517</v>
      </c>
      <c r="EF28" s="285">
        <v>1546</v>
      </c>
      <c r="EG28" s="285">
        <v>1607</v>
      </c>
      <c r="EH28" s="285">
        <v>1570</v>
      </c>
      <c r="EI28" s="285">
        <v>1529</v>
      </c>
      <c r="EJ28" s="285">
        <v>1620</v>
      </c>
      <c r="EK28" s="285">
        <v>1666</v>
      </c>
      <c r="EL28" s="285">
        <v>1559</v>
      </c>
      <c r="EM28" s="285">
        <v>1393</v>
      </c>
      <c r="EN28" s="285">
        <v>1206</v>
      </c>
      <c r="EO28" s="285">
        <v>1121</v>
      </c>
      <c r="EP28" s="285">
        <v>1085</v>
      </c>
      <c r="EQ28" s="285">
        <v>1157</v>
      </c>
      <c r="ER28" s="285">
        <v>1309</v>
      </c>
      <c r="ES28" s="285">
        <v>1171</v>
      </c>
      <c r="ET28" s="285">
        <v>1258</v>
      </c>
      <c r="EU28" s="285">
        <v>1203</v>
      </c>
      <c r="EV28" s="285">
        <v>1273</v>
      </c>
      <c r="EW28" s="285">
        <v>1233</v>
      </c>
      <c r="EX28" s="285">
        <v>1111</v>
      </c>
      <c r="EY28" s="285">
        <v>1208</v>
      </c>
      <c r="EZ28" s="285">
        <v>1092</v>
      </c>
      <c r="FA28" s="285">
        <v>1141</v>
      </c>
      <c r="FB28" s="285">
        <v>1118</v>
      </c>
      <c r="FC28" s="285">
        <v>1193</v>
      </c>
      <c r="FD28" s="285">
        <v>1314</v>
      </c>
      <c r="FE28" s="285">
        <v>1106</v>
      </c>
      <c r="FF28" s="285">
        <v>1173</v>
      </c>
      <c r="FG28" s="285">
        <v>1030</v>
      </c>
      <c r="FH28" s="285">
        <v>1055</v>
      </c>
      <c r="FI28" s="285">
        <v>1230</v>
      </c>
      <c r="FJ28" s="285">
        <v>1195</v>
      </c>
      <c r="FK28" s="285">
        <v>1243</v>
      </c>
      <c r="FL28" s="285">
        <v>1294</v>
      </c>
      <c r="FM28" s="285">
        <v>1228</v>
      </c>
      <c r="FN28" s="285">
        <v>1230</v>
      </c>
      <c r="FO28" s="285">
        <v>1086</v>
      </c>
      <c r="FP28" s="285">
        <v>1158</v>
      </c>
      <c r="FQ28" s="285">
        <v>1111</v>
      </c>
      <c r="FR28" s="285">
        <v>1175</v>
      </c>
      <c r="FS28" s="285">
        <v>1033</v>
      </c>
      <c r="FT28" s="285">
        <v>1200</v>
      </c>
      <c r="FU28" s="285">
        <v>1097</v>
      </c>
      <c r="FV28" s="285">
        <v>1023</v>
      </c>
      <c r="FW28" s="285">
        <v>1082</v>
      </c>
      <c r="FX28" s="285">
        <v>987</v>
      </c>
      <c r="FY28" s="285">
        <v>977</v>
      </c>
      <c r="FZ28" s="285">
        <v>1052</v>
      </c>
      <c r="GA28" s="285">
        <v>988</v>
      </c>
      <c r="GB28" s="285">
        <v>1008</v>
      </c>
      <c r="GC28" s="285">
        <v>887</v>
      </c>
      <c r="GD28" s="285">
        <v>975</v>
      </c>
      <c r="GE28" s="285">
        <v>936</v>
      </c>
      <c r="GF28" s="285">
        <v>958.3</v>
      </c>
      <c r="GG28" s="285">
        <v>988.2</v>
      </c>
      <c r="GH28" s="285">
        <v>889.2</v>
      </c>
      <c r="GI28" s="285">
        <v>1023.2</v>
      </c>
      <c r="GJ28" s="285">
        <v>962</v>
      </c>
      <c r="GK28" s="285">
        <v>1038</v>
      </c>
      <c r="GL28" s="285">
        <v>1091.2</v>
      </c>
      <c r="GM28" s="285">
        <v>993.3</v>
      </c>
      <c r="GN28" s="285">
        <v>1156.0999999999999</v>
      </c>
      <c r="GO28" s="285">
        <v>1163.5</v>
      </c>
      <c r="GP28" s="285">
        <v>1112.9000000000001</v>
      </c>
      <c r="GQ28" s="285">
        <v>1170.7</v>
      </c>
      <c r="GR28" s="285">
        <v>1259.8</v>
      </c>
      <c r="GS28" s="285">
        <v>1333.7</v>
      </c>
      <c r="GT28" s="285">
        <v>1350</v>
      </c>
      <c r="GU28" s="285">
        <v>1469</v>
      </c>
      <c r="GV28" s="285">
        <v>1415.1</v>
      </c>
      <c r="GW28" s="285">
        <v>1250.3</v>
      </c>
      <c r="GX28" s="285">
        <v>1285.3</v>
      </c>
      <c r="GY28" s="285">
        <v>1254.9000000000001</v>
      </c>
      <c r="GZ28" s="285">
        <v>1330.7</v>
      </c>
      <c r="HA28" s="285">
        <v>1214.9000000000001</v>
      </c>
      <c r="HB28" s="285">
        <v>1265.5</v>
      </c>
      <c r="HC28" s="285">
        <v>1280.2</v>
      </c>
      <c r="HD28" s="285">
        <v>1371.2</v>
      </c>
      <c r="HE28" s="285">
        <v>1362</v>
      </c>
      <c r="HF28" s="285">
        <v>1279.5</v>
      </c>
      <c r="HG28" s="285">
        <v>1335</v>
      </c>
      <c r="HH28" s="285">
        <v>1257.2</v>
      </c>
      <c r="HI28" s="285">
        <v>1304.5999999999999</v>
      </c>
      <c r="HJ28" s="285">
        <v>1365.8</v>
      </c>
      <c r="HK28" s="285">
        <v>1376.5</v>
      </c>
      <c r="HL28" s="285">
        <v>1455.4</v>
      </c>
      <c r="HM28" s="285">
        <v>1602.5</v>
      </c>
      <c r="HN28" s="285">
        <v>1514.1</v>
      </c>
      <c r="HO28" s="285">
        <v>1452</v>
      </c>
      <c r="HP28" s="286">
        <v>1541.4</v>
      </c>
      <c r="HQ28" s="286">
        <v>1530.6</v>
      </c>
      <c r="HR28" s="286">
        <v>1239.8</v>
      </c>
      <c r="HS28" s="286">
        <v>1557</v>
      </c>
      <c r="HT28" s="286">
        <v>1537.9</v>
      </c>
      <c r="HU28" s="286">
        <v>1331.2</v>
      </c>
      <c r="HV28" s="545">
        <v>1207.0919000000004</v>
      </c>
      <c r="HW28" s="545">
        <v>1299.7079000000001</v>
      </c>
      <c r="HX28" s="545">
        <v>1373.9277000000002</v>
      </c>
      <c r="HY28" s="545">
        <v>1326.8098</v>
      </c>
      <c r="HZ28" s="545">
        <v>1434.8578999999997</v>
      </c>
      <c r="IA28" s="545">
        <v>1299.4079000000002</v>
      </c>
      <c r="IB28" s="545">
        <v>1237.6439</v>
      </c>
      <c r="IC28" s="545">
        <v>1419.4799</v>
      </c>
      <c r="ID28" s="545">
        <v>1160.9279000000001</v>
      </c>
      <c r="IE28" s="545">
        <v>1388.2319</v>
      </c>
      <c r="IF28" s="545">
        <v>1240.1939000000002</v>
      </c>
      <c r="IG28" s="285">
        <v>1339.2959000000001</v>
      </c>
      <c r="IH28" s="545">
        <v>1269.5818999999999</v>
      </c>
      <c r="II28" s="545">
        <v>1351.8898999999999</v>
      </c>
      <c r="IJ28" s="545">
        <v>1271.9698999999998</v>
      </c>
      <c r="IK28" s="545">
        <v>1270.6079</v>
      </c>
      <c r="IL28" s="545">
        <v>1373.5739000000001</v>
      </c>
      <c r="IM28" s="851">
        <v>1317.2877999999998</v>
      </c>
      <c r="IN28" s="168"/>
    </row>
    <row r="29" spans="1:248">
      <c r="A29" s="81" t="s">
        <v>146</v>
      </c>
      <c r="B29" s="284">
        <v>13</v>
      </c>
      <c r="C29" s="284">
        <v>16</v>
      </c>
      <c r="D29" s="284">
        <v>18</v>
      </c>
      <c r="E29" s="284">
        <v>11</v>
      </c>
      <c r="F29" s="284">
        <v>16</v>
      </c>
      <c r="G29" s="284">
        <v>11</v>
      </c>
      <c r="H29" s="284">
        <v>5</v>
      </c>
      <c r="I29" s="284">
        <v>14</v>
      </c>
      <c r="J29" s="284">
        <v>10</v>
      </c>
      <c r="K29" s="284">
        <v>7</v>
      </c>
      <c r="L29" s="284">
        <v>8</v>
      </c>
      <c r="M29" s="284">
        <v>8</v>
      </c>
      <c r="N29" s="284">
        <v>6</v>
      </c>
      <c r="O29" s="284">
        <v>6</v>
      </c>
      <c r="P29" s="284">
        <v>12</v>
      </c>
      <c r="Q29" s="284">
        <v>7</v>
      </c>
      <c r="R29" s="284">
        <v>6</v>
      </c>
      <c r="S29" s="284">
        <v>12</v>
      </c>
      <c r="T29" s="284">
        <v>7</v>
      </c>
      <c r="U29" s="284">
        <v>9</v>
      </c>
      <c r="V29" s="284">
        <v>11</v>
      </c>
      <c r="W29" s="284">
        <v>12</v>
      </c>
      <c r="X29" s="284">
        <v>9</v>
      </c>
      <c r="Y29" s="284">
        <v>6</v>
      </c>
      <c r="Z29" s="284">
        <v>8</v>
      </c>
      <c r="AA29" s="284">
        <v>7</v>
      </c>
      <c r="AB29" s="284">
        <v>8</v>
      </c>
      <c r="AC29" s="284">
        <v>10</v>
      </c>
      <c r="AD29" s="284">
        <v>15</v>
      </c>
      <c r="AE29" s="284">
        <v>15</v>
      </c>
      <c r="AF29" s="284">
        <v>10</v>
      </c>
      <c r="AG29" s="284">
        <v>12</v>
      </c>
      <c r="AH29" s="284">
        <v>12</v>
      </c>
      <c r="AI29" s="284">
        <v>11</v>
      </c>
      <c r="AJ29" s="284">
        <v>13</v>
      </c>
      <c r="AK29" s="284">
        <v>14</v>
      </c>
      <c r="AL29" s="284">
        <v>7</v>
      </c>
      <c r="AM29" s="284">
        <v>9</v>
      </c>
      <c r="AN29" s="284">
        <v>6</v>
      </c>
      <c r="AO29" s="284">
        <v>27</v>
      </c>
      <c r="AP29" s="284">
        <v>16</v>
      </c>
      <c r="AQ29" s="284">
        <v>18</v>
      </c>
      <c r="AR29" s="284">
        <v>41</v>
      </c>
      <c r="AS29" s="284">
        <v>53</v>
      </c>
      <c r="AT29" s="284">
        <v>46</v>
      </c>
      <c r="AU29" s="284">
        <v>13</v>
      </c>
      <c r="AV29" s="284">
        <v>12</v>
      </c>
      <c r="AW29" s="284">
        <v>13</v>
      </c>
      <c r="AX29" s="284">
        <v>16</v>
      </c>
      <c r="AY29" s="284">
        <v>25</v>
      </c>
      <c r="AZ29" s="284">
        <v>23</v>
      </c>
      <c r="BA29" s="284">
        <v>25</v>
      </c>
      <c r="BB29" s="284">
        <v>19</v>
      </c>
      <c r="BC29" s="284">
        <v>18</v>
      </c>
      <c r="BD29" s="284">
        <v>11</v>
      </c>
      <c r="BE29" s="284">
        <v>18</v>
      </c>
      <c r="BF29" s="284">
        <v>12</v>
      </c>
      <c r="BG29" s="284">
        <v>11</v>
      </c>
      <c r="BH29" s="284">
        <v>15</v>
      </c>
      <c r="BI29" s="284">
        <v>13</v>
      </c>
      <c r="BJ29" s="284">
        <v>8</v>
      </c>
      <c r="BK29" s="284">
        <v>10</v>
      </c>
      <c r="BL29" s="284">
        <v>16</v>
      </c>
      <c r="BM29" s="284">
        <v>10</v>
      </c>
      <c r="BN29" s="284">
        <v>9</v>
      </c>
      <c r="BO29" s="284">
        <v>12</v>
      </c>
      <c r="BP29" s="284">
        <v>11</v>
      </c>
      <c r="BQ29" s="284">
        <v>11</v>
      </c>
      <c r="BR29" s="284">
        <v>12</v>
      </c>
      <c r="BS29" s="284">
        <v>8</v>
      </c>
      <c r="BT29" s="284">
        <v>14</v>
      </c>
      <c r="BU29" s="284">
        <v>10</v>
      </c>
      <c r="BV29" s="284">
        <v>16</v>
      </c>
      <c r="BW29" s="284">
        <v>13</v>
      </c>
      <c r="BX29" s="284">
        <v>10</v>
      </c>
      <c r="BY29" s="284">
        <v>11</v>
      </c>
      <c r="BZ29" s="284">
        <v>10</v>
      </c>
      <c r="CA29" s="284">
        <v>21</v>
      </c>
      <c r="CB29" s="284">
        <v>22</v>
      </c>
      <c r="CC29" s="284">
        <v>12</v>
      </c>
      <c r="CD29" s="284">
        <v>15</v>
      </c>
      <c r="CE29" s="284">
        <v>14</v>
      </c>
      <c r="CF29" s="284">
        <v>22</v>
      </c>
      <c r="CG29" s="284">
        <v>11</v>
      </c>
      <c r="CH29" s="284">
        <v>18</v>
      </c>
      <c r="CI29" s="284">
        <v>28</v>
      </c>
      <c r="CJ29" s="284">
        <v>23</v>
      </c>
      <c r="CK29" s="284">
        <v>28</v>
      </c>
      <c r="CL29" s="284">
        <v>33</v>
      </c>
      <c r="CM29" s="284">
        <v>34</v>
      </c>
      <c r="CN29" s="284">
        <v>35</v>
      </c>
      <c r="CO29" s="284">
        <v>38</v>
      </c>
      <c r="CP29" s="284">
        <v>49</v>
      </c>
      <c r="CQ29" s="284">
        <v>39</v>
      </c>
      <c r="CR29" s="284">
        <v>29</v>
      </c>
      <c r="CS29" s="284">
        <v>26</v>
      </c>
      <c r="CT29" s="284">
        <v>35</v>
      </c>
      <c r="CU29" s="284">
        <v>24</v>
      </c>
      <c r="CV29" s="284">
        <v>23</v>
      </c>
      <c r="CW29" s="284">
        <v>13</v>
      </c>
      <c r="CX29" s="284">
        <v>21</v>
      </c>
      <c r="CY29" s="284">
        <v>23</v>
      </c>
      <c r="CZ29" s="284">
        <v>21</v>
      </c>
      <c r="DA29" s="284">
        <v>22</v>
      </c>
      <c r="DB29" s="284">
        <v>27</v>
      </c>
      <c r="DC29" s="284">
        <v>37</v>
      </c>
      <c r="DD29" s="284">
        <v>43</v>
      </c>
      <c r="DE29" s="284">
        <v>192</v>
      </c>
      <c r="DF29" s="284">
        <v>162</v>
      </c>
      <c r="DG29" s="284">
        <v>155</v>
      </c>
      <c r="DH29" s="284">
        <v>54</v>
      </c>
      <c r="DI29" s="284">
        <v>43</v>
      </c>
      <c r="DJ29" s="284">
        <v>44</v>
      </c>
      <c r="DK29" s="284">
        <v>46</v>
      </c>
      <c r="DL29" s="284">
        <v>35</v>
      </c>
      <c r="DM29" s="284">
        <v>37</v>
      </c>
      <c r="DN29" s="284">
        <v>31</v>
      </c>
      <c r="DO29" s="284">
        <v>34</v>
      </c>
      <c r="DP29" s="284">
        <v>43</v>
      </c>
      <c r="DQ29" s="284">
        <v>25</v>
      </c>
      <c r="DR29" s="284">
        <v>16</v>
      </c>
      <c r="DS29" s="284">
        <v>16</v>
      </c>
      <c r="DT29" s="284">
        <v>20</v>
      </c>
      <c r="DU29" s="284">
        <v>10</v>
      </c>
      <c r="DV29" s="284">
        <v>18</v>
      </c>
      <c r="DW29" s="284">
        <v>18</v>
      </c>
      <c r="DX29" s="284">
        <v>15</v>
      </c>
      <c r="DY29" s="284">
        <v>59</v>
      </c>
      <c r="DZ29" s="284">
        <v>90</v>
      </c>
      <c r="EA29" s="284">
        <v>75</v>
      </c>
      <c r="EB29" s="284">
        <v>35</v>
      </c>
      <c r="EC29" s="284">
        <v>19</v>
      </c>
      <c r="ED29" s="284">
        <v>21</v>
      </c>
      <c r="EE29" s="284">
        <v>21</v>
      </c>
      <c r="EF29" s="284">
        <v>45</v>
      </c>
      <c r="EG29" s="284">
        <v>37</v>
      </c>
      <c r="EH29" s="284">
        <v>37</v>
      </c>
      <c r="EI29" s="284">
        <v>26</v>
      </c>
      <c r="EJ29" s="284">
        <v>26</v>
      </c>
      <c r="EK29" s="284">
        <v>25</v>
      </c>
      <c r="EL29" s="284">
        <v>21</v>
      </c>
      <c r="EM29" s="284">
        <v>25</v>
      </c>
      <c r="EN29" s="284">
        <v>52</v>
      </c>
      <c r="EO29" s="284">
        <v>78</v>
      </c>
      <c r="EP29" s="284">
        <v>81</v>
      </c>
      <c r="EQ29" s="284">
        <v>41</v>
      </c>
      <c r="ER29" s="284">
        <v>46</v>
      </c>
      <c r="ES29" s="284">
        <v>35</v>
      </c>
      <c r="ET29" s="284">
        <v>32</v>
      </c>
      <c r="EU29" s="284">
        <v>33</v>
      </c>
      <c r="EV29" s="284">
        <v>34</v>
      </c>
      <c r="EW29" s="284">
        <v>31</v>
      </c>
      <c r="EX29" s="284">
        <v>26</v>
      </c>
      <c r="EY29" s="284">
        <v>34</v>
      </c>
      <c r="EZ29" s="284">
        <v>44</v>
      </c>
      <c r="FA29" s="284">
        <v>27</v>
      </c>
      <c r="FB29" s="284">
        <v>35</v>
      </c>
      <c r="FC29" s="284">
        <v>51</v>
      </c>
      <c r="FD29" s="284">
        <v>61</v>
      </c>
      <c r="FE29" s="284">
        <v>345</v>
      </c>
      <c r="FF29" s="284">
        <v>409</v>
      </c>
      <c r="FG29" s="284">
        <v>383</v>
      </c>
      <c r="FH29" s="284">
        <v>373</v>
      </c>
      <c r="FI29" s="284">
        <v>415</v>
      </c>
      <c r="FJ29" s="284">
        <v>425</v>
      </c>
      <c r="FK29" s="284">
        <v>455</v>
      </c>
      <c r="FL29" s="284">
        <v>413</v>
      </c>
      <c r="FM29" s="284">
        <v>130</v>
      </c>
      <c r="FN29" s="284">
        <v>120</v>
      </c>
      <c r="FO29" s="284">
        <v>120</v>
      </c>
      <c r="FP29" s="284">
        <v>122</v>
      </c>
      <c r="FQ29" s="284">
        <v>123</v>
      </c>
      <c r="FR29" s="284">
        <v>205</v>
      </c>
      <c r="FS29" s="284">
        <v>186</v>
      </c>
      <c r="FT29" s="284">
        <v>167</v>
      </c>
      <c r="FU29" s="284">
        <v>140</v>
      </c>
      <c r="FV29" s="284">
        <v>141</v>
      </c>
      <c r="FW29" s="284">
        <v>167</v>
      </c>
      <c r="FX29" s="284">
        <v>196</v>
      </c>
      <c r="FY29" s="284">
        <v>173</v>
      </c>
      <c r="FZ29" s="284">
        <v>136</v>
      </c>
      <c r="GA29" s="284">
        <v>112</v>
      </c>
      <c r="GB29" s="284">
        <v>140</v>
      </c>
      <c r="GC29" s="284">
        <v>182</v>
      </c>
      <c r="GD29" s="284">
        <v>136</v>
      </c>
      <c r="GE29" s="284">
        <v>107</v>
      </c>
      <c r="GF29" s="284">
        <v>144.69999999999999</v>
      </c>
      <c r="GG29" s="284">
        <v>162</v>
      </c>
      <c r="GH29" s="284">
        <v>144</v>
      </c>
      <c r="GI29" s="284">
        <v>133.19999999999999</v>
      </c>
      <c r="GJ29" s="284">
        <v>187.8</v>
      </c>
      <c r="GK29" s="284">
        <v>188.9</v>
      </c>
      <c r="GL29" s="284">
        <v>192.6</v>
      </c>
      <c r="GM29" s="284">
        <v>201</v>
      </c>
      <c r="GN29" s="284">
        <v>199</v>
      </c>
      <c r="GO29" s="284">
        <v>170</v>
      </c>
      <c r="GP29" s="284">
        <v>205.4</v>
      </c>
      <c r="GQ29" s="284">
        <v>222.6</v>
      </c>
      <c r="GR29" s="284">
        <v>233.7</v>
      </c>
      <c r="GS29" s="284">
        <v>240.3</v>
      </c>
      <c r="GT29" s="284">
        <v>231.2</v>
      </c>
      <c r="GU29" s="284">
        <v>254.2</v>
      </c>
      <c r="GV29" s="284">
        <v>269</v>
      </c>
      <c r="GW29" s="284">
        <v>255.3</v>
      </c>
      <c r="GX29" s="284">
        <v>277.2</v>
      </c>
      <c r="GY29" s="284">
        <v>262.8</v>
      </c>
      <c r="GZ29" s="284">
        <v>269</v>
      </c>
      <c r="HA29" s="284">
        <v>204</v>
      </c>
      <c r="HB29" s="284">
        <v>219.1</v>
      </c>
      <c r="HC29" s="284">
        <v>213.4</v>
      </c>
      <c r="HD29" s="284">
        <v>199.8</v>
      </c>
      <c r="HE29" s="284">
        <v>186.8</v>
      </c>
      <c r="HF29" s="284">
        <v>186.3</v>
      </c>
      <c r="HG29" s="284">
        <v>221</v>
      </c>
      <c r="HH29" s="284">
        <v>207.1</v>
      </c>
      <c r="HI29" s="284">
        <v>183.8</v>
      </c>
      <c r="HJ29" s="284">
        <v>207.1</v>
      </c>
      <c r="HK29" s="284">
        <v>192.4</v>
      </c>
      <c r="HL29" s="284">
        <v>224.3</v>
      </c>
      <c r="HM29" s="284">
        <v>210.4</v>
      </c>
      <c r="HN29" s="284">
        <v>180.9</v>
      </c>
      <c r="HO29" s="284">
        <v>135.4</v>
      </c>
      <c r="HP29" s="284">
        <v>165.3</v>
      </c>
      <c r="HQ29" s="284">
        <v>236.6</v>
      </c>
      <c r="HR29" s="284">
        <v>187.5</v>
      </c>
      <c r="HS29" s="284">
        <v>244.7</v>
      </c>
      <c r="HT29" s="284">
        <v>260.60000000000002</v>
      </c>
      <c r="HU29" s="284">
        <v>204.2</v>
      </c>
      <c r="HV29" s="284">
        <v>167.83199999999999</v>
      </c>
      <c r="HW29" s="284">
        <v>172.614</v>
      </c>
      <c r="HX29" s="284">
        <v>191.256</v>
      </c>
      <c r="HY29" s="284">
        <v>170.44799999999998</v>
      </c>
      <c r="HZ29" s="284">
        <v>193.68600000000001</v>
      </c>
      <c r="IA29" s="284">
        <v>251.57400000000001</v>
      </c>
      <c r="IB29" s="284">
        <v>106.93199999999999</v>
      </c>
      <c r="IC29" s="284">
        <v>136.524</v>
      </c>
      <c r="ID29" s="284">
        <v>150.46199999999999</v>
      </c>
      <c r="IE29" s="284">
        <v>168.58800000000002</v>
      </c>
      <c r="IF29" s="284">
        <v>182.91000000000003</v>
      </c>
      <c r="IG29" s="284">
        <v>157.05599999999998</v>
      </c>
      <c r="IH29" s="284">
        <v>110.31</v>
      </c>
      <c r="II29" s="284">
        <v>165.15600000000001</v>
      </c>
      <c r="IJ29" s="284">
        <v>176.892</v>
      </c>
      <c r="IK29" s="284">
        <v>155.934</v>
      </c>
      <c r="IL29" s="284">
        <v>154.05000000000001</v>
      </c>
      <c r="IM29" s="850">
        <v>162.29400000000001</v>
      </c>
      <c r="IN29" s="168"/>
    </row>
    <row r="30" spans="1:248">
      <c r="A30" s="81" t="s">
        <v>148</v>
      </c>
      <c r="B30" s="285">
        <v>159</v>
      </c>
      <c r="C30" s="285">
        <v>192</v>
      </c>
      <c r="D30" s="285">
        <v>195</v>
      </c>
      <c r="E30" s="285">
        <v>164</v>
      </c>
      <c r="F30" s="285">
        <v>200</v>
      </c>
      <c r="G30" s="285">
        <v>249</v>
      </c>
      <c r="H30" s="285">
        <v>220</v>
      </c>
      <c r="I30" s="285">
        <v>244</v>
      </c>
      <c r="J30" s="285">
        <v>253</v>
      </c>
      <c r="K30" s="285">
        <v>230</v>
      </c>
      <c r="L30" s="285">
        <v>259</v>
      </c>
      <c r="M30" s="285">
        <v>213</v>
      </c>
      <c r="N30" s="285">
        <v>262</v>
      </c>
      <c r="O30" s="285">
        <v>267</v>
      </c>
      <c r="P30" s="285">
        <v>223</v>
      </c>
      <c r="Q30" s="285">
        <v>77</v>
      </c>
      <c r="R30" s="285">
        <v>85</v>
      </c>
      <c r="S30" s="285">
        <v>74</v>
      </c>
      <c r="T30" s="285">
        <v>64</v>
      </c>
      <c r="U30" s="285">
        <v>57</v>
      </c>
      <c r="V30" s="285">
        <v>68</v>
      </c>
      <c r="W30" s="285">
        <v>86</v>
      </c>
      <c r="X30" s="285">
        <v>100</v>
      </c>
      <c r="Y30" s="285">
        <v>80</v>
      </c>
      <c r="Z30" s="285">
        <v>73</v>
      </c>
      <c r="AA30" s="285">
        <v>82</v>
      </c>
      <c r="AB30" s="285">
        <v>79</v>
      </c>
      <c r="AC30" s="285">
        <v>71</v>
      </c>
      <c r="AD30" s="285">
        <v>85</v>
      </c>
      <c r="AE30" s="285">
        <v>65</v>
      </c>
      <c r="AF30" s="285">
        <v>77</v>
      </c>
      <c r="AG30" s="285">
        <v>79</v>
      </c>
      <c r="AH30" s="285">
        <v>93</v>
      </c>
      <c r="AI30" s="285">
        <v>75</v>
      </c>
      <c r="AJ30" s="285">
        <v>74</v>
      </c>
      <c r="AK30" s="285">
        <v>67</v>
      </c>
      <c r="AL30" s="285">
        <v>66</v>
      </c>
      <c r="AM30" s="285">
        <v>45</v>
      </c>
      <c r="AN30" s="285">
        <v>64</v>
      </c>
      <c r="AO30" s="285">
        <v>65</v>
      </c>
      <c r="AP30" s="285">
        <v>77</v>
      </c>
      <c r="AQ30" s="285">
        <v>77</v>
      </c>
      <c r="AR30" s="285">
        <v>88</v>
      </c>
      <c r="AS30" s="285">
        <v>71</v>
      </c>
      <c r="AT30" s="285">
        <v>96</v>
      </c>
      <c r="AU30" s="285">
        <v>91</v>
      </c>
      <c r="AV30" s="285">
        <v>103</v>
      </c>
      <c r="AW30" s="285">
        <v>100</v>
      </c>
      <c r="AX30" s="285">
        <v>89</v>
      </c>
      <c r="AY30" s="285">
        <v>93</v>
      </c>
      <c r="AZ30" s="285">
        <v>83</v>
      </c>
      <c r="BA30" s="285">
        <v>81</v>
      </c>
      <c r="BB30" s="285">
        <v>104</v>
      </c>
      <c r="BC30" s="285">
        <v>96</v>
      </c>
      <c r="BD30" s="285">
        <v>108</v>
      </c>
      <c r="BE30" s="285">
        <v>112</v>
      </c>
      <c r="BF30" s="285">
        <v>114</v>
      </c>
      <c r="BG30" s="285">
        <v>126</v>
      </c>
      <c r="BH30" s="285">
        <v>135</v>
      </c>
      <c r="BI30" s="285">
        <v>94</v>
      </c>
      <c r="BJ30" s="285">
        <v>87</v>
      </c>
      <c r="BK30" s="285">
        <v>122</v>
      </c>
      <c r="BL30" s="285">
        <v>111</v>
      </c>
      <c r="BM30" s="285">
        <v>96</v>
      </c>
      <c r="BN30" s="285">
        <v>104</v>
      </c>
      <c r="BO30" s="285">
        <v>116</v>
      </c>
      <c r="BP30" s="285">
        <v>145</v>
      </c>
      <c r="BQ30" s="285">
        <v>135</v>
      </c>
      <c r="BR30" s="285">
        <v>144</v>
      </c>
      <c r="BS30" s="285">
        <v>186</v>
      </c>
      <c r="BT30" s="285">
        <v>188</v>
      </c>
      <c r="BU30" s="285">
        <v>156</v>
      </c>
      <c r="BV30" s="285">
        <v>145</v>
      </c>
      <c r="BW30" s="285">
        <v>158</v>
      </c>
      <c r="BX30" s="285">
        <v>162</v>
      </c>
      <c r="BY30" s="285">
        <v>160</v>
      </c>
      <c r="BZ30" s="285">
        <v>195</v>
      </c>
      <c r="CA30" s="285">
        <v>216</v>
      </c>
      <c r="CB30" s="285">
        <v>212</v>
      </c>
      <c r="CC30" s="285">
        <v>191</v>
      </c>
      <c r="CD30" s="285">
        <v>196</v>
      </c>
      <c r="CE30" s="285">
        <v>206</v>
      </c>
      <c r="CF30" s="285">
        <v>217</v>
      </c>
      <c r="CG30" s="285">
        <v>173</v>
      </c>
      <c r="CH30" s="285">
        <v>195</v>
      </c>
      <c r="CI30" s="285">
        <v>190</v>
      </c>
      <c r="CJ30" s="285">
        <v>216</v>
      </c>
      <c r="CK30" s="285">
        <v>252</v>
      </c>
      <c r="CL30" s="285">
        <v>255</v>
      </c>
      <c r="CM30" s="285">
        <v>264</v>
      </c>
      <c r="CN30" s="285">
        <v>242</v>
      </c>
      <c r="CO30" s="285">
        <v>215</v>
      </c>
      <c r="CP30" s="285">
        <v>243</v>
      </c>
      <c r="CQ30" s="285">
        <v>265</v>
      </c>
      <c r="CR30" s="285">
        <v>241</v>
      </c>
      <c r="CS30" s="285">
        <v>200</v>
      </c>
      <c r="CT30" s="285">
        <v>224</v>
      </c>
      <c r="CU30" s="285">
        <v>221</v>
      </c>
      <c r="CV30" s="285">
        <v>245</v>
      </c>
      <c r="CW30" s="285">
        <v>243</v>
      </c>
      <c r="CX30" s="285">
        <v>259</v>
      </c>
      <c r="CY30" s="285">
        <v>227</v>
      </c>
      <c r="CZ30" s="285">
        <v>204</v>
      </c>
      <c r="DA30" s="285">
        <v>186</v>
      </c>
      <c r="DB30" s="285">
        <v>187</v>
      </c>
      <c r="DC30" s="285">
        <v>197</v>
      </c>
      <c r="DD30" s="285">
        <v>207</v>
      </c>
      <c r="DE30" s="285">
        <v>175</v>
      </c>
      <c r="DF30" s="285">
        <v>217</v>
      </c>
      <c r="DG30" s="285">
        <v>245</v>
      </c>
      <c r="DH30" s="285">
        <v>234</v>
      </c>
      <c r="DI30" s="285">
        <v>210</v>
      </c>
      <c r="DJ30" s="285">
        <v>256</v>
      </c>
      <c r="DK30" s="285">
        <v>278</v>
      </c>
      <c r="DL30" s="285">
        <v>282</v>
      </c>
      <c r="DM30" s="285">
        <v>277</v>
      </c>
      <c r="DN30" s="285">
        <v>276</v>
      </c>
      <c r="DO30" s="285">
        <v>233</v>
      </c>
      <c r="DP30" s="285">
        <v>241</v>
      </c>
      <c r="DQ30" s="285">
        <v>212</v>
      </c>
      <c r="DR30" s="285">
        <v>212</v>
      </c>
      <c r="DS30" s="285">
        <v>221</v>
      </c>
      <c r="DT30" s="285">
        <v>245</v>
      </c>
      <c r="DU30" s="285">
        <v>230</v>
      </c>
      <c r="DV30" s="285">
        <v>228</v>
      </c>
      <c r="DW30" s="285">
        <v>260</v>
      </c>
      <c r="DX30" s="285">
        <v>270</v>
      </c>
      <c r="DY30" s="285">
        <v>332</v>
      </c>
      <c r="DZ30" s="285">
        <v>362</v>
      </c>
      <c r="EA30" s="285">
        <v>396</v>
      </c>
      <c r="EB30" s="285">
        <v>410</v>
      </c>
      <c r="EC30" s="285">
        <v>345</v>
      </c>
      <c r="ED30" s="285">
        <v>340</v>
      </c>
      <c r="EE30" s="285">
        <v>353</v>
      </c>
      <c r="EF30" s="285">
        <v>384</v>
      </c>
      <c r="EG30" s="285">
        <v>371</v>
      </c>
      <c r="EH30" s="285">
        <v>393</v>
      </c>
      <c r="EI30" s="285">
        <v>354</v>
      </c>
      <c r="EJ30" s="285">
        <v>313</v>
      </c>
      <c r="EK30" s="285">
        <v>307</v>
      </c>
      <c r="EL30" s="285">
        <v>349</v>
      </c>
      <c r="EM30" s="285">
        <v>357</v>
      </c>
      <c r="EN30" s="285">
        <v>385</v>
      </c>
      <c r="EO30" s="285">
        <v>278</v>
      </c>
      <c r="EP30" s="285">
        <v>335</v>
      </c>
      <c r="EQ30" s="285">
        <v>324</v>
      </c>
      <c r="ER30" s="285">
        <v>393</v>
      </c>
      <c r="ES30" s="285">
        <v>380</v>
      </c>
      <c r="ET30" s="285">
        <v>376</v>
      </c>
      <c r="EU30" s="285">
        <v>358</v>
      </c>
      <c r="EV30" s="285">
        <v>346</v>
      </c>
      <c r="EW30" s="285">
        <v>347</v>
      </c>
      <c r="EX30" s="285">
        <v>376</v>
      </c>
      <c r="EY30" s="285">
        <v>376</v>
      </c>
      <c r="EZ30" s="285">
        <v>383</v>
      </c>
      <c r="FA30" s="285">
        <v>290</v>
      </c>
      <c r="FB30" s="285">
        <v>315</v>
      </c>
      <c r="FC30" s="285">
        <v>305</v>
      </c>
      <c r="FD30" s="285">
        <v>317</v>
      </c>
      <c r="FE30" s="285">
        <v>306</v>
      </c>
      <c r="FF30" s="285">
        <v>298</v>
      </c>
      <c r="FG30" s="285">
        <v>297</v>
      </c>
      <c r="FH30" s="285">
        <v>353</v>
      </c>
      <c r="FI30" s="285">
        <v>317</v>
      </c>
      <c r="FJ30" s="285">
        <v>285</v>
      </c>
      <c r="FK30" s="285">
        <v>299</v>
      </c>
      <c r="FL30" s="285">
        <v>285</v>
      </c>
      <c r="FM30" s="285">
        <v>218</v>
      </c>
      <c r="FN30" s="285">
        <v>209</v>
      </c>
      <c r="FO30" s="285">
        <v>208</v>
      </c>
      <c r="FP30" s="285">
        <v>225</v>
      </c>
      <c r="FQ30" s="285">
        <v>221</v>
      </c>
      <c r="FR30" s="285">
        <v>185</v>
      </c>
      <c r="FS30" s="285">
        <v>174</v>
      </c>
      <c r="FT30" s="285">
        <v>160</v>
      </c>
      <c r="FU30" s="285">
        <v>167</v>
      </c>
      <c r="FV30" s="285">
        <v>173</v>
      </c>
      <c r="FW30" s="285">
        <v>173</v>
      </c>
      <c r="FX30" s="285">
        <v>186</v>
      </c>
      <c r="FY30" s="285">
        <v>155</v>
      </c>
      <c r="FZ30" s="285">
        <v>147</v>
      </c>
      <c r="GA30" s="285">
        <v>180</v>
      </c>
      <c r="GB30" s="285">
        <v>199</v>
      </c>
      <c r="GC30" s="285">
        <v>226</v>
      </c>
      <c r="GD30" s="285">
        <v>235</v>
      </c>
      <c r="GE30" s="285">
        <v>284</v>
      </c>
      <c r="GF30" s="285">
        <v>253.5</v>
      </c>
      <c r="GG30" s="285">
        <v>271.89999999999998</v>
      </c>
      <c r="GH30" s="285">
        <v>280.5</v>
      </c>
      <c r="GI30" s="285">
        <v>288.7</v>
      </c>
      <c r="GJ30" s="285">
        <v>315.60000000000002</v>
      </c>
      <c r="GK30" s="285">
        <v>272.5</v>
      </c>
      <c r="GL30" s="285">
        <v>296.89999999999998</v>
      </c>
      <c r="GM30" s="285">
        <v>304.3</v>
      </c>
      <c r="GN30" s="285">
        <v>331.4</v>
      </c>
      <c r="GO30" s="285">
        <v>218.9</v>
      </c>
      <c r="GP30" s="285">
        <v>304.3</v>
      </c>
      <c r="GQ30" s="285">
        <v>264.89999999999998</v>
      </c>
      <c r="GR30" s="285">
        <v>205.5</v>
      </c>
      <c r="GS30" s="285">
        <v>213.8</v>
      </c>
      <c r="GT30" s="285">
        <v>203.7</v>
      </c>
      <c r="GU30" s="285">
        <v>336.9</v>
      </c>
      <c r="GV30" s="285">
        <v>370.3</v>
      </c>
      <c r="GW30" s="285">
        <v>258.39999999999998</v>
      </c>
      <c r="GX30" s="285">
        <v>222.4</v>
      </c>
      <c r="GY30" s="285">
        <v>265.89999999999998</v>
      </c>
      <c r="GZ30" s="285">
        <v>274</v>
      </c>
      <c r="HA30" s="285">
        <v>235.3</v>
      </c>
      <c r="HB30" s="285">
        <v>310.89999999999998</v>
      </c>
      <c r="HC30" s="285">
        <v>276</v>
      </c>
      <c r="HD30" s="285">
        <v>268.2</v>
      </c>
      <c r="HE30" s="285">
        <v>327</v>
      </c>
      <c r="HF30" s="285">
        <v>365.1</v>
      </c>
      <c r="HG30" s="285">
        <v>375.3</v>
      </c>
      <c r="HH30" s="285">
        <v>325</v>
      </c>
      <c r="HI30" s="285">
        <v>225.2</v>
      </c>
      <c r="HJ30" s="285">
        <v>272.2</v>
      </c>
      <c r="HK30" s="285">
        <v>231.9</v>
      </c>
      <c r="HL30" s="285">
        <v>204</v>
      </c>
      <c r="HM30" s="285">
        <v>200.1</v>
      </c>
      <c r="HN30" s="285">
        <v>238.5</v>
      </c>
      <c r="HO30" s="285">
        <v>240.6</v>
      </c>
      <c r="HP30" s="286">
        <v>289.2</v>
      </c>
      <c r="HQ30" s="286">
        <v>251.4</v>
      </c>
      <c r="HR30" s="286">
        <v>232.2</v>
      </c>
      <c r="HS30" s="286">
        <v>255.5</v>
      </c>
      <c r="HT30" s="286">
        <v>248</v>
      </c>
      <c r="HU30" s="286">
        <v>191.4</v>
      </c>
      <c r="HV30" s="545">
        <v>229.02000000000004</v>
      </c>
      <c r="HW30" s="545">
        <v>262.08</v>
      </c>
      <c r="HX30" s="545">
        <v>269.322</v>
      </c>
      <c r="HY30" s="545">
        <v>235.66200000000003</v>
      </c>
      <c r="HZ30" s="545">
        <v>181.8</v>
      </c>
      <c r="IA30" s="545">
        <v>199.68</v>
      </c>
      <c r="IB30" s="545">
        <v>228.76199999999997</v>
      </c>
      <c r="IC30" s="545">
        <v>244.15200000000007</v>
      </c>
      <c r="ID30" s="545">
        <v>234.10199999999998</v>
      </c>
      <c r="IE30" s="545">
        <v>237.76200000000003</v>
      </c>
      <c r="IF30" s="545">
        <v>200.77200000000008</v>
      </c>
      <c r="IG30" s="285">
        <v>173.49600000000004</v>
      </c>
      <c r="IH30" s="545">
        <v>172.84799999999998</v>
      </c>
      <c r="II30" s="545">
        <v>201.37800000000004</v>
      </c>
      <c r="IJ30" s="545">
        <v>216.98400000000001</v>
      </c>
      <c r="IK30" s="545">
        <v>214.30800000000002</v>
      </c>
      <c r="IL30" s="545">
        <v>216.14400000000001</v>
      </c>
      <c r="IM30" s="851">
        <v>220.09199999999998</v>
      </c>
      <c r="IN30" s="168"/>
    </row>
    <row r="31" spans="1:248">
      <c r="A31" s="81" t="s">
        <v>1031</v>
      </c>
      <c r="B31" s="284">
        <v>355</v>
      </c>
      <c r="C31" s="284">
        <v>314</v>
      </c>
      <c r="D31" s="284">
        <v>353</v>
      </c>
      <c r="E31" s="284">
        <v>368</v>
      </c>
      <c r="F31" s="284">
        <v>409</v>
      </c>
      <c r="G31" s="284">
        <v>505</v>
      </c>
      <c r="H31" s="284">
        <v>406</v>
      </c>
      <c r="I31" s="284">
        <v>406</v>
      </c>
      <c r="J31" s="284">
        <v>369</v>
      </c>
      <c r="K31" s="284">
        <v>419</v>
      </c>
      <c r="L31" s="284">
        <v>667</v>
      </c>
      <c r="M31" s="284">
        <v>575</v>
      </c>
      <c r="N31" s="284">
        <v>668</v>
      </c>
      <c r="O31" s="284">
        <v>569</v>
      </c>
      <c r="P31" s="284">
        <v>460</v>
      </c>
      <c r="Q31" s="284">
        <v>376</v>
      </c>
      <c r="R31" s="284">
        <v>514</v>
      </c>
      <c r="S31" s="284">
        <v>421</v>
      </c>
      <c r="T31" s="284">
        <v>587</v>
      </c>
      <c r="U31" s="284">
        <v>535</v>
      </c>
      <c r="V31" s="284">
        <v>402</v>
      </c>
      <c r="W31" s="284">
        <v>551</v>
      </c>
      <c r="X31" s="284">
        <v>551</v>
      </c>
      <c r="Y31" s="284">
        <v>469</v>
      </c>
      <c r="Z31" s="284">
        <v>395</v>
      </c>
      <c r="AA31" s="284">
        <v>402</v>
      </c>
      <c r="AB31" s="284">
        <v>464</v>
      </c>
      <c r="AC31" s="284">
        <v>423</v>
      </c>
      <c r="AD31" s="284">
        <v>524</v>
      </c>
      <c r="AE31" s="284">
        <v>522</v>
      </c>
      <c r="AF31" s="284">
        <v>517</v>
      </c>
      <c r="AG31" s="284">
        <v>473</v>
      </c>
      <c r="AH31" s="284">
        <v>472</v>
      </c>
      <c r="AI31" s="284">
        <v>453</v>
      </c>
      <c r="AJ31" s="284">
        <v>589</v>
      </c>
      <c r="AK31" s="284">
        <v>560</v>
      </c>
      <c r="AL31" s="284">
        <v>548</v>
      </c>
      <c r="AM31" s="284">
        <v>493</v>
      </c>
      <c r="AN31" s="284">
        <v>531</v>
      </c>
      <c r="AO31" s="284">
        <v>796</v>
      </c>
      <c r="AP31" s="284">
        <v>892</v>
      </c>
      <c r="AQ31" s="284">
        <v>578</v>
      </c>
      <c r="AR31" s="284">
        <v>635</v>
      </c>
      <c r="AS31" s="284">
        <v>904</v>
      </c>
      <c r="AT31" s="284">
        <v>738</v>
      </c>
      <c r="AU31" s="284">
        <v>656</v>
      </c>
      <c r="AV31" s="284">
        <v>764</v>
      </c>
      <c r="AW31" s="284">
        <v>666</v>
      </c>
      <c r="AX31" s="284">
        <v>895</v>
      </c>
      <c r="AY31" s="284">
        <v>818</v>
      </c>
      <c r="AZ31" s="284">
        <v>920</v>
      </c>
      <c r="BA31" s="284">
        <v>920</v>
      </c>
      <c r="BB31" s="284">
        <v>951</v>
      </c>
      <c r="BC31" s="284">
        <v>917</v>
      </c>
      <c r="BD31" s="284">
        <v>947</v>
      </c>
      <c r="BE31" s="284">
        <v>879</v>
      </c>
      <c r="BF31" s="284">
        <v>877</v>
      </c>
      <c r="BG31" s="284">
        <v>895</v>
      </c>
      <c r="BH31" s="284">
        <v>918</v>
      </c>
      <c r="BI31" s="284">
        <v>781</v>
      </c>
      <c r="BJ31" s="284">
        <v>725</v>
      </c>
      <c r="BK31" s="284">
        <v>704</v>
      </c>
      <c r="BL31" s="284">
        <v>896</v>
      </c>
      <c r="BM31" s="284">
        <v>802</v>
      </c>
      <c r="BN31" s="284">
        <v>856</v>
      </c>
      <c r="BO31" s="284">
        <v>891</v>
      </c>
      <c r="BP31" s="284">
        <v>1113</v>
      </c>
      <c r="BQ31" s="284">
        <v>1076</v>
      </c>
      <c r="BR31" s="284">
        <v>1157</v>
      </c>
      <c r="BS31" s="284">
        <v>1331</v>
      </c>
      <c r="BT31" s="284">
        <v>1180</v>
      </c>
      <c r="BU31" s="284">
        <v>1078</v>
      </c>
      <c r="BV31" s="284">
        <v>1268</v>
      </c>
      <c r="BW31" s="284">
        <v>1165</v>
      </c>
      <c r="BX31" s="284">
        <v>1115</v>
      </c>
      <c r="BY31" s="284">
        <v>1140</v>
      </c>
      <c r="BZ31" s="284">
        <v>1218</v>
      </c>
      <c r="CA31" s="284">
        <v>1222</v>
      </c>
      <c r="CB31" s="284">
        <v>1343</v>
      </c>
      <c r="CC31" s="284">
        <v>1378</v>
      </c>
      <c r="CD31" s="284">
        <v>1311</v>
      </c>
      <c r="CE31" s="284">
        <v>1579</v>
      </c>
      <c r="CF31" s="284">
        <v>1454</v>
      </c>
      <c r="CG31" s="284">
        <v>1530</v>
      </c>
      <c r="CH31" s="284">
        <v>1459</v>
      </c>
      <c r="CI31" s="284">
        <v>1523</v>
      </c>
      <c r="CJ31" s="284">
        <v>1534</v>
      </c>
      <c r="CK31" s="284">
        <v>1439</v>
      </c>
      <c r="CL31" s="284">
        <v>1463</v>
      </c>
      <c r="CM31" s="284">
        <v>1697</v>
      </c>
      <c r="CN31" s="284">
        <v>1568</v>
      </c>
      <c r="CO31" s="284">
        <v>1703</v>
      </c>
      <c r="CP31" s="284">
        <v>1665</v>
      </c>
      <c r="CQ31" s="284">
        <v>1897</v>
      </c>
      <c r="CR31" s="284">
        <v>1703</v>
      </c>
      <c r="CS31" s="284">
        <v>1897</v>
      </c>
      <c r="CT31" s="284">
        <v>1158</v>
      </c>
      <c r="CU31" s="284">
        <v>1074</v>
      </c>
      <c r="CV31" s="284">
        <v>920</v>
      </c>
      <c r="CW31" s="284">
        <v>875</v>
      </c>
      <c r="CX31" s="284">
        <v>770</v>
      </c>
      <c r="CY31" s="284">
        <v>678</v>
      </c>
      <c r="CZ31" s="284">
        <v>644</v>
      </c>
      <c r="DA31" s="284">
        <v>534</v>
      </c>
      <c r="DB31" s="284">
        <v>543</v>
      </c>
      <c r="DC31" s="284">
        <v>559</v>
      </c>
      <c r="DD31" s="284">
        <v>606</v>
      </c>
      <c r="DE31" s="284">
        <v>549</v>
      </c>
      <c r="DF31" s="284">
        <v>480</v>
      </c>
      <c r="DG31" s="284">
        <v>506</v>
      </c>
      <c r="DH31" s="284">
        <v>591</v>
      </c>
      <c r="DI31" s="284">
        <v>634</v>
      </c>
      <c r="DJ31" s="284">
        <v>673</v>
      </c>
      <c r="DK31" s="284">
        <v>667</v>
      </c>
      <c r="DL31" s="284">
        <v>746</v>
      </c>
      <c r="DM31" s="284">
        <v>746</v>
      </c>
      <c r="DN31" s="284">
        <v>860</v>
      </c>
      <c r="DO31" s="284">
        <v>947</v>
      </c>
      <c r="DP31" s="284">
        <v>987</v>
      </c>
      <c r="DQ31" s="284">
        <v>1091</v>
      </c>
      <c r="DR31" s="284">
        <v>1013</v>
      </c>
      <c r="DS31" s="284">
        <v>1013</v>
      </c>
      <c r="DT31" s="284">
        <v>1003</v>
      </c>
      <c r="DU31" s="284">
        <v>1024</v>
      </c>
      <c r="DV31" s="284">
        <v>1345</v>
      </c>
      <c r="DW31" s="284">
        <v>1199</v>
      </c>
      <c r="DX31" s="284">
        <v>1126</v>
      </c>
      <c r="DY31" s="284">
        <v>1292</v>
      </c>
      <c r="DZ31" s="284">
        <v>1451</v>
      </c>
      <c r="EA31" s="284">
        <v>1493</v>
      </c>
      <c r="EB31" s="284">
        <v>1408</v>
      </c>
      <c r="EC31" s="284">
        <v>1631</v>
      </c>
      <c r="ED31" s="284">
        <v>1615</v>
      </c>
      <c r="EE31" s="284">
        <v>1758</v>
      </c>
      <c r="EF31" s="284">
        <v>1750</v>
      </c>
      <c r="EG31" s="284">
        <v>1832</v>
      </c>
      <c r="EH31" s="284">
        <v>2012</v>
      </c>
      <c r="EI31" s="284">
        <v>1964</v>
      </c>
      <c r="EJ31" s="284">
        <v>2095</v>
      </c>
      <c r="EK31" s="284">
        <v>2141</v>
      </c>
      <c r="EL31" s="284">
        <v>2086</v>
      </c>
      <c r="EM31" s="284">
        <v>2269</v>
      </c>
      <c r="EN31" s="284">
        <v>2256</v>
      </c>
      <c r="EO31" s="284">
        <v>2025</v>
      </c>
      <c r="EP31" s="284">
        <v>1951</v>
      </c>
      <c r="EQ31" s="284">
        <v>1406</v>
      </c>
      <c r="ER31" s="284">
        <v>1437</v>
      </c>
      <c r="ES31" s="284">
        <v>1394</v>
      </c>
      <c r="ET31" s="284">
        <v>1395</v>
      </c>
      <c r="EU31" s="284">
        <v>1295</v>
      </c>
      <c r="EV31" s="284">
        <v>1075</v>
      </c>
      <c r="EW31" s="284">
        <v>1020</v>
      </c>
      <c r="EX31" s="284">
        <v>814</v>
      </c>
      <c r="EY31" s="284">
        <v>871</v>
      </c>
      <c r="EZ31" s="284">
        <v>804</v>
      </c>
      <c r="FA31" s="284">
        <v>760</v>
      </c>
      <c r="FB31" s="284">
        <v>814</v>
      </c>
      <c r="FC31" s="284">
        <v>823</v>
      </c>
      <c r="FD31" s="284">
        <v>843</v>
      </c>
      <c r="FE31" s="284">
        <v>850</v>
      </c>
      <c r="FF31" s="284">
        <v>938</v>
      </c>
      <c r="FG31" s="284">
        <v>951</v>
      </c>
      <c r="FH31" s="284">
        <v>908</v>
      </c>
      <c r="FI31" s="284">
        <v>766</v>
      </c>
      <c r="FJ31" s="284">
        <v>588</v>
      </c>
      <c r="FK31" s="284">
        <v>656</v>
      </c>
      <c r="FL31" s="284">
        <v>767</v>
      </c>
      <c r="FM31" s="284">
        <v>656</v>
      </c>
      <c r="FN31" s="284">
        <v>587</v>
      </c>
      <c r="FO31" s="284">
        <v>611</v>
      </c>
      <c r="FP31" s="284">
        <v>608</v>
      </c>
      <c r="FQ31" s="284">
        <v>555</v>
      </c>
      <c r="FR31" s="284">
        <v>615</v>
      </c>
      <c r="FS31" s="284">
        <v>552</v>
      </c>
      <c r="FT31" s="284">
        <v>446</v>
      </c>
      <c r="FU31" s="284">
        <v>470</v>
      </c>
      <c r="FV31" s="284">
        <v>435</v>
      </c>
      <c r="FW31" s="284">
        <v>468</v>
      </c>
      <c r="FX31" s="284">
        <v>427</v>
      </c>
      <c r="FY31" s="284">
        <v>382</v>
      </c>
      <c r="FZ31" s="284">
        <v>350</v>
      </c>
      <c r="GA31" s="284">
        <v>317</v>
      </c>
      <c r="GB31" s="284">
        <v>402</v>
      </c>
      <c r="GC31" s="284">
        <v>306</v>
      </c>
      <c r="GD31" s="284">
        <v>336</v>
      </c>
      <c r="GE31" s="284">
        <v>357</v>
      </c>
      <c r="GF31" s="284">
        <v>301.2</v>
      </c>
      <c r="GG31" s="284">
        <v>328.1</v>
      </c>
      <c r="GH31" s="284">
        <v>399.1</v>
      </c>
      <c r="GI31" s="284">
        <v>379.5</v>
      </c>
      <c r="GJ31" s="284">
        <v>412.5</v>
      </c>
      <c r="GK31" s="284">
        <v>430.7</v>
      </c>
      <c r="GL31" s="284">
        <v>379.8</v>
      </c>
      <c r="GM31" s="284">
        <v>368.2</v>
      </c>
      <c r="GN31" s="284">
        <v>474.2</v>
      </c>
      <c r="GO31" s="284">
        <v>451.9</v>
      </c>
      <c r="GP31" s="284">
        <v>402.6</v>
      </c>
      <c r="GQ31" s="284">
        <v>422.3</v>
      </c>
      <c r="GR31" s="284">
        <v>379.8</v>
      </c>
      <c r="GS31" s="284">
        <v>369.2</v>
      </c>
      <c r="GT31" s="284">
        <v>428.9</v>
      </c>
      <c r="GU31" s="284">
        <v>341.2</v>
      </c>
      <c r="GV31" s="284">
        <v>388.1</v>
      </c>
      <c r="GW31" s="284">
        <v>422.9</v>
      </c>
      <c r="GX31" s="284">
        <v>337.2</v>
      </c>
      <c r="GY31" s="284">
        <v>390</v>
      </c>
      <c r="GZ31" s="284">
        <v>439.6</v>
      </c>
      <c r="HA31" s="284">
        <v>446.9</v>
      </c>
      <c r="HB31" s="284">
        <v>450.6</v>
      </c>
      <c r="HC31" s="284">
        <v>485.5</v>
      </c>
      <c r="HD31" s="284">
        <v>459.4</v>
      </c>
      <c r="HE31" s="284">
        <v>508.4</v>
      </c>
      <c r="HF31" s="284">
        <v>505.7</v>
      </c>
      <c r="HG31" s="284">
        <v>461.8</v>
      </c>
      <c r="HH31" s="284">
        <v>517.6</v>
      </c>
      <c r="HI31" s="284">
        <v>455.7</v>
      </c>
      <c r="HJ31" s="284">
        <v>521.20000000000005</v>
      </c>
      <c r="HK31" s="284">
        <v>452.8</v>
      </c>
      <c r="HL31" s="284">
        <v>533.1</v>
      </c>
      <c r="HM31" s="284">
        <v>419.1</v>
      </c>
      <c r="HN31" s="284">
        <v>495.7</v>
      </c>
      <c r="HO31" s="284">
        <v>390.7</v>
      </c>
      <c r="HP31" s="284">
        <v>384.4</v>
      </c>
      <c r="HQ31" s="284">
        <v>352.6</v>
      </c>
      <c r="HR31" s="284">
        <v>396</v>
      </c>
      <c r="HS31" s="284">
        <v>366.3</v>
      </c>
      <c r="HT31" s="284">
        <v>325.2</v>
      </c>
      <c r="HU31" s="284">
        <v>306.7</v>
      </c>
      <c r="HV31" s="284">
        <v>385.83589999999998</v>
      </c>
      <c r="HW31" s="284">
        <v>316.01389999999998</v>
      </c>
      <c r="HX31" s="284">
        <v>253.11</v>
      </c>
      <c r="HY31" s="284">
        <v>215.07599999999999</v>
      </c>
      <c r="HZ31" s="284">
        <v>280.07400000000001</v>
      </c>
      <c r="IA31" s="284">
        <v>323.50190000000003</v>
      </c>
      <c r="IB31" s="284">
        <v>42.978000000000002</v>
      </c>
      <c r="IC31" s="284">
        <v>34.433999999999997</v>
      </c>
      <c r="ID31" s="284">
        <v>33.863999999999997</v>
      </c>
      <c r="IE31" s="284">
        <v>35.394000000000005</v>
      </c>
      <c r="IF31" s="284">
        <v>27.768000000000001</v>
      </c>
      <c r="IG31" s="284">
        <v>64.272000000000006</v>
      </c>
      <c r="IH31" s="284">
        <v>136.30799999999999</v>
      </c>
      <c r="II31" s="284">
        <v>205.63800000000001</v>
      </c>
      <c r="IJ31" s="284">
        <v>249.12</v>
      </c>
      <c r="IK31" s="284">
        <v>158.11199999999999</v>
      </c>
      <c r="IL31" s="284">
        <v>254.57400000000001</v>
      </c>
      <c r="IM31" s="850">
        <v>312.58790000000005</v>
      </c>
      <c r="IN31" s="168"/>
    </row>
    <row r="32" spans="1:248">
      <c r="A32" s="81" t="s">
        <v>8</v>
      </c>
      <c r="B32" s="285">
        <v>8329</v>
      </c>
      <c r="C32" s="285">
        <v>8272</v>
      </c>
      <c r="D32" s="285">
        <v>9308</v>
      </c>
      <c r="E32" s="285">
        <v>8959</v>
      </c>
      <c r="F32" s="285">
        <v>8831</v>
      </c>
      <c r="G32" s="285">
        <v>8853</v>
      </c>
      <c r="H32" s="285">
        <v>8573</v>
      </c>
      <c r="I32" s="285">
        <v>8644</v>
      </c>
      <c r="J32" s="285">
        <v>8307</v>
      </c>
      <c r="K32" s="285">
        <v>8476</v>
      </c>
      <c r="L32" s="285">
        <v>8342</v>
      </c>
      <c r="M32" s="285">
        <v>8168</v>
      </c>
      <c r="N32" s="285">
        <v>8750</v>
      </c>
      <c r="O32" s="285">
        <v>8329</v>
      </c>
      <c r="P32" s="285">
        <v>8747</v>
      </c>
      <c r="Q32" s="285">
        <v>8380</v>
      </c>
      <c r="R32" s="285">
        <v>8396</v>
      </c>
      <c r="S32" s="285">
        <v>7980</v>
      </c>
      <c r="T32" s="285">
        <v>9422</v>
      </c>
      <c r="U32" s="285">
        <v>8442</v>
      </c>
      <c r="V32" s="285">
        <v>9198</v>
      </c>
      <c r="W32" s="285">
        <v>8890</v>
      </c>
      <c r="X32" s="285">
        <v>8471</v>
      </c>
      <c r="Y32" s="285">
        <v>8065</v>
      </c>
      <c r="Z32" s="285">
        <v>7877</v>
      </c>
      <c r="AA32" s="285">
        <v>7503</v>
      </c>
      <c r="AB32" s="285">
        <v>8534</v>
      </c>
      <c r="AC32" s="285">
        <v>7684</v>
      </c>
      <c r="AD32" s="285">
        <v>7941</v>
      </c>
      <c r="AE32" s="285">
        <v>7766</v>
      </c>
      <c r="AF32" s="285">
        <v>7963</v>
      </c>
      <c r="AG32" s="285">
        <v>8020</v>
      </c>
      <c r="AH32" s="285">
        <v>7973</v>
      </c>
      <c r="AI32" s="285">
        <v>8036</v>
      </c>
      <c r="AJ32" s="285">
        <v>8470</v>
      </c>
      <c r="AK32" s="285">
        <v>8066</v>
      </c>
      <c r="AL32" s="285">
        <v>8145</v>
      </c>
      <c r="AM32" s="285">
        <v>8982</v>
      </c>
      <c r="AN32" s="285">
        <v>9260</v>
      </c>
      <c r="AO32" s="285">
        <v>8473</v>
      </c>
      <c r="AP32" s="285">
        <v>9181</v>
      </c>
      <c r="AQ32" s="285">
        <v>8766</v>
      </c>
      <c r="AR32" s="285">
        <v>8899</v>
      </c>
      <c r="AS32" s="285">
        <v>8578</v>
      </c>
      <c r="AT32" s="285">
        <v>8477</v>
      </c>
      <c r="AU32" s="285">
        <v>8340</v>
      </c>
      <c r="AV32" s="285">
        <v>8187</v>
      </c>
      <c r="AW32" s="285">
        <v>7473</v>
      </c>
      <c r="AX32" s="285">
        <v>7317</v>
      </c>
      <c r="AY32" s="285">
        <v>7167</v>
      </c>
      <c r="AZ32" s="285">
        <v>7482</v>
      </c>
      <c r="BA32" s="285">
        <v>7348</v>
      </c>
      <c r="BB32" s="285">
        <v>7487</v>
      </c>
      <c r="BC32" s="285">
        <v>7191</v>
      </c>
      <c r="BD32" s="285">
        <v>7159</v>
      </c>
      <c r="BE32" s="285">
        <v>7572</v>
      </c>
      <c r="BF32" s="285">
        <v>7537</v>
      </c>
      <c r="BG32" s="285">
        <v>7523</v>
      </c>
      <c r="BH32" s="285">
        <v>7549</v>
      </c>
      <c r="BI32" s="285">
        <v>6889</v>
      </c>
      <c r="BJ32" s="285">
        <v>6597</v>
      </c>
      <c r="BK32" s="285">
        <v>6733</v>
      </c>
      <c r="BL32" s="285">
        <v>7135</v>
      </c>
      <c r="BM32" s="285">
        <v>7646</v>
      </c>
      <c r="BN32" s="285">
        <v>7822</v>
      </c>
      <c r="BO32" s="285">
        <v>7338</v>
      </c>
      <c r="BP32" s="285">
        <v>7657</v>
      </c>
      <c r="BQ32" s="285">
        <v>7435</v>
      </c>
      <c r="BR32" s="285">
        <v>7577</v>
      </c>
      <c r="BS32" s="285">
        <v>7709</v>
      </c>
      <c r="BT32" s="285">
        <v>7937</v>
      </c>
      <c r="BU32" s="285">
        <v>7706</v>
      </c>
      <c r="BV32" s="285">
        <v>8063</v>
      </c>
      <c r="BW32" s="285">
        <v>7934</v>
      </c>
      <c r="BX32" s="285">
        <v>8422</v>
      </c>
      <c r="BY32" s="285">
        <v>8054</v>
      </c>
      <c r="BZ32" s="285">
        <v>8540</v>
      </c>
      <c r="CA32" s="285">
        <v>8260</v>
      </c>
      <c r="CB32" s="285">
        <v>8500</v>
      </c>
      <c r="CC32" s="285">
        <v>8791</v>
      </c>
      <c r="CD32" s="285">
        <v>8633</v>
      </c>
      <c r="CE32" s="285">
        <v>8383</v>
      </c>
      <c r="CF32" s="285">
        <v>8639</v>
      </c>
      <c r="CG32" s="285">
        <v>8252</v>
      </c>
      <c r="CH32" s="285">
        <v>8227</v>
      </c>
      <c r="CI32" s="285">
        <v>8263</v>
      </c>
      <c r="CJ32" s="285">
        <v>9274</v>
      </c>
      <c r="CK32" s="285">
        <v>9510</v>
      </c>
      <c r="CL32" s="285">
        <v>10541</v>
      </c>
      <c r="CM32" s="285">
        <v>9654</v>
      </c>
      <c r="CN32" s="285">
        <v>9264</v>
      </c>
      <c r="CO32" s="285">
        <v>10089</v>
      </c>
      <c r="CP32" s="285">
        <v>9658</v>
      </c>
      <c r="CQ32" s="285">
        <v>10795</v>
      </c>
      <c r="CR32" s="285">
        <v>10033</v>
      </c>
      <c r="CS32" s="285">
        <v>9703</v>
      </c>
      <c r="CT32" s="285">
        <v>10240</v>
      </c>
      <c r="CU32" s="285">
        <v>10478</v>
      </c>
      <c r="CV32" s="285">
        <v>11363</v>
      </c>
      <c r="CW32" s="285">
        <v>11090</v>
      </c>
      <c r="CX32" s="285">
        <v>12313</v>
      </c>
      <c r="CY32" s="285">
        <v>11008</v>
      </c>
      <c r="CZ32" s="285">
        <v>10153</v>
      </c>
      <c r="DA32" s="285">
        <v>9803</v>
      </c>
      <c r="DB32" s="285">
        <v>9676</v>
      </c>
      <c r="DC32" s="285">
        <v>10235</v>
      </c>
      <c r="DD32" s="285">
        <v>8555</v>
      </c>
      <c r="DE32" s="285">
        <v>8518</v>
      </c>
      <c r="DF32" s="285">
        <v>8009</v>
      </c>
      <c r="DG32" s="285">
        <v>9187</v>
      </c>
      <c r="DH32" s="285">
        <v>10496</v>
      </c>
      <c r="DI32" s="285">
        <v>10416</v>
      </c>
      <c r="DJ32" s="285">
        <v>10554</v>
      </c>
      <c r="DK32" s="285">
        <v>9977</v>
      </c>
      <c r="DL32" s="285">
        <v>10038</v>
      </c>
      <c r="DM32" s="285">
        <v>10436</v>
      </c>
      <c r="DN32" s="285">
        <v>9819</v>
      </c>
      <c r="DO32" s="285">
        <v>9808</v>
      </c>
      <c r="DP32" s="285">
        <v>10300</v>
      </c>
      <c r="DQ32" s="285">
        <v>9668</v>
      </c>
      <c r="DR32" s="285">
        <v>10209</v>
      </c>
      <c r="DS32" s="285">
        <v>9712</v>
      </c>
      <c r="DT32" s="285">
        <v>10575</v>
      </c>
      <c r="DU32" s="285">
        <v>10338</v>
      </c>
      <c r="DV32" s="285">
        <v>11026</v>
      </c>
      <c r="DW32" s="285">
        <v>10647</v>
      </c>
      <c r="DX32" s="285">
        <v>11187</v>
      </c>
      <c r="DY32" s="285">
        <v>11427</v>
      </c>
      <c r="DZ32" s="285">
        <v>11739</v>
      </c>
      <c r="EA32" s="285">
        <v>12267</v>
      </c>
      <c r="EB32" s="285">
        <v>12261</v>
      </c>
      <c r="EC32" s="285">
        <v>11508</v>
      </c>
      <c r="ED32" s="285">
        <v>11751</v>
      </c>
      <c r="EE32" s="285">
        <v>11858</v>
      </c>
      <c r="EF32" s="285">
        <v>13047</v>
      </c>
      <c r="EG32" s="285">
        <v>12799</v>
      </c>
      <c r="EH32" s="285">
        <v>13307</v>
      </c>
      <c r="EI32" s="285">
        <v>12999</v>
      </c>
      <c r="EJ32" s="285">
        <v>13461</v>
      </c>
      <c r="EK32" s="285">
        <v>13391</v>
      </c>
      <c r="EL32" s="285">
        <v>13361</v>
      </c>
      <c r="EM32" s="285">
        <v>13223</v>
      </c>
      <c r="EN32" s="285">
        <v>12346</v>
      </c>
      <c r="EO32" s="285">
        <v>11705</v>
      </c>
      <c r="EP32" s="285">
        <v>12172</v>
      </c>
      <c r="EQ32" s="285">
        <v>12189</v>
      </c>
      <c r="ER32" s="285">
        <v>12530</v>
      </c>
      <c r="ES32" s="285">
        <v>12142</v>
      </c>
      <c r="ET32" s="285">
        <v>13006</v>
      </c>
      <c r="EU32" s="285">
        <v>12011</v>
      </c>
      <c r="EV32" s="285">
        <v>11441</v>
      </c>
      <c r="EW32" s="285">
        <v>10523</v>
      </c>
      <c r="EX32" s="285">
        <v>10518</v>
      </c>
      <c r="EY32" s="285">
        <v>9657</v>
      </c>
      <c r="EZ32" s="285">
        <v>10343</v>
      </c>
      <c r="FA32" s="285">
        <v>8633</v>
      </c>
      <c r="FB32" s="285">
        <v>8689</v>
      </c>
      <c r="FC32" s="285">
        <v>8426</v>
      </c>
      <c r="FD32" s="285">
        <v>9082</v>
      </c>
      <c r="FE32" s="285">
        <v>9235</v>
      </c>
      <c r="FF32" s="285">
        <v>9142</v>
      </c>
      <c r="FG32" s="285">
        <v>8712</v>
      </c>
      <c r="FH32" s="285">
        <v>8802</v>
      </c>
      <c r="FI32" s="285">
        <v>9504</v>
      </c>
      <c r="FJ32" s="285">
        <v>9103</v>
      </c>
      <c r="FK32" s="285">
        <v>9913</v>
      </c>
      <c r="FL32" s="285">
        <v>9434</v>
      </c>
      <c r="FM32" s="285">
        <v>8907</v>
      </c>
      <c r="FN32" s="285">
        <v>9002</v>
      </c>
      <c r="FO32" s="285">
        <v>9295</v>
      </c>
      <c r="FP32" s="285">
        <v>10282</v>
      </c>
      <c r="FQ32" s="285">
        <v>9937</v>
      </c>
      <c r="FR32" s="285">
        <v>9886</v>
      </c>
      <c r="FS32" s="285">
        <v>9790</v>
      </c>
      <c r="FT32" s="285">
        <v>10148</v>
      </c>
      <c r="FU32" s="285">
        <v>10335</v>
      </c>
      <c r="FV32" s="285">
        <v>10109</v>
      </c>
      <c r="FW32" s="285">
        <v>11337</v>
      </c>
      <c r="FX32" s="285">
        <v>11198</v>
      </c>
      <c r="FY32" s="285">
        <v>10758</v>
      </c>
      <c r="FZ32" s="285">
        <v>11188</v>
      </c>
      <c r="GA32" s="285">
        <v>11416</v>
      </c>
      <c r="GB32" s="285">
        <v>12071</v>
      </c>
      <c r="GC32" s="285">
        <v>12653</v>
      </c>
      <c r="GD32" s="285">
        <v>12569</v>
      </c>
      <c r="GE32" s="285">
        <v>12491</v>
      </c>
      <c r="GF32" s="285">
        <v>13216.4</v>
      </c>
      <c r="GG32" s="285">
        <v>13077.2</v>
      </c>
      <c r="GH32" s="285">
        <v>13141.5</v>
      </c>
      <c r="GI32" s="285">
        <v>14065.3</v>
      </c>
      <c r="GJ32" s="285">
        <v>13735.4</v>
      </c>
      <c r="GK32" s="285">
        <v>12679.9</v>
      </c>
      <c r="GL32" s="285">
        <v>13122.5</v>
      </c>
      <c r="GM32" s="285">
        <v>12775.6</v>
      </c>
      <c r="GN32" s="285">
        <v>13995.9</v>
      </c>
      <c r="GO32" s="285">
        <v>13673</v>
      </c>
      <c r="GP32" s="285">
        <v>15390.9</v>
      </c>
      <c r="GQ32" s="285">
        <v>14241.2</v>
      </c>
      <c r="GR32" s="285">
        <v>14449.9</v>
      </c>
      <c r="GS32" s="285">
        <v>14859.9</v>
      </c>
      <c r="GT32" s="285">
        <v>13908.8</v>
      </c>
      <c r="GU32" s="285">
        <v>15672.8</v>
      </c>
      <c r="GV32" s="285">
        <v>14744</v>
      </c>
      <c r="GW32" s="285">
        <v>13959.6</v>
      </c>
      <c r="GX32" s="285">
        <v>14077.9</v>
      </c>
      <c r="GY32" s="285">
        <v>13761.9</v>
      </c>
      <c r="GZ32" s="285">
        <v>15717.9</v>
      </c>
      <c r="HA32" s="285">
        <v>14716.6</v>
      </c>
      <c r="HB32" s="285">
        <v>15348.1</v>
      </c>
      <c r="HC32" s="285">
        <v>14873.5</v>
      </c>
      <c r="HD32" s="285">
        <v>16233</v>
      </c>
      <c r="HE32" s="285">
        <v>15954.4</v>
      </c>
      <c r="HF32" s="285">
        <v>15112.2</v>
      </c>
      <c r="HG32" s="285">
        <v>16185.8</v>
      </c>
      <c r="HH32" s="285">
        <v>17059.3</v>
      </c>
      <c r="HI32" s="285">
        <v>14936.2</v>
      </c>
      <c r="HJ32" s="285">
        <v>15369.7</v>
      </c>
      <c r="HK32" s="285">
        <v>14847</v>
      </c>
      <c r="HL32" s="285">
        <v>17044.8</v>
      </c>
      <c r="HM32" s="285">
        <v>15923.2</v>
      </c>
      <c r="HN32" s="285">
        <v>16724.7</v>
      </c>
      <c r="HO32" s="285">
        <v>15494.1</v>
      </c>
      <c r="HP32" s="286">
        <v>17033.5</v>
      </c>
      <c r="HQ32" s="286">
        <v>15912.1</v>
      </c>
      <c r="HR32" s="286">
        <v>15555.7</v>
      </c>
      <c r="HS32" s="286">
        <v>16495.7</v>
      </c>
      <c r="HT32" s="286">
        <v>16732.8</v>
      </c>
      <c r="HU32" s="286">
        <v>15373.4</v>
      </c>
      <c r="HV32" s="545">
        <v>15572.205900000001</v>
      </c>
      <c r="HW32" s="545">
        <v>15818.415900000005</v>
      </c>
      <c r="HX32" s="545">
        <v>17166.753700000001</v>
      </c>
      <c r="HY32" s="545">
        <v>15566.092000000001</v>
      </c>
      <c r="HZ32" s="545">
        <v>16580.505599999997</v>
      </c>
      <c r="IA32" s="545">
        <v>16557.777800000003</v>
      </c>
      <c r="IB32" s="545">
        <v>19168.167800000003</v>
      </c>
      <c r="IC32" s="545">
        <v>19927.065700000006</v>
      </c>
      <c r="ID32" s="545">
        <v>18702.861799999988</v>
      </c>
      <c r="IE32" s="545">
        <v>20037.561600000005</v>
      </c>
      <c r="IF32" s="545">
        <v>17181.969699999991</v>
      </c>
      <c r="IG32" s="285">
        <v>17392.342000000001</v>
      </c>
      <c r="IH32" s="545">
        <v>16818.381999999998</v>
      </c>
      <c r="II32" s="545">
        <v>17424.081800000007</v>
      </c>
      <c r="IJ32" s="545">
        <v>16974.784</v>
      </c>
      <c r="IK32" s="545">
        <v>16368.736000000003</v>
      </c>
      <c r="IL32" s="545">
        <v>16990.0419</v>
      </c>
      <c r="IM32" s="851">
        <v>17191.629700000001</v>
      </c>
      <c r="IN32" s="168"/>
    </row>
    <row r="33" spans="1:248">
      <c r="A33" s="81" t="s">
        <v>142</v>
      </c>
      <c r="B33" s="284">
        <v>2425</v>
      </c>
      <c r="C33" s="284">
        <v>2747</v>
      </c>
      <c r="D33" s="284">
        <v>3272</v>
      </c>
      <c r="E33" s="284">
        <v>3091</v>
      </c>
      <c r="F33" s="284">
        <v>3291</v>
      </c>
      <c r="G33" s="284">
        <v>2918</v>
      </c>
      <c r="H33" s="284">
        <v>3054</v>
      </c>
      <c r="I33" s="284">
        <v>3636</v>
      </c>
      <c r="J33" s="284">
        <v>3489</v>
      </c>
      <c r="K33" s="284">
        <v>3609</v>
      </c>
      <c r="L33" s="284">
        <v>4120</v>
      </c>
      <c r="M33" s="284">
        <v>3182</v>
      </c>
      <c r="N33" s="284">
        <v>2943</v>
      </c>
      <c r="O33" s="284">
        <v>2656</v>
      </c>
      <c r="P33" s="284">
        <v>2886</v>
      </c>
      <c r="Q33" s="284">
        <v>2445</v>
      </c>
      <c r="R33" s="284">
        <v>2754</v>
      </c>
      <c r="S33" s="284">
        <v>2277</v>
      </c>
      <c r="T33" s="284">
        <v>2753</v>
      </c>
      <c r="U33" s="284">
        <v>3207</v>
      </c>
      <c r="V33" s="284">
        <v>3404</v>
      </c>
      <c r="W33" s="284">
        <v>3691</v>
      </c>
      <c r="X33" s="284">
        <v>4095</v>
      </c>
      <c r="Y33" s="284">
        <v>4028</v>
      </c>
      <c r="Z33" s="284">
        <v>4251</v>
      </c>
      <c r="AA33" s="284">
        <v>4280</v>
      </c>
      <c r="AB33" s="284">
        <v>4808</v>
      </c>
      <c r="AC33" s="284">
        <v>4144</v>
      </c>
      <c r="AD33" s="284">
        <v>5014</v>
      </c>
      <c r="AE33" s="284">
        <v>4421</v>
      </c>
      <c r="AF33" s="284">
        <v>4514</v>
      </c>
      <c r="AG33" s="284">
        <v>4858</v>
      </c>
      <c r="AH33" s="284">
        <v>5063</v>
      </c>
      <c r="AI33" s="284">
        <v>5205</v>
      </c>
      <c r="AJ33" s="284">
        <v>5203</v>
      </c>
      <c r="AK33" s="284">
        <v>4909</v>
      </c>
      <c r="AL33" s="284">
        <v>5361</v>
      </c>
      <c r="AM33" s="284">
        <v>5321</v>
      </c>
      <c r="AN33" s="284">
        <v>5660</v>
      </c>
      <c r="AO33" s="284">
        <v>5899</v>
      </c>
      <c r="AP33" s="284">
        <v>6252</v>
      </c>
      <c r="AQ33" s="284">
        <v>6089</v>
      </c>
      <c r="AR33" s="284">
        <v>6056</v>
      </c>
      <c r="AS33" s="284">
        <v>5788</v>
      </c>
      <c r="AT33" s="284">
        <v>6653</v>
      </c>
      <c r="AU33" s="284">
        <v>6678</v>
      </c>
      <c r="AV33" s="284">
        <v>6171</v>
      </c>
      <c r="AW33" s="284">
        <v>5079</v>
      </c>
      <c r="AX33" s="284">
        <v>5409</v>
      </c>
      <c r="AY33" s="284">
        <v>5303</v>
      </c>
      <c r="AZ33" s="284">
        <v>6218</v>
      </c>
      <c r="BA33" s="284">
        <v>6158</v>
      </c>
      <c r="BB33" s="284">
        <v>6538</v>
      </c>
      <c r="BC33" s="284">
        <v>6280</v>
      </c>
      <c r="BD33" s="284">
        <v>7129</v>
      </c>
      <c r="BE33" s="284">
        <v>6650</v>
      </c>
      <c r="BF33" s="284">
        <v>7336</v>
      </c>
      <c r="BG33" s="284">
        <v>7565</v>
      </c>
      <c r="BH33" s="284">
        <v>7638</v>
      </c>
      <c r="BI33" s="284">
        <v>6780</v>
      </c>
      <c r="BJ33" s="284">
        <v>6216</v>
      </c>
      <c r="BK33" s="284">
        <v>7850</v>
      </c>
      <c r="BL33" s="284">
        <v>8519</v>
      </c>
      <c r="BM33" s="284">
        <v>8571</v>
      </c>
      <c r="BN33" s="284">
        <v>9609</v>
      </c>
      <c r="BO33" s="284">
        <v>9579</v>
      </c>
      <c r="BP33" s="284">
        <v>10140</v>
      </c>
      <c r="BQ33" s="284">
        <v>10287</v>
      </c>
      <c r="BR33" s="284">
        <v>11434</v>
      </c>
      <c r="BS33" s="284">
        <v>11579</v>
      </c>
      <c r="BT33" s="284">
        <v>11151</v>
      </c>
      <c r="BU33" s="284">
        <v>9726</v>
      </c>
      <c r="BV33" s="284">
        <v>9158</v>
      </c>
      <c r="BW33" s="284">
        <v>10699</v>
      </c>
      <c r="BX33" s="284">
        <v>10456</v>
      </c>
      <c r="BY33" s="284">
        <v>10503</v>
      </c>
      <c r="BZ33" s="284">
        <v>11415</v>
      </c>
      <c r="CA33" s="284">
        <v>10836</v>
      </c>
      <c r="CB33" s="284">
        <v>11497</v>
      </c>
      <c r="CC33" s="284">
        <v>11626</v>
      </c>
      <c r="CD33" s="284">
        <v>10525</v>
      </c>
      <c r="CE33" s="284">
        <v>10390</v>
      </c>
      <c r="CF33" s="284">
        <v>10739</v>
      </c>
      <c r="CG33" s="284">
        <v>8695</v>
      </c>
      <c r="CH33" s="284">
        <v>9228</v>
      </c>
      <c r="CI33" s="284">
        <v>10115</v>
      </c>
      <c r="CJ33" s="284">
        <v>10123</v>
      </c>
      <c r="CK33" s="284">
        <v>10409</v>
      </c>
      <c r="CL33" s="284">
        <v>11257</v>
      </c>
      <c r="CM33" s="284">
        <v>12255</v>
      </c>
      <c r="CN33" s="284">
        <v>13327</v>
      </c>
      <c r="CO33" s="284">
        <v>14729</v>
      </c>
      <c r="CP33" s="284">
        <v>15323</v>
      </c>
      <c r="CQ33" s="284">
        <v>15437</v>
      </c>
      <c r="CR33" s="284">
        <v>14955</v>
      </c>
      <c r="CS33" s="284">
        <v>12519</v>
      </c>
      <c r="CT33" s="284">
        <v>12268</v>
      </c>
      <c r="CU33" s="284">
        <v>12642</v>
      </c>
      <c r="CV33" s="284">
        <v>14462</v>
      </c>
      <c r="CW33" s="284">
        <v>14169</v>
      </c>
      <c r="CX33" s="284">
        <v>13765</v>
      </c>
      <c r="CY33" s="284">
        <v>13377</v>
      </c>
      <c r="CZ33" s="284">
        <v>14009</v>
      </c>
      <c r="DA33" s="284">
        <v>13203</v>
      </c>
      <c r="DB33" s="284">
        <v>12255</v>
      </c>
      <c r="DC33" s="284">
        <v>12639</v>
      </c>
      <c r="DD33" s="284">
        <v>13142</v>
      </c>
      <c r="DE33" s="284">
        <v>11434</v>
      </c>
      <c r="DF33" s="284">
        <v>10887</v>
      </c>
      <c r="DG33" s="284">
        <v>11315</v>
      </c>
      <c r="DH33" s="284">
        <v>11885</v>
      </c>
      <c r="DI33" s="284">
        <v>11694</v>
      </c>
      <c r="DJ33" s="284">
        <v>12525</v>
      </c>
      <c r="DK33" s="284">
        <v>12740</v>
      </c>
      <c r="DL33" s="284">
        <v>13660</v>
      </c>
      <c r="DM33" s="284">
        <v>13908</v>
      </c>
      <c r="DN33" s="284">
        <v>13846</v>
      </c>
      <c r="DO33" s="284">
        <v>14588</v>
      </c>
      <c r="DP33" s="284">
        <v>14659</v>
      </c>
      <c r="DQ33" s="284">
        <v>13026</v>
      </c>
      <c r="DR33" s="284">
        <v>13807</v>
      </c>
      <c r="DS33" s="284">
        <v>13206</v>
      </c>
      <c r="DT33" s="284">
        <v>14675</v>
      </c>
      <c r="DU33" s="284">
        <v>15312</v>
      </c>
      <c r="DV33" s="284">
        <v>18371</v>
      </c>
      <c r="DW33" s="284">
        <v>17964</v>
      </c>
      <c r="DX33" s="284">
        <v>18530</v>
      </c>
      <c r="DY33" s="284">
        <v>18718</v>
      </c>
      <c r="DZ33" s="284">
        <v>19828</v>
      </c>
      <c r="EA33" s="284">
        <v>20066</v>
      </c>
      <c r="EB33" s="284">
        <v>21047</v>
      </c>
      <c r="EC33" s="284">
        <v>18156</v>
      </c>
      <c r="ED33" s="284">
        <v>23894</v>
      </c>
      <c r="EE33" s="284">
        <v>26461</v>
      </c>
      <c r="EF33" s="284">
        <v>29595</v>
      </c>
      <c r="EG33" s="284">
        <v>28722</v>
      </c>
      <c r="EH33" s="284">
        <v>31935</v>
      </c>
      <c r="EI33" s="284">
        <v>31142</v>
      </c>
      <c r="EJ33" s="284">
        <v>33376</v>
      </c>
      <c r="EK33" s="284">
        <v>34708</v>
      </c>
      <c r="EL33" s="284">
        <v>32130</v>
      </c>
      <c r="EM33" s="284">
        <v>32215</v>
      </c>
      <c r="EN33" s="284">
        <v>30749</v>
      </c>
      <c r="EO33" s="284">
        <v>29525</v>
      </c>
      <c r="EP33" s="284">
        <v>32155</v>
      </c>
      <c r="EQ33" s="284">
        <v>35325</v>
      </c>
      <c r="ER33" s="284">
        <v>34733</v>
      </c>
      <c r="ES33" s="284">
        <v>37024</v>
      </c>
      <c r="ET33" s="284">
        <v>35072</v>
      </c>
      <c r="EU33" s="284">
        <v>34921</v>
      </c>
      <c r="EV33" s="284">
        <v>37838</v>
      </c>
      <c r="EW33" s="284">
        <v>40696</v>
      </c>
      <c r="EX33" s="284">
        <v>36047</v>
      </c>
      <c r="EY33" s="284">
        <v>36272</v>
      </c>
      <c r="EZ33" s="284">
        <v>34593</v>
      </c>
      <c r="FA33" s="284">
        <v>29374</v>
      </c>
      <c r="FB33" s="284">
        <v>29500</v>
      </c>
      <c r="FC33" s="284">
        <v>30514</v>
      </c>
      <c r="FD33" s="284">
        <v>34770</v>
      </c>
      <c r="FE33" s="284">
        <v>33304</v>
      </c>
      <c r="FF33" s="284">
        <v>35362</v>
      </c>
      <c r="FG33" s="284">
        <v>32916</v>
      </c>
      <c r="FH33" s="284">
        <v>32799</v>
      </c>
      <c r="FI33" s="284">
        <v>32897</v>
      </c>
      <c r="FJ33" s="284">
        <v>32752</v>
      </c>
      <c r="FK33" s="284">
        <v>34903</v>
      </c>
      <c r="FL33" s="284">
        <v>33677</v>
      </c>
      <c r="FM33" s="284">
        <v>29422</v>
      </c>
      <c r="FN33" s="284">
        <v>28356</v>
      </c>
      <c r="FO33" s="284">
        <v>28349</v>
      </c>
      <c r="FP33" s="284">
        <v>29923</v>
      </c>
      <c r="FQ33" s="284">
        <v>28109</v>
      </c>
      <c r="FR33" s="284">
        <v>27722</v>
      </c>
      <c r="FS33" s="284">
        <v>27241</v>
      </c>
      <c r="FT33" s="284">
        <v>27798</v>
      </c>
      <c r="FU33" s="284">
        <v>27966</v>
      </c>
      <c r="FV33" s="284">
        <v>28328</v>
      </c>
      <c r="FW33" s="284">
        <v>27359</v>
      </c>
      <c r="FX33" s="284">
        <v>25867</v>
      </c>
      <c r="FY33" s="284">
        <v>24019</v>
      </c>
      <c r="FZ33" s="284">
        <v>22747</v>
      </c>
      <c r="GA33" s="284">
        <v>22878</v>
      </c>
      <c r="GB33" s="284">
        <v>21469</v>
      </c>
      <c r="GC33" s="284">
        <v>21472</v>
      </c>
      <c r="GD33" s="284">
        <v>22793</v>
      </c>
      <c r="GE33" s="284">
        <v>20751</v>
      </c>
      <c r="GF33" s="284">
        <v>23094.6</v>
      </c>
      <c r="GG33" s="284">
        <v>22509.1</v>
      </c>
      <c r="GH33" s="284">
        <v>19952.2</v>
      </c>
      <c r="GI33" s="284">
        <v>21079.7</v>
      </c>
      <c r="GJ33" s="284">
        <v>22657.9</v>
      </c>
      <c r="GK33" s="284">
        <v>19579.400000000001</v>
      </c>
      <c r="GL33" s="284">
        <v>20605.900000000001</v>
      </c>
      <c r="GM33" s="284">
        <v>21358.799999999999</v>
      </c>
      <c r="GN33" s="284">
        <v>20381.3</v>
      </c>
      <c r="GO33" s="284">
        <v>21478.6</v>
      </c>
      <c r="GP33" s="284">
        <v>22035.4</v>
      </c>
      <c r="GQ33" s="284">
        <v>20678.8</v>
      </c>
      <c r="GR33" s="284">
        <v>22408.5</v>
      </c>
      <c r="GS33" s="284">
        <v>21422.9</v>
      </c>
      <c r="GT33" s="284">
        <v>21322.1</v>
      </c>
      <c r="GU33" s="284">
        <v>22151.9</v>
      </c>
      <c r="GV33" s="284">
        <v>22317.599999999999</v>
      </c>
      <c r="GW33" s="284">
        <v>19857</v>
      </c>
      <c r="GX33" s="284">
        <v>19410.7</v>
      </c>
      <c r="GY33" s="284">
        <v>20966.5</v>
      </c>
      <c r="GZ33" s="284">
        <v>22250.1</v>
      </c>
      <c r="HA33" s="284">
        <v>21886.3</v>
      </c>
      <c r="HB33" s="284">
        <v>22585.5</v>
      </c>
      <c r="HC33" s="284">
        <v>21498</v>
      </c>
      <c r="HD33" s="284">
        <v>23999.7</v>
      </c>
      <c r="HE33" s="284">
        <v>23693.200000000001</v>
      </c>
      <c r="HF33" s="284">
        <v>22624.1</v>
      </c>
      <c r="HG33" s="284">
        <v>24436.6</v>
      </c>
      <c r="HH33" s="284">
        <v>24460.5</v>
      </c>
      <c r="HI33" s="284">
        <v>21814.7</v>
      </c>
      <c r="HJ33" s="284">
        <v>23591.3</v>
      </c>
      <c r="HK33" s="284">
        <v>23529.599999999999</v>
      </c>
      <c r="HL33" s="284">
        <v>23641.599999999999</v>
      </c>
      <c r="HM33" s="284">
        <v>26036.7</v>
      </c>
      <c r="HN33" s="284">
        <v>27088.5</v>
      </c>
      <c r="HO33" s="284">
        <v>25225.3</v>
      </c>
      <c r="HP33" s="284">
        <v>29404.2</v>
      </c>
      <c r="HQ33" s="284">
        <v>28158.7</v>
      </c>
      <c r="HR33" s="284">
        <v>27540.3</v>
      </c>
      <c r="HS33" s="284">
        <v>29520.6</v>
      </c>
      <c r="HT33" s="284">
        <v>30048.1</v>
      </c>
      <c r="HU33" s="284">
        <v>25585.7</v>
      </c>
      <c r="HV33" s="284">
        <v>28077.624500000005</v>
      </c>
      <c r="HW33" s="284">
        <v>30521.904100000003</v>
      </c>
      <c r="HX33" s="284">
        <v>31722.144000000004</v>
      </c>
      <c r="HY33" s="284">
        <v>30750.82209999999</v>
      </c>
      <c r="HZ33" s="284">
        <v>32591.645600000003</v>
      </c>
      <c r="IA33" s="284">
        <v>31460.010000000013</v>
      </c>
      <c r="IB33" s="284">
        <v>37459.972699999998</v>
      </c>
      <c r="IC33" s="284">
        <v>37447.222799999996</v>
      </c>
      <c r="ID33" s="284">
        <v>37413.053</v>
      </c>
      <c r="IE33" s="284">
        <v>38943.760400000006</v>
      </c>
      <c r="IF33" s="284">
        <v>33782.585800000001</v>
      </c>
      <c r="IG33" s="284">
        <v>33870.005499999992</v>
      </c>
      <c r="IH33" s="284">
        <v>31483.109799999995</v>
      </c>
      <c r="II33" s="284">
        <v>37790.039300000011</v>
      </c>
      <c r="IJ33" s="284">
        <v>36467.051300000014</v>
      </c>
      <c r="IK33" s="284">
        <v>35922.8151</v>
      </c>
      <c r="IL33" s="284">
        <v>35939.092999999993</v>
      </c>
      <c r="IM33" s="850">
        <v>35326.427199999991</v>
      </c>
      <c r="IN33" s="168"/>
    </row>
    <row r="34" spans="1:248">
      <c r="A34" s="81" t="s">
        <v>1203</v>
      </c>
      <c r="B34" s="285">
        <v>200</v>
      </c>
      <c r="C34" s="285">
        <v>212</v>
      </c>
      <c r="D34" s="285">
        <v>312</v>
      </c>
      <c r="E34" s="285">
        <v>278</v>
      </c>
      <c r="F34" s="285">
        <v>327</v>
      </c>
      <c r="G34" s="285">
        <v>420</v>
      </c>
      <c r="H34" s="285">
        <v>331</v>
      </c>
      <c r="I34" s="285">
        <v>458</v>
      </c>
      <c r="J34" s="285">
        <v>735</v>
      </c>
      <c r="K34" s="285">
        <v>723</v>
      </c>
      <c r="L34" s="285">
        <v>763</v>
      </c>
      <c r="M34" s="285">
        <v>572</v>
      </c>
      <c r="N34" s="285">
        <v>734</v>
      </c>
      <c r="O34" s="285">
        <v>496</v>
      </c>
      <c r="P34" s="285">
        <v>419</v>
      </c>
      <c r="Q34" s="285">
        <v>347</v>
      </c>
      <c r="R34" s="285">
        <v>357</v>
      </c>
      <c r="S34" s="285">
        <v>376</v>
      </c>
      <c r="T34" s="285">
        <v>302</v>
      </c>
      <c r="U34" s="285">
        <v>294</v>
      </c>
      <c r="V34" s="285">
        <v>327</v>
      </c>
      <c r="W34" s="285">
        <v>264</v>
      </c>
      <c r="X34" s="285">
        <v>230</v>
      </c>
      <c r="Y34" s="285">
        <v>166</v>
      </c>
      <c r="Z34" s="285">
        <v>227</v>
      </c>
      <c r="AA34" s="285">
        <v>215</v>
      </c>
      <c r="AB34" s="285">
        <v>269</v>
      </c>
      <c r="AC34" s="285">
        <v>225</v>
      </c>
      <c r="AD34" s="285">
        <v>264</v>
      </c>
      <c r="AE34" s="285">
        <v>322</v>
      </c>
      <c r="AF34" s="285">
        <v>347</v>
      </c>
      <c r="AG34" s="285">
        <v>336</v>
      </c>
      <c r="AH34" s="285">
        <v>376</v>
      </c>
      <c r="AI34" s="285">
        <v>322</v>
      </c>
      <c r="AJ34" s="285">
        <v>323</v>
      </c>
      <c r="AK34" s="285">
        <v>345</v>
      </c>
      <c r="AL34" s="285">
        <v>301</v>
      </c>
      <c r="AM34" s="285">
        <v>347</v>
      </c>
      <c r="AN34" s="285">
        <v>430</v>
      </c>
      <c r="AO34" s="285">
        <v>334</v>
      </c>
      <c r="AP34" s="285">
        <v>351</v>
      </c>
      <c r="AQ34" s="285">
        <v>368</v>
      </c>
      <c r="AR34" s="285">
        <v>305</v>
      </c>
      <c r="AS34" s="285">
        <v>294</v>
      </c>
      <c r="AT34" s="285">
        <v>291</v>
      </c>
      <c r="AU34" s="285">
        <v>300</v>
      </c>
      <c r="AV34" s="285">
        <v>322</v>
      </c>
      <c r="AW34" s="285">
        <v>402</v>
      </c>
      <c r="AX34" s="285">
        <v>345</v>
      </c>
      <c r="AY34" s="285">
        <v>392</v>
      </c>
      <c r="AZ34" s="285">
        <v>519</v>
      </c>
      <c r="BA34" s="285">
        <v>398</v>
      </c>
      <c r="BB34" s="285">
        <v>498</v>
      </c>
      <c r="BC34" s="285">
        <v>503</v>
      </c>
      <c r="BD34" s="285">
        <v>389</v>
      </c>
      <c r="BE34" s="285">
        <v>403</v>
      </c>
      <c r="BF34" s="285">
        <v>416</v>
      </c>
      <c r="BG34" s="285">
        <v>409</v>
      </c>
      <c r="BH34" s="285">
        <v>422</v>
      </c>
      <c r="BI34" s="285">
        <v>432</v>
      </c>
      <c r="BJ34" s="285">
        <v>370</v>
      </c>
      <c r="BK34" s="285">
        <v>389</v>
      </c>
      <c r="BL34" s="285">
        <v>406</v>
      </c>
      <c r="BM34" s="285">
        <v>302</v>
      </c>
      <c r="BN34" s="285">
        <v>321</v>
      </c>
      <c r="BO34" s="285">
        <v>376</v>
      </c>
      <c r="BP34" s="285">
        <v>290</v>
      </c>
      <c r="BQ34" s="285">
        <v>255</v>
      </c>
      <c r="BR34" s="285">
        <v>285</v>
      </c>
      <c r="BS34" s="285">
        <v>221</v>
      </c>
      <c r="BT34" s="285">
        <v>212</v>
      </c>
      <c r="BU34" s="285">
        <v>223</v>
      </c>
      <c r="BV34" s="285">
        <v>202</v>
      </c>
      <c r="BW34" s="285">
        <v>211</v>
      </c>
      <c r="BX34" s="285">
        <v>130</v>
      </c>
      <c r="BY34" s="285">
        <v>132</v>
      </c>
      <c r="BZ34" s="285">
        <v>209</v>
      </c>
      <c r="CA34" s="285">
        <v>278</v>
      </c>
      <c r="CB34" s="285">
        <v>266</v>
      </c>
      <c r="CC34" s="285">
        <v>155</v>
      </c>
      <c r="CD34" s="285">
        <v>282</v>
      </c>
      <c r="CE34" s="285">
        <v>226</v>
      </c>
      <c r="CF34" s="285">
        <v>377</v>
      </c>
      <c r="CG34" s="285">
        <v>314</v>
      </c>
      <c r="CH34" s="285">
        <v>261</v>
      </c>
      <c r="CI34" s="285">
        <v>309</v>
      </c>
      <c r="CJ34" s="285">
        <v>331</v>
      </c>
      <c r="CK34" s="285">
        <v>259</v>
      </c>
      <c r="CL34" s="285">
        <v>275</v>
      </c>
      <c r="CM34" s="285">
        <v>330</v>
      </c>
      <c r="CN34" s="285">
        <v>247</v>
      </c>
      <c r="CO34" s="285">
        <v>247</v>
      </c>
      <c r="CP34" s="285">
        <v>292</v>
      </c>
      <c r="CQ34" s="285">
        <v>258</v>
      </c>
      <c r="CR34" s="285">
        <v>274</v>
      </c>
      <c r="CS34" s="285">
        <v>259</v>
      </c>
      <c r="CT34" s="285">
        <v>107</v>
      </c>
      <c r="CU34" s="285">
        <v>88</v>
      </c>
      <c r="CV34" s="285">
        <v>126</v>
      </c>
      <c r="CW34" s="285">
        <v>107</v>
      </c>
      <c r="CX34" s="285">
        <v>106</v>
      </c>
      <c r="CY34" s="285">
        <v>124</v>
      </c>
      <c r="CZ34" s="285">
        <v>100</v>
      </c>
      <c r="DA34" s="285">
        <v>107</v>
      </c>
      <c r="DB34" s="285">
        <v>123</v>
      </c>
      <c r="DC34" s="285">
        <v>102</v>
      </c>
      <c r="DD34" s="285">
        <v>125</v>
      </c>
      <c r="DE34" s="285">
        <v>157</v>
      </c>
      <c r="DF34" s="285">
        <v>180</v>
      </c>
      <c r="DG34" s="285">
        <v>211</v>
      </c>
      <c r="DH34" s="285">
        <v>280</v>
      </c>
      <c r="DI34" s="285">
        <v>307</v>
      </c>
      <c r="DJ34" s="285">
        <v>308</v>
      </c>
      <c r="DK34" s="285">
        <v>387</v>
      </c>
      <c r="DL34" s="285">
        <v>416</v>
      </c>
      <c r="DM34" s="285">
        <v>459</v>
      </c>
      <c r="DN34" s="285">
        <v>388</v>
      </c>
      <c r="DO34" s="285">
        <v>281</v>
      </c>
      <c r="DP34" s="285">
        <v>274</v>
      </c>
      <c r="DQ34" s="285">
        <v>265</v>
      </c>
      <c r="DR34" s="285">
        <v>221</v>
      </c>
      <c r="DS34" s="285">
        <v>241</v>
      </c>
      <c r="DT34" s="285">
        <v>328</v>
      </c>
      <c r="DU34" s="285">
        <v>323</v>
      </c>
      <c r="DV34" s="285">
        <v>340</v>
      </c>
      <c r="DW34" s="285">
        <v>460</v>
      </c>
      <c r="DX34" s="285">
        <v>414</v>
      </c>
      <c r="DY34" s="285">
        <v>417</v>
      </c>
      <c r="DZ34" s="285">
        <v>452</v>
      </c>
      <c r="EA34" s="285">
        <v>436</v>
      </c>
      <c r="EB34" s="285">
        <v>450</v>
      </c>
      <c r="EC34" s="285">
        <v>471</v>
      </c>
      <c r="ED34" s="285">
        <v>490</v>
      </c>
      <c r="EE34" s="285">
        <v>436</v>
      </c>
      <c r="EF34" s="285">
        <v>474</v>
      </c>
      <c r="EG34" s="285">
        <v>462</v>
      </c>
      <c r="EH34" s="285">
        <v>538</v>
      </c>
      <c r="EI34" s="285">
        <v>483</v>
      </c>
      <c r="EJ34" s="285">
        <v>355</v>
      </c>
      <c r="EK34" s="285">
        <v>208</v>
      </c>
      <c r="EL34" s="285">
        <v>205</v>
      </c>
      <c r="EM34" s="285">
        <v>164</v>
      </c>
      <c r="EN34" s="285">
        <v>151</v>
      </c>
      <c r="EO34" s="285">
        <v>170</v>
      </c>
      <c r="EP34" s="285">
        <v>148</v>
      </c>
      <c r="EQ34" s="285">
        <v>159</v>
      </c>
      <c r="ER34" s="285">
        <v>177</v>
      </c>
      <c r="ES34" s="285">
        <v>168</v>
      </c>
      <c r="ET34" s="285">
        <v>156</v>
      </c>
      <c r="EU34" s="285">
        <v>177</v>
      </c>
      <c r="EV34" s="285">
        <v>152</v>
      </c>
      <c r="EW34" s="285">
        <v>164</v>
      </c>
      <c r="EX34" s="285">
        <v>197</v>
      </c>
      <c r="EY34" s="285">
        <v>185</v>
      </c>
      <c r="EZ34" s="285">
        <v>188</v>
      </c>
      <c r="FA34" s="285">
        <v>176</v>
      </c>
      <c r="FB34" s="285">
        <v>172</v>
      </c>
      <c r="FC34" s="285">
        <v>174</v>
      </c>
      <c r="FD34" s="285">
        <v>175</v>
      </c>
      <c r="FE34" s="285">
        <v>192</v>
      </c>
      <c r="FF34" s="285">
        <v>192</v>
      </c>
      <c r="FG34" s="285">
        <v>173</v>
      </c>
      <c r="FH34" s="285">
        <v>183</v>
      </c>
      <c r="FI34" s="285">
        <v>163</v>
      </c>
      <c r="FJ34" s="285">
        <v>154</v>
      </c>
      <c r="FK34" s="285">
        <v>175</v>
      </c>
      <c r="FL34" s="285">
        <v>189</v>
      </c>
      <c r="FM34" s="285">
        <v>166</v>
      </c>
      <c r="FN34" s="285">
        <v>413</v>
      </c>
      <c r="FO34" s="285">
        <v>433</v>
      </c>
      <c r="FP34" s="285">
        <v>440</v>
      </c>
      <c r="FQ34" s="285">
        <v>360</v>
      </c>
      <c r="FR34" s="285">
        <v>260</v>
      </c>
      <c r="FS34" s="285">
        <v>370</v>
      </c>
      <c r="FT34" s="285">
        <v>409</v>
      </c>
      <c r="FU34" s="285">
        <v>384</v>
      </c>
      <c r="FV34" s="285">
        <v>379</v>
      </c>
      <c r="FW34" s="285">
        <v>398</v>
      </c>
      <c r="FX34" s="285">
        <v>456</v>
      </c>
      <c r="FY34" s="285">
        <v>376</v>
      </c>
      <c r="FZ34" s="285">
        <v>343</v>
      </c>
      <c r="GA34" s="285">
        <v>369</v>
      </c>
      <c r="GB34" s="285">
        <v>420</v>
      </c>
      <c r="GC34" s="285">
        <v>406</v>
      </c>
      <c r="GD34" s="285">
        <v>442</v>
      </c>
      <c r="GE34" s="285">
        <v>446</v>
      </c>
      <c r="GF34" s="285">
        <v>674.1</v>
      </c>
      <c r="GG34" s="285">
        <v>752.2</v>
      </c>
      <c r="GH34" s="285">
        <v>708.4</v>
      </c>
      <c r="GI34" s="285">
        <v>714.3</v>
      </c>
      <c r="GJ34" s="285">
        <v>623.6</v>
      </c>
      <c r="GK34" s="285">
        <v>613.29999999999995</v>
      </c>
      <c r="GL34" s="285">
        <v>636</v>
      </c>
      <c r="GM34" s="285">
        <v>675</v>
      </c>
      <c r="GN34" s="285">
        <v>876.5</v>
      </c>
      <c r="GO34" s="285">
        <v>985.9</v>
      </c>
      <c r="GP34" s="285">
        <v>951.6</v>
      </c>
      <c r="GQ34" s="285">
        <v>907.4</v>
      </c>
      <c r="GR34" s="285">
        <v>1019.7</v>
      </c>
      <c r="GS34" s="285">
        <v>1168.5</v>
      </c>
      <c r="GT34" s="285">
        <v>1257.4000000000001</v>
      </c>
      <c r="GU34" s="285">
        <v>1397.5</v>
      </c>
      <c r="GV34" s="285">
        <v>1561.1</v>
      </c>
      <c r="GW34" s="285">
        <v>1557.9</v>
      </c>
      <c r="GX34" s="285">
        <v>2010</v>
      </c>
      <c r="GY34" s="285">
        <v>2605</v>
      </c>
      <c r="GZ34" s="285">
        <v>3517.1</v>
      </c>
      <c r="HA34" s="285">
        <v>3407.7</v>
      </c>
      <c r="HB34" s="285">
        <v>3672.6</v>
      </c>
      <c r="HC34" s="285">
        <v>3432.9</v>
      </c>
      <c r="HD34" s="285">
        <v>3186.9</v>
      </c>
      <c r="HE34" s="285">
        <v>2702</v>
      </c>
      <c r="HF34" s="285">
        <v>2602.3000000000002</v>
      </c>
      <c r="HG34" s="285">
        <v>3224.3</v>
      </c>
      <c r="HH34" s="285">
        <v>3095.8</v>
      </c>
      <c r="HI34" s="285">
        <v>2744.1</v>
      </c>
      <c r="HJ34" s="285">
        <v>2768.8</v>
      </c>
      <c r="HK34" s="285">
        <v>2868.1</v>
      </c>
      <c r="HL34" s="285">
        <v>3074.6</v>
      </c>
      <c r="HM34" s="285">
        <v>2973.1</v>
      </c>
      <c r="HN34" s="285">
        <v>3267.3</v>
      </c>
      <c r="HO34" s="285">
        <v>3001.4</v>
      </c>
      <c r="HP34" s="286">
        <v>2569.8000000000002</v>
      </c>
      <c r="HQ34" s="286">
        <v>2179.6</v>
      </c>
      <c r="HR34" s="286">
        <v>1554.9</v>
      </c>
      <c r="HS34" s="286">
        <v>1338.9</v>
      </c>
      <c r="HT34" s="286">
        <v>1293</v>
      </c>
      <c r="HU34" s="286">
        <v>999.9</v>
      </c>
      <c r="HV34" s="545">
        <v>892.17</v>
      </c>
      <c r="HW34" s="545">
        <v>873.17999999999984</v>
      </c>
      <c r="HX34" s="545">
        <v>1099.4160000000002</v>
      </c>
      <c r="HY34" s="545">
        <v>1120.6500000000001</v>
      </c>
      <c r="HZ34" s="545">
        <v>1096.3800000000001</v>
      </c>
      <c r="IA34" s="545">
        <v>1023.6959999999999</v>
      </c>
      <c r="IB34" s="545">
        <v>1601.8678</v>
      </c>
      <c r="IC34" s="545">
        <v>1388.4238999999998</v>
      </c>
      <c r="ID34" s="545">
        <v>1239.6780000000003</v>
      </c>
      <c r="IE34" s="545">
        <v>1203.0179999999998</v>
      </c>
      <c r="IF34" s="545">
        <v>954.56400000000008</v>
      </c>
      <c r="IG34" s="285">
        <v>884.55000000000007</v>
      </c>
      <c r="IH34" s="545">
        <v>896.66399999999999</v>
      </c>
      <c r="II34" s="545">
        <v>874.73400000000015</v>
      </c>
      <c r="IJ34" s="545">
        <v>1121.9219999999998</v>
      </c>
      <c r="IK34" s="545">
        <v>1057.5180000000003</v>
      </c>
      <c r="IL34" s="545">
        <v>1020.078</v>
      </c>
      <c r="IM34" s="851">
        <v>1035.2520000000002</v>
      </c>
      <c r="IN34" s="168"/>
    </row>
    <row r="35" spans="1:248">
      <c r="A35" s="81" t="s">
        <v>192</v>
      </c>
      <c r="B35" s="284">
        <v>779</v>
      </c>
      <c r="C35" s="284">
        <v>780</v>
      </c>
      <c r="D35" s="284">
        <v>774</v>
      </c>
      <c r="E35" s="284">
        <v>801</v>
      </c>
      <c r="F35" s="284">
        <v>820</v>
      </c>
      <c r="G35" s="284">
        <v>1046</v>
      </c>
      <c r="H35" s="284">
        <v>869</v>
      </c>
      <c r="I35" s="284">
        <v>827</v>
      </c>
      <c r="J35" s="284">
        <v>611</v>
      </c>
      <c r="K35" s="284">
        <v>817</v>
      </c>
      <c r="L35" s="284">
        <v>846</v>
      </c>
      <c r="M35" s="284">
        <v>1019</v>
      </c>
      <c r="N35" s="284">
        <v>839</v>
      </c>
      <c r="O35" s="284">
        <v>943</v>
      </c>
      <c r="P35" s="284">
        <v>1471</v>
      </c>
      <c r="Q35" s="284">
        <v>1618</v>
      </c>
      <c r="R35" s="284">
        <v>1063</v>
      </c>
      <c r="S35" s="284">
        <v>927</v>
      </c>
      <c r="T35" s="284">
        <v>747</v>
      </c>
      <c r="U35" s="284">
        <v>743</v>
      </c>
      <c r="V35" s="284">
        <v>859</v>
      </c>
      <c r="W35" s="284">
        <v>758</v>
      </c>
      <c r="X35" s="284">
        <v>803</v>
      </c>
      <c r="Y35" s="284">
        <v>790</v>
      </c>
      <c r="Z35" s="284">
        <v>784</v>
      </c>
      <c r="AA35" s="284">
        <v>920</v>
      </c>
      <c r="AB35" s="284">
        <v>1229</v>
      </c>
      <c r="AC35" s="284">
        <v>971</v>
      </c>
      <c r="AD35" s="284">
        <v>957</v>
      </c>
      <c r="AE35" s="284">
        <v>898</v>
      </c>
      <c r="AF35" s="284">
        <v>1048</v>
      </c>
      <c r="AG35" s="284">
        <v>1215</v>
      </c>
      <c r="AH35" s="284">
        <v>999</v>
      </c>
      <c r="AI35" s="284">
        <v>1309</v>
      </c>
      <c r="AJ35" s="284">
        <v>1072</v>
      </c>
      <c r="AK35" s="284">
        <v>963</v>
      </c>
      <c r="AL35" s="284">
        <v>1356</v>
      </c>
      <c r="AM35" s="284">
        <v>1486</v>
      </c>
      <c r="AN35" s="284">
        <v>1431</v>
      </c>
      <c r="AO35" s="284">
        <v>1253</v>
      </c>
      <c r="AP35" s="284">
        <v>1242</v>
      </c>
      <c r="AQ35" s="284">
        <v>849</v>
      </c>
      <c r="AR35" s="284">
        <v>1481</v>
      </c>
      <c r="AS35" s="284">
        <v>1367</v>
      </c>
      <c r="AT35" s="284">
        <v>1102</v>
      </c>
      <c r="AU35" s="284">
        <v>1321</v>
      </c>
      <c r="AV35" s="284">
        <v>1093</v>
      </c>
      <c r="AW35" s="284">
        <v>1120</v>
      </c>
      <c r="AX35" s="284">
        <v>867</v>
      </c>
      <c r="AY35" s="284">
        <v>1022</v>
      </c>
      <c r="AZ35" s="284">
        <v>1095</v>
      </c>
      <c r="BA35" s="284">
        <v>1144</v>
      </c>
      <c r="BB35" s="284">
        <v>1022</v>
      </c>
      <c r="BC35" s="284">
        <v>1078</v>
      </c>
      <c r="BD35" s="284">
        <v>1138</v>
      </c>
      <c r="BE35" s="284">
        <v>1357</v>
      </c>
      <c r="BF35" s="284">
        <v>972</v>
      </c>
      <c r="BG35" s="284">
        <v>1072</v>
      </c>
      <c r="BH35" s="284">
        <v>1194</v>
      </c>
      <c r="BI35" s="284">
        <v>1102</v>
      </c>
      <c r="BJ35" s="284">
        <v>1251</v>
      </c>
      <c r="BK35" s="284">
        <v>1302</v>
      </c>
      <c r="BL35" s="284">
        <v>1286</v>
      </c>
      <c r="BM35" s="284">
        <v>1531</v>
      </c>
      <c r="BN35" s="284">
        <v>1455</v>
      </c>
      <c r="BO35" s="284">
        <v>1163</v>
      </c>
      <c r="BP35" s="284">
        <v>1123</v>
      </c>
      <c r="BQ35" s="284">
        <v>1238</v>
      </c>
      <c r="BR35" s="284">
        <v>1085</v>
      </c>
      <c r="BS35" s="284">
        <v>1027</v>
      </c>
      <c r="BT35" s="284">
        <v>1079</v>
      </c>
      <c r="BU35" s="284">
        <v>946</v>
      </c>
      <c r="BV35" s="284">
        <v>1331</v>
      </c>
      <c r="BW35" s="284">
        <v>1103</v>
      </c>
      <c r="BX35" s="284">
        <v>1221</v>
      </c>
      <c r="BY35" s="284">
        <v>1146</v>
      </c>
      <c r="BZ35" s="284">
        <v>1080</v>
      </c>
      <c r="CA35" s="284">
        <v>1404</v>
      </c>
      <c r="CB35" s="284">
        <v>1261</v>
      </c>
      <c r="CC35" s="284">
        <v>840</v>
      </c>
      <c r="CD35" s="284">
        <v>962</v>
      </c>
      <c r="CE35" s="284">
        <v>1029</v>
      </c>
      <c r="CF35" s="284">
        <v>1227</v>
      </c>
      <c r="CG35" s="284">
        <v>1005</v>
      </c>
      <c r="CH35" s="284">
        <v>1224</v>
      </c>
      <c r="CI35" s="284">
        <v>1486</v>
      </c>
      <c r="CJ35" s="284">
        <v>1088</v>
      </c>
      <c r="CK35" s="284">
        <v>1127</v>
      </c>
      <c r="CL35" s="284">
        <v>1040</v>
      </c>
      <c r="CM35" s="284">
        <v>967</v>
      </c>
      <c r="CN35" s="284">
        <v>1063</v>
      </c>
      <c r="CO35" s="284">
        <v>854</v>
      </c>
      <c r="CP35" s="284">
        <v>882</v>
      </c>
      <c r="CQ35" s="284">
        <v>1024</v>
      </c>
      <c r="CR35" s="284">
        <v>1094</v>
      </c>
      <c r="CS35" s="284">
        <v>1204</v>
      </c>
      <c r="CT35" s="284">
        <v>1000</v>
      </c>
      <c r="CU35" s="284">
        <v>944</v>
      </c>
      <c r="CV35" s="284">
        <v>1064</v>
      </c>
      <c r="CW35" s="284">
        <v>1143</v>
      </c>
      <c r="CX35" s="284">
        <v>997</v>
      </c>
      <c r="CY35" s="284">
        <v>897</v>
      </c>
      <c r="CZ35" s="284">
        <v>892</v>
      </c>
      <c r="DA35" s="284">
        <v>657</v>
      </c>
      <c r="DB35" s="284">
        <v>669</v>
      </c>
      <c r="DC35" s="284">
        <v>774</v>
      </c>
      <c r="DD35" s="284">
        <v>637</v>
      </c>
      <c r="DE35" s="284">
        <v>704</v>
      </c>
      <c r="DF35" s="284">
        <v>673</v>
      </c>
      <c r="DG35" s="284">
        <v>685</v>
      </c>
      <c r="DH35" s="284">
        <v>752</v>
      </c>
      <c r="DI35" s="284">
        <v>668</v>
      </c>
      <c r="DJ35" s="284">
        <v>675</v>
      </c>
      <c r="DK35" s="284">
        <v>603</v>
      </c>
      <c r="DL35" s="284">
        <v>475</v>
      </c>
      <c r="DM35" s="284">
        <v>430</v>
      </c>
      <c r="DN35" s="284">
        <v>432</v>
      </c>
      <c r="DO35" s="284">
        <v>494</v>
      </c>
      <c r="DP35" s="284">
        <v>957</v>
      </c>
      <c r="DQ35" s="284">
        <v>464</v>
      </c>
      <c r="DR35" s="284">
        <v>490</v>
      </c>
      <c r="DS35" s="284">
        <v>588</v>
      </c>
      <c r="DT35" s="284">
        <v>650</v>
      </c>
      <c r="DU35" s="284">
        <v>598</v>
      </c>
      <c r="DV35" s="284">
        <v>826</v>
      </c>
      <c r="DW35" s="284">
        <v>655</v>
      </c>
      <c r="DX35" s="284">
        <v>701</v>
      </c>
      <c r="DY35" s="284">
        <v>784</v>
      </c>
      <c r="DZ35" s="284">
        <v>939</v>
      </c>
      <c r="EA35" s="284">
        <v>940</v>
      </c>
      <c r="EB35" s="284">
        <v>965</v>
      </c>
      <c r="EC35" s="284">
        <v>847</v>
      </c>
      <c r="ED35" s="284">
        <v>860</v>
      </c>
      <c r="EE35" s="284">
        <v>1439</v>
      </c>
      <c r="EF35" s="284">
        <v>1298</v>
      </c>
      <c r="EG35" s="284">
        <v>909</v>
      </c>
      <c r="EH35" s="284">
        <v>1288</v>
      </c>
      <c r="EI35" s="284">
        <v>908</v>
      </c>
      <c r="EJ35" s="284">
        <v>861</v>
      </c>
      <c r="EK35" s="284">
        <v>932</v>
      </c>
      <c r="EL35" s="284">
        <v>729</v>
      </c>
      <c r="EM35" s="284">
        <v>865</v>
      </c>
      <c r="EN35" s="284">
        <v>811</v>
      </c>
      <c r="EO35" s="284">
        <v>772</v>
      </c>
      <c r="EP35" s="284">
        <v>812</v>
      </c>
      <c r="EQ35" s="284">
        <v>847</v>
      </c>
      <c r="ER35" s="284">
        <v>788</v>
      </c>
      <c r="ES35" s="284">
        <v>814</v>
      </c>
      <c r="ET35" s="284">
        <v>694</v>
      </c>
      <c r="EU35" s="284">
        <v>533</v>
      </c>
      <c r="EV35" s="284">
        <v>576</v>
      </c>
      <c r="EW35" s="284">
        <v>519</v>
      </c>
      <c r="EX35" s="284">
        <v>551</v>
      </c>
      <c r="EY35" s="284">
        <v>566</v>
      </c>
      <c r="EZ35" s="284">
        <v>733</v>
      </c>
      <c r="FA35" s="284">
        <v>656</v>
      </c>
      <c r="FB35" s="284">
        <v>673</v>
      </c>
      <c r="FC35" s="284">
        <v>747</v>
      </c>
      <c r="FD35" s="284">
        <v>1234</v>
      </c>
      <c r="FE35" s="284">
        <v>672</v>
      </c>
      <c r="FF35" s="284">
        <v>610</v>
      </c>
      <c r="FG35" s="284">
        <v>420</v>
      </c>
      <c r="FH35" s="284">
        <v>473</v>
      </c>
      <c r="FI35" s="284">
        <v>511</v>
      </c>
      <c r="FJ35" s="284">
        <v>514</v>
      </c>
      <c r="FK35" s="284">
        <v>572</v>
      </c>
      <c r="FL35" s="284">
        <v>588</v>
      </c>
      <c r="FM35" s="284">
        <v>565</v>
      </c>
      <c r="FN35" s="284">
        <v>690</v>
      </c>
      <c r="FO35" s="284">
        <v>643</v>
      </c>
      <c r="FP35" s="284">
        <v>778</v>
      </c>
      <c r="FQ35" s="284">
        <v>682</v>
      </c>
      <c r="FR35" s="284">
        <v>726</v>
      </c>
      <c r="FS35" s="284">
        <v>691</v>
      </c>
      <c r="FT35" s="284">
        <v>713</v>
      </c>
      <c r="FU35" s="284">
        <v>697</v>
      </c>
      <c r="FV35" s="284">
        <v>712</v>
      </c>
      <c r="FW35" s="284">
        <v>671</v>
      </c>
      <c r="FX35" s="284">
        <v>648</v>
      </c>
      <c r="FY35" s="284">
        <v>475</v>
      </c>
      <c r="FZ35" s="284">
        <v>461</v>
      </c>
      <c r="GA35" s="284">
        <v>661</v>
      </c>
      <c r="GB35" s="284">
        <v>672</v>
      </c>
      <c r="GC35" s="284">
        <v>542</v>
      </c>
      <c r="GD35" s="284">
        <v>536</v>
      </c>
      <c r="GE35" s="284">
        <v>548</v>
      </c>
      <c r="GF35" s="284">
        <v>518.70000000000005</v>
      </c>
      <c r="GG35" s="284">
        <v>459.6</v>
      </c>
      <c r="GH35" s="284">
        <v>472.7</v>
      </c>
      <c r="GI35" s="284">
        <v>485.3</v>
      </c>
      <c r="GJ35" s="284">
        <v>545.6</v>
      </c>
      <c r="GK35" s="284">
        <v>463.2</v>
      </c>
      <c r="GL35" s="284">
        <v>519.5</v>
      </c>
      <c r="GM35" s="284">
        <v>565.1</v>
      </c>
      <c r="GN35" s="284">
        <v>674.2</v>
      </c>
      <c r="GO35" s="284">
        <v>556.29999999999995</v>
      </c>
      <c r="GP35" s="284">
        <v>564.1</v>
      </c>
      <c r="GQ35" s="284">
        <v>489.6</v>
      </c>
      <c r="GR35" s="284">
        <v>470.4</v>
      </c>
      <c r="GS35" s="284">
        <v>484.2</v>
      </c>
      <c r="GT35" s="284">
        <v>523.29999999999995</v>
      </c>
      <c r="GU35" s="284">
        <v>526.20000000000005</v>
      </c>
      <c r="GV35" s="284">
        <v>569.4</v>
      </c>
      <c r="GW35" s="284">
        <v>490.6</v>
      </c>
      <c r="GX35" s="284">
        <v>576.1</v>
      </c>
      <c r="GY35" s="284">
        <v>564.5</v>
      </c>
      <c r="GZ35" s="284">
        <v>863.2</v>
      </c>
      <c r="HA35" s="284">
        <v>964.8</v>
      </c>
      <c r="HB35" s="284">
        <v>937.9</v>
      </c>
      <c r="HC35" s="284">
        <v>975.2</v>
      </c>
      <c r="HD35" s="284">
        <v>993.2</v>
      </c>
      <c r="HE35" s="284">
        <v>987.6</v>
      </c>
      <c r="HF35" s="284">
        <v>1004.7</v>
      </c>
      <c r="HG35" s="284">
        <v>1263.5999999999999</v>
      </c>
      <c r="HH35" s="284">
        <v>1295.4000000000001</v>
      </c>
      <c r="HI35" s="284">
        <v>1090.2</v>
      </c>
      <c r="HJ35" s="284">
        <v>1210.5999999999999</v>
      </c>
      <c r="HK35" s="284">
        <v>1443.5</v>
      </c>
      <c r="HL35" s="284">
        <v>1380.5</v>
      </c>
      <c r="HM35" s="284">
        <v>975.7</v>
      </c>
      <c r="HN35" s="284">
        <v>1044.3</v>
      </c>
      <c r="HO35" s="284">
        <v>864.8</v>
      </c>
      <c r="HP35" s="284">
        <v>947.4</v>
      </c>
      <c r="HQ35" s="284">
        <v>878.8</v>
      </c>
      <c r="HR35" s="284">
        <v>864.3</v>
      </c>
      <c r="HS35" s="284">
        <v>1005.7</v>
      </c>
      <c r="HT35" s="284">
        <v>1072.0999999999999</v>
      </c>
      <c r="HU35" s="284">
        <v>940.2</v>
      </c>
      <c r="HV35" s="284">
        <v>1029.8219000000001</v>
      </c>
      <c r="HW35" s="284">
        <v>1121.4838999999999</v>
      </c>
      <c r="HX35" s="284">
        <v>1202.3518999999999</v>
      </c>
      <c r="HY35" s="284">
        <v>1064.0758999999998</v>
      </c>
      <c r="HZ35" s="284">
        <v>1128.5578999999998</v>
      </c>
      <c r="IA35" s="284">
        <v>1055.6999000000001</v>
      </c>
      <c r="IB35" s="284">
        <v>975.97189999999989</v>
      </c>
      <c r="IC35" s="284">
        <v>1085.8680000000002</v>
      </c>
      <c r="ID35" s="284">
        <v>1218.8099</v>
      </c>
      <c r="IE35" s="284">
        <v>1039.6679000000001</v>
      </c>
      <c r="IF35" s="284">
        <v>855.45600000000002</v>
      </c>
      <c r="IG35" s="284">
        <v>859.76989999999978</v>
      </c>
      <c r="IH35" s="284">
        <v>893.07589999999993</v>
      </c>
      <c r="II35" s="284">
        <v>895.58389999999986</v>
      </c>
      <c r="IJ35" s="284">
        <v>942.0359000000002</v>
      </c>
      <c r="IK35" s="284">
        <v>920.76589999999999</v>
      </c>
      <c r="IL35" s="284">
        <v>883.94989999999996</v>
      </c>
      <c r="IM35" s="850">
        <v>987.41989999999998</v>
      </c>
      <c r="IN35" s="168"/>
    </row>
    <row r="36" spans="1:248">
      <c r="A36" s="81" t="s">
        <v>144</v>
      </c>
      <c r="B36" s="285">
        <v>2817</v>
      </c>
      <c r="C36" s="285">
        <v>2842</v>
      </c>
      <c r="D36" s="285">
        <v>4239</v>
      </c>
      <c r="E36" s="285">
        <v>2938</v>
      </c>
      <c r="F36" s="285">
        <v>3163</v>
      </c>
      <c r="G36" s="285">
        <v>2971</v>
      </c>
      <c r="H36" s="285">
        <v>3222</v>
      </c>
      <c r="I36" s="285">
        <v>3449</v>
      </c>
      <c r="J36" s="285">
        <v>3543</v>
      </c>
      <c r="K36" s="285">
        <v>3577</v>
      </c>
      <c r="L36" s="285">
        <v>3313</v>
      </c>
      <c r="M36" s="285">
        <v>2803</v>
      </c>
      <c r="N36" s="285">
        <v>2775</v>
      </c>
      <c r="O36" s="285">
        <v>2766</v>
      </c>
      <c r="P36" s="285">
        <v>3051</v>
      </c>
      <c r="Q36" s="285">
        <v>3454</v>
      </c>
      <c r="R36" s="285">
        <v>3357</v>
      </c>
      <c r="S36" s="285">
        <v>2806</v>
      </c>
      <c r="T36" s="285">
        <v>3381</v>
      </c>
      <c r="U36" s="285">
        <v>3519</v>
      </c>
      <c r="V36" s="285">
        <v>3284</v>
      </c>
      <c r="W36" s="285">
        <v>3230</v>
      </c>
      <c r="X36" s="285">
        <v>3494</v>
      </c>
      <c r="Y36" s="285">
        <v>3230</v>
      </c>
      <c r="Z36" s="285">
        <v>3189</v>
      </c>
      <c r="AA36" s="285">
        <v>3264</v>
      </c>
      <c r="AB36" s="285">
        <v>3602</v>
      </c>
      <c r="AC36" s="285">
        <v>3789</v>
      </c>
      <c r="AD36" s="285">
        <v>4388</v>
      </c>
      <c r="AE36" s="285">
        <v>3649</v>
      </c>
      <c r="AF36" s="285">
        <v>3554</v>
      </c>
      <c r="AG36" s="285">
        <v>3576</v>
      </c>
      <c r="AH36" s="285">
        <v>3463</v>
      </c>
      <c r="AI36" s="285">
        <v>3356</v>
      </c>
      <c r="AJ36" s="285">
        <v>3321</v>
      </c>
      <c r="AK36" s="285">
        <v>3096</v>
      </c>
      <c r="AL36" s="285">
        <v>3169</v>
      </c>
      <c r="AM36" s="285">
        <v>3351</v>
      </c>
      <c r="AN36" s="285">
        <v>4309</v>
      </c>
      <c r="AO36" s="285">
        <v>3969</v>
      </c>
      <c r="AP36" s="285">
        <v>4209</v>
      </c>
      <c r="AQ36" s="285">
        <v>4573</v>
      </c>
      <c r="AR36" s="285">
        <v>4297</v>
      </c>
      <c r="AS36" s="285">
        <v>4377</v>
      </c>
      <c r="AT36" s="285">
        <v>4502</v>
      </c>
      <c r="AU36" s="285">
        <v>4744</v>
      </c>
      <c r="AV36" s="285">
        <v>4826</v>
      </c>
      <c r="AW36" s="285">
        <v>4563</v>
      </c>
      <c r="AX36" s="285">
        <v>4772</v>
      </c>
      <c r="AY36" s="285">
        <v>4824</v>
      </c>
      <c r="AZ36" s="285">
        <v>5383</v>
      </c>
      <c r="BA36" s="285">
        <v>5602</v>
      </c>
      <c r="BB36" s="285">
        <v>5714</v>
      </c>
      <c r="BC36" s="285">
        <v>5363</v>
      </c>
      <c r="BD36" s="285">
        <v>6200</v>
      </c>
      <c r="BE36" s="285">
        <v>5558</v>
      </c>
      <c r="BF36" s="285">
        <v>5291</v>
      </c>
      <c r="BG36" s="285">
        <v>5561</v>
      </c>
      <c r="BH36" s="285">
        <v>5767</v>
      </c>
      <c r="BI36" s="285">
        <v>5088</v>
      </c>
      <c r="BJ36" s="285">
        <v>5449</v>
      </c>
      <c r="BK36" s="285">
        <v>5652</v>
      </c>
      <c r="BL36" s="285">
        <v>6726</v>
      </c>
      <c r="BM36" s="285">
        <v>6300</v>
      </c>
      <c r="BN36" s="285">
        <v>7108</v>
      </c>
      <c r="BO36" s="285">
        <v>7733</v>
      </c>
      <c r="BP36" s="285">
        <v>7307</v>
      </c>
      <c r="BQ36" s="285">
        <v>8021</v>
      </c>
      <c r="BR36" s="285">
        <v>8277</v>
      </c>
      <c r="BS36" s="285">
        <v>7901</v>
      </c>
      <c r="BT36" s="285">
        <v>8158</v>
      </c>
      <c r="BU36" s="285">
        <v>8067</v>
      </c>
      <c r="BV36" s="285">
        <v>7166</v>
      </c>
      <c r="BW36" s="285">
        <v>8126</v>
      </c>
      <c r="BX36" s="285">
        <v>9959</v>
      </c>
      <c r="BY36" s="285">
        <v>8458</v>
      </c>
      <c r="BZ36" s="285">
        <v>8872</v>
      </c>
      <c r="CA36" s="285">
        <v>8830</v>
      </c>
      <c r="CB36" s="285">
        <v>8395</v>
      </c>
      <c r="CC36" s="285">
        <v>10048</v>
      </c>
      <c r="CD36" s="285">
        <v>9985</v>
      </c>
      <c r="CE36" s="285">
        <v>8034</v>
      </c>
      <c r="CF36" s="285">
        <v>8184</v>
      </c>
      <c r="CG36" s="285">
        <v>6610</v>
      </c>
      <c r="CH36" s="285">
        <v>6662</v>
      </c>
      <c r="CI36" s="285">
        <v>7000</v>
      </c>
      <c r="CJ36" s="285">
        <v>7341</v>
      </c>
      <c r="CK36" s="285">
        <v>7494</v>
      </c>
      <c r="CL36" s="285">
        <v>7836</v>
      </c>
      <c r="CM36" s="285">
        <v>7948</v>
      </c>
      <c r="CN36" s="285">
        <v>9299</v>
      </c>
      <c r="CO36" s="285">
        <v>10328</v>
      </c>
      <c r="CP36" s="285">
        <v>8376</v>
      </c>
      <c r="CQ36" s="285">
        <v>7824</v>
      </c>
      <c r="CR36" s="285">
        <v>6494</v>
      </c>
      <c r="CS36" s="285">
        <v>5587</v>
      </c>
      <c r="CT36" s="285">
        <v>4511</v>
      </c>
      <c r="CU36" s="285">
        <v>3774</v>
      </c>
      <c r="CV36" s="285">
        <v>3889</v>
      </c>
      <c r="CW36" s="285">
        <v>3454</v>
      </c>
      <c r="CX36" s="285">
        <v>3408</v>
      </c>
      <c r="CY36" s="285">
        <v>3391</v>
      </c>
      <c r="CZ36" s="285">
        <v>3033</v>
      </c>
      <c r="DA36" s="285">
        <v>3833</v>
      </c>
      <c r="DB36" s="285">
        <v>2835</v>
      </c>
      <c r="DC36" s="285">
        <v>3177</v>
      </c>
      <c r="DD36" s="285">
        <v>2959</v>
      </c>
      <c r="DE36" s="285">
        <v>2897</v>
      </c>
      <c r="DF36" s="285">
        <v>3027</v>
      </c>
      <c r="DG36" s="285">
        <v>3495</v>
      </c>
      <c r="DH36" s="285">
        <v>3623</v>
      </c>
      <c r="DI36" s="285">
        <v>3448</v>
      </c>
      <c r="DJ36" s="285">
        <v>3912</v>
      </c>
      <c r="DK36" s="285">
        <v>4241</v>
      </c>
      <c r="DL36" s="285">
        <v>4216</v>
      </c>
      <c r="DM36" s="285">
        <v>4445</v>
      </c>
      <c r="DN36" s="285">
        <v>4571</v>
      </c>
      <c r="DO36" s="285">
        <v>5495</v>
      </c>
      <c r="DP36" s="285">
        <v>5143</v>
      </c>
      <c r="DQ36" s="285">
        <v>4891</v>
      </c>
      <c r="DR36" s="285">
        <v>4629</v>
      </c>
      <c r="DS36" s="285">
        <v>5108</v>
      </c>
      <c r="DT36" s="285">
        <v>5406</v>
      </c>
      <c r="DU36" s="285">
        <v>5241</v>
      </c>
      <c r="DV36" s="285">
        <v>5760</v>
      </c>
      <c r="DW36" s="285">
        <v>5576</v>
      </c>
      <c r="DX36" s="285">
        <v>5251</v>
      </c>
      <c r="DY36" s="285">
        <v>5554</v>
      </c>
      <c r="DZ36" s="285">
        <v>4853</v>
      </c>
      <c r="EA36" s="285">
        <v>5104</v>
      </c>
      <c r="EB36" s="285">
        <v>4888</v>
      </c>
      <c r="EC36" s="285">
        <v>4011</v>
      </c>
      <c r="ED36" s="285">
        <v>4012</v>
      </c>
      <c r="EE36" s="285">
        <v>4338</v>
      </c>
      <c r="EF36" s="285">
        <v>4049</v>
      </c>
      <c r="EG36" s="285">
        <v>3651</v>
      </c>
      <c r="EH36" s="285">
        <v>3849</v>
      </c>
      <c r="EI36" s="285">
        <v>3843</v>
      </c>
      <c r="EJ36" s="285">
        <v>3799</v>
      </c>
      <c r="EK36" s="285">
        <v>3806</v>
      </c>
      <c r="EL36" s="285">
        <v>3405</v>
      </c>
      <c r="EM36" s="285">
        <v>4614</v>
      </c>
      <c r="EN36" s="285">
        <v>3785</v>
      </c>
      <c r="EO36" s="285">
        <v>2813</v>
      </c>
      <c r="EP36" s="285">
        <v>2852</v>
      </c>
      <c r="EQ36" s="285">
        <v>2803</v>
      </c>
      <c r="ER36" s="285">
        <v>3003</v>
      </c>
      <c r="ES36" s="285">
        <v>3031</v>
      </c>
      <c r="ET36" s="285">
        <v>2766</v>
      </c>
      <c r="EU36" s="285">
        <v>2786</v>
      </c>
      <c r="EV36" s="285">
        <v>2730</v>
      </c>
      <c r="EW36" s="285">
        <v>2632</v>
      </c>
      <c r="EX36" s="285">
        <v>2528</v>
      </c>
      <c r="EY36" s="285">
        <v>3004</v>
      </c>
      <c r="EZ36" s="285">
        <v>2655</v>
      </c>
      <c r="FA36" s="285">
        <v>2120</v>
      </c>
      <c r="FB36" s="285">
        <v>2235</v>
      </c>
      <c r="FC36" s="285">
        <v>2231</v>
      </c>
      <c r="FD36" s="285">
        <v>2483</v>
      </c>
      <c r="FE36" s="285">
        <v>2081</v>
      </c>
      <c r="FF36" s="285">
        <v>2760</v>
      </c>
      <c r="FG36" s="285">
        <v>2379</v>
      </c>
      <c r="FH36" s="285">
        <v>2612</v>
      </c>
      <c r="FI36" s="285">
        <v>2512</v>
      </c>
      <c r="FJ36" s="285">
        <v>2324</v>
      </c>
      <c r="FK36" s="285">
        <v>2584</v>
      </c>
      <c r="FL36" s="285">
        <v>2637</v>
      </c>
      <c r="FM36" s="285">
        <v>2227</v>
      </c>
      <c r="FN36" s="285">
        <v>2285</v>
      </c>
      <c r="FO36" s="285">
        <v>2492</v>
      </c>
      <c r="FP36" s="285">
        <v>2816</v>
      </c>
      <c r="FQ36" s="285">
        <v>2581</v>
      </c>
      <c r="FR36" s="285">
        <v>2865</v>
      </c>
      <c r="FS36" s="285">
        <v>2939</v>
      </c>
      <c r="FT36" s="285">
        <v>2851</v>
      </c>
      <c r="FU36" s="285">
        <v>2826</v>
      </c>
      <c r="FV36" s="285">
        <v>2935</v>
      </c>
      <c r="FW36" s="285">
        <v>4091</v>
      </c>
      <c r="FX36" s="285">
        <v>2808</v>
      </c>
      <c r="FY36" s="285">
        <v>2476</v>
      </c>
      <c r="FZ36" s="285">
        <v>2520</v>
      </c>
      <c r="GA36" s="285">
        <v>2573</v>
      </c>
      <c r="GB36" s="285">
        <v>2822</v>
      </c>
      <c r="GC36" s="285">
        <v>2626</v>
      </c>
      <c r="GD36" s="285">
        <v>3009</v>
      </c>
      <c r="GE36" s="285">
        <v>2853</v>
      </c>
      <c r="GF36" s="285">
        <v>3171.5</v>
      </c>
      <c r="GG36" s="285">
        <v>2969.8</v>
      </c>
      <c r="GH36" s="285">
        <v>3012.2</v>
      </c>
      <c r="GI36" s="285">
        <v>3249.7</v>
      </c>
      <c r="GJ36" s="285">
        <v>3258.6</v>
      </c>
      <c r="GK36" s="285">
        <v>2971.2</v>
      </c>
      <c r="GL36" s="285">
        <v>3112.8</v>
      </c>
      <c r="GM36" s="285">
        <v>3117.9</v>
      </c>
      <c r="GN36" s="285">
        <v>4571.2</v>
      </c>
      <c r="GO36" s="285">
        <v>3362.5</v>
      </c>
      <c r="GP36" s="285">
        <v>3285.5</v>
      </c>
      <c r="GQ36" s="285">
        <v>3314.1</v>
      </c>
      <c r="GR36" s="285">
        <v>3536.7</v>
      </c>
      <c r="GS36" s="285">
        <v>3378.5</v>
      </c>
      <c r="GT36" s="285">
        <v>3109.4</v>
      </c>
      <c r="GU36" s="285">
        <v>3434.3</v>
      </c>
      <c r="GV36" s="285">
        <v>3579</v>
      </c>
      <c r="GW36" s="285">
        <v>2853.5</v>
      </c>
      <c r="GX36" s="285">
        <v>2894.7</v>
      </c>
      <c r="GY36" s="285">
        <v>2796.8</v>
      </c>
      <c r="GZ36" s="285">
        <v>3169.1</v>
      </c>
      <c r="HA36" s="285">
        <v>2958</v>
      </c>
      <c r="HB36" s="285">
        <v>3566.7</v>
      </c>
      <c r="HC36" s="285">
        <v>3079.3</v>
      </c>
      <c r="HD36" s="285">
        <v>3420.6</v>
      </c>
      <c r="HE36" s="285">
        <v>3536.4</v>
      </c>
      <c r="HF36" s="285">
        <v>3463.1</v>
      </c>
      <c r="HG36" s="285">
        <v>4187</v>
      </c>
      <c r="HH36" s="285">
        <v>3841.4</v>
      </c>
      <c r="HI36" s="285">
        <v>3156.3</v>
      </c>
      <c r="HJ36" s="285">
        <v>3410.7</v>
      </c>
      <c r="HK36" s="285">
        <v>3793</v>
      </c>
      <c r="HL36" s="285">
        <v>3962.1</v>
      </c>
      <c r="HM36" s="285">
        <v>3670.3</v>
      </c>
      <c r="HN36" s="285">
        <v>4075.9</v>
      </c>
      <c r="HO36" s="285">
        <v>3795.9</v>
      </c>
      <c r="HP36" s="286">
        <v>4083.1</v>
      </c>
      <c r="HQ36" s="286">
        <v>3902.8</v>
      </c>
      <c r="HR36" s="286">
        <v>4100.1000000000004</v>
      </c>
      <c r="HS36" s="286">
        <v>5455.7</v>
      </c>
      <c r="HT36" s="286">
        <v>6301.6</v>
      </c>
      <c r="HU36" s="286">
        <v>4297.6000000000004</v>
      </c>
      <c r="HV36" s="545">
        <v>4632.2811000000011</v>
      </c>
      <c r="HW36" s="545">
        <v>4117.3133000000007</v>
      </c>
      <c r="HX36" s="545">
        <v>4276.3972999999996</v>
      </c>
      <c r="HY36" s="545">
        <v>3448.2055999999998</v>
      </c>
      <c r="HZ36" s="545">
        <v>3479.2314999999994</v>
      </c>
      <c r="IA36" s="545">
        <v>3392.0814</v>
      </c>
      <c r="IB36" s="545">
        <v>5095.3853000000008</v>
      </c>
      <c r="IC36" s="545">
        <v>4961.3813999999993</v>
      </c>
      <c r="ID36" s="545">
        <v>4347.1314999999995</v>
      </c>
      <c r="IE36" s="545">
        <v>4535.8313999999991</v>
      </c>
      <c r="IF36" s="545">
        <v>4290.6776000000009</v>
      </c>
      <c r="IG36" s="285">
        <v>4007.0153999999998</v>
      </c>
      <c r="IH36" s="545">
        <v>3849.2395999999999</v>
      </c>
      <c r="II36" s="545">
        <v>4172.7233999999999</v>
      </c>
      <c r="IJ36" s="545">
        <v>3943.6253999999999</v>
      </c>
      <c r="IK36" s="545">
        <v>3729.1434999999997</v>
      </c>
      <c r="IL36" s="545">
        <v>3858.0952999999995</v>
      </c>
      <c r="IM36" s="851">
        <v>4182.4013999999997</v>
      </c>
      <c r="IN36" s="168"/>
    </row>
    <row r="37" spans="1:248">
      <c r="A37" s="81" t="s">
        <v>147</v>
      </c>
      <c r="B37" s="284">
        <v>154</v>
      </c>
      <c r="C37" s="284">
        <v>126</v>
      </c>
      <c r="D37" s="284">
        <v>160</v>
      </c>
      <c r="E37" s="284">
        <v>145</v>
      </c>
      <c r="F37" s="284">
        <v>200</v>
      </c>
      <c r="G37" s="284">
        <v>166</v>
      </c>
      <c r="H37" s="284">
        <v>165</v>
      </c>
      <c r="I37" s="284">
        <v>168</v>
      </c>
      <c r="J37" s="284">
        <v>153</v>
      </c>
      <c r="K37" s="284">
        <v>215</v>
      </c>
      <c r="L37" s="284">
        <v>198</v>
      </c>
      <c r="M37" s="284">
        <v>161</v>
      </c>
      <c r="N37" s="284">
        <v>187</v>
      </c>
      <c r="O37" s="284">
        <v>183</v>
      </c>
      <c r="P37" s="284">
        <v>158</v>
      </c>
      <c r="Q37" s="284">
        <v>127</v>
      </c>
      <c r="R37" s="284">
        <v>136</v>
      </c>
      <c r="S37" s="284">
        <v>158</v>
      </c>
      <c r="T37" s="284">
        <v>129</v>
      </c>
      <c r="U37" s="284">
        <v>169</v>
      </c>
      <c r="V37" s="284">
        <v>158</v>
      </c>
      <c r="W37" s="284">
        <v>177</v>
      </c>
      <c r="X37" s="284">
        <v>152</v>
      </c>
      <c r="Y37" s="284">
        <v>121</v>
      </c>
      <c r="Z37" s="284">
        <v>150</v>
      </c>
      <c r="AA37" s="284">
        <v>151</v>
      </c>
      <c r="AB37" s="284">
        <v>149</v>
      </c>
      <c r="AC37" s="284">
        <v>158</v>
      </c>
      <c r="AD37" s="284">
        <v>163</v>
      </c>
      <c r="AE37" s="284">
        <v>126</v>
      </c>
      <c r="AF37" s="284">
        <v>164</v>
      </c>
      <c r="AG37" s="284">
        <v>165</v>
      </c>
      <c r="AH37" s="284">
        <v>134</v>
      </c>
      <c r="AI37" s="284">
        <v>166</v>
      </c>
      <c r="AJ37" s="284">
        <v>190</v>
      </c>
      <c r="AK37" s="284">
        <v>152</v>
      </c>
      <c r="AL37" s="284">
        <v>159</v>
      </c>
      <c r="AM37" s="284">
        <v>158</v>
      </c>
      <c r="AN37" s="284">
        <v>142</v>
      </c>
      <c r="AO37" s="284">
        <v>129</v>
      </c>
      <c r="AP37" s="284">
        <v>149</v>
      </c>
      <c r="AQ37" s="284">
        <v>183</v>
      </c>
      <c r="AR37" s="284">
        <v>193</v>
      </c>
      <c r="AS37" s="284">
        <v>168</v>
      </c>
      <c r="AT37" s="284">
        <v>186</v>
      </c>
      <c r="AU37" s="284">
        <v>172</v>
      </c>
      <c r="AV37" s="284">
        <v>175</v>
      </c>
      <c r="AW37" s="284">
        <v>191</v>
      </c>
      <c r="AX37" s="284">
        <v>183</v>
      </c>
      <c r="AY37" s="284">
        <v>328</v>
      </c>
      <c r="AZ37" s="284">
        <v>319</v>
      </c>
      <c r="BA37" s="284">
        <v>238</v>
      </c>
      <c r="BB37" s="284">
        <v>264</v>
      </c>
      <c r="BC37" s="284">
        <v>286</v>
      </c>
      <c r="BD37" s="284">
        <v>265</v>
      </c>
      <c r="BE37" s="284">
        <v>253</v>
      </c>
      <c r="BF37" s="284">
        <v>332</v>
      </c>
      <c r="BG37" s="284">
        <v>250</v>
      </c>
      <c r="BH37" s="284">
        <v>223</v>
      </c>
      <c r="BI37" s="284">
        <v>206</v>
      </c>
      <c r="BJ37" s="284">
        <v>199</v>
      </c>
      <c r="BK37" s="284">
        <v>188</v>
      </c>
      <c r="BL37" s="284">
        <v>246</v>
      </c>
      <c r="BM37" s="284">
        <v>176</v>
      </c>
      <c r="BN37" s="284">
        <v>195</v>
      </c>
      <c r="BO37" s="284">
        <v>215</v>
      </c>
      <c r="BP37" s="284">
        <v>203</v>
      </c>
      <c r="BQ37" s="284">
        <v>208</v>
      </c>
      <c r="BR37" s="284">
        <v>272</v>
      </c>
      <c r="BS37" s="284">
        <v>270</v>
      </c>
      <c r="BT37" s="284">
        <v>260</v>
      </c>
      <c r="BU37" s="284">
        <v>159</v>
      </c>
      <c r="BV37" s="284">
        <v>207</v>
      </c>
      <c r="BW37" s="284">
        <v>239</v>
      </c>
      <c r="BX37" s="284">
        <v>263</v>
      </c>
      <c r="BY37" s="284">
        <v>196</v>
      </c>
      <c r="BZ37" s="284">
        <v>261</v>
      </c>
      <c r="CA37" s="284">
        <v>223</v>
      </c>
      <c r="CB37" s="284">
        <v>229</v>
      </c>
      <c r="CC37" s="284">
        <v>251</v>
      </c>
      <c r="CD37" s="284">
        <v>227</v>
      </c>
      <c r="CE37" s="284">
        <v>283</v>
      </c>
      <c r="CF37" s="284">
        <v>279</v>
      </c>
      <c r="CG37" s="284">
        <v>232</v>
      </c>
      <c r="CH37" s="284">
        <v>219</v>
      </c>
      <c r="CI37" s="284">
        <v>176</v>
      </c>
      <c r="CJ37" s="284">
        <v>171</v>
      </c>
      <c r="CK37" s="284">
        <v>313</v>
      </c>
      <c r="CL37" s="284">
        <v>240</v>
      </c>
      <c r="CM37" s="284">
        <v>272</v>
      </c>
      <c r="CN37" s="284">
        <v>350</v>
      </c>
      <c r="CO37" s="284">
        <v>316</v>
      </c>
      <c r="CP37" s="284">
        <v>320</v>
      </c>
      <c r="CQ37" s="284">
        <v>280</v>
      </c>
      <c r="CR37" s="284">
        <v>187</v>
      </c>
      <c r="CS37" s="284">
        <v>198</v>
      </c>
      <c r="CT37" s="284">
        <v>157</v>
      </c>
      <c r="CU37" s="284">
        <v>169</v>
      </c>
      <c r="CV37" s="284">
        <v>184</v>
      </c>
      <c r="CW37" s="284">
        <v>216</v>
      </c>
      <c r="CX37" s="284">
        <v>328</v>
      </c>
      <c r="CY37" s="284">
        <v>302</v>
      </c>
      <c r="CZ37" s="284">
        <v>376</v>
      </c>
      <c r="DA37" s="284">
        <v>365</v>
      </c>
      <c r="DB37" s="284">
        <v>364</v>
      </c>
      <c r="DC37" s="284">
        <v>372</v>
      </c>
      <c r="DD37" s="284">
        <v>259</v>
      </c>
      <c r="DE37" s="284">
        <v>268</v>
      </c>
      <c r="DF37" s="284">
        <v>224</v>
      </c>
      <c r="DG37" s="284">
        <v>228</v>
      </c>
      <c r="DH37" s="284">
        <v>308</v>
      </c>
      <c r="DI37" s="284">
        <v>286</v>
      </c>
      <c r="DJ37" s="284">
        <v>318</v>
      </c>
      <c r="DK37" s="284">
        <v>320</v>
      </c>
      <c r="DL37" s="284">
        <v>368</v>
      </c>
      <c r="DM37" s="284">
        <v>448</v>
      </c>
      <c r="DN37" s="284">
        <v>328</v>
      </c>
      <c r="DO37" s="284">
        <v>299</v>
      </c>
      <c r="DP37" s="284">
        <v>239</v>
      </c>
      <c r="DQ37" s="284">
        <v>167</v>
      </c>
      <c r="DR37" s="284">
        <v>169</v>
      </c>
      <c r="DS37" s="284">
        <v>170</v>
      </c>
      <c r="DT37" s="284">
        <v>236</v>
      </c>
      <c r="DU37" s="284">
        <v>222</v>
      </c>
      <c r="DV37" s="284">
        <v>275</v>
      </c>
      <c r="DW37" s="284">
        <v>279</v>
      </c>
      <c r="DX37" s="284">
        <v>384</v>
      </c>
      <c r="DY37" s="284">
        <v>564</v>
      </c>
      <c r="DZ37" s="284">
        <v>383</v>
      </c>
      <c r="EA37" s="284">
        <v>351</v>
      </c>
      <c r="EB37" s="284">
        <v>288</v>
      </c>
      <c r="EC37" s="284">
        <v>183</v>
      </c>
      <c r="ED37" s="284">
        <v>240</v>
      </c>
      <c r="EE37" s="284">
        <v>276</v>
      </c>
      <c r="EF37" s="284">
        <v>278</v>
      </c>
      <c r="EG37" s="284">
        <v>219</v>
      </c>
      <c r="EH37" s="284">
        <v>185</v>
      </c>
      <c r="EI37" s="284">
        <v>209</v>
      </c>
      <c r="EJ37" s="284">
        <v>221</v>
      </c>
      <c r="EK37" s="284">
        <v>252</v>
      </c>
      <c r="EL37" s="284">
        <v>337</v>
      </c>
      <c r="EM37" s="284">
        <v>355</v>
      </c>
      <c r="EN37" s="284">
        <v>478</v>
      </c>
      <c r="EO37" s="284">
        <v>378</v>
      </c>
      <c r="EP37" s="284">
        <v>344</v>
      </c>
      <c r="EQ37" s="284">
        <v>348</v>
      </c>
      <c r="ER37" s="284">
        <v>332</v>
      </c>
      <c r="ES37" s="284">
        <v>301</v>
      </c>
      <c r="ET37" s="284">
        <v>375</v>
      </c>
      <c r="EU37" s="284">
        <v>344</v>
      </c>
      <c r="EV37" s="284">
        <v>393</v>
      </c>
      <c r="EW37" s="284">
        <v>579</v>
      </c>
      <c r="EX37" s="284">
        <v>479</v>
      </c>
      <c r="EY37" s="284">
        <v>488</v>
      </c>
      <c r="EZ37" s="284">
        <v>447</v>
      </c>
      <c r="FA37" s="284">
        <v>277</v>
      </c>
      <c r="FB37" s="284">
        <v>230</v>
      </c>
      <c r="FC37" s="284">
        <v>230</v>
      </c>
      <c r="FD37" s="284">
        <v>278</v>
      </c>
      <c r="FE37" s="284">
        <v>233</v>
      </c>
      <c r="FF37" s="284">
        <v>243</v>
      </c>
      <c r="FG37" s="284">
        <v>230</v>
      </c>
      <c r="FH37" s="284">
        <v>204</v>
      </c>
      <c r="FI37" s="284">
        <v>198</v>
      </c>
      <c r="FJ37" s="284">
        <v>140</v>
      </c>
      <c r="FK37" s="284">
        <v>176</v>
      </c>
      <c r="FL37" s="284">
        <v>145</v>
      </c>
      <c r="FM37" s="284">
        <v>106</v>
      </c>
      <c r="FN37" s="284">
        <v>90</v>
      </c>
      <c r="FO37" s="284">
        <v>81</v>
      </c>
      <c r="FP37" s="284">
        <v>102</v>
      </c>
      <c r="FQ37" s="284">
        <v>105</v>
      </c>
      <c r="FR37" s="284">
        <v>93</v>
      </c>
      <c r="FS37" s="284">
        <v>126</v>
      </c>
      <c r="FT37" s="284">
        <v>139</v>
      </c>
      <c r="FU37" s="284">
        <v>177</v>
      </c>
      <c r="FV37" s="284">
        <v>160</v>
      </c>
      <c r="FW37" s="284">
        <v>124</v>
      </c>
      <c r="FX37" s="284">
        <v>129</v>
      </c>
      <c r="FY37" s="284">
        <v>115</v>
      </c>
      <c r="FZ37" s="284">
        <v>74</v>
      </c>
      <c r="GA37" s="284">
        <v>115</v>
      </c>
      <c r="GB37" s="284">
        <v>114</v>
      </c>
      <c r="GC37" s="284">
        <v>89</v>
      </c>
      <c r="GD37" s="284">
        <v>90</v>
      </c>
      <c r="GE37" s="284">
        <v>81</v>
      </c>
      <c r="GF37" s="284">
        <v>110.5</v>
      </c>
      <c r="GG37" s="284">
        <v>142.9</v>
      </c>
      <c r="GH37" s="284">
        <v>110.6</v>
      </c>
      <c r="GI37" s="284">
        <v>179</v>
      </c>
      <c r="GJ37" s="284">
        <v>96.3</v>
      </c>
      <c r="GK37" s="284">
        <v>102.5</v>
      </c>
      <c r="GL37" s="284">
        <v>105.8</v>
      </c>
      <c r="GM37" s="284">
        <v>103.1</v>
      </c>
      <c r="GN37" s="284">
        <v>111.5</v>
      </c>
      <c r="GO37" s="284">
        <v>160.69999999999999</v>
      </c>
      <c r="GP37" s="284">
        <v>204.9</v>
      </c>
      <c r="GQ37" s="284">
        <v>201.6</v>
      </c>
      <c r="GR37" s="284">
        <v>184.9</v>
      </c>
      <c r="GS37" s="284">
        <v>248.6</v>
      </c>
      <c r="GT37" s="284">
        <v>207.5</v>
      </c>
      <c r="GU37" s="284">
        <v>247.5</v>
      </c>
      <c r="GV37" s="284">
        <v>252.1</v>
      </c>
      <c r="GW37" s="284">
        <v>179.2</v>
      </c>
      <c r="GX37" s="284">
        <v>220.6</v>
      </c>
      <c r="GY37" s="284">
        <v>189.8</v>
      </c>
      <c r="GZ37" s="284">
        <v>238.5</v>
      </c>
      <c r="HA37" s="284">
        <v>224</v>
      </c>
      <c r="HB37" s="284">
        <v>254.4</v>
      </c>
      <c r="HC37" s="284">
        <v>320.5</v>
      </c>
      <c r="HD37" s="284">
        <v>269.5</v>
      </c>
      <c r="HE37" s="284">
        <v>308.60000000000002</v>
      </c>
      <c r="HF37" s="284">
        <v>300.3</v>
      </c>
      <c r="HG37" s="284">
        <v>219.6</v>
      </c>
      <c r="HH37" s="284">
        <v>194.6</v>
      </c>
      <c r="HI37" s="284">
        <v>183.5</v>
      </c>
      <c r="HJ37" s="284">
        <v>159.30000000000001</v>
      </c>
      <c r="HK37" s="284">
        <v>164.1</v>
      </c>
      <c r="HL37" s="284">
        <v>148.19999999999999</v>
      </c>
      <c r="HM37" s="284">
        <v>159</v>
      </c>
      <c r="HN37" s="284">
        <v>271.8</v>
      </c>
      <c r="HO37" s="284">
        <v>247</v>
      </c>
      <c r="HP37" s="284">
        <v>259.60000000000002</v>
      </c>
      <c r="HQ37" s="284">
        <v>290.89999999999998</v>
      </c>
      <c r="HR37" s="284">
        <v>336.8</v>
      </c>
      <c r="HS37" s="284">
        <v>242.3</v>
      </c>
      <c r="HT37" s="284">
        <v>225.2</v>
      </c>
      <c r="HU37" s="284">
        <v>195.2</v>
      </c>
      <c r="HV37" s="284">
        <v>190.35</v>
      </c>
      <c r="HW37" s="284">
        <v>219.72000000000003</v>
      </c>
      <c r="HX37" s="284">
        <v>178.33800000000002</v>
      </c>
      <c r="HY37" s="284">
        <v>136.47</v>
      </c>
      <c r="HZ37" s="284">
        <v>159.44400000000002</v>
      </c>
      <c r="IA37" s="284">
        <v>179.64</v>
      </c>
      <c r="IB37" s="284">
        <v>253.584</v>
      </c>
      <c r="IC37" s="284">
        <v>257.91000000000003</v>
      </c>
      <c r="ID37" s="284">
        <v>209.61600000000001</v>
      </c>
      <c r="IE37" s="284">
        <v>222.084</v>
      </c>
      <c r="IF37" s="284">
        <v>268.56600000000003</v>
      </c>
      <c r="IG37" s="284">
        <v>165.69</v>
      </c>
      <c r="IH37" s="284">
        <v>141.95999999999998</v>
      </c>
      <c r="II37" s="284">
        <v>155.64600000000002</v>
      </c>
      <c r="IJ37" s="284">
        <v>194.62799999999999</v>
      </c>
      <c r="IK37" s="284">
        <v>165.096</v>
      </c>
      <c r="IL37" s="284">
        <v>277.81200000000001</v>
      </c>
      <c r="IM37" s="850">
        <v>181.12799999999999</v>
      </c>
      <c r="IN37" s="168"/>
    </row>
    <row r="38" spans="1:248" ht="15.75" thickBot="1">
      <c r="A38" s="82" t="s">
        <v>48</v>
      </c>
      <c r="B38" s="285">
        <v>331</v>
      </c>
      <c r="C38" s="285">
        <v>352</v>
      </c>
      <c r="D38" s="285">
        <v>455</v>
      </c>
      <c r="E38" s="285">
        <v>442</v>
      </c>
      <c r="F38" s="285">
        <v>481</v>
      </c>
      <c r="G38" s="285">
        <v>455</v>
      </c>
      <c r="H38" s="285">
        <v>456</v>
      </c>
      <c r="I38" s="285">
        <v>447</v>
      </c>
      <c r="J38" s="285">
        <v>451</v>
      </c>
      <c r="K38" s="285">
        <v>408</v>
      </c>
      <c r="L38" s="285">
        <v>415</v>
      </c>
      <c r="M38" s="285">
        <v>375</v>
      </c>
      <c r="N38" s="285">
        <v>439</v>
      </c>
      <c r="O38" s="285">
        <v>424</v>
      </c>
      <c r="P38" s="285">
        <v>404</v>
      </c>
      <c r="Q38" s="285">
        <v>366</v>
      </c>
      <c r="R38" s="285">
        <v>352</v>
      </c>
      <c r="S38" s="285">
        <v>393</v>
      </c>
      <c r="T38" s="285">
        <v>413</v>
      </c>
      <c r="U38" s="285">
        <v>378</v>
      </c>
      <c r="V38" s="285">
        <v>367</v>
      </c>
      <c r="W38" s="285">
        <v>439</v>
      </c>
      <c r="X38" s="285">
        <v>399</v>
      </c>
      <c r="Y38" s="285">
        <v>335</v>
      </c>
      <c r="Z38" s="285">
        <v>321</v>
      </c>
      <c r="AA38" s="285">
        <v>293</v>
      </c>
      <c r="AB38" s="285">
        <v>308</v>
      </c>
      <c r="AC38" s="285">
        <v>339</v>
      </c>
      <c r="AD38" s="285">
        <v>402</v>
      </c>
      <c r="AE38" s="285">
        <v>348</v>
      </c>
      <c r="AF38" s="285">
        <v>361</v>
      </c>
      <c r="AG38" s="285">
        <v>380</v>
      </c>
      <c r="AH38" s="285">
        <v>387</v>
      </c>
      <c r="AI38" s="285">
        <v>404</v>
      </c>
      <c r="AJ38" s="285">
        <v>406</v>
      </c>
      <c r="AK38" s="285">
        <v>360</v>
      </c>
      <c r="AL38" s="285">
        <v>366</v>
      </c>
      <c r="AM38" s="285">
        <v>402</v>
      </c>
      <c r="AN38" s="285">
        <v>445</v>
      </c>
      <c r="AO38" s="285">
        <v>387</v>
      </c>
      <c r="AP38" s="285">
        <v>425</v>
      </c>
      <c r="AQ38" s="285">
        <v>505</v>
      </c>
      <c r="AR38" s="285">
        <v>526</v>
      </c>
      <c r="AS38" s="285">
        <v>598</v>
      </c>
      <c r="AT38" s="285">
        <v>622</v>
      </c>
      <c r="AU38" s="285">
        <v>641</v>
      </c>
      <c r="AV38" s="285">
        <v>618</v>
      </c>
      <c r="AW38" s="285">
        <v>553</v>
      </c>
      <c r="AX38" s="285">
        <v>524</v>
      </c>
      <c r="AY38" s="285">
        <v>536</v>
      </c>
      <c r="AZ38" s="285">
        <v>577</v>
      </c>
      <c r="BA38" s="285">
        <v>619</v>
      </c>
      <c r="BB38" s="285">
        <v>738</v>
      </c>
      <c r="BC38" s="285">
        <v>675</v>
      </c>
      <c r="BD38" s="285">
        <v>678</v>
      </c>
      <c r="BE38" s="285">
        <v>715</v>
      </c>
      <c r="BF38" s="285">
        <v>705</v>
      </c>
      <c r="BG38" s="285">
        <v>630</v>
      </c>
      <c r="BH38" s="285">
        <v>718</v>
      </c>
      <c r="BI38" s="285">
        <v>573</v>
      </c>
      <c r="BJ38" s="285">
        <v>468</v>
      </c>
      <c r="BK38" s="285">
        <v>487</v>
      </c>
      <c r="BL38" s="285">
        <v>592</v>
      </c>
      <c r="BM38" s="285">
        <v>525</v>
      </c>
      <c r="BN38" s="285">
        <v>497</v>
      </c>
      <c r="BO38" s="285">
        <v>512</v>
      </c>
      <c r="BP38" s="285">
        <v>507</v>
      </c>
      <c r="BQ38" s="285">
        <v>483</v>
      </c>
      <c r="BR38" s="285">
        <v>478</v>
      </c>
      <c r="BS38" s="285">
        <v>476</v>
      </c>
      <c r="BT38" s="285">
        <v>565</v>
      </c>
      <c r="BU38" s="285">
        <v>428</v>
      </c>
      <c r="BV38" s="285">
        <v>424</v>
      </c>
      <c r="BW38" s="285">
        <v>463</v>
      </c>
      <c r="BX38" s="285">
        <v>471</v>
      </c>
      <c r="BY38" s="285">
        <v>481</v>
      </c>
      <c r="BZ38" s="285">
        <v>570</v>
      </c>
      <c r="CA38" s="285">
        <v>545</v>
      </c>
      <c r="CB38" s="285">
        <v>579</v>
      </c>
      <c r="CC38" s="285">
        <v>572</v>
      </c>
      <c r="CD38" s="285">
        <v>769</v>
      </c>
      <c r="CE38" s="285">
        <v>484</v>
      </c>
      <c r="CF38" s="285">
        <v>630</v>
      </c>
      <c r="CG38" s="285">
        <v>576</v>
      </c>
      <c r="CH38" s="285">
        <v>559</v>
      </c>
      <c r="CI38" s="285">
        <v>581</v>
      </c>
      <c r="CJ38" s="285">
        <v>584</v>
      </c>
      <c r="CK38" s="285">
        <v>575</v>
      </c>
      <c r="CL38" s="285">
        <v>715</v>
      </c>
      <c r="CM38" s="285">
        <v>595</v>
      </c>
      <c r="CN38" s="285">
        <v>615</v>
      </c>
      <c r="CO38" s="285">
        <v>692</v>
      </c>
      <c r="CP38" s="285">
        <v>724</v>
      </c>
      <c r="CQ38" s="285">
        <v>810</v>
      </c>
      <c r="CR38" s="285">
        <v>763</v>
      </c>
      <c r="CS38" s="285">
        <v>872</v>
      </c>
      <c r="CT38" s="285">
        <v>1217</v>
      </c>
      <c r="CU38" s="285">
        <v>1115</v>
      </c>
      <c r="CV38" s="285">
        <v>739</v>
      </c>
      <c r="CW38" s="285">
        <v>659</v>
      </c>
      <c r="CX38" s="285">
        <v>799</v>
      </c>
      <c r="CY38" s="285">
        <v>698</v>
      </c>
      <c r="CZ38" s="285">
        <v>665</v>
      </c>
      <c r="DA38" s="285">
        <v>699</v>
      </c>
      <c r="DB38" s="285">
        <v>687</v>
      </c>
      <c r="DC38" s="285">
        <v>681</v>
      </c>
      <c r="DD38" s="285">
        <v>675</v>
      </c>
      <c r="DE38" s="285">
        <v>641</v>
      </c>
      <c r="DF38" s="285">
        <v>647</v>
      </c>
      <c r="DG38" s="285">
        <v>670</v>
      </c>
      <c r="DH38" s="285">
        <v>775</v>
      </c>
      <c r="DI38" s="285">
        <v>827</v>
      </c>
      <c r="DJ38" s="285">
        <v>950</v>
      </c>
      <c r="DK38" s="285">
        <v>996</v>
      </c>
      <c r="DL38" s="285">
        <v>1081</v>
      </c>
      <c r="DM38" s="285">
        <v>1243</v>
      </c>
      <c r="DN38" s="285">
        <v>1285</v>
      </c>
      <c r="DO38" s="285">
        <v>1455</v>
      </c>
      <c r="DP38" s="285">
        <v>1397</v>
      </c>
      <c r="DQ38" s="285">
        <v>1260</v>
      </c>
      <c r="DR38" s="285">
        <v>1303</v>
      </c>
      <c r="DS38" s="285">
        <v>1360</v>
      </c>
      <c r="DT38" s="285">
        <v>1614</v>
      </c>
      <c r="DU38" s="285">
        <v>1634</v>
      </c>
      <c r="DV38" s="285">
        <v>1801</v>
      </c>
      <c r="DW38" s="285">
        <v>1695</v>
      </c>
      <c r="DX38" s="285">
        <v>1792</v>
      </c>
      <c r="DY38" s="285">
        <v>1897</v>
      </c>
      <c r="DZ38" s="285">
        <v>1634</v>
      </c>
      <c r="EA38" s="285">
        <v>1745</v>
      </c>
      <c r="EB38" s="285">
        <v>1548</v>
      </c>
      <c r="EC38" s="285">
        <v>1254</v>
      </c>
      <c r="ED38" s="285">
        <v>1212</v>
      </c>
      <c r="EE38" s="285">
        <v>1257</v>
      </c>
      <c r="EF38" s="285">
        <v>1391</v>
      </c>
      <c r="EG38" s="285">
        <v>1194</v>
      </c>
      <c r="EH38" s="285">
        <v>1312</v>
      </c>
      <c r="EI38" s="285">
        <v>1140</v>
      </c>
      <c r="EJ38" s="285">
        <v>1127</v>
      </c>
      <c r="EK38" s="285">
        <v>1014</v>
      </c>
      <c r="EL38" s="285">
        <v>955</v>
      </c>
      <c r="EM38" s="285">
        <v>1029</v>
      </c>
      <c r="EN38" s="285">
        <v>938</v>
      </c>
      <c r="EO38" s="285">
        <v>874</v>
      </c>
      <c r="EP38" s="285">
        <v>878</v>
      </c>
      <c r="EQ38" s="285">
        <v>879</v>
      </c>
      <c r="ER38" s="285">
        <v>982</v>
      </c>
      <c r="ES38" s="285">
        <v>939</v>
      </c>
      <c r="ET38" s="285">
        <v>1125</v>
      </c>
      <c r="EU38" s="285">
        <v>983</v>
      </c>
      <c r="EV38" s="285">
        <v>997</v>
      </c>
      <c r="EW38" s="285">
        <v>935</v>
      </c>
      <c r="EX38" s="285">
        <v>929</v>
      </c>
      <c r="EY38" s="285">
        <v>1015</v>
      </c>
      <c r="EZ38" s="285">
        <v>997</v>
      </c>
      <c r="FA38" s="285">
        <v>898</v>
      </c>
      <c r="FB38" s="285">
        <v>912</v>
      </c>
      <c r="FC38" s="285">
        <v>824</v>
      </c>
      <c r="FD38" s="285">
        <v>897</v>
      </c>
      <c r="FE38" s="285">
        <v>794</v>
      </c>
      <c r="FF38" s="285">
        <v>924</v>
      </c>
      <c r="FG38" s="285">
        <v>878</v>
      </c>
      <c r="FH38" s="285">
        <v>885</v>
      </c>
      <c r="FI38" s="285">
        <v>760</v>
      </c>
      <c r="FJ38" s="285">
        <v>800</v>
      </c>
      <c r="FK38" s="285">
        <v>807</v>
      </c>
      <c r="FL38" s="285">
        <v>822</v>
      </c>
      <c r="FM38" s="285">
        <v>767</v>
      </c>
      <c r="FN38" s="285">
        <v>741</v>
      </c>
      <c r="FO38" s="285">
        <v>682</v>
      </c>
      <c r="FP38" s="285">
        <v>668</v>
      </c>
      <c r="FQ38" s="285">
        <v>607</v>
      </c>
      <c r="FR38" s="285">
        <v>547</v>
      </c>
      <c r="FS38" s="285">
        <v>432</v>
      </c>
      <c r="FT38" s="285">
        <v>543</v>
      </c>
      <c r="FU38" s="285">
        <v>710</v>
      </c>
      <c r="FV38" s="285">
        <v>672</v>
      </c>
      <c r="FW38" s="285">
        <v>744</v>
      </c>
      <c r="FX38" s="285">
        <v>761</v>
      </c>
      <c r="FY38" s="285">
        <v>799</v>
      </c>
      <c r="FZ38" s="285">
        <v>714</v>
      </c>
      <c r="GA38" s="285">
        <v>639</v>
      </c>
      <c r="GB38" s="285">
        <v>626</v>
      </c>
      <c r="GC38" s="285">
        <v>557</v>
      </c>
      <c r="GD38" s="285">
        <v>634</v>
      </c>
      <c r="GE38" s="285">
        <v>634</v>
      </c>
      <c r="GF38" s="285">
        <v>619.40000000000009</v>
      </c>
      <c r="GG38" s="285">
        <v>662.40000000000009</v>
      </c>
      <c r="GH38" s="285">
        <v>657.4</v>
      </c>
      <c r="GI38" s="285">
        <v>570.5</v>
      </c>
      <c r="GJ38" s="285">
        <v>580.5</v>
      </c>
      <c r="GK38" s="285">
        <v>573.20000000000005</v>
      </c>
      <c r="GL38" s="285">
        <v>590.70000000000005</v>
      </c>
      <c r="GM38" s="285">
        <v>636.1</v>
      </c>
      <c r="GN38" s="285">
        <v>764</v>
      </c>
      <c r="GO38" s="285">
        <v>731.7</v>
      </c>
      <c r="GP38" s="285">
        <v>759.5</v>
      </c>
      <c r="GQ38" s="285">
        <v>822</v>
      </c>
      <c r="GR38" s="285">
        <v>620.29999999999995</v>
      </c>
      <c r="GS38" s="285">
        <v>776.80000000000007</v>
      </c>
      <c r="GT38" s="285">
        <v>917.79999999999984</v>
      </c>
      <c r="GU38" s="285">
        <v>925.89999999999986</v>
      </c>
      <c r="GV38" s="285">
        <v>937.59999999999991</v>
      </c>
      <c r="GW38" s="285">
        <v>853.1</v>
      </c>
      <c r="GX38" s="285">
        <v>832</v>
      </c>
      <c r="GY38" s="285">
        <v>798</v>
      </c>
      <c r="GZ38" s="285">
        <v>826</v>
      </c>
      <c r="HA38" s="285">
        <v>834.2</v>
      </c>
      <c r="HB38" s="285">
        <v>818.3</v>
      </c>
      <c r="HC38" s="285">
        <v>819.90000000000009</v>
      </c>
      <c r="HD38" s="285">
        <v>988</v>
      </c>
      <c r="HE38" s="285">
        <v>909.5</v>
      </c>
      <c r="HF38" s="285">
        <v>714.40000000000009</v>
      </c>
      <c r="HG38" s="285">
        <v>809.59999999999991</v>
      </c>
      <c r="HH38" s="285">
        <v>825.2</v>
      </c>
      <c r="HI38" s="285">
        <v>748.40000000000009</v>
      </c>
      <c r="HJ38" s="285">
        <v>876.1</v>
      </c>
      <c r="HK38" s="285">
        <v>870.40000000000009</v>
      </c>
      <c r="HL38" s="285">
        <v>778.2</v>
      </c>
      <c r="HM38" s="285">
        <v>842.6</v>
      </c>
      <c r="HN38" s="285">
        <v>898.59999999999991</v>
      </c>
      <c r="HO38" s="285">
        <v>757.39999999999986</v>
      </c>
      <c r="HP38" s="286">
        <v>813.69999999999993</v>
      </c>
      <c r="HQ38" s="286">
        <v>776.9</v>
      </c>
      <c r="HR38" s="286">
        <v>787.8</v>
      </c>
      <c r="HS38" s="286">
        <v>725</v>
      </c>
      <c r="HT38" s="286">
        <v>913.99999999999989</v>
      </c>
      <c r="HU38" s="286">
        <v>982.2</v>
      </c>
      <c r="HV38" s="545">
        <v>892.18800000000044</v>
      </c>
      <c r="HW38" s="545">
        <v>922.25400000000013</v>
      </c>
      <c r="HX38" s="545">
        <v>798.19800000000043</v>
      </c>
      <c r="HY38" s="545">
        <v>790.40999999999974</v>
      </c>
      <c r="HZ38" s="545">
        <v>801.70799999999997</v>
      </c>
      <c r="IA38" s="545">
        <v>844.7639999999999</v>
      </c>
      <c r="IB38" s="545">
        <v>1466.7297999999998</v>
      </c>
      <c r="IC38" s="545">
        <v>1476.1858</v>
      </c>
      <c r="ID38" s="545">
        <v>1404.1677999999999</v>
      </c>
      <c r="IE38" s="545">
        <v>1483.9679000000003</v>
      </c>
      <c r="IF38" s="545">
        <v>1347.1798999999996</v>
      </c>
      <c r="IG38" s="285">
        <v>1474.9017999999994</v>
      </c>
      <c r="IH38" s="545">
        <v>1302.4679000000003</v>
      </c>
      <c r="II38" s="545">
        <v>1204.8538999999996</v>
      </c>
      <c r="IJ38" s="545">
        <v>1148.412</v>
      </c>
      <c r="IK38" s="545">
        <v>1110.0840000000005</v>
      </c>
      <c r="IL38" s="545">
        <v>1221.9118999999996</v>
      </c>
      <c r="IM38" s="851">
        <v>950.70599999999956</v>
      </c>
      <c r="IN38" s="168"/>
    </row>
    <row r="39" spans="1:248" ht="16.5" thickTop="1" thickBot="1">
      <c r="A39" s="50" t="s">
        <v>97</v>
      </c>
      <c r="B39" s="287">
        <v>17463</v>
      </c>
      <c r="C39" s="267">
        <v>17702</v>
      </c>
      <c r="D39" s="267">
        <v>21076</v>
      </c>
      <c r="E39" s="267">
        <v>19150</v>
      </c>
      <c r="F39" s="267">
        <v>19788</v>
      </c>
      <c r="G39" s="267">
        <v>19680</v>
      </c>
      <c r="H39" s="267">
        <v>19424</v>
      </c>
      <c r="I39" s="267">
        <v>20383</v>
      </c>
      <c r="J39" s="267">
        <v>19866</v>
      </c>
      <c r="K39" s="267">
        <v>20546</v>
      </c>
      <c r="L39" s="267">
        <v>20983</v>
      </c>
      <c r="M39" s="267">
        <v>19664</v>
      </c>
      <c r="N39" s="267">
        <v>20100</v>
      </c>
      <c r="O39" s="267">
        <v>18594</v>
      </c>
      <c r="P39" s="267">
        <v>20056</v>
      </c>
      <c r="Q39" s="267">
        <v>19237</v>
      </c>
      <c r="R39" s="267">
        <v>19218</v>
      </c>
      <c r="S39" s="267">
        <v>17478</v>
      </c>
      <c r="T39" s="267">
        <v>19939</v>
      </c>
      <c r="U39" s="267">
        <v>19408</v>
      </c>
      <c r="V39" s="267">
        <v>20381</v>
      </c>
      <c r="W39" s="267">
        <v>20571</v>
      </c>
      <c r="X39" s="267">
        <v>21356</v>
      </c>
      <c r="Y39" s="267">
        <v>19617</v>
      </c>
      <c r="Z39" s="267">
        <v>19700</v>
      </c>
      <c r="AA39" s="267">
        <v>19464</v>
      </c>
      <c r="AB39" s="267">
        <v>21910</v>
      </c>
      <c r="AC39" s="267">
        <v>20226</v>
      </c>
      <c r="AD39" s="267">
        <v>22540</v>
      </c>
      <c r="AE39" s="267">
        <v>20796</v>
      </c>
      <c r="AF39" s="267">
        <v>21149</v>
      </c>
      <c r="AG39" s="267">
        <v>21765</v>
      </c>
      <c r="AH39" s="267">
        <v>21287</v>
      </c>
      <c r="AI39" s="267">
        <v>22076</v>
      </c>
      <c r="AJ39" s="267">
        <v>22243</v>
      </c>
      <c r="AK39" s="267">
        <v>20587</v>
      </c>
      <c r="AL39" s="267">
        <v>21832</v>
      </c>
      <c r="AM39" s="267">
        <v>23100</v>
      </c>
      <c r="AN39" s="267">
        <v>25045</v>
      </c>
      <c r="AO39" s="267">
        <v>23910</v>
      </c>
      <c r="AP39" s="267">
        <v>25531</v>
      </c>
      <c r="AQ39" s="267">
        <v>24568</v>
      </c>
      <c r="AR39" s="267">
        <v>25550</v>
      </c>
      <c r="AS39" s="267">
        <v>25248</v>
      </c>
      <c r="AT39" s="267">
        <v>26021</v>
      </c>
      <c r="AU39" s="267">
        <v>26287</v>
      </c>
      <c r="AV39" s="267">
        <v>26076</v>
      </c>
      <c r="AW39" s="267">
        <v>24549</v>
      </c>
      <c r="AX39" s="267">
        <v>24064</v>
      </c>
      <c r="AY39" s="267">
        <v>24351</v>
      </c>
      <c r="AZ39" s="267">
        <v>26811</v>
      </c>
      <c r="BA39" s="267">
        <v>27046</v>
      </c>
      <c r="BB39" s="267">
        <v>28467</v>
      </c>
      <c r="BC39" s="267">
        <v>27143</v>
      </c>
      <c r="BD39" s="267">
        <v>29021</v>
      </c>
      <c r="BE39" s="267">
        <v>28866</v>
      </c>
      <c r="BF39" s="267">
        <v>28882</v>
      </c>
      <c r="BG39" s="267">
        <v>28813</v>
      </c>
      <c r="BH39" s="267">
        <v>30451</v>
      </c>
      <c r="BI39" s="267">
        <v>27349</v>
      </c>
      <c r="BJ39" s="267">
        <v>26272</v>
      </c>
      <c r="BK39" s="267">
        <v>28880</v>
      </c>
      <c r="BL39" s="267">
        <v>31655</v>
      </c>
      <c r="BM39" s="267">
        <v>29871</v>
      </c>
      <c r="BN39" s="267">
        <v>33997</v>
      </c>
      <c r="BO39" s="267">
        <v>33618</v>
      </c>
      <c r="BP39" s="267">
        <v>33674</v>
      </c>
      <c r="BQ39" s="267">
        <v>33322</v>
      </c>
      <c r="BR39" s="267">
        <v>34405</v>
      </c>
      <c r="BS39" s="267">
        <v>34718</v>
      </c>
      <c r="BT39" s="267">
        <v>35181</v>
      </c>
      <c r="BU39" s="267">
        <v>32501</v>
      </c>
      <c r="BV39" s="267">
        <v>31945</v>
      </c>
      <c r="BW39" s="267">
        <v>34427</v>
      </c>
      <c r="BX39" s="267">
        <v>36963</v>
      </c>
      <c r="BY39" s="267">
        <v>33857</v>
      </c>
      <c r="BZ39" s="267">
        <v>36773</v>
      </c>
      <c r="CA39" s="267">
        <v>35862</v>
      </c>
      <c r="CB39" s="267">
        <v>36388</v>
      </c>
      <c r="CC39" s="267">
        <v>38093</v>
      </c>
      <c r="CD39" s="267">
        <v>36695</v>
      </c>
      <c r="CE39" s="267">
        <v>34631</v>
      </c>
      <c r="CF39" s="267">
        <v>35750</v>
      </c>
      <c r="CG39" s="267">
        <v>30839</v>
      </c>
      <c r="CH39" s="267">
        <v>31378</v>
      </c>
      <c r="CI39" s="267">
        <v>33745</v>
      </c>
      <c r="CJ39" s="267">
        <v>34430</v>
      </c>
      <c r="CK39" s="267">
        <v>35229</v>
      </c>
      <c r="CL39" s="267">
        <v>37527</v>
      </c>
      <c r="CM39" s="267">
        <v>37949</v>
      </c>
      <c r="CN39" s="267">
        <v>40103</v>
      </c>
      <c r="CO39" s="267">
        <v>42671</v>
      </c>
      <c r="CP39" s="267">
        <v>41268</v>
      </c>
      <c r="CQ39" s="267">
        <v>42641</v>
      </c>
      <c r="CR39" s="267">
        <v>39662</v>
      </c>
      <c r="CS39" s="267">
        <v>35951</v>
      </c>
      <c r="CT39" s="267">
        <v>34042</v>
      </c>
      <c r="CU39" s="267">
        <v>34087</v>
      </c>
      <c r="CV39" s="267">
        <v>36361</v>
      </c>
      <c r="CW39" s="267">
        <v>35136</v>
      </c>
      <c r="CX39" s="267">
        <v>36015</v>
      </c>
      <c r="CY39" s="267">
        <v>33915</v>
      </c>
      <c r="CZ39" s="267">
        <v>33482</v>
      </c>
      <c r="DA39" s="267">
        <v>32665</v>
      </c>
      <c r="DB39" s="267">
        <v>30997</v>
      </c>
      <c r="DC39" s="267">
        <v>32434</v>
      </c>
      <c r="DD39" s="267">
        <v>31261</v>
      </c>
      <c r="DE39" s="267">
        <v>29386</v>
      </c>
      <c r="DF39" s="267">
        <v>28432</v>
      </c>
      <c r="DG39" s="267">
        <v>31167</v>
      </c>
      <c r="DH39" s="267">
        <v>33992</v>
      </c>
      <c r="DI39" s="267">
        <v>32896</v>
      </c>
      <c r="DJ39" s="267">
        <v>35388</v>
      </c>
      <c r="DK39" s="267">
        <v>35459</v>
      </c>
      <c r="DL39" s="267">
        <v>37124</v>
      </c>
      <c r="DM39" s="267">
        <v>38226</v>
      </c>
      <c r="DN39" s="267">
        <v>37768</v>
      </c>
      <c r="DO39" s="267">
        <v>40106</v>
      </c>
      <c r="DP39" s="267">
        <v>41031</v>
      </c>
      <c r="DQ39" s="267">
        <v>36964</v>
      </c>
      <c r="DR39" s="267">
        <v>37962</v>
      </c>
      <c r="DS39" s="267">
        <v>38724</v>
      </c>
      <c r="DT39" s="267">
        <v>42836</v>
      </c>
      <c r="DU39" s="267">
        <v>41803</v>
      </c>
      <c r="DV39" s="267">
        <v>48161</v>
      </c>
      <c r="DW39" s="267">
        <v>46815</v>
      </c>
      <c r="DX39" s="267">
        <v>47619</v>
      </c>
      <c r="DY39" s="267">
        <v>48974</v>
      </c>
      <c r="DZ39" s="267">
        <v>48826</v>
      </c>
      <c r="EA39" s="267">
        <v>50132</v>
      </c>
      <c r="EB39" s="267">
        <v>50599</v>
      </c>
      <c r="EC39" s="267">
        <v>44414</v>
      </c>
      <c r="ED39" s="267">
        <v>50192</v>
      </c>
      <c r="EE39" s="267">
        <v>54282</v>
      </c>
      <c r="EF39" s="267">
        <v>58511</v>
      </c>
      <c r="EG39" s="267">
        <v>56378</v>
      </c>
      <c r="EH39" s="267">
        <v>59856</v>
      </c>
      <c r="EI39" s="267">
        <v>57136</v>
      </c>
      <c r="EJ39" s="267">
        <v>60024</v>
      </c>
      <c r="EK39" s="267">
        <v>61135</v>
      </c>
      <c r="EL39" s="267">
        <v>57355</v>
      </c>
      <c r="EM39" s="267">
        <v>58925</v>
      </c>
      <c r="EN39" s="267">
        <v>55920</v>
      </c>
      <c r="EO39" s="267">
        <v>51985</v>
      </c>
      <c r="EP39" s="267">
        <v>55087</v>
      </c>
      <c r="EQ39" s="267">
        <v>58268</v>
      </c>
      <c r="ER39" s="267">
        <v>58133</v>
      </c>
      <c r="ES39" s="267">
        <v>59911</v>
      </c>
      <c r="ET39" s="267">
        <v>58827</v>
      </c>
      <c r="EU39" s="267">
        <v>56919</v>
      </c>
      <c r="EV39" s="267">
        <v>59292</v>
      </c>
      <c r="EW39" s="267">
        <v>60893</v>
      </c>
      <c r="EX39" s="267">
        <v>55522</v>
      </c>
      <c r="EY39" s="267">
        <v>55923</v>
      </c>
      <c r="EZ39" s="267">
        <v>54640</v>
      </c>
      <c r="FA39" s="267">
        <v>46333</v>
      </c>
      <c r="FB39" s="267">
        <v>46802</v>
      </c>
      <c r="FC39" s="267">
        <v>48099</v>
      </c>
      <c r="FD39" s="267">
        <v>54025</v>
      </c>
      <c r="FE39" s="267">
        <v>51371</v>
      </c>
      <c r="FF39" s="267">
        <v>54330</v>
      </c>
      <c r="FG39" s="267">
        <v>50562</v>
      </c>
      <c r="FH39" s="267">
        <v>50810</v>
      </c>
      <c r="FI39" s="267">
        <v>51349</v>
      </c>
      <c r="FJ39" s="267">
        <v>50361</v>
      </c>
      <c r="FK39" s="267">
        <v>54145</v>
      </c>
      <c r="FL39" s="267">
        <v>52693</v>
      </c>
      <c r="FM39" s="267">
        <v>46396</v>
      </c>
      <c r="FN39" s="267">
        <v>45107</v>
      </c>
      <c r="FO39" s="267">
        <v>45751</v>
      </c>
      <c r="FP39" s="267">
        <v>48758</v>
      </c>
      <c r="FQ39" s="267">
        <v>46070</v>
      </c>
      <c r="FR39" s="267">
        <v>46110</v>
      </c>
      <c r="FS39" s="267">
        <v>45514</v>
      </c>
      <c r="FT39" s="267">
        <v>46731</v>
      </c>
      <c r="FU39" s="267">
        <v>46567</v>
      </c>
      <c r="FV39" s="267">
        <v>46571</v>
      </c>
      <c r="FW39" s="267">
        <v>48229</v>
      </c>
      <c r="FX39" s="267">
        <v>45358</v>
      </c>
      <c r="FY39" s="267">
        <v>41855</v>
      </c>
      <c r="FZ39" s="267">
        <v>41632</v>
      </c>
      <c r="GA39" s="267">
        <v>42149</v>
      </c>
      <c r="GB39" s="267">
        <v>41698</v>
      </c>
      <c r="GC39" s="267">
        <v>41574</v>
      </c>
      <c r="GD39" s="267">
        <v>43472</v>
      </c>
      <c r="GE39" s="267">
        <v>41108</v>
      </c>
      <c r="GF39" s="267">
        <v>44554.799999999996</v>
      </c>
      <c r="GG39" s="267">
        <v>43953.9</v>
      </c>
      <c r="GH39" s="267">
        <v>41447.999999999985</v>
      </c>
      <c r="GI39" s="267">
        <v>44079.599999999991</v>
      </c>
      <c r="GJ39" s="267">
        <v>45021.100000000006</v>
      </c>
      <c r="GK39" s="267">
        <v>40905.199999999997</v>
      </c>
      <c r="GL39" s="267">
        <v>42258.600000000006</v>
      </c>
      <c r="GM39" s="267">
        <v>42932.5</v>
      </c>
      <c r="GN39" s="267">
        <v>45483.799999999988</v>
      </c>
      <c r="GO39" s="267">
        <v>44575.6</v>
      </c>
      <c r="GP39" s="267">
        <v>47369.3</v>
      </c>
      <c r="GQ39" s="267">
        <v>44851.1</v>
      </c>
      <c r="GR39" s="267">
        <v>46645.9</v>
      </c>
      <c r="GS39" s="267">
        <v>46421.4</v>
      </c>
      <c r="GT39" s="267">
        <v>45344.799999999996</v>
      </c>
      <c r="GU39" s="267">
        <v>48824.599999999991</v>
      </c>
      <c r="GV39" s="267">
        <v>48674.499999999993</v>
      </c>
      <c r="GW39" s="267">
        <v>43803.4</v>
      </c>
      <c r="GX39" s="267">
        <v>44309.999999999993</v>
      </c>
      <c r="GY39" s="267">
        <v>46305.400000000016</v>
      </c>
      <c r="GZ39" s="267">
        <v>51229.399999999987</v>
      </c>
      <c r="HA39" s="267">
        <v>49304.000000000007</v>
      </c>
      <c r="HB39" s="267">
        <v>51955.5</v>
      </c>
      <c r="HC39" s="267">
        <v>49420.3</v>
      </c>
      <c r="HD39" s="267">
        <v>53507.499999999993</v>
      </c>
      <c r="HE39" s="267">
        <v>53021.3</v>
      </c>
      <c r="HF39" s="267">
        <v>50594.600000000006</v>
      </c>
      <c r="HG39" s="267">
        <v>55595.299999999996</v>
      </c>
      <c r="HH39" s="267">
        <v>55764.7</v>
      </c>
      <c r="HI39" s="267">
        <v>49173.899999999994</v>
      </c>
      <c r="HJ39" s="267">
        <v>52362.299999999996</v>
      </c>
      <c r="HK39" s="267">
        <v>52640.100000000006</v>
      </c>
      <c r="HL39" s="267">
        <v>55513.69999999999</v>
      </c>
      <c r="HM39" s="267">
        <v>55696.799999999996</v>
      </c>
      <c r="HN39" s="267">
        <v>58742.8</v>
      </c>
      <c r="HO39" s="267">
        <v>54230.100000000006</v>
      </c>
      <c r="HP39" s="267">
        <v>60267.799999999996</v>
      </c>
      <c r="HQ39" s="267">
        <v>57055.80000000001</v>
      </c>
      <c r="HR39" s="267">
        <v>55281.600000000006</v>
      </c>
      <c r="HS39" s="267">
        <v>59869.3</v>
      </c>
      <c r="HT39" s="267">
        <v>61322.399999999987</v>
      </c>
      <c r="HU39" s="469">
        <v>52258.199999999983</v>
      </c>
      <c r="HV39" s="469">
        <v>55402.610700000005</v>
      </c>
      <c r="HW39" s="469">
        <v>58199.660400000015</v>
      </c>
      <c r="HX39" s="469">
        <v>61220.365900000004</v>
      </c>
      <c r="HY39" s="469">
        <v>56974.077099999988</v>
      </c>
      <c r="HZ39" s="469">
        <v>60217.808200000007</v>
      </c>
      <c r="IA39" s="853">
        <v>58986.55450000002</v>
      </c>
      <c r="IB39" s="853">
        <v>70065.426800000016</v>
      </c>
      <c r="IC39" s="853">
        <v>71032.657100000011</v>
      </c>
      <c r="ID39" s="853">
        <v>68641.98149999998</v>
      </c>
      <c r="IE39" s="853">
        <v>72261.318600000028</v>
      </c>
      <c r="IF39" s="853">
        <v>62938.112399999984</v>
      </c>
      <c r="IG39" s="853">
        <v>62604.794199999982</v>
      </c>
      <c r="IH39" s="853">
        <v>59137.016799999983</v>
      </c>
      <c r="II39" s="853">
        <v>66936.841700000019</v>
      </c>
      <c r="IJ39" s="853">
        <v>65424.410100000001</v>
      </c>
      <c r="IK39" s="853">
        <v>63699.541900000004</v>
      </c>
      <c r="IL39" s="853">
        <v>64581.319499999998</v>
      </c>
      <c r="IM39" s="854">
        <v>64224.019499999988</v>
      </c>
      <c r="IN39" s="168"/>
    </row>
    <row r="40" spans="1:248" s="168" customFormat="1"/>
    <row r="41" spans="1:248" s="168" customFormat="1"/>
    <row r="42" spans="1:248" ht="15.75" thickBot="1">
      <c r="A42" s="269" t="s">
        <v>140</v>
      </c>
      <c r="D42" s="132"/>
      <c r="E42" s="205"/>
      <c r="F42" s="205"/>
      <c r="G42" s="132"/>
      <c r="H42" s="205"/>
      <c r="I42" s="205"/>
      <c r="J42" s="132"/>
      <c r="K42" s="205"/>
      <c r="L42" s="205"/>
      <c r="M42" s="132"/>
      <c r="N42" s="205"/>
      <c r="O42" s="205"/>
      <c r="P42" s="132"/>
      <c r="Q42" s="205"/>
      <c r="R42" s="205"/>
      <c r="S42" s="132"/>
      <c r="T42" s="205"/>
      <c r="U42" s="205"/>
      <c r="V42" s="132"/>
      <c r="W42" s="205"/>
      <c r="X42" s="205"/>
      <c r="Y42" s="132"/>
      <c r="Z42" s="205"/>
      <c r="AA42" s="205"/>
      <c r="AB42" s="132"/>
      <c r="AC42" s="205"/>
      <c r="AD42" s="205"/>
      <c r="AE42" s="132"/>
      <c r="AF42" s="205"/>
      <c r="AG42" s="205"/>
      <c r="AH42" s="132"/>
      <c r="AI42" s="205"/>
      <c r="AJ42" s="205"/>
      <c r="AK42" s="132"/>
      <c r="AL42" s="205"/>
      <c r="AM42" s="205"/>
      <c r="AN42" s="132"/>
      <c r="AO42" s="205"/>
      <c r="AP42" s="205"/>
      <c r="AQ42" s="132"/>
      <c r="AR42" s="205"/>
      <c r="AS42" s="205"/>
      <c r="AT42" s="132"/>
      <c r="AU42" s="205"/>
      <c r="AV42" s="205"/>
      <c r="AW42" s="132"/>
      <c r="AX42" s="205"/>
      <c r="AY42" s="205"/>
      <c r="AZ42" s="132"/>
      <c r="BA42" s="205"/>
      <c r="BB42" s="205"/>
      <c r="BC42" s="132"/>
      <c r="BD42" s="205"/>
      <c r="BE42" s="205"/>
      <c r="BF42" s="132"/>
      <c r="BG42" s="205"/>
      <c r="BH42" s="205"/>
      <c r="BI42" s="132"/>
      <c r="BJ42" s="205"/>
      <c r="BK42" s="205"/>
      <c r="BL42" s="132"/>
      <c r="BM42" s="205"/>
      <c r="BN42" s="205"/>
      <c r="BO42" s="132"/>
      <c r="BP42" s="205"/>
      <c r="BQ42" s="205"/>
      <c r="BR42" s="132"/>
      <c r="BS42" s="205"/>
      <c r="BT42" s="205"/>
      <c r="BU42" s="132"/>
      <c r="BV42" s="205"/>
      <c r="BW42" s="205"/>
      <c r="BX42" s="132"/>
      <c r="BY42" s="205"/>
      <c r="BZ42" s="205"/>
      <c r="CA42" s="132"/>
      <c r="CB42" s="205"/>
      <c r="CC42" s="205"/>
      <c r="CD42" s="132"/>
      <c r="CE42" s="205"/>
      <c r="CF42" s="205"/>
      <c r="CG42" s="132"/>
      <c r="CH42" s="205"/>
      <c r="CI42" s="205"/>
      <c r="CJ42" s="132"/>
      <c r="CK42" s="205"/>
      <c r="CL42" s="205"/>
      <c r="CM42" s="132"/>
      <c r="CN42" s="205"/>
      <c r="CO42" s="205"/>
      <c r="CP42" s="132"/>
      <c r="CQ42" s="205"/>
      <c r="CR42" s="205"/>
      <c r="CS42" s="132"/>
      <c r="CT42" s="205"/>
      <c r="CU42" s="205"/>
      <c r="CV42" s="132"/>
      <c r="CW42" s="205"/>
      <c r="CX42" s="205"/>
      <c r="CY42" s="132"/>
      <c r="CZ42" s="205"/>
      <c r="DA42" s="205"/>
      <c r="DB42" s="132"/>
      <c r="DC42" s="205"/>
      <c r="DD42" s="205"/>
      <c r="DE42" s="132"/>
      <c r="DF42" s="205"/>
      <c r="DG42" s="205"/>
      <c r="DH42" s="132"/>
      <c r="DI42" s="205"/>
      <c r="DJ42" s="205"/>
      <c r="DK42" s="132"/>
      <c r="DL42" s="205"/>
      <c r="DM42" s="205"/>
      <c r="DN42" s="132"/>
      <c r="DO42" s="205"/>
      <c r="DP42" s="205"/>
      <c r="DQ42" s="132"/>
      <c r="DR42" s="205"/>
      <c r="DS42" s="205"/>
      <c r="DT42" s="132"/>
      <c r="DU42" s="205"/>
      <c r="DV42" s="205"/>
      <c r="DW42" s="132"/>
      <c r="DX42" s="205"/>
      <c r="DY42" s="205"/>
      <c r="DZ42" s="132"/>
      <c r="EA42" s="205"/>
      <c r="EB42" s="205"/>
      <c r="EC42" s="132"/>
      <c r="ED42" s="205"/>
      <c r="EE42" s="205"/>
      <c r="EF42" s="132"/>
      <c r="EG42" s="205"/>
      <c r="EH42" s="205"/>
      <c r="EI42" s="132"/>
      <c r="EJ42" s="205"/>
      <c r="EK42" s="205"/>
      <c r="EL42" s="132"/>
      <c r="EM42" s="205"/>
      <c r="EN42" s="205"/>
      <c r="EO42" s="132"/>
      <c r="EP42" s="205"/>
      <c r="EQ42" s="205"/>
      <c r="ER42" s="132"/>
      <c r="ES42" s="205"/>
      <c r="ET42" s="205"/>
      <c r="EU42" s="132"/>
      <c r="EV42" s="205"/>
      <c r="EW42" s="205"/>
      <c r="EX42" s="132"/>
      <c r="EY42" s="205"/>
      <c r="EZ42" s="205"/>
      <c r="FA42" s="132"/>
      <c r="FB42" s="205"/>
      <c r="FC42" s="205"/>
      <c r="FD42" s="132"/>
      <c r="FE42" s="205"/>
      <c r="FF42" s="205"/>
      <c r="FG42" s="132"/>
      <c r="FH42" s="205"/>
      <c r="FI42" s="205"/>
      <c r="FJ42" s="132"/>
      <c r="FK42" s="205"/>
      <c r="FL42" s="205"/>
      <c r="FM42" s="132"/>
      <c r="FN42" s="205"/>
      <c r="FO42" s="205"/>
      <c r="FP42" s="132"/>
      <c r="FQ42" s="205"/>
      <c r="FR42" s="205"/>
      <c r="FS42" s="132"/>
      <c r="FT42" s="205"/>
      <c r="FU42" s="205"/>
      <c r="FV42" s="132"/>
      <c r="FW42" s="205"/>
      <c r="FX42" s="205"/>
      <c r="FY42" s="132"/>
      <c r="FZ42" s="205"/>
      <c r="GA42" s="205"/>
      <c r="GB42" s="132"/>
      <c r="GC42" s="205"/>
      <c r="GD42" s="205"/>
      <c r="GE42" s="132"/>
      <c r="GF42" s="205"/>
      <c r="GG42" s="205"/>
      <c r="GH42" s="132"/>
      <c r="GI42" s="205"/>
      <c r="GJ42" s="205"/>
      <c r="GK42" s="132"/>
      <c r="GL42" s="205"/>
      <c r="GM42" s="205"/>
      <c r="GN42" s="132"/>
      <c r="GO42" s="205"/>
      <c r="GP42" s="205"/>
      <c r="GQ42" s="132"/>
      <c r="GR42" s="205"/>
      <c r="GS42" s="205"/>
      <c r="GT42" s="132"/>
      <c r="GU42" s="205"/>
      <c r="GV42" s="205"/>
      <c r="GW42" s="132"/>
      <c r="GX42" s="205"/>
      <c r="GY42" s="205"/>
      <c r="GZ42" s="132"/>
      <c r="HA42" s="205"/>
      <c r="HB42" s="205"/>
      <c r="HC42" s="132"/>
      <c r="HF42" s="132"/>
      <c r="HI42" s="132"/>
      <c r="IA42" s="722"/>
      <c r="IB42" s="722"/>
      <c r="IC42" s="722"/>
      <c r="ID42" s="722"/>
      <c r="IE42" s="722"/>
      <c r="IF42" s="722"/>
      <c r="IG42" s="722"/>
      <c r="IH42" s="722"/>
      <c r="II42" s="722"/>
      <c r="IJ42" s="722"/>
      <c r="IK42" s="722"/>
      <c r="IL42" s="722"/>
      <c r="IM42" s="722"/>
      <c r="IN42" s="168"/>
    </row>
    <row r="43" spans="1:248" ht="15.75" thickBot="1">
      <c r="A43" s="2" t="s">
        <v>95</v>
      </c>
      <c r="B43" s="80">
        <v>36892</v>
      </c>
      <c r="C43" s="80">
        <v>36923</v>
      </c>
      <c r="D43" s="80">
        <v>36951</v>
      </c>
      <c r="E43" s="80">
        <v>36982</v>
      </c>
      <c r="F43" s="80">
        <v>37012</v>
      </c>
      <c r="G43" s="80">
        <v>37043</v>
      </c>
      <c r="H43" s="80">
        <v>37073</v>
      </c>
      <c r="I43" s="80">
        <v>37104</v>
      </c>
      <c r="J43" s="80">
        <v>37135</v>
      </c>
      <c r="K43" s="80">
        <v>37165</v>
      </c>
      <c r="L43" s="80">
        <v>37196</v>
      </c>
      <c r="M43" s="80">
        <v>37226</v>
      </c>
      <c r="N43" s="80">
        <v>37257</v>
      </c>
      <c r="O43" s="80">
        <v>37288</v>
      </c>
      <c r="P43" s="80">
        <v>37316</v>
      </c>
      <c r="Q43" s="80">
        <v>37347</v>
      </c>
      <c r="R43" s="80">
        <v>37377</v>
      </c>
      <c r="S43" s="80">
        <v>37408</v>
      </c>
      <c r="T43" s="80">
        <v>37438</v>
      </c>
      <c r="U43" s="80">
        <v>37469</v>
      </c>
      <c r="V43" s="80">
        <v>37500</v>
      </c>
      <c r="W43" s="80">
        <v>37530</v>
      </c>
      <c r="X43" s="80">
        <v>37561</v>
      </c>
      <c r="Y43" s="80">
        <v>37591</v>
      </c>
      <c r="Z43" s="80">
        <v>37622</v>
      </c>
      <c r="AA43" s="80">
        <v>37653</v>
      </c>
      <c r="AB43" s="80">
        <v>37681</v>
      </c>
      <c r="AC43" s="80">
        <v>37712</v>
      </c>
      <c r="AD43" s="80">
        <v>37742</v>
      </c>
      <c r="AE43" s="80">
        <v>37773</v>
      </c>
      <c r="AF43" s="80">
        <v>37803</v>
      </c>
      <c r="AG43" s="80">
        <v>37834</v>
      </c>
      <c r="AH43" s="80">
        <v>37865</v>
      </c>
      <c r="AI43" s="80">
        <v>37895</v>
      </c>
      <c r="AJ43" s="80">
        <v>37926</v>
      </c>
      <c r="AK43" s="80">
        <v>37956</v>
      </c>
      <c r="AL43" s="80">
        <v>37987</v>
      </c>
      <c r="AM43" s="80">
        <v>38018</v>
      </c>
      <c r="AN43" s="80">
        <v>38047</v>
      </c>
      <c r="AO43" s="80">
        <v>38078</v>
      </c>
      <c r="AP43" s="80">
        <v>38108</v>
      </c>
      <c r="AQ43" s="80">
        <v>38139</v>
      </c>
      <c r="AR43" s="80">
        <v>38169</v>
      </c>
      <c r="AS43" s="80">
        <v>38200</v>
      </c>
      <c r="AT43" s="80">
        <v>38231</v>
      </c>
      <c r="AU43" s="80">
        <v>38261</v>
      </c>
      <c r="AV43" s="80">
        <v>38292</v>
      </c>
      <c r="AW43" s="80">
        <v>38322</v>
      </c>
      <c r="AX43" s="80">
        <v>38353</v>
      </c>
      <c r="AY43" s="80">
        <v>38384</v>
      </c>
      <c r="AZ43" s="80">
        <v>38412</v>
      </c>
      <c r="BA43" s="80">
        <v>38443</v>
      </c>
      <c r="BB43" s="80">
        <v>38473</v>
      </c>
      <c r="BC43" s="80">
        <v>38504</v>
      </c>
      <c r="BD43" s="80">
        <v>38534</v>
      </c>
      <c r="BE43" s="80">
        <v>38565</v>
      </c>
      <c r="BF43" s="80">
        <v>38596</v>
      </c>
      <c r="BG43" s="80">
        <v>38626</v>
      </c>
      <c r="BH43" s="80">
        <v>38657</v>
      </c>
      <c r="BI43" s="80">
        <v>38687</v>
      </c>
      <c r="BJ43" s="80">
        <v>38718</v>
      </c>
      <c r="BK43" s="80">
        <v>38749</v>
      </c>
      <c r="BL43" s="80">
        <v>38777</v>
      </c>
      <c r="BM43" s="80">
        <v>38808</v>
      </c>
      <c r="BN43" s="80">
        <v>38838</v>
      </c>
      <c r="BO43" s="80">
        <v>38869</v>
      </c>
      <c r="BP43" s="80">
        <v>38899</v>
      </c>
      <c r="BQ43" s="80">
        <v>38930</v>
      </c>
      <c r="BR43" s="80">
        <v>38961</v>
      </c>
      <c r="BS43" s="80">
        <v>38991</v>
      </c>
      <c r="BT43" s="80">
        <v>39022</v>
      </c>
      <c r="BU43" s="80">
        <v>39052</v>
      </c>
      <c r="BV43" s="80">
        <v>39083</v>
      </c>
      <c r="BW43" s="80">
        <v>39114</v>
      </c>
      <c r="BX43" s="80">
        <v>39142</v>
      </c>
      <c r="BY43" s="80">
        <v>39173</v>
      </c>
      <c r="BZ43" s="80">
        <v>39203</v>
      </c>
      <c r="CA43" s="80">
        <v>39234</v>
      </c>
      <c r="CB43" s="80">
        <v>39264</v>
      </c>
      <c r="CC43" s="80">
        <v>39295</v>
      </c>
      <c r="CD43" s="80">
        <v>39326</v>
      </c>
      <c r="CE43" s="80">
        <v>39356</v>
      </c>
      <c r="CF43" s="169">
        <v>39387</v>
      </c>
      <c r="CG43" s="169">
        <v>39417</v>
      </c>
      <c r="CH43" s="169">
        <v>39448</v>
      </c>
      <c r="CI43" s="169">
        <v>39479</v>
      </c>
      <c r="CJ43" s="169">
        <v>39508</v>
      </c>
      <c r="CK43" s="169">
        <v>39539</v>
      </c>
      <c r="CL43" s="169">
        <v>39569</v>
      </c>
      <c r="CM43" s="169">
        <v>39600</v>
      </c>
      <c r="CN43" s="169">
        <v>39630</v>
      </c>
      <c r="CO43" s="169">
        <v>39661</v>
      </c>
      <c r="CP43" s="169">
        <v>39692</v>
      </c>
      <c r="CQ43" s="169">
        <v>39722</v>
      </c>
      <c r="CR43" s="169">
        <v>39753</v>
      </c>
      <c r="CS43" s="169">
        <v>39783</v>
      </c>
      <c r="CT43" s="169">
        <v>39814</v>
      </c>
      <c r="CU43" s="169">
        <v>39845</v>
      </c>
      <c r="CV43" s="169">
        <v>39873</v>
      </c>
      <c r="CW43" s="169">
        <v>39904</v>
      </c>
      <c r="CX43" s="169">
        <v>39934</v>
      </c>
      <c r="CY43" s="169">
        <v>39965</v>
      </c>
      <c r="CZ43" s="169">
        <v>39995</v>
      </c>
      <c r="DA43" s="169">
        <v>40026</v>
      </c>
      <c r="DB43" s="169">
        <v>40057</v>
      </c>
      <c r="DC43" s="169">
        <v>40087</v>
      </c>
      <c r="DD43" s="169">
        <v>40118</v>
      </c>
      <c r="DE43" s="169">
        <v>40148</v>
      </c>
      <c r="DF43" s="169">
        <v>40179</v>
      </c>
      <c r="DG43" s="169">
        <v>40210</v>
      </c>
      <c r="DH43" s="169">
        <v>40238</v>
      </c>
      <c r="DI43" s="169">
        <v>40269</v>
      </c>
      <c r="DJ43" s="169">
        <v>40299</v>
      </c>
      <c r="DK43" s="169">
        <v>40330</v>
      </c>
      <c r="DL43" s="169">
        <v>40360</v>
      </c>
      <c r="DM43" s="169">
        <v>40391</v>
      </c>
      <c r="DN43" s="169">
        <v>40422</v>
      </c>
      <c r="DO43" s="169">
        <v>40452</v>
      </c>
      <c r="DP43" s="169">
        <v>40483</v>
      </c>
      <c r="DQ43" s="169">
        <v>40513</v>
      </c>
      <c r="DR43" s="169">
        <v>40544</v>
      </c>
      <c r="DS43" s="169">
        <v>40575</v>
      </c>
      <c r="DT43" s="169">
        <v>40603</v>
      </c>
      <c r="DU43" s="169">
        <v>40634</v>
      </c>
      <c r="DV43" s="169">
        <v>40664</v>
      </c>
      <c r="DW43" s="169">
        <v>40695</v>
      </c>
      <c r="DX43" s="169">
        <v>40725</v>
      </c>
      <c r="DY43" s="169">
        <v>40756</v>
      </c>
      <c r="DZ43" s="169">
        <v>40787</v>
      </c>
      <c r="EA43" s="169">
        <v>40817</v>
      </c>
      <c r="EB43" s="169">
        <v>40848</v>
      </c>
      <c r="EC43" s="169">
        <v>40878</v>
      </c>
      <c r="ED43" s="169">
        <v>40909</v>
      </c>
      <c r="EE43" s="169">
        <v>40940</v>
      </c>
      <c r="EF43" s="169">
        <v>40969</v>
      </c>
      <c r="EG43" s="169">
        <v>41000</v>
      </c>
      <c r="EH43" s="169">
        <v>41030</v>
      </c>
      <c r="EI43" s="169">
        <v>41061</v>
      </c>
      <c r="EJ43" s="169">
        <v>41091</v>
      </c>
      <c r="EK43" s="169">
        <v>41122</v>
      </c>
      <c r="EL43" s="169">
        <v>41153</v>
      </c>
      <c r="EM43" s="169">
        <v>41183</v>
      </c>
      <c r="EN43" s="169">
        <v>41214</v>
      </c>
      <c r="EO43" s="169">
        <v>41244</v>
      </c>
      <c r="EP43" s="169">
        <v>41275</v>
      </c>
      <c r="EQ43" s="169">
        <v>41306</v>
      </c>
      <c r="ER43" s="169">
        <v>41334</v>
      </c>
      <c r="ES43" s="169">
        <v>41365</v>
      </c>
      <c r="ET43" s="169">
        <v>41395</v>
      </c>
      <c r="EU43" s="169">
        <v>41426</v>
      </c>
      <c r="EV43" s="169">
        <v>41456</v>
      </c>
      <c r="EW43" s="169">
        <v>41487</v>
      </c>
      <c r="EX43" s="169">
        <v>41518</v>
      </c>
      <c r="EY43" s="169">
        <v>41548</v>
      </c>
      <c r="EZ43" s="169">
        <v>41579</v>
      </c>
      <c r="FA43" s="169">
        <v>41609</v>
      </c>
      <c r="FB43" s="169">
        <v>41640</v>
      </c>
      <c r="FC43" s="169">
        <v>41671</v>
      </c>
      <c r="FD43" s="169">
        <v>41699</v>
      </c>
      <c r="FE43" s="169">
        <v>41730</v>
      </c>
      <c r="FF43" s="169">
        <v>41760</v>
      </c>
      <c r="FG43" s="169">
        <v>41791</v>
      </c>
      <c r="FH43" s="169">
        <v>41821</v>
      </c>
      <c r="FI43" s="169">
        <v>41852</v>
      </c>
      <c r="FJ43" s="169">
        <v>41883</v>
      </c>
      <c r="FK43" s="169">
        <v>41913</v>
      </c>
      <c r="FL43" s="169">
        <v>41944</v>
      </c>
      <c r="FM43" s="169">
        <v>41974</v>
      </c>
      <c r="FN43" s="169">
        <v>42005</v>
      </c>
      <c r="FO43" s="169">
        <v>42036</v>
      </c>
      <c r="FP43" s="169">
        <v>42064</v>
      </c>
      <c r="FQ43" s="169">
        <v>42095</v>
      </c>
      <c r="FR43" s="169">
        <v>42125</v>
      </c>
      <c r="FS43" s="169">
        <v>42156</v>
      </c>
      <c r="FT43" s="169">
        <v>42186</v>
      </c>
      <c r="FU43" s="169">
        <v>42217</v>
      </c>
      <c r="FV43" s="169">
        <v>42248</v>
      </c>
      <c r="FW43" s="169">
        <v>42278</v>
      </c>
      <c r="FX43" s="169">
        <v>42309</v>
      </c>
      <c r="FY43" s="169">
        <v>42339</v>
      </c>
      <c r="FZ43" s="169">
        <v>42370</v>
      </c>
      <c r="GA43" s="169">
        <v>42401</v>
      </c>
      <c r="GB43" s="169">
        <v>42430</v>
      </c>
      <c r="GC43" s="169">
        <v>42461</v>
      </c>
      <c r="GD43" s="169">
        <v>42491</v>
      </c>
      <c r="GE43" s="169">
        <v>42522</v>
      </c>
      <c r="GF43" s="169">
        <v>42552</v>
      </c>
      <c r="GG43" s="169">
        <v>42583</v>
      </c>
      <c r="GH43" s="169">
        <v>42614</v>
      </c>
      <c r="GI43" s="169">
        <v>42644</v>
      </c>
      <c r="GJ43" s="169">
        <v>42675</v>
      </c>
      <c r="GK43" s="169">
        <v>42705</v>
      </c>
      <c r="GL43" s="169">
        <v>42736</v>
      </c>
      <c r="GM43" s="169">
        <v>42767</v>
      </c>
      <c r="GN43" s="169">
        <v>42795</v>
      </c>
      <c r="GO43" s="169">
        <v>42826</v>
      </c>
      <c r="GP43" s="169">
        <v>42856</v>
      </c>
      <c r="GQ43" s="169">
        <v>42887</v>
      </c>
      <c r="GR43" s="169">
        <v>42917</v>
      </c>
      <c r="GS43" s="169">
        <v>42948</v>
      </c>
      <c r="GT43" s="169">
        <v>42979</v>
      </c>
      <c r="GU43" s="169">
        <v>43009</v>
      </c>
      <c r="GV43" s="169">
        <v>43040</v>
      </c>
      <c r="GW43" s="169">
        <v>43070</v>
      </c>
      <c r="GX43" s="169">
        <v>43101</v>
      </c>
      <c r="GY43" s="169">
        <v>43132</v>
      </c>
      <c r="GZ43" s="169">
        <v>43160</v>
      </c>
      <c r="HA43" s="169">
        <v>43191</v>
      </c>
      <c r="HB43" s="169">
        <v>43221</v>
      </c>
      <c r="HC43" s="169">
        <v>43252</v>
      </c>
      <c r="HD43" s="169">
        <v>43282</v>
      </c>
      <c r="HE43" s="169">
        <v>43313</v>
      </c>
      <c r="HF43" s="169">
        <v>43344</v>
      </c>
      <c r="HG43" s="169">
        <v>43374</v>
      </c>
      <c r="HH43" s="169">
        <v>43405</v>
      </c>
      <c r="HI43" s="169">
        <v>43435</v>
      </c>
      <c r="HJ43" s="169">
        <v>43466</v>
      </c>
      <c r="HK43" s="169">
        <v>43497</v>
      </c>
      <c r="HL43" s="169">
        <v>43525</v>
      </c>
      <c r="HM43" s="169">
        <v>43556</v>
      </c>
      <c r="HN43" s="169">
        <v>43586</v>
      </c>
      <c r="HO43" s="169">
        <v>43617</v>
      </c>
      <c r="HP43" s="169">
        <v>43647</v>
      </c>
      <c r="HQ43" s="169">
        <v>43678</v>
      </c>
      <c r="HR43" s="169">
        <v>43709</v>
      </c>
      <c r="HS43" s="169">
        <v>43739</v>
      </c>
      <c r="HT43" s="169">
        <v>43770</v>
      </c>
      <c r="HU43" s="169">
        <v>43800</v>
      </c>
      <c r="HV43" s="169">
        <v>43831</v>
      </c>
      <c r="HW43" s="169">
        <v>43862</v>
      </c>
      <c r="HX43" s="169">
        <v>43891</v>
      </c>
      <c r="HY43" s="169">
        <v>43922</v>
      </c>
      <c r="HZ43" s="169">
        <v>43952</v>
      </c>
      <c r="IA43" s="169">
        <v>43983</v>
      </c>
      <c r="IB43" s="169">
        <v>44013</v>
      </c>
      <c r="IC43" s="169">
        <v>44044</v>
      </c>
      <c r="ID43" s="169">
        <v>44075</v>
      </c>
      <c r="IE43" s="169">
        <v>44105</v>
      </c>
      <c r="IF43" s="169">
        <v>44136</v>
      </c>
      <c r="IG43" s="169">
        <v>44166</v>
      </c>
      <c r="IH43" s="169">
        <v>44197</v>
      </c>
      <c r="II43" s="169">
        <v>44228</v>
      </c>
      <c r="IJ43" s="169">
        <v>44256</v>
      </c>
      <c r="IK43" s="169">
        <v>44287</v>
      </c>
      <c r="IL43" s="169">
        <v>44317</v>
      </c>
      <c r="IM43" s="169">
        <v>44348</v>
      </c>
      <c r="IN43" s="199">
        <v>44378</v>
      </c>
    </row>
    <row r="44" spans="1:248">
      <c r="A44" s="81" t="s">
        <v>1030</v>
      </c>
      <c r="B44" s="284">
        <v>5734</v>
      </c>
      <c r="C44" s="284">
        <v>5712</v>
      </c>
      <c r="D44" s="284">
        <v>5808</v>
      </c>
      <c r="E44" s="284">
        <v>5808</v>
      </c>
      <c r="F44" s="284">
        <v>5963</v>
      </c>
      <c r="G44" s="284">
        <v>5960</v>
      </c>
      <c r="H44" s="284">
        <v>5962</v>
      </c>
      <c r="I44" s="284">
        <v>6159</v>
      </c>
      <c r="J44" s="284">
        <v>5879</v>
      </c>
      <c r="K44" s="284">
        <v>6062</v>
      </c>
      <c r="L44" s="284">
        <v>6001</v>
      </c>
      <c r="M44" s="284">
        <v>6972</v>
      </c>
      <c r="N44" s="284">
        <v>6520</v>
      </c>
      <c r="O44" s="284">
        <v>6033</v>
      </c>
      <c r="P44" s="284">
        <v>6217</v>
      </c>
      <c r="Q44" s="284">
        <v>6069</v>
      </c>
      <c r="R44" s="284">
        <v>6226</v>
      </c>
      <c r="S44" s="284">
        <v>6085</v>
      </c>
      <c r="T44" s="284">
        <v>6237</v>
      </c>
      <c r="U44" s="284">
        <v>6089</v>
      </c>
      <c r="V44" s="284">
        <v>6196</v>
      </c>
      <c r="W44" s="284">
        <v>6437</v>
      </c>
      <c r="X44" s="284">
        <v>6853</v>
      </c>
      <c r="Y44" s="284">
        <v>6151</v>
      </c>
      <c r="Z44" s="284">
        <v>6277</v>
      </c>
      <c r="AA44" s="284">
        <v>6091</v>
      </c>
      <c r="AB44" s="284">
        <v>6226</v>
      </c>
      <c r="AC44" s="284">
        <v>6176</v>
      </c>
      <c r="AD44" s="284">
        <v>6520</v>
      </c>
      <c r="AE44" s="284">
        <v>6340</v>
      </c>
      <c r="AF44" s="284">
        <v>6419</v>
      </c>
      <c r="AG44" s="284">
        <v>6613</v>
      </c>
      <c r="AH44" s="284">
        <v>6116</v>
      </c>
      <c r="AI44" s="284">
        <v>6559</v>
      </c>
      <c r="AJ44" s="284">
        <v>6472</v>
      </c>
      <c r="AK44" s="284">
        <v>6113</v>
      </c>
      <c r="AL44" s="284">
        <v>6165</v>
      </c>
      <c r="AM44" s="284">
        <v>6309</v>
      </c>
      <c r="AN44" s="284">
        <v>6672</v>
      </c>
      <c r="AO44" s="284">
        <v>6565</v>
      </c>
      <c r="AP44" s="284">
        <v>6668</v>
      </c>
      <c r="AQ44" s="284">
        <v>6536</v>
      </c>
      <c r="AR44" s="284">
        <v>6987</v>
      </c>
      <c r="AS44" s="284">
        <v>6946</v>
      </c>
      <c r="AT44" s="284">
        <v>7113</v>
      </c>
      <c r="AU44" s="284">
        <v>7042</v>
      </c>
      <c r="AV44" s="284">
        <v>7525</v>
      </c>
      <c r="AW44" s="284">
        <v>8330</v>
      </c>
      <c r="AX44" s="284">
        <v>7626</v>
      </c>
      <c r="AY44" s="284">
        <v>7665</v>
      </c>
      <c r="AZ44" s="284">
        <v>8070</v>
      </c>
      <c r="BA44" s="284">
        <v>8498</v>
      </c>
      <c r="BB44" s="284">
        <v>9141</v>
      </c>
      <c r="BC44" s="284">
        <v>8834</v>
      </c>
      <c r="BD44" s="284">
        <v>9001</v>
      </c>
      <c r="BE44" s="284">
        <v>9330</v>
      </c>
      <c r="BF44" s="284">
        <v>9254</v>
      </c>
      <c r="BG44" s="284">
        <v>8435</v>
      </c>
      <c r="BH44" s="284">
        <v>9633</v>
      </c>
      <c r="BI44" s="284">
        <v>9340</v>
      </c>
      <c r="BJ44" s="284">
        <v>8785</v>
      </c>
      <c r="BK44" s="284">
        <v>9271</v>
      </c>
      <c r="BL44" s="284">
        <v>9599</v>
      </c>
      <c r="BM44" s="284">
        <v>7787</v>
      </c>
      <c r="BN44" s="284">
        <v>10178</v>
      </c>
      <c r="BO44" s="284">
        <v>9656</v>
      </c>
      <c r="BP44" s="284">
        <v>9365</v>
      </c>
      <c r="BQ44" s="284">
        <v>8254</v>
      </c>
      <c r="BR44" s="284">
        <v>7572</v>
      </c>
      <c r="BS44" s="284">
        <v>7868</v>
      </c>
      <c r="BT44" s="284">
        <v>8130</v>
      </c>
      <c r="BU44" s="284">
        <v>7821</v>
      </c>
      <c r="BV44" s="284">
        <v>7667</v>
      </c>
      <c r="BW44" s="284">
        <v>7940</v>
      </c>
      <c r="BX44" s="284">
        <v>8403</v>
      </c>
      <c r="BY44" s="284">
        <v>7464</v>
      </c>
      <c r="BZ44" s="284">
        <v>8363</v>
      </c>
      <c r="CA44" s="284">
        <v>8022</v>
      </c>
      <c r="CB44" s="284">
        <v>8217</v>
      </c>
      <c r="CC44" s="284">
        <v>8269</v>
      </c>
      <c r="CD44" s="284">
        <v>7924</v>
      </c>
      <c r="CE44" s="284">
        <v>8075</v>
      </c>
      <c r="CF44" s="284">
        <v>8049</v>
      </c>
      <c r="CG44" s="284">
        <v>7765</v>
      </c>
      <c r="CH44" s="284">
        <v>7589</v>
      </c>
      <c r="CI44" s="284">
        <v>8163</v>
      </c>
      <c r="CJ44" s="284">
        <v>7570</v>
      </c>
      <c r="CK44" s="284">
        <v>7771</v>
      </c>
      <c r="CL44" s="284">
        <v>7795</v>
      </c>
      <c r="CM44" s="284">
        <v>7790</v>
      </c>
      <c r="CN44" s="284">
        <v>7989</v>
      </c>
      <c r="CO44" s="284">
        <v>7899</v>
      </c>
      <c r="CP44" s="284">
        <v>7863</v>
      </c>
      <c r="CQ44" s="284">
        <v>8164</v>
      </c>
      <c r="CR44" s="284">
        <v>8047</v>
      </c>
      <c r="CS44" s="284">
        <v>7764</v>
      </c>
      <c r="CT44" s="284">
        <v>7687</v>
      </c>
      <c r="CU44" s="284">
        <v>8258</v>
      </c>
      <c r="CV44" s="284">
        <v>8118</v>
      </c>
      <c r="CW44" s="284">
        <v>7823</v>
      </c>
      <c r="CX44" s="284">
        <v>7951</v>
      </c>
      <c r="CY44" s="284">
        <v>7873</v>
      </c>
      <c r="CZ44" s="284">
        <v>8143</v>
      </c>
      <c r="DA44" s="284">
        <v>7993</v>
      </c>
      <c r="DB44" s="284">
        <v>8326</v>
      </c>
      <c r="DC44" s="284">
        <v>8312</v>
      </c>
      <c r="DD44" s="284">
        <v>8772</v>
      </c>
      <c r="DE44" s="284">
        <v>8452</v>
      </c>
      <c r="DF44" s="284">
        <v>8388</v>
      </c>
      <c r="DG44" s="284">
        <v>8926</v>
      </c>
      <c r="DH44" s="284">
        <v>9401</v>
      </c>
      <c r="DI44" s="284">
        <v>8865</v>
      </c>
      <c r="DJ44" s="284">
        <v>9424</v>
      </c>
      <c r="DK44" s="284">
        <v>9472</v>
      </c>
      <c r="DL44" s="284">
        <v>9978</v>
      </c>
      <c r="DM44" s="284">
        <v>10017</v>
      </c>
      <c r="DN44" s="284">
        <v>10157</v>
      </c>
      <c r="DO44" s="284">
        <v>10788</v>
      </c>
      <c r="DP44" s="284">
        <v>11289</v>
      </c>
      <c r="DQ44" s="284">
        <v>10350</v>
      </c>
      <c r="DR44" s="284">
        <v>10336</v>
      </c>
      <c r="DS44" s="284">
        <v>11763</v>
      </c>
      <c r="DT44" s="284">
        <v>12401</v>
      </c>
      <c r="DU44" s="284">
        <v>11060</v>
      </c>
      <c r="DV44" s="284">
        <v>12692</v>
      </c>
      <c r="DW44" s="284">
        <v>12299</v>
      </c>
      <c r="DX44" s="284">
        <v>12244</v>
      </c>
      <c r="DY44" s="284">
        <v>12270</v>
      </c>
      <c r="DZ44" s="284">
        <v>11407</v>
      </c>
      <c r="EA44" s="284">
        <v>11607</v>
      </c>
      <c r="EB44" s="284">
        <v>11525</v>
      </c>
      <c r="EC44" s="284">
        <v>10321</v>
      </c>
      <c r="ED44" s="284">
        <v>9363</v>
      </c>
      <c r="EE44" s="284">
        <v>9927</v>
      </c>
      <c r="EF44" s="284">
        <v>10026</v>
      </c>
      <c r="EG44" s="284">
        <v>9574</v>
      </c>
      <c r="EH44" s="284">
        <v>8706</v>
      </c>
      <c r="EI44" s="284">
        <v>7483</v>
      </c>
      <c r="EJ44" s="284">
        <v>7574</v>
      </c>
      <c r="EK44" s="284">
        <v>7569</v>
      </c>
      <c r="EL44" s="284">
        <v>6931</v>
      </c>
      <c r="EM44" s="284">
        <v>7109</v>
      </c>
      <c r="EN44" s="284">
        <v>7457</v>
      </c>
      <c r="EO44" s="284">
        <v>6840</v>
      </c>
      <c r="EP44" s="284">
        <v>6845</v>
      </c>
      <c r="EQ44" s="284">
        <v>7609</v>
      </c>
      <c r="ER44" s="284">
        <v>7173</v>
      </c>
      <c r="ES44" s="284">
        <v>7314</v>
      </c>
      <c r="ET44" s="284">
        <v>7474</v>
      </c>
      <c r="EU44" s="284">
        <v>7105</v>
      </c>
      <c r="EV44" s="284">
        <v>7435</v>
      </c>
      <c r="EW44" s="284">
        <v>7082</v>
      </c>
      <c r="EX44" s="284">
        <v>6839</v>
      </c>
      <c r="EY44" s="284">
        <v>7418</v>
      </c>
      <c r="EZ44" s="284">
        <v>7381</v>
      </c>
      <c r="FA44" s="284">
        <v>6865</v>
      </c>
      <c r="FB44" s="284">
        <v>6947</v>
      </c>
      <c r="FC44" s="284">
        <v>7570</v>
      </c>
      <c r="FD44" s="284">
        <v>7579</v>
      </c>
      <c r="FE44" s="284">
        <v>7011</v>
      </c>
      <c r="FF44" s="284">
        <v>7206</v>
      </c>
      <c r="FG44" s="284">
        <v>6990</v>
      </c>
      <c r="FH44" s="284">
        <v>7001</v>
      </c>
      <c r="FI44" s="284">
        <v>6820</v>
      </c>
      <c r="FJ44" s="284">
        <v>6876</v>
      </c>
      <c r="FK44" s="284">
        <v>7240</v>
      </c>
      <c r="FL44" s="284">
        <v>7277</v>
      </c>
      <c r="FM44" s="284">
        <v>6776</v>
      </c>
      <c r="FN44" s="284">
        <v>6689</v>
      </c>
      <c r="FO44" s="284">
        <v>7239</v>
      </c>
      <c r="FP44" s="284">
        <v>7196</v>
      </c>
      <c r="FQ44" s="284">
        <v>6823</v>
      </c>
      <c r="FR44" s="284">
        <v>7125</v>
      </c>
      <c r="FS44" s="284">
        <v>7137</v>
      </c>
      <c r="FT44" s="284">
        <v>7374</v>
      </c>
      <c r="FU44" s="284">
        <v>7046</v>
      </c>
      <c r="FV44" s="284">
        <v>6817</v>
      </c>
      <c r="FW44" s="284">
        <v>7030</v>
      </c>
      <c r="FX44" s="284">
        <v>7511</v>
      </c>
      <c r="FY44" s="284">
        <v>6469</v>
      </c>
      <c r="FZ44" s="284">
        <v>6271</v>
      </c>
      <c r="GA44" s="284">
        <v>6681</v>
      </c>
      <c r="GB44" s="284">
        <v>6102</v>
      </c>
      <c r="GC44" s="284">
        <v>5916</v>
      </c>
      <c r="GD44" s="284">
        <v>6233</v>
      </c>
      <c r="GE44" s="284">
        <v>5980</v>
      </c>
      <c r="GF44" s="284">
        <v>5969.7999999999993</v>
      </c>
      <c r="GG44" s="284">
        <v>6279.5</v>
      </c>
      <c r="GH44" s="284">
        <v>5654.8</v>
      </c>
      <c r="GI44" s="284">
        <v>6409.7</v>
      </c>
      <c r="GJ44" s="284">
        <v>6114.2</v>
      </c>
      <c r="GK44" s="284">
        <v>6219.7999999999993</v>
      </c>
      <c r="GL44" s="284">
        <v>5786.7000000000007</v>
      </c>
      <c r="GM44" s="284">
        <v>6233.4</v>
      </c>
      <c r="GN44" s="284">
        <v>6363.9</v>
      </c>
      <c r="GO44" s="284">
        <v>5690</v>
      </c>
      <c r="GP44" s="284">
        <v>6619.9</v>
      </c>
      <c r="GQ44" s="284">
        <v>6399.6</v>
      </c>
      <c r="GR44" s="284">
        <v>6159.7</v>
      </c>
      <c r="GS44" s="284">
        <v>6338.3</v>
      </c>
      <c r="GT44" s="284">
        <v>6348.8</v>
      </c>
      <c r="GU44" s="284">
        <v>6410.9</v>
      </c>
      <c r="GV44" s="284">
        <v>6819.7</v>
      </c>
      <c r="GW44" s="284">
        <v>6053.1</v>
      </c>
      <c r="GX44" s="284">
        <v>7065.6</v>
      </c>
      <c r="GY44" s="284">
        <v>6644.7</v>
      </c>
      <c r="GZ44" s="284">
        <v>6320.2</v>
      </c>
      <c r="HA44" s="284">
        <v>6288</v>
      </c>
      <c r="HB44" s="284">
        <v>6670.4</v>
      </c>
      <c r="HC44" s="284">
        <v>6663.2999999999993</v>
      </c>
      <c r="HD44" s="284">
        <v>6661.6</v>
      </c>
      <c r="HE44" s="284">
        <v>6270.7000000000007</v>
      </c>
      <c r="HF44" s="284">
        <v>5646.3</v>
      </c>
      <c r="HG44" s="284">
        <v>7061.8</v>
      </c>
      <c r="HH44" s="284">
        <v>6981</v>
      </c>
      <c r="HI44" s="284">
        <v>7216.7</v>
      </c>
      <c r="HJ44" s="284">
        <v>6697</v>
      </c>
      <c r="HK44" s="284">
        <v>7058.6</v>
      </c>
      <c r="HL44" s="284">
        <v>7351.4</v>
      </c>
      <c r="HM44" s="284">
        <v>6735.2</v>
      </c>
      <c r="HN44" s="284">
        <v>7343.8</v>
      </c>
      <c r="HO44" s="284">
        <v>8061.1</v>
      </c>
      <c r="HP44" s="284">
        <v>7080</v>
      </c>
      <c r="HQ44" s="284">
        <v>6856.7</v>
      </c>
      <c r="HR44" s="284">
        <v>6872.2</v>
      </c>
      <c r="HS44" s="284">
        <v>6969.7000000000007</v>
      </c>
      <c r="HT44" s="284">
        <v>6711.1</v>
      </c>
      <c r="HU44" s="284">
        <v>6948.6</v>
      </c>
      <c r="HV44" s="284">
        <v>6583.2345999999998</v>
      </c>
      <c r="HW44" s="284">
        <v>7029.4845000000005</v>
      </c>
      <c r="HX44" s="284">
        <v>7089.6823999999997</v>
      </c>
      <c r="HY44" s="284">
        <v>5821.8529999999992</v>
      </c>
      <c r="HZ44" s="284">
        <v>6458.2188000000006</v>
      </c>
      <c r="IA44" s="284">
        <v>6754.9246999999996</v>
      </c>
      <c r="IB44" s="284">
        <v>6684.4126999999999</v>
      </c>
      <c r="IC44" s="284">
        <v>7085.2847000000002</v>
      </c>
      <c r="ID44" s="284">
        <v>6583.3188</v>
      </c>
      <c r="IE44" s="284">
        <v>7655.6684999999998</v>
      </c>
      <c r="IF44" s="284">
        <v>6555.5447999999997</v>
      </c>
      <c r="IG44" s="284">
        <v>6292.9908000000005</v>
      </c>
      <c r="IH44" s="284">
        <v>6269.3626999999997</v>
      </c>
      <c r="II44" s="284">
        <v>6905.2126000000007</v>
      </c>
      <c r="IJ44" s="284">
        <v>7204.2107000000005</v>
      </c>
      <c r="IK44" s="284">
        <v>7045.8226000000004</v>
      </c>
      <c r="IL44" s="284">
        <v>6838.3547000000008</v>
      </c>
      <c r="IM44" s="850">
        <v>6957.1486999999997</v>
      </c>
      <c r="IN44" s="168"/>
    </row>
    <row r="45" spans="1:248" ht="14.25" customHeight="1">
      <c r="A45" s="81" t="s">
        <v>189</v>
      </c>
      <c r="B45" s="285">
        <v>1295</v>
      </c>
      <c r="C45" s="285">
        <v>1290</v>
      </c>
      <c r="D45" s="285">
        <v>1361</v>
      </c>
      <c r="E45" s="285">
        <v>1356</v>
      </c>
      <c r="F45" s="285">
        <v>1379</v>
      </c>
      <c r="G45" s="285">
        <v>1340</v>
      </c>
      <c r="H45" s="285">
        <v>1412</v>
      </c>
      <c r="I45" s="285">
        <v>1397</v>
      </c>
      <c r="J45" s="285">
        <v>1317</v>
      </c>
      <c r="K45" s="285">
        <v>1317</v>
      </c>
      <c r="L45" s="285">
        <v>1290</v>
      </c>
      <c r="M45" s="285">
        <v>1187</v>
      </c>
      <c r="N45" s="285">
        <v>1236</v>
      </c>
      <c r="O45" s="285">
        <v>983</v>
      </c>
      <c r="P45" s="285">
        <v>1386</v>
      </c>
      <c r="Q45" s="285">
        <v>1235</v>
      </c>
      <c r="R45" s="285">
        <v>1367</v>
      </c>
      <c r="S45" s="285">
        <v>1309</v>
      </c>
      <c r="T45" s="285">
        <v>1261</v>
      </c>
      <c r="U45" s="285">
        <v>1248</v>
      </c>
      <c r="V45" s="285">
        <v>1337</v>
      </c>
      <c r="W45" s="285">
        <v>1478</v>
      </c>
      <c r="X45" s="285">
        <v>1457</v>
      </c>
      <c r="Y45" s="285">
        <v>1471</v>
      </c>
      <c r="Z45" s="285">
        <v>1448</v>
      </c>
      <c r="AA45" s="285">
        <v>1385</v>
      </c>
      <c r="AB45" s="285">
        <v>1488</v>
      </c>
      <c r="AC45" s="285">
        <v>1530</v>
      </c>
      <c r="AD45" s="285">
        <v>1496</v>
      </c>
      <c r="AE45" s="285">
        <v>1530</v>
      </c>
      <c r="AF45" s="285">
        <v>1442</v>
      </c>
      <c r="AG45" s="285">
        <v>1438</v>
      </c>
      <c r="AH45" s="285">
        <v>1435</v>
      </c>
      <c r="AI45" s="285">
        <v>1392</v>
      </c>
      <c r="AJ45" s="285">
        <v>1058</v>
      </c>
      <c r="AK45" s="285">
        <v>872</v>
      </c>
      <c r="AL45" s="285">
        <v>941</v>
      </c>
      <c r="AM45" s="285">
        <v>944</v>
      </c>
      <c r="AN45" s="285">
        <v>966</v>
      </c>
      <c r="AO45" s="285">
        <v>954</v>
      </c>
      <c r="AP45" s="285">
        <v>1055</v>
      </c>
      <c r="AQ45" s="285">
        <v>1090</v>
      </c>
      <c r="AR45" s="285">
        <v>1129</v>
      </c>
      <c r="AS45" s="285">
        <v>1355</v>
      </c>
      <c r="AT45" s="285">
        <v>1322</v>
      </c>
      <c r="AU45" s="285">
        <v>1409</v>
      </c>
      <c r="AV45" s="285">
        <v>1471</v>
      </c>
      <c r="AW45" s="285">
        <v>1290</v>
      </c>
      <c r="AX45" s="285">
        <v>1331</v>
      </c>
      <c r="AY45" s="285">
        <v>1397</v>
      </c>
      <c r="AZ45" s="285">
        <v>1464</v>
      </c>
      <c r="BA45" s="285">
        <v>1400</v>
      </c>
      <c r="BB45" s="285">
        <v>1500</v>
      </c>
      <c r="BC45" s="285">
        <v>1436</v>
      </c>
      <c r="BD45" s="285">
        <v>1644</v>
      </c>
      <c r="BE45" s="285">
        <v>1696</v>
      </c>
      <c r="BF45" s="285">
        <v>1794</v>
      </c>
      <c r="BG45" s="285">
        <v>2137</v>
      </c>
      <c r="BH45" s="285">
        <v>1978</v>
      </c>
      <c r="BI45" s="285">
        <v>1782</v>
      </c>
      <c r="BJ45" s="285">
        <v>1921</v>
      </c>
      <c r="BK45" s="285">
        <v>1816</v>
      </c>
      <c r="BL45" s="285">
        <v>2032</v>
      </c>
      <c r="BM45" s="285">
        <v>1959</v>
      </c>
      <c r="BN45" s="285">
        <v>2055</v>
      </c>
      <c r="BO45" s="285">
        <v>2012</v>
      </c>
      <c r="BP45" s="285">
        <v>2012</v>
      </c>
      <c r="BQ45" s="285">
        <v>2130</v>
      </c>
      <c r="BR45" s="285">
        <v>2190</v>
      </c>
      <c r="BS45" s="285">
        <v>2294</v>
      </c>
      <c r="BT45" s="285">
        <v>2438</v>
      </c>
      <c r="BU45" s="285">
        <v>2266</v>
      </c>
      <c r="BV45" s="285">
        <v>2431</v>
      </c>
      <c r="BW45" s="285">
        <v>2515</v>
      </c>
      <c r="BX45" s="285">
        <v>2688</v>
      </c>
      <c r="BY45" s="285">
        <v>2445</v>
      </c>
      <c r="BZ45" s="285">
        <v>2475</v>
      </c>
      <c r="CA45" s="285">
        <v>2256</v>
      </c>
      <c r="CB45" s="285">
        <v>2304</v>
      </c>
      <c r="CC45" s="285">
        <v>2474</v>
      </c>
      <c r="CD45" s="285">
        <v>2387</v>
      </c>
      <c r="CE45" s="285">
        <v>2593</v>
      </c>
      <c r="CF45" s="285">
        <v>2622</v>
      </c>
      <c r="CG45" s="285">
        <v>2377</v>
      </c>
      <c r="CH45" s="285">
        <v>2427</v>
      </c>
      <c r="CI45" s="285">
        <v>2541</v>
      </c>
      <c r="CJ45" s="285">
        <v>2628</v>
      </c>
      <c r="CK45" s="285">
        <v>2536</v>
      </c>
      <c r="CL45" s="285">
        <v>2638</v>
      </c>
      <c r="CM45" s="285">
        <v>2610</v>
      </c>
      <c r="CN45" s="285">
        <v>2726</v>
      </c>
      <c r="CO45" s="285">
        <v>2409</v>
      </c>
      <c r="CP45" s="285">
        <v>2313</v>
      </c>
      <c r="CQ45" s="285">
        <v>2398</v>
      </c>
      <c r="CR45" s="285">
        <v>2174</v>
      </c>
      <c r="CS45" s="285">
        <v>2070</v>
      </c>
      <c r="CT45" s="285">
        <v>1614</v>
      </c>
      <c r="CU45" s="285">
        <v>1342</v>
      </c>
      <c r="CV45" s="285">
        <v>1443</v>
      </c>
      <c r="CW45" s="285">
        <v>1375</v>
      </c>
      <c r="CX45" s="285">
        <v>1481</v>
      </c>
      <c r="CY45" s="285">
        <v>1487</v>
      </c>
      <c r="CZ45" s="285">
        <v>1474</v>
      </c>
      <c r="DA45" s="285">
        <v>1444</v>
      </c>
      <c r="DB45" s="285">
        <v>1463</v>
      </c>
      <c r="DC45" s="285">
        <v>1531</v>
      </c>
      <c r="DD45" s="285">
        <v>1494</v>
      </c>
      <c r="DE45" s="285">
        <v>1566</v>
      </c>
      <c r="DF45" s="285">
        <v>1475</v>
      </c>
      <c r="DG45" s="285">
        <v>1662</v>
      </c>
      <c r="DH45" s="285">
        <v>1893</v>
      </c>
      <c r="DI45" s="285">
        <v>1946</v>
      </c>
      <c r="DJ45" s="285">
        <v>2038</v>
      </c>
      <c r="DK45" s="285">
        <v>2000</v>
      </c>
      <c r="DL45" s="285">
        <v>2045</v>
      </c>
      <c r="DM45" s="285">
        <v>1994</v>
      </c>
      <c r="DN45" s="285">
        <v>1931</v>
      </c>
      <c r="DO45" s="285">
        <v>1938</v>
      </c>
      <c r="DP45" s="285">
        <v>1891</v>
      </c>
      <c r="DQ45" s="285">
        <v>1983</v>
      </c>
      <c r="DR45" s="285">
        <v>1854</v>
      </c>
      <c r="DS45" s="285">
        <v>1742</v>
      </c>
      <c r="DT45" s="285">
        <v>2411</v>
      </c>
      <c r="DU45" s="285">
        <v>2062</v>
      </c>
      <c r="DV45" s="285">
        <v>2298</v>
      </c>
      <c r="DW45" s="285">
        <v>2348</v>
      </c>
      <c r="DX45" s="285">
        <v>2353</v>
      </c>
      <c r="DY45" s="285">
        <v>2441</v>
      </c>
      <c r="DZ45" s="285">
        <v>2389</v>
      </c>
      <c r="EA45" s="285">
        <v>2495</v>
      </c>
      <c r="EB45" s="285">
        <v>2675</v>
      </c>
      <c r="EC45" s="285">
        <v>2550</v>
      </c>
      <c r="ED45" s="285">
        <v>2702</v>
      </c>
      <c r="EE45" s="285">
        <v>2693</v>
      </c>
      <c r="EF45" s="285">
        <v>2752</v>
      </c>
      <c r="EG45" s="285">
        <v>2759</v>
      </c>
      <c r="EH45" s="285">
        <v>2867</v>
      </c>
      <c r="EI45" s="285">
        <v>2766</v>
      </c>
      <c r="EJ45" s="285">
        <v>2917</v>
      </c>
      <c r="EK45" s="285">
        <v>3002</v>
      </c>
      <c r="EL45" s="285">
        <v>2838</v>
      </c>
      <c r="EM45" s="285">
        <v>2730</v>
      </c>
      <c r="EN45" s="285">
        <v>2440</v>
      </c>
      <c r="EO45" s="285">
        <v>2311</v>
      </c>
      <c r="EP45" s="285">
        <v>2295</v>
      </c>
      <c r="EQ45" s="285">
        <v>2341</v>
      </c>
      <c r="ER45" s="285">
        <v>2593</v>
      </c>
      <c r="ES45" s="285">
        <v>2436</v>
      </c>
      <c r="ET45" s="285">
        <v>2586</v>
      </c>
      <c r="EU45" s="285">
        <v>2484</v>
      </c>
      <c r="EV45" s="285">
        <v>2609</v>
      </c>
      <c r="EW45" s="285">
        <v>2557</v>
      </c>
      <c r="EX45" s="285">
        <v>2374</v>
      </c>
      <c r="EY45" s="285">
        <v>2555</v>
      </c>
      <c r="EZ45" s="285">
        <v>2368</v>
      </c>
      <c r="FA45" s="285">
        <v>2407</v>
      </c>
      <c r="FB45" s="285">
        <v>2409</v>
      </c>
      <c r="FC45" s="285">
        <v>2393</v>
      </c>
      <c r="FD45" s="285">
        <v>2529</v>
      </c>
      <c r="FE45" s="285">
        <v>2026</v>
      </c>
      <c r="FF45" s="285">
        <v>2167</v>
      </c>
      <c r="FG45" s="285">
        <v>2013</v>
      </c>
      <c r="FH45" s="285">
        <v>2095</v>
      </c>
      <c r="FI45" s="285">
        <v>2398</v>
      </c>
      <c r="FJ45" s="285">
        <v>2341</v>
      </c>
      <c r="FK45" s="285">
        <v>2417</v>
      </c>
      <c r="FL45" s="285">
        <v>2414</v>
      </c>
      <c r="FM45" s="285">
        <v>2321</v>
      </c>
      <c r="FN45" s="285">
        <v>2323</v>
      </c>
      <c r="FO45" s="285">
        <v>2055</v>
      </c>
      <c r="FP45" s="285">
        <v>2185</v>
      </c>
      <c r="FQ45" s="285">
        <v>2102</v>
      </c>
      <c r="FR45" s="285">
        <v>2204</v>
      </c>
      <c r="FS45" s="285">
        <v>2031</v>
      </c>
      <c r="FT45" s="285">
        <v>2228</v>
      </c>
      <c r="FU45" s="285">
        <v>2115</v>
      </c>
      <c r="FV45" s="285">
        <v>1976</v>
      </c>
      <c r="FW45" s="285">
        <v>2066</v>
      </c>
      <c r="FX45" s="285">
        <v>1953</v>
      </c>
      <c r="FY45" s="285">
        <v>1956</v>
      </c>
      <c r="FZ45" s="285">
        <v>1981</v>
      </c>
      <c r="GA45" s="285">
        <v>1891</v>
      </c>
      <c r="GB45" s="285">
        <v>1929</v>
      </c>
      <c r="GC45" s="285">
        <v>1754</v>
      </c>
      <c r="GD45" s="285">
        <v>1884</v>
      </c>
      <c r="GE45" s="285">
        <v>1843</v>
      </c>
      <c r="GF45" s="285">
        <v>1869.6999999999998</v>
      </c>
      <c r="GG45" s="285">
        <v>1910.1</v>
      </c>
      <c r="GH45" s="285">
        <v>1762.3000000000002</v>
      </c>
      <c r="GI45" s="285">
        <v>1899.3000000000002</v>
      </c>
      <c r="GJ45" s="285">
        <v>1844.6</v>
      </c>
      <c r="GK45" s="285">
        <v>1890.8</v>
      </c>
      <c r="GL45" s="285">
        <v>1941.2</v>
      </c>
      <c r="GM45" s="285">
        <v>1791</v>
      </c>
      <c r="GN45" s="285">
        <v>2044.8</v>
      </c>
      <c r="GO45" s="285">
        <v>1902.7</v>
      </c>
      <c r="GP45" s="285">
        <v>1908.1000000000001</v>
      </c>
      <c r="GQ45" s="285">
        <v>1962.7</v>
      </c>
      <c r="GR45" s="285">
        <v>2067.3000000000002</v>
      </c>
      <c r="GS45" s="285">
        <v>2133.9</v>
      </c>
      <c r="GT45" s="285">
        <v>2142.5</v>
      </c>
      <c r="GU45" s="285">
        <v>2302.6</v>
      </c>
      <c r="GV45" s="285">
        <v>2259</v>
      </c>
      <c r="GW45" s="285">
        <v>2081.9</v>
      </c>
      <c r="GX45" s="285">
        <v>2147.1999999999998</v>
      </c>
      <c r="GY45" s="285">
        <v>2053.8000000000002</v>
      </c>
      <c r="GZ45" s="285">
        <v>2235.1999999999998</v>
      </c>
      <c r="HA45" s="285">
        <v>2070</v>
      </c>
      <c r="HB45" s="285">
        <v>2183.3000000000002</v>
      </c>
      <c r="HC45" s="285">
        <v>2150.8000000000002</v>
      </c>
      <c r="HD45" s="285">
        <v>2269.9</v>
      </c>
      <c r="HE45" s="285">
        <v>2282.4</v>
      </c>
      <c r="HF45" s="285">
        <v>2181.5</v>
      </c>
      <c r="HG45" s="285">
        <v>2256.5</v>
      </c>
      <c r="HH45" s="285">
        <v>2043.9</v>
      </c>
      <c r="HI45" s="285">
        <v>2184.1999999999998</v>
      </c>
      <c r="HJ45" s="285">
        <v>2285.5</v>
      </c>
      <c r="HK45" s="285">
        <v>2236.3000000000002</v>
      </c>
      <c r="HL45" s="285">
        <v>2357.4</v>
      </c>
      <c r="HM45" s="285">
        <v>2364.8000000000002</v>
      </c>
      <c r="HN45" s="285">
        <v>2361.8000000000002</v>
      </c>
      <c r="HO45" s="285">
        <v>2270.9</v>
      </c>
      <c r="HP45" s="286">
        <v>2398.8000000000002</v>
      </c>
      <c r="HQ45" s="286">
        <v>2396.1999999999998</v>
      </c>
      <c r="HR45" s="286">
        <v>1967.6999999999998</v>
      </c>
      <c r="HS45" s="286">
        <v>2429.9</v>
      </c>
      <c r="HT45" s="286">
        <v>2385.8000000000002</v>
      </c>
      <c r="HU45" s="286">
        <v>1961.4</v>
      </c>
      <c r="HV45" s="545">
        <v>1774.8179000000005</v>
      </c>
      <c r="HW45" s="545">
        <v>1851.6719000000001</v>
      </c>
      <c r="HX45" s="545">
        <v>1952.5677000000001</v>
      </c>
      <c r="HY45" s="545">
        <v>1880.6397999999999</v>
      </c>
      <c r="HZ45" s="545">
        <v>2028.4738999999997</v>
      </c>
      <c r="IA45" s="545">
        <v>1874.1539000000002</v>
      </c>
      <c r="IB45" s="545">
        <v>1822.7939000000001</v>
      </c>
      <c r="IC45" s="545">
        <v>2037.2458999999999</v>
      </c>
      <c r="ID45" s="545">
        <v>1807.3978999999999</v>
      </c>
      <c r="IE45" s="545">
        <v>1984.3079</v>
      </c>
      <c r="IF45" s="545">
        <v>1771.2779</v>
      </c>
      <c r="IG45" s="285">
        <v>1900.2899</v>
      </c>
      <c r="IH45" s="545">
        <v>1817.3579</v>
      </c>
      <c r="II45" s="545">
        <v>1934.0219</v>
      </c>
      <c r="IJ45" s="545">
        <v>1885.9498999999998</v>
      </c>
      <c r="IK45" s="545">
        <v>1859.7359000000001</v>
      </c>
      <c r="IL45" s="545">
        <v>1982.8319000000001</v>
      </c>
      <c r="IM45" s="851">
        <v>1921.4697999999999</v>
      </c>
      <c r="IN45" s="168"/>
    </row>
    <row r="46" spans="1:248">
      <c r="A46" s="81" t="s">
        <v>146</v>
      </c>
      <c r="B46" s="284">
        <v>558</v>
      </c>
      <c r="C46" s="284">
        <v>574</v>
      </c>
      <c r="D46" s="284">
        <v>642</v>
      </c>
      <c r="E46" s="284">
        <v>534</v>
      </c>
      <c r="F46" s="284">
        <v>620</v>
      </c>
      <c r="G46" s="284">
        <v>694</v>
      </c>
      <c r="H46" s="284">
        <v>564</v>
      </c>
      <c r="I46" s="284">
        <v>590</v>
      </c>
      <c r="J46" s="284">
        <v>636</v>
      </c>
      <c r="K46" s="284">
        <v>553</v>
      </c>
      <c r="L46" s="284">
        <v>571</v>
      </c>
      <c r="M46" s="284">
        <v>588</v>
      </c>
      <c r="N46" s="284">
        <v>493</v>
      </c>
      <c r="O46" s="284">
        <v>544</v>
      </c>
      <c r="P46" s="284">
        <v>625</v>
      </c>
      <c r="Q46" s="284">
        <v>538</v>
      </c>
      <c r="R46" s="284">
        <v>569</v>
      </c>
      <c r="S46" s="284">
        <v>641</v>
      </c>
      <c r="T46" s="284">
        <v>563</v>
      </c>
      <c r="U46" s="284">
        <v>639</v>
      </c>
      <c r="V46" s="284">
        <v>544</v>
      </c>
      <c r="W46" s="284">
        <v>525</v>
      </c>
      <c r="X46" s="284">
        <v>595</v>
      </c>
      <c r="Y46" s="284">
        <v>479</v>
      </c>
      <c r="Z46" s="284">
        <v>479</v>
      </c>
      <c r="AA46" s="284">
        <v>510</v>
      </c>
      <c r="AB46" s="284">
        <v>595</v>
      </c>
      <c r="AC46" s="284">
        <v>491</v>
      </c>
      <c r="AD46" s="284">
        <v>586</v>
      </c>
      <c r="AE46" s="284">
        <v>563</v>
      </c>
      <c r="AF46" s="284">
        <v>560</v>
      </c>
      <c r="AG46" s="284">
        <v>577</v>
      </c>
      <c r="AH46" s="284">
        <v>544</v>
      </c>
      <c r="AI46" s="284">
        <v>563</v>
      </c>
      <c r="AJ46" s="284">
        <v>535</v>
      </c>
      <c r="AK46" s="284">
        <v>526</v>
      </c>
      <c r="AL46" s="284">
        <v>499</v>
      </c>
      <c r="AM46" s="284">
        <v>513</v>
      </c>
      <c r="AN46" s="284">
        <v>563</v>
      </c>
      <c r="AO46" s="284">
        <v>470</v>
      </c>
      <c r="AP46" s="284">
        <v>569</v>
      </c>
      <c r="AQ46" s="284">
        <v>549</v>
      </c>
      <c r="AR46" s="284">
        <v>539</v>
      </c>
      <c r="AS46" s="284">
        <v>587</v>
      </c>
      <c r="AT46" s="284">
        <v>589</v>
      </c>
      <c r="AU46" s="284">
        <v>536</v>
      </c>
      <c r="AV46" s="284">
        <v>567</v>
      </c>
      <c r="AW46" s="284">
        <v>554</v>
      </c>
      <c r="AX46" s="284">
        <v>534</v>
      </c>
      <c r="AY46" s="284">
        <v>563</v>
      </c>
      <c r="AZ46" s="284">
        <v>501</v>
      </c>
      <c r="BA46" s="284">
        <v>464</v>
      </c>
      <c r="BB46" s="284">
        <v>609</v>
      </c>
      <c r="BC46" s="284">
        <v>602</v>
      </c>
      <c r="BD46" s="284">
        <v>591</v>
      </c>
      <c r="BE46" s="284">
        <v>627</v>
      </c>
      <c r="BF46" s="284">
        <v>600</v>
      </c>
      <c r="BG46" s="284">
        <v>617</v>
      </c>
      <c r="BH46" s="284">
        <v>629</v>
      </c>
      <c r="BI46" s="284">
        <v>626</v>
      </c>
      <c r="BJ46" s="284">
        <v>638</v>
      </c>
      <c r="BK46" s="284">
        <v>647</v>
      </c>
      <c r="BL46" s="284">
        <v>692</v>
      </c>
      <c r="BM46" s="284">
        <v>616</v>
      </c>
      <c r="BN46" s="284">
        <v>719</v>
      </c>
      <c r="BO46" s="284">
        <v>646</v>
      </c>
      <c r="BP46" s="284">
        <v>673</v>
      </c>
      <c r="BQ46" s="284">
        <v>680</v>
      </c>
      <c r="BR46" s="284">
        <v>659</v>
      </c>
      <c r="BS46" s="284">
        <v>648</v>
      </c>
      <c r="BT46" s="284">
        <v>677</v>
      </c>
      <c r="BU46" s="284">
        <v>584</v>
      </c>
      <c r="BV46" s="284">
        <v>613</v>
      </c>
      <c r="BW46" s="284">
        <v>616</v>
      </c>
      <c r="BX46" s="284">
        <v>641</v>
      </c>
      <c r="BY46" s="284">
        <v>548</v>
      </c>
      <c r="BZ46" s="284">
        <v>632</v>
      </c>
      <c r="CA46" s="284">
        <v>614</v>
      </c>
      <c r="CB46" s="284">
        <v>633</v>
      </c>
      <c r="CC46" s="284">
        <v>610</v>
      </c>
      <c r="CD46" s="284">
        <v>620</v>
      </c>
      <c r="CE46" s="284">
        <v>602</v>
      </c>
      <c r="CF46" s="284">
        <v>646</v>
      </c>
      <c r="CG46" s="284">
        <v>589</v>
      </c>
      <c r="CH46" s="284">
        <v>603</v>
      </c>
      <c r="CI46" s="284">
        <v>658</v>
      </c>
      <c r="CJ46" s="284">
        <v>643</v>
      </c>
      <c r="CK46" s="284">
        <v>649</v>
      </c>
      <c r="CL46" s="284">
        <v>711</v>
      </c>
      <c r="CM46" s="284">
        <v>686</v>
      </c>
      <c r="CN46" s="284">
        <v>702</v>
      </c>
      <c r="CO46" s="284">
        <v>695</v>
      </c>
      <c r="CP46" s="284">
        <v>711</v>
      </c>
      <c r="CQ46" s="284">
        <v>763</v>
      </c>
      <c r="CR46" s="284">
        <v>737</v>
      </c>
      <c r="CS46" s="284">
        <v>699</v>
      </c>
      <c r="CT46" s="284">
        <v>711</v>
      </c>
      <c r="CU46" s="284">
        <v>708</v>
      </c>
      <c r="CV46" s="284">
        <v>754</v>
      </c>
      <c r="CW46" s="284">
        <v>660</v>
      </c>
      <c r="CX46" s="284">
        <v>736</v>
      </c>
      <c r="CY46" s="284">
        <v>734</v>
      </c>
      <c r="CZ46" s="284">
        <v>718</v>
      </c>
      <c r="DA46" s="284">
        <v>709</v>
      </c>
      <c r="DB46" s="284">
        <v>707</v>
      </c>
      <c r="DC46" s="284">
        <v>722</v>
      </c>
      <c r="DD46" s="284">
        <v>706</v>
      </c>
      <c r="DE46" s="284">
        <v>834</v>
      </c>
      <c r="DF46" s="284">
        <v>808</v>
      </c>
      <c r="DG46" s="284">
        <v>803</v>
      </c>
      <c r="DH46" s="284">
        <v>764</v>
      </c>
      <c r="DI46" s="284">
        <v>653</v>
      </c>
      <c r="DJ46" s="284">
        <v>725</v>
      </c>
      <c r="DK46" s="284">
        <v>720</v>
      </c>
      <c r="DL46" s="284">
        <v>683</v>
      </c>
      <c r="DM46" s="284">
        <v>706</v>
      </c>
      <c r="DN46" s="284">
        <v>677</v>
      </c>
      <c r="DO46" s="284">
        <v>668</v>
      </c>
      <c r="DP46" s="284">
        <v>693</v>
      </c>
      <c r="DQ46" s="284">
        <v>633</v>
      </c>
      <c r="DR46" s="284">
        <v>635</v>
      </c>
      <c r="DS46" s="284">
        <v>625</v>
      </c>
      <c r="DT46" s="284">
        <v>677</v>
      </c>
      <c r="DU46" s="284">
        <v>604</v>
      </c>
      <c r="DV46" s="284">
        <v>645</v>
      </c>
      <c r="DW46" s="284">
        <v>642</v>
      </c>
      <c r="DX46" s="284">
        <v>639</v>
      </c>
      <c r="DY46" s="284">
        <v>701</v>
      </c>
      <c r="DZ46" s="284">
        <v>723</v>
      </c>
      <c r="EA46" s="284">
        <v>721</v>
      </c>
      <c r="EB46" s="284">
        <v>715</v>
      </c>
      <c r="EC46" s="284">
        <v>695</v>
      </c>
      <c r="ED46" s="284">
        <v>700</v>
      </c>
      <c r="EE46" s="284">
        <v>727</v>
      </c>
      <c r="EF46" s="284">
        <v>781</v>
      </c>
      <c r="EG46" s="284">
        <v>689</v>
      </c>
      <c r="EH46" s="284">
        <v>772</v>
      </c>
      <c r="EI46" s="284">
        <v>738</v>
      </c>
      <c r="EJ46" s="284">
        <v>731</v>
      </c>
      <c r="EK46" s="284">
        <v>756</v>
      </c>
      <c r="EL46" s="284">
        <v>714</v>
      </c>
      <c r="EM46" s="284">
        <v>734</v>
      </c>
      <c r="EN46" s="284">
        <v>764</v>
      </c>
      <c r="EO46" s="284">
        <v>748</v>
      </c>
      <c r="EP46" s="284">
        <v>761</v>
      </c>
      <c r="EQ46" s="284">
        <v>711</v>
      </c>
      <c r="ER46" s="284">
        <v>721</v>
      </c>
      <c r="ES46" s="284">
        <v>668</v>
      </c>
      <c r="ET46" s="284">
        <v>736</v>
      </c>
      <c r="EU46" s="284">
        <v>705</v>
      </c>
      <c r="EV46" s="284">
        <v>716</v>
      </c>
      <c r="EW46" s="284">
        <v>718</v>
      </c>
      <c r="EX46" s="284">
        <v>667</v>
      </c>
      <c r="EY46" s="284">
        <v>682</v>
      </c>
      <c r="EZ46" s="284">
        <v>705</v>
      </c>
      <c r="FA46" s="284">
        <v>652</v>
      </c>
      <c r="FB46" s="284">
        <v>673</v>
      </c>
      <c r="FC46" s="284">
        <v>718</v>
      </c>
      <c r="FD46" s="284">
        <v>778</v>
      </c>
      <c r="FE46" s="284">
        <v>694</v>
      </c>
      <c r="FF46" s="284">
        <v>811</v>
      </c>
      <c r="FG46" s="284">
        <v>762</v>
      </c>
      <c r="FH46" s="284">
        <v>765</v>
      </c>
      <c r="FI46" s="284">
        <v>805</v>
      </c>
      <c r="FJ46" s="284">
        <v>807</v>
      </c>
      <c r="FK46" s="284">
        <v>849</v>
      </c>
      <c r="FL46" s="284">
        <v>796</v>
      </c>
      <c r="FM46" s="284">
        <v>787</v>
      </c>
      <c r="FN46" s="284">
        <v>735</v>
      </c>
      <c r="FO46" s="284">
        <v>760</v>
      </c>
      <c r="FP46" s="284">
        <v>826</v>
      </c>
      <c r="FQ46" s="284">
        <v>742</v>
      </c>
      <c r="FR46" s="284">
        <v>904</v>
      </c>
      <c r="FS46" s="284">
        <v>894</v>
      </c>
      <c r="FT46" s="284">
        <v>889</v>
      </c>
      <c r="FU46" s="284">
        <v>864</v>
      </c>
      <c r="FV46" s="284">
        <v>868</v>
      </c>
      <c r="FW46" s="284">
        <v>893</v>
      </c>
      <c r="FX46" s="284">
        <v>901</v>
      </c>
      <c r="FY46" s="284">
        <v>883</v>
      </c>
      <c r="FZ46" s="284">
        <v>821</v>
      </c>
      <c r="GA46" s="284">
        <v>827</v>
      </c>
      <c r="GB46" s="284">
        <v>822</v>
      </c>
      <c r="GC46" s="284">
        <v>810</v>
      </c>
      <c r="GD46" s="284">
        <v>822</v>
      </c>
      <c r="GE46" s="284">
        <v>788</v>
      </c>
      <c r="GF46" s="284">
        <v>822.09999999999991</v>
      </c>
      <c r="GG46" s="284">
        <v>795.5</v>
      </c>
      <c r="GH46" s="284">
        <v>747</v>
      </c>
      <c r="GI46" s="284">
        <v>802.90000000000009</v>
      </c>
      <c r="GJ46" s="284">
        <v>794.90000000000009</v>
      </c>
      <c r="GK46" s="284">
        <v>749.9</v>
      </c>
      <c r="GL46" s="284">
        <v>759</v>
      </c>
      <c r="GM46" s="284">
        <v>753.9</v>
      </c>
      <c r="GN46" s="284">
        <v>790.6</v>
      </c>
      <c r="GO46" s="284">
        <v>657.3</v>
      </c>
      <c r="GP46" s="284">
        <v>783.8</v>
      </c>
      <c r="GQ46" s="284">
        <v>770.30000000000007</v>
      </c>
      <c r="GR46" s="284">
        <v>760.59999999999991</v>
      </c>
      <c r="GS46" s="284">
        <v>766.7</v>
      </c>
      <c r="GT46" s="284">
        <v>711.4</v>
      </c>
      <c r="GU46" s="284">
        <v>762.59999999999991</v>
      </c>
      <c r="GV46" s="284">
        <v>761.6</v>
      </c>
      <c r="GW46" s="284">
        <v>733.3</v>
      </c>
      <c r="GX46" s="284">
        <v>737</v>
      </c>
      <c r="GY46" s="284">
        <v>736.40000000000009</v>
      </c>
      <c r="GZ46" s="284">
        <v>811.3</v>
      </c>
      <c r="HA46" s="284">
        <v>729.2</v>
      </c>
      <c r="HB46" s="284">
        <v>785.30000000000007</v>
      </c>
      <c r="HC46" s="284">
        <v>748.4</v>
      </c>
      <c r="HD46" s="284">
        <v>728.09999999999991</v>
      </c>
      <c r="HE46" s="284">
        <v>735.40000000000009</v>
      </c>
      <c r="HF46" s="284">
        <v>696</v>
      </c>
      <c r="HG46" s="284">
        <v>781.1</v>
      </c>
      <c r="HH46" s="284">
        <v>746.30000000000007</v>
      </c>
      <c r="HI46" s="284">
        <v>641.90000000000009</v>
      </c>
      <c r="HJ46" s="284">
        <v>706.1</v>
      </c>
      <c r="HK46" s="284">
        <v>694.1</v>
      </c>
      <c r="HL46" s="284">
        <v>760.2</v>
      </c>
      <c r="HM46" s="284">
        <v>684.2</v>
      </c>
      <c r="HN46" s="284">
        <v>725.1</v>
      </c>
      <c r="HO46" s="284">
        <v>637.5</v>
      </c>
      <c r="HP46" s="284">
        <v>673.7</v>
      </c>
      <c r="HQ46" s="284">
        <v>742.8</v>
      </c>
      <c r="HR46" s="284">
        <v>670.2</v>
      </c>
      <c r="HS46" s="284">
        <v>744.09999999999991</v>
      </c>
      <c r="HT46" s="284">
        <v>761.3</v>
      </c>
      <c r="HU46" s="284">
        <v>686.09999999999991</v>
      </c>
      <c r="HV46" s="284">
        <v>656.96990000000005</v>
      </c>
      <c r="HW46" s="284">
        <v>657.71390000000008</v>
      </c>
      <c r="HX46" s="284">
        <v>698.50789999999995</v>
      </c>
      <c r="HY46" s="284">
        <v>634.4579</v>
      </c>
      <c r="HZ46" s="284">
        <v>711.7319</v>
      </c>
      <c r="IA46" s="284">
        <v>764.53790000000004</v>
      </c>
      <c r="IB46" s="284">
        <v>582.42590000000007</v>
      </c>
      <c r="IC46" s="284">
        <v>637.6979</v>
      </c>
      <c r="ID46" s="284">
        <v>613.15189999999996</v>
      </c>
      <c r="IE46" s="284">
        <v>708.8279</v>
      </c>
      <c r="IF46" s="284">
        <v>643.43990000000008</v>
      </c>
      <c r="IG46" s="284">
        <v>669.04790000000003</v>
      </c>
      <c r="IH46" s="284">
        <v>501.91800000000001</v>
      </c>
      <c r="II46" s="284">
        <v>695.89190000000008</v>
      </c>
      <c r="IJ46" s="284">
        <v>668.7179000000001</v>
      </c>
      <c r="IK46" s="284">
        <v>645.43190000000004</v>
      </c>
      <c r="IL46" s="284">
        <v>660.18589999999995</v>
      </c>
      <c r="IM46" s="850">
        <v>680.64589999999998</v>
      </c>
      <c r="IN46" s="168"/>
    </row>
    <row r="47" spans="1:248">
      <c r="A47" s="81" t="s">
        <v>148</v>
      </c>
      <c r="B47" s="285">
        <v>588</v>
      </c>
      <c r="C47" s="285">
        <v>647</v>
      </c>
      <c r="D47" s="285">
        <v>672</v>
      </c>
      <c r="E47" s="285">
        <v>577</v>
      </c>
      <c r="F47" s="285">
        <v>695</v>
      </c>
      <c r="G47" s="285">
        <v>702</v>
      </c>
      <c r="H47" s="285">
        <v>656</v>
      </c>
      <c r="I47" s="285">
        <v>713</v>
      </c>
      <c r="J47" s="285">
        <v>721</v>
      </c>
      <c r="K47" s="285">
        <v>674</v>
      </c>
      <c r="L47" s="285">
        <v>768</v>
      </c>
      <c r="M47" s="285">
        <v>585</v>
      </c>
      <c r="N47" s="285">
        <v>713</v>
      </c>
      <c r="O47" s="285">
        <v>690</v>
      </c>
      <c r="P47" s="285">
        <v>659</v>
      </c>
      <c r="Q47" s="285">
        <v>293</v>
      </c>
      <c r="R47" s="285">
        <v>312</v>
      </c>
      <c r="S47" s="285">
        <v>268</v>
      </c>
      <c r="T47" s="285">
        <v>275</v>
      </c>
      <c r="U47" s="285">
        <v>261</v>
      </c>
      <c r="V47" s="285">
        <v>275</v>
      </c>
      <c r="W47" s="285">
        <v>325</v>
      </c>
      <c r="X47" s="285">
        <v>338</v>
      </c>
      <c r="Y47" s="285">
        <v>288</v>
      </c>
      <c r="Z47" s="285">
        <v>260</v>
      </c>
      <c r="AA47" s="285">
        <v>286</v>
      </c>
      <c r="AB47" s="285">
        <v>329</v>
      </c>
      <c r="AC47" s="285">
        <v>278</v>
      </c>
      <c r="AD47" s="285">
        <v>287</v>
      </c>
      <c r="AE47" s="285">
        <v>271</v>
      </c>
      <c r="AF47" s="285">
        <v>292</v>
      </c>
      <c r="AG47" s="285">
        <v>285</v>
      </c>
      <c r="AH47" s="285">
        <v>300</v>
      </c>
      <c r="AI47" s="285">
        <v>288</v>
      </c>
      <c r="AJ47" s="285">
        <v>282</v>
      </c>
      <c r="AK47" s="285">
        <v>258</v>
      </c>
      <c r="AL47" s="285">
        <v>246</v>
      </c>
      <c r="AM47" s="285">
        <v>242</v>
      </c>
      <c r="AN47" s="285">
        <v>273</v>
      </c>
      <c r="AO47" s="285">
        <v>282</v>
      </c>
      <c r="AP47" s="285">
        <v>296</v>
      </c>
      <c r="AQ47" s="285">
        <v>314</v>
      </c>
      <c r="AR47" s="285">
        <v>332</v>
      </c>
      <c r="AS47" s="285">
        <v>313</v>
      </c>
      <c r="AT47" s="285">
        <v>345</v>
      </c>
      <c r="AU47" s="285">
        <v>331</v>
      </c>
      <c r="AV47" s="285">
        <v>361</v>
      </c>
      <c r="AW47" s="285">
        <v>328</v>
      </c>
      <c r="AX47" s="285">
        <v>301</v>
      </c>
      <c r="AY47" s="285">
        <v>343</v>
      </c>
      <c r="AZ47" s="285">
        <v>338</v>
      </c>
      <c r="BA47" s="285">
        <v>310</v>
      </c>
      <c r="BB47" s="285">
        <v>355</v>
      </c>
      <c r="BC47" s="285">
        <v>365</v>
      </c>
      <c r="BD47" s="285">
        <v>351</v>
      </c>
      <c r="BE47" s="285">
        <v>380</v>
      </c>
      <c r="BF47" s="285">
        <v>384</v>
      </c>
      <c r="BG47" s="285">
        <v>406</v>
      </c>
      <c r="BH47" s="285">
        <v>425</v>
      </c>
      <c r="BI47" s="285">
        <v>328</v>
      </c>
      <c r="BJ47" s="285">
        <v>348</v>
      </c>
      <c r="BK47" s="285">
        <v>434</v>
      </c>
      <c r="BL47" s="285">
        <v>430</v>
      </c>
      <c r="BM47" s="285">
        <v>358</v>
      </c>
      <c r="BN47" s="285">
        <v>449</v>
      </c>
      <c r="BO47" s="285">
        <v>463</v>
      </c>
      <c r="BP47" s="285">
        <v>480</v>
      </c>
      <c r="BQ47" s="285">
        <v>497</v>
      </c>
      <c r="BR47" s="285">
        <v>490</v>
      </c>
      <c r="BS47" s="285">
        <v>537</v>
      </c>
      <c r="BT47" s="285">
        <v>566</v>
      </c>
      <c r="BU47" s="285">
        <v>466</v>
      </c>
      <c r="BV47" s="285">
        <v>471</v>
      </c>
      <c r="BW47" s="285">
        <v>485</v>
      </c>
      <c r="BX47" s="285">
        <v>514</v>
      </c>
      <c r="BY47" s="285">
        <v>510</v>
      </c>
      <c r="BZ47" s="285">
        <v>610</v>
      </c>
      <c r="CA47" s="285">
        <v>597</v>
      </c>
      <c r="CB47" s="285">
        <v>601</v>
      </c>
      <c r="CC47" s="285">
        <v>588</v>
      </c>
      <c r="CD47" s="285">
        <v>592</v>
      </c>
      <c r="CE47" s="285">
        <v>634</v>
      </c>
      <c r="CF47" s="285">
        <v>657</v>
      </c>
      <c r="CG47" s="285">
        <v>530</v>
      </c>
      <c r="CH47" s="285">
        <v>552</v>
      </c>
      <c r="CI47" s="285">
        <v>575</v>
      </c>
      <c r="CJ47" s="285">
        <v>602</v>
      </c>
      <c r="CK47" s="285">
        <v>659</v>
      </c>
      <c r="CL47" s="285">
        <v>656</v>
      </c>
      <c r="CM47" s="285">
        <v>669</v>
      </c>
      <c r="CN47" s="285">
        <v>633</v>
      </c>
      <c r="CO47" s="285">
        <v>612</v>
      </c>
      <c r="CP47" s="285">
        <v>640</v>
      </c>
      <c r="CQ47" s="285">
        <v>679</v>
      </c>
      <c r="CR47" s="285">
        <v>638</v>
      </c>
      <c r="CS47" s="285">
        <v>588</v>
      </c>
      <c r="CT47" s="285">
        <v>607</v>
      </c>
      <c r="CU47" s="285">
        <v>600</v>
      </c>
      <c r="CV47" s="285">
        <v>636</v>
      </c>
      <c r="CW47" s="285">
        <v>602</v>
      </c>
      <c r="CX47" s="285">
        <v>650</v>
      </c>
      <c r="CY47" s="285">
        <v>609</v>
      </c>
      <c r="CZ47" s="285">
        <v>581</v>
      </c>
      <c r="DA47" s="285">
        <v>540</v>
      </c>
      <c r="DB47" s="285">
        <v>531</v>
      </c>
      <c r="DC47" s="285">
        <v>545</v>
      </c>
      <c r="DD47" s="285">
        <v>564</v>
      </c>
      <c r="DE47" s="285">
        <v>499</v>
      </c>
      <c r="DF47" s="285">
        <v>586</v>
      </c>
      <c r="DG47" s="285">
        <v>638</v>
      </c>
      <c r="DH47" s="285">
        <v>636</v>
      </c>
      <c r="DI47" s="285">
        <v>580</v>
      </c>
      <c r="DJ47" s="285">
        <v>649</v>
      </c>
      <c r="DK47" s="285">
        <v>669</v>
      </c>
      <c r="DL47" s="285">
        <v>684</v>
      </c>
      <c r="DM47" s="285">
        <v>710</v>
      </c>
      <c r="DN47" s="285">
        <v>655</v>
      </c>
      <c r="DO47" s="285">
        <v>638</v>
      </c>
      <c r="DP47" s="285">
        <v>675</v>
      </c>
      <c r="DQ47" s="285">
        <v>554</v>
      </c>
      <c r="DR47" s="285">
        <v>579</v>
      </c>
      <c r="DS47" s="285">
        <v>631</v>
      </c>
      <c r="DT47" s="285">
        <v>665</v>
      </c>
      <c r="DU47" s="285">
        <v>626</v>
      </c>
      <c r="DV47" s="285">
        <v>667</v>
      </c>
      <c r="DW47" s="285">
        <v>721</v>
      </c>
      <c r="DX47" s="285">
        <v>753</v>
      </c>
      <c r="DY47" s="285">
        <v>832</v>
      </c>
      <c r="DZ47" s="285">
        <v>839</v>
      </c>
      <c r="EA47" s="285">
        <v>875</v>
      </c>
      <c r="EB47" s="285">
        <v>918</v>
      </c>
      <c r="EC47" s="285">
        <v>781</v>
      </c>
      <c r="ED47" s="285">
        <v>804</v>
      </c>
      <c r="EE47" s="285">
        <v>878</v>
      </c>
      <c r="EF47" s="285">
        <v>931</v>
      </c>
      <c r="EG47" s="285">
        <v>898</v>
      </c>
      <c r="EH47" s="285">
        <v>950</v>
      </c>
      <c r="EI47" s="285">
        <v>878</v>
      </c>
      <c r="EJ47" s="285">
        <v>872</v>
      </c>
      <c r="EK47" s="285">
        <v>830</v>
      </c>
      <c r="EL47" s="285">
        <v>896</v>
      </c>
      <c r="EM47" s="285">
        <v>941</v>
      </c>
      <c r="EN47" s="285">
        <v>952</v>
      </c>
      <c r="EO47" s="285">
        <v>745</v>
      </c>
      <c r="EP47" s="285">
        <v>839</v>
      </c>
      <c r="EQ47" s="285">
        <v>845</v>
      </c>
      <c r="ER47" s="285">
        <v>952</v>
      </c>
      <c r="ES47" s="285">
        <v>946</v>
      </c>
      <c r="ET47" s="285">
        <v>952</v>
      </c>
      <c r="EU47" s="285">
        <v>865</v>
      </c>
      <c r="EV47" s="285">
        <v>923</v>
      </c>
      <c r="EW47" s="285">
        <v>920</v>
      </c>
      <c r="EX47" s="285">
        <v>927</v>
      </c>
      <c r="EY47" s="285">
        <v>949</v>
      </c>
      <c r="EZ47" s="285">
        <v>969</v>
      </c>
      <c r="FA47" s="285">
        <v>816</v>
      </c>
      <c r="FB47" s="285">
        <v>854</v>
      </c>
      <c r="FC47" s="285">
        <v>840</v>
      </c>
      <c r="FD47" s="285">
        <v>924</v>
      </c>
      <c r="FE47" s="285">
        <v>880</v>
      </c>
      <c r="FF47" s="285">
        <v>923</v>
      </c>
      <c r="FG47" s="285">
        <v>925</v>
      </c>
      <c r="FH47" s="285">
        <v>1055</v>
      </c>
      <c r="FI47" s="285">
        <v>993</v>
      </c>
      <c r="FJ47" s="285">
        <v>990</v>
      </c>
      <c r="FK47" s="285">
        <v>990</v>
      </c>
      <c r="FL47" s="285">
        <v>1020</v>
      </c>
      <c r="FM47" s="285">
        <v>820</v>
      </c>
      <c r="FN47" s="285">
        <v>762</v>
      </c>
      <c r="FO47" s="285">
        <v>777</v>
      </c>
      <c r="FP47" s="285">
        <v>820</v>
      </c>
      <c r="FQ47" s="285">
        <v>748</v>
      </c>
      <c r="FR47" s="285">
        <v>742</v>
      </c>
      <c r="FS47" s="285">
        <v>742</v>
      </c>
      <c r="FT47" s="285">
        <v>747</v>
      </c>
      <c r="FU47" s="285">
        <v>707</v>
      </c>
      <c r="FV47" s="285">
        <v>687</v>
      </c>
      <c r="FW47" s="285">
        <v>708</v>
      </c>
      <c r="FX47" s="285">
        <v>789</v>
      </c>
      <c r="FY47" s="285">
        <v>633</v>
      </c>
      <c r="FZ47" s="285">
        <v>605</v>
      </c>
      <c r="GA47" s="285">
        <v>696</v>
      </c>
      <c r="GB47" s="285">
        <v>732</v>
      </c>
      <c r="GC47" s="285">
        <v>714</v>
      </c>
      <c r="GD47" s="285">
        <v>752</v>
      </c>
      <c r="GE47" s="285">
        <v>703</v>
      </c>
      <c r="GF47" s="285">
        <v>725.4</v>
      </c>
      <c r="GG47" s="285">
        <v>745</v>
      </c>
      <c r="GH47" s="285">
        <v>722.7</v>
      </c>
      <c r="GI47" s="285">
        <v>792.3</v>
      </c>
      <c r="GJ47" s="285">
        <v>866.80000000000007</v>
      </c>
      <c r="GK47" s="285">
        <v>736.1</v>
      </c>
      <c r="GL47" s="285">
        <v>740.4</v>
      </c>
      <c r="GM47" s="285">
        <v>765.3</v>
      </c>
      <c r="GN47" s="285">
        <v>812.4</v>
      </c>
      <c r="GO47" s="285">
        <v>671.8</v>
      </c>
      <c r="GP47" s="285">
        <v>826.09999999999991</v>
      </c>
      <c r="GQ47" s="285">
        <v>789.6</v>
      </c>
      <c r="GR47" s="285">
        <v>720.6</v>
      </c>
      <c r="GS47" s="285">
        <v>742.7</v>
      </c>
      <c r="GT47" s="285">
        <v>694.8</v>
      </c>
      <c r="GU47" s="285">
        <v>906</v>
      </c>
      <c r="GV47" s="285">
        <v>945.40000000000009</v>
      </c>
      <c r="GW47" s="285">
        <v>689.59999999999991</v>
      </c>
      <c r="GX47" s="285">
        <v>656.1</v>
      </c>
      <c r="GY47" s="285">
        <v>740.09999999999991</v>
      </c>
      <c r="GZ47" s="285">
        <v>733.2</v>
      </c>
      <c r="HA47" s="285">
        <v>703.3</v>
      </c>
      <c r="HB47" s="285">
        <v>853</v>
      </c>
      <c r="HC47" s="285">
        <v>807.3</v>
      </c>
      <c r="HD47" s="285">
        <v>811.2</v>
      </c>
      <c r="HE47" s="285">
        <v>809.8</v>
      </c>
      <c r="HF47" s="285">
        <v>821.40000000000009</v>
      </c>
      <c r="HG47" s="285">
        <v>866.3</v>
      </c>
      <c r="HH47" s="285">
        <v>852.8</v>
      </c>
      <c r="HI47" s="285">
        <v>621.79999999999995</v>
      </c>
      <c r="HJ47" s="285">
        <v>718.4</v>
      </c>
      <c r="HK47" s="285">
        <v>727.9</v>
      </c>
      <c r="HL47" s="285">
        <v>723.6</v>
      </c>
      <c r="HM47" s="285">
        <v>684.2</v>
      </c>
      <c r="HN47" s="285">
        <v>770.6</v>
      </c>
      <c r="HO47" s="285">
        <v>702.2</v>
      </c>
      <c r="HP47" s="286">
        <v>806</v>
      </c>
      <c r="HQ47" s="286">
        <v>758.6</v>
      </c>
      <c r="HR47" s="286">
        <v>723</v>
      </c>
      <c r="HS47" s="286">
        <v>774</v>
      </c>
      <c r="HT47" s="286">
        <v>743.8</v>
      </c>
      <c r="HU47" s="286">
        <v>563.9</v>
      </c>
      <c r="HV47" s="545">
        <v>633.2940000000001</v>
      </c>
      <c r="HW47" s="545">
        <v>735.82799999999975</v>
      </c>
      <c r="HX47" s="545">
        <v>763.29599999999994</v>
      </c>
      <c r="HY47" s="545">
        <v>645.56399999999985</v>
      </c>
      <c r="HZ47" s="545">
        <v>614.20799999999986</v>
      </c>
      <c r="IA47" s="545">
        <v>597.00600000000009</v>
      </c>
      <c r="IB47" s="545">
        <v>747.05999999999983</v>
      </c>
      <c r="IC47" s="545">
        <v>754.05600000000015</v>
      </c>
      <c r="ID47" s="545">
        <v>702.44400000000007</v>
      </c>
      <c r="IE47" s="545">
        <v>758.53800000000012</v>
      </c>
      <c r="IF47" s="545">
        <v>672.01800000000003</v>
      </c>
      <c r="IG47" s="285">
        <v>576.67200000000003</v>
      </c>
      <c r="IH47" s="545">
        <v>588.72599999999989</v>
      </c>
      <c r="II47" s="545">
        <v>660.85800000000017</v>
      </c>
      <c r="IJ47" s="545">
        <v>672.68399999999997</v>
      </c>
      <c r="IK47" s="545">
        <v>637.54800000000023</v>
      </c>
      <c r="IL47" s="545">
        <v>660.37800000000004</v>
      </c>
      <c r="IM47" s="851">
        <v>656.19599999999969</v>
      </c>
      <c r="IN47" s="168"/>
    </row>
    <row r="48" spans="1:248">
      <c r="A48" s="81" t="s">
        <v>1032</v>
      </c>
      <c r="B48" s="284">
        <v>944</v>
      </c>
      <c r="C48" s="284">
        <v>872</v>
      </c>
      <c r="D48" s="284">
        <v>971</v>
      </c>
      <c r="E48" s="284">
        <v>944</v>
      </c>
      <c r="F48" s="284">
        <v>1043</v>
      </c>
      <c r="G48" s="284">
        <v>1098</v>
      </c>
      <c r="H48" s="284">
        <v>1017</v>
      </c>
      <c r="I48" s="284">
        <v>1066</v>
      </c>
      <c r="J48" s="284">
        <v>979</v>
      </c>
      <c r="K48" s="284">
        <v>1137</v>
      </c>
      <c r="L48" s="284">
        <v>1316</v>
      </c>
      <c r="M48" s="284">
        <v>1354</v>
      </c>
      <c r="N48" s="284">
        <v>1441</v>
      </c>
      <c r="O48" s="284">
        <v>1164</v>
      </c>
      <c r="P48" s="284">
        <v>1154</v>
      </c>
      <c r="Q48" s="284">
        <v>1052</v>
      </c>
      <c r="R48" s="284">
        <v>1240</v>
      </c>
      <c r="S48" s="284">
        <v>1165</v>
      </c>
      <c r="T48" s="284">
        <v>1348</v>
      </c>
      <c r="U48" s="284">
        <v>1294</v>
      </c>
      <c r="V48" s="284">
        <v>1100</v>
      </c>
      <c r="W48" s="284">
        <v>1292</v>
      </c>
      <c r="X48" s="284">
        <v>1290</v>
      </c>
      <c r="Y48" s="284">
        <v>1193</v>
      </c>
      <c r="Z48" s="284">
        <v>1121</v>
      </c>
      <c r="AA48" s="284">
        <v>1071</v>
      </c>
      <c r="AB48" s="284">
        <v>1176</v>
      </c>
      <c r="AC48" s="284">
        <v>1110</v>
      </c>
      <c r="AD48" s="284">
        <v>1368</v>
      </c>
      <c r="AE48" s="284">
        <v>1162</v>
      </c>
      <c r="AF48" s="284">
        <v>1161</v>
      </c>
      <c r="AG48" s="284">
        <v>1104</v>
      </c>
      <c r="AH48" s="284">
        <v>1130</v>
      </c>
      <c r="AI48" s="284">
        <v>1196</v>
      </c>
      <c r="AJ48" s="284">
        <v>1353</v>
      </c>
      <c r="AK48" s="284">
        <v>1250</v>
      </c>
      <c r="AL48" s="284">
        <v>1234</v>
      </c>
      <c r="AM48" s="284">
        <v>1183</v>
      </c>
      <c r="AN48" s="284">
        <v>1252</v>
      </c>
      <c r="AO48" s="284">
        <v>1486</v>
      </c>
      <c r="AP48" s="284">
        <v>1590</v>
      </c>
      <c r="AQ48" s="284">
        <v>1481</v>
      </c>
      <c r="AR48" s="284">
        <v>1563</v>
      </c>
      <c r="AS48" s="284">
        <v>1875</v>
      </c>
      <c r="AT48" s="284">
        <v>1670</v>
      </c>
      <c r="AU48" s="284">
        <v>1385</v>
      </c>
      <c r="AV48" s="284">
        <v>1501</v>
      </c>
      <c r="AW48" s="284">
        <v>1326</v>
      </c>
      <c r="AX48" s="284">
        <v>1718</v>
      </c>
      <c r="AY48" s="284">
        <v>1677</v>
      </c>
      <c r="AZ48" s="284">
        <v>1805</v>
      </c>
      <c r="BA48" s="284">
        <v>1849</v>
      </c>
      <c r="BB48" s="284">
        <v>1930</v>
      </c>
      <c r="BC48" s="284">
        <v>1916</v>
      </c>
      <c r="BD48" s="284">
        <v>1929</v>
      </c>
      <c r="BE48" s="284">
        <v>1738</v>
      </c>
      <c r="BF48" s="284">
        <v>1832</v>
      </c>
      <c r="BG48" s="284">
        <v>1799</v>
      </c>
      <c r="BH48" s="284">
        <v>1856</v>
      </c>
      <c r="BI48" s="284">
        <v>1706</v>
      </c>
      <c r="BJ48" s="284">
        <v>1642</v>
      </c>
      <c r="BK48" s="284">
        <v>1624</v>
      </c>
      <c r="BL48" s="284">
        <v>1847</v>
      </c>
      <c r="BM48" s="284">
        <v>1707</v>
      </c>
      <c r="BN48" s="284">
        <v>1816</v>
      </c>
      <c r="BO48" s="284">
        <v>1818</v>
      </c>
      <c r="BP48" s="284">
        <v>2077</v>
      </c>
      <c r="BQ48" s="284">
        <v>2053</v>
      </c>
      <c r="BR48" s="284">
        <v>2106</v>
      </c>
      <c r="BS48" s="284">
        <v>2338</v>
      </c>
      <c r="BT48" s="284">
        <v>2233</v>
      </c>
      <c r="BU48" s="284">
        <v>2031</v>
      </c>
      <c r="BV48" s="284">
        <v>2162</v>
      </c>
      <c r="BW48" s="284">
        <v>2076</v>
      </c>
      <c r="BX48" s="284">
        <v>2134</v>
      </c>
      <c r="BY48" s="284">
        <v>2171</v>
      </c>
      <c r="BZ48" s="284">
        <v>2220</v>
      </c>
      <c r="CA48" s="284">
        <v>2253</v>
      </c>
      <c r="CB48" s="284">
        <v>2400</v>
      </c>
      <c r="CC48" s="284">
        <v>2471</v>
      </c>
      <c r="CD48" s="284">
        <v>2402</v>
      </c>
      <c r="CE48" s="284">
        <v>2719</v>
      </c>
      <c r="CF48" s="284">
        <v>2575</v>
      </c>
      <c r="CG48" s="284">
        <v>2619</v>
      </c>
      <c r="CH48" s="284">
        <v>2565</v>
      </c>
      <c r="CI48" s="284">
        <v>2623</v>
      </c>
      <c r="CJ48" s="284">
        <v>2677</v>
      </c>
      <c r="CK48" s="284">
        <v>2550</v>
      </c>
      <c r="CL48" s="284">
        <v>2552</v>
      </c>
      <c r="CM48" s="284">
        <v>2961</v>
      </c>
      <c r="CN48" s="284">
        <v>2700</v>
      </c>
      <c r="CO48" s="284">
        <v>2810</v>
      </c>
      <c r="CP48" s="284">
        <v>2788</v>
      </c>
      <c r="CQ48" s="284">
        <v>3014</v>
      </c>
      <c r="CR48" s="284">
        <v>2797</v>
      </c>
      <c r="CS48" s="284">
        <v>2964</v>
      </c>
      <c r="CT48" s="284">
        <v>2177</v>
      </c>
      <c r="CU48" s="284">
        <v>1920</v>
      </c>
      <c r="CV48" s="284">
        <v>1751</v>
      </c>
      <c r="CW48" s="284">
        <v>1715</v>
      </c>
      <c r="CX48" s="284">
        <v>1767</v>
      </c>
      <c r="CY48" s="284">
        <v>1514</v>
      </c>
      <c r="CZ48" s="284">
        <v>1418</v>
      </c>
      <c r="DA48" s="284">
        <v>1314</v>
      </c>
      <c r="DB48" s="284">
        <v>1305</v>
      </c>
      <c r="DC48" s="284">
        <v>1320</v>
      </c>
      <c r="DD48" s="284">
        <v>1383</v>
      </c>
      <c r="DE48" s="284">
        <v>1222</v>
      </c>
      <c r="DF48" s="284">
        <v>1141</v>
      </c>
      <c r="DG48" s="284">
        <v>1150</v>
      </c>
      <c r="DH48" s="284">
        <v>1311</v>
      </c>
      <c r="DI48" s="284">
        <v>1305</v>
      </c>
      <c r="DJ48" s="284">
        <v>1372</v>
      </c>
      <c r="DK48" s="284">
        <v>1370</v>
      </c>
      <c r="DL48" s="284">
        <v>1483</v>
      </c>
      <c r="DM48" s="284">
        <v>1491</v>
      </c>
      <c r="DN48" s="284">
        <v>1593</v>
      </c>
      <c r="DO48" s="284">
        <v>1714</v>
      </c>
      <c r="DP48" s="284">
        <v>1773</v>
      </c>
      <c r="DQ48" s="284">
        <v>1890</v>
      </c>
      <c r="DR48" s="284">
        <v>1743</v>
      </c>
      <c r="DS48" s="284">
        <v>1679</v>
      </c>
      <c r="DT48" s="284">
        <v>1753</v>
      </c>
      <c r="DU48" s="284">
        <v>1731</v>
      </c>
      <c r="DV48" s="284">
        <v>2078</v>
      </c>
      <c r="DW48" s="284">
        <v>1914</v>
      </c>
      <c r="DX48" s="284">
        <v>1841</v>
      </c>
      <c r="DY48" s="284">
        <v>2033</v>
      </c>
      <c r="DZ48" s="284">
        <v>2192</v>
      </c>
      <c r="EA48" s="284">
        <v>2247</v>
      </c>
      <c r="EB48" s="284">
        <v>2135</v>
      </c>
      <c r="EC48" s="284">
        <v>2360</v>
      </c>
      <c r="ED48" s="284">
        <v>2365</v>
      </c>
      <c r="EE48" s="284">
        <v>2506</v>
      </c>
      <c r="EF48" s="284">
        <v>2560</v>
      </c>
      <c r="EG48" s="284">
        <v>2550</v>
      </c>
      <c r="EH48" s="284">
        <v>2790</v>
      </c>
      <c r="EI48" s="284">
        <v>2695</v>
      </c>
      <c r="EJ48" s="284">
        <v>2851</v>
      </c>
      <c r="EK48" s="284">
        <v>2903</v>
      </c>
      <c r="EL48" s="284">
        <v>2820</v>
      </c>
      <c r="EM48" s="284">
        <v>3060</v>
      </c>
      <c r="EN48" s="284">
        <v>3023</v>
      </c>
      <c r="EO48" s="284">
        <v>2767</v>
      </c>
      <c r="EP48" s="284">
        <v>2749</v>
      </c>
      <c r="EQ48" s="284">
        <v>2153</v>
      </c>
      <c r="ER48" s="284">
        <v>2278</v>
      </c>
      <c r="ES48" s="284">
        <v>2210</v>
      </c>
      <c r="ET48" s="284">
        <v>2232</v>
      </c>
      <c r="EU48" s="284">
        <v>2060</v>
      </c>
      <c r="EV48" s="284">
        <v>1843</v>
      </c>
      <c r="EW48" s="284">
        <v>1773</v>
      </c>
      <c r="EX48" s="284">
        <v>1484</v>
      </c>
      <c r="EY48" s="284">
        <v>1573</v>
      </c>
      <c r="EZ48" s="284">
        <v>1497</v>
      </c>
      <c r="FA48" s="284">
        <v>1408</v>
      </c>
      <c r="FB48" s="284">
        <v>1382</v>
      </c>
      <c r="FC48" s="284">
        <v>1377</v>
      </c>
      <c r="FD48" s="284">
        <v>1464</v>
      </c>
      <c r="FE48" s="284">
        <v>1459</v>
      </c>
      <c r="FF48" s="284">
        <v>1583</v>
      </c>
      <c r="FG48" s="284">
        <v>1481</v>
      </c>
      <c r="FH48" s="284">
        <v>1553</v>
      </c>
      <c r="FI48" s="284">
        <v>1392</v>
      </c>
      <c r="FJ48" s="284">
        <v>1265</v>
      </c>
      <c r="FK48" s="284">
        <v>1351</v>
      </c>
      <c r="FL48" s="284">
        <v>1429</v>
      </c>
      <c r="FM48" s="284">
        <v>1289</v>
      </c>
      <c r="FN48" s="284">
        <v>1239</v>
      </c>
      <c r="FO48" s="284">
        <v>1229</v>
      </c>
      <c r="FP48" s="284">
        <v>1272</v>
      </c>
      <c r="FQ48" s="284">
        <v>1172</v>
      </c>
      <c r="FR48" s="284">
        <v>1240</v>
      </c>
      <c r="FS48" s="284">
        <v>1163</v>
      </c>
      <c r="FT48" s="284">
        <v>939</v>
      </c>
      <c r="FU48" s="284">
        <v>956</v>
      </c>
      <c r="FV48" s="284">
        <v>900</v>
      </c>
      <c r="FW48" s="284">
        <v>939</v>
      </c>
      <c r="FX48" s="284">
        <v>900</v>
      </c>
      <c r="FY48" s="284">
        <v>809</v>
      </c>
      <c r="FZ48" s="284">
        <v>774</v>
      </c>
      <c r="GA48" s="284">
        <v>760</v>
      </c>
      <c r="GB48" s="284">
        <v>877</v>
      </c>
      <c r="GC48" s="284">
        <v>745</v>
      </c>
      <c r="GD48" s="284">
        <v>771</v>
      </c>
      <c r="GE48" s="284">
        <v>786</v>
      </c>
      <c r="GF48" s="284">
        <v>705.2</v>
      </c>
      <c r="GG48" s="284">
        <v>728.2</v>
      </c>
      <c r="GH48" s="284">
        <v>775</v>
      </c>
      <c r="GI48" s="284">
        <v>744</v>
      </c>
      <c r="GJ48" s="284">
        <v>768.3</v>
      </c>
      <c r="GK48" s="284">
        <v>778.09999999999991</v>
      </c>
      <c r="GL48" s="284">
        <v>783.7</v>
      </c>
      <c r="GM48" s="284">
        <v>694.3</v>
      </c>
      <c r="GN48" s="284">
        <v>833.8</v>
      </c>
      <c r="GO48" s="284">
        <v>780.59999999999991</v>
      </c>
      <c r="GP48" s="284">
        <v>770.90000000000009</v>
      </c>
      <c r="GQ48" s="284">
        <v>785.6</v>
      </c>
      <c r="GR48" s="284">
        <v>754.3</v>
      </c>
      <c r="GS48" s="284">
        <v>778.9</v>
      </c>
      <c r="GT48" s="284">
        <v>820.5</v>
      </c>
      <c r="GU48" s="284">
        <v>736.4</v>
      </c>
      <c r="GV48" s="284">
        <v>793.1</v>
      </c>
      <c r="GW48" s="284">
        <v>800.4</v>
      </c>
      <c r="GX48" s="284">
        <v>718.8</v>
      </c>
      <c r="GY48" s="284">
        <v>730.1</v>
      </c>
      <c r="GZ48" s="284">
        <v>815</v>
      </c>
      <c r="HA48" s="284">
        <v>818.9</v>
      </c>
      <c r="HB48" s="284">
        <v>842.1</v>
      </c>
      <c r="HC48" s="284">
        <v>855.8</v>
      </c>
      <c r="HD48" s="284">
        <v>815.59999999999991</v>
      </c>
      <c r="HE48" s="284">
        <v>900.5</v>
      </c>
      <c r="HF48" s="284">
        <v>867.3</v>
      </c>
      <c r="HG48" s="284">
        <v>813.8</v>
      </c>
      <c r="HH48" s="284">
        <v>903.3</v>
      </c>
      <c r="HI48" s="284">
        <v>803</v>
      </c>
      <c r="HJ48" s="284">
        <v>892</v>
      </c>
      <c r="HK48" s="284">
        <v>794.6</v>
      </c>
      <c r="HL48" s="284">
        <v>907.2</v>
      </c>
      <c r="HM48" s="284">
        <v>761.1</v>
      </c>
      <c r="HN48" s="284">
        <v>863.59999999999991</v>
      </c>
      <c r="HO48" s="284">
        <v>729.5</v>
      </c>
      <c r="HP48" s="284">
        <v>736.09999999999991</v>
      </c>
      <c r="HQ48" s="284">
        <v>700.7</v>
      </c>
      <c r="HR48" s="284">
        <v>727.3</v>
      </c>
      <c r="HS48" s="284">
        <v>704.1</v>
      </c>
      <c r="HT48" s="284">
        <v>656.09999999999991</v>
      </c>
      <c r="HU48" s="284">
        <v>602.5</v>
      </c>
      <c r="HV48" s="284">
        <v>690.64189999999996</v>
      </c>
      <c r="HW48" s="284">
        <v>607.07989999999995</v>
      </c>
      <c r="HX48" s="284">
        <v>474.25200000000001</v>
      </c>
      <c r="HY48" s="284">
        <v>376.62</v>
      </c>
      <c r="HZ48" s="284">
        <v>547.03800000000001</v>
      </c>
      <c r="IA48" s="284">
        <v>591.89990000000012</v>
      </c>
      <c r="IB48" s="284">
        <v>89.664000000000001</v>
      </c>
      <c r="IC48" s="284">
        <v>81.12</v>
      </c>
      <c r="ID48" s="284">
        <v>78.804000000000002</v>
      </c>
      <c r="IE48" s="284">
        <v>106.85400000000001</v>
      </c>
      <c r="IF48" s="284">
        <v>83.358000000000004</v>
      </c>
      <c r="IG48" s="284">
        <v>142.91399999999999</v>
      </c>
      <c r="IH48" s="284">
        <v>277.16999999999996</v>
      </c>
      <c r="II48" s="284">
        <v>422.22</v>
      </c>
      <c r="IJ48" s="284">
        <v>482.67599999999999</v>
      </c>
      <c r="IK48" s="284">
        <v>264.18</v>
      </c>
      <c r="IL48" s="284">
        <v>500.68200000000002</v>
      </c>
      <c r="IM48" s="850">
        <v>563.72389999999996</v>
      </c>
      <c r="IN48" s="168"/>
    </row>
    <row r="49" spans="1:665">
      <c r="A49" s="81" t="s">
        <v>8</v>
      </c>
      <c r="B49" s="285">
        <v>13120</v>
      </c>
      <c r="C49" s="285">
        <v>13099</v>
      </c>
      <c r="D49" s="285">
        <v>14423</v>
      </c>
      <c r="E49" s="285">
        <v>14027</v>
      </c>
      <c r="F49" s="285">
        <v>14275</v>
      </c>
      <c r="G49" s="285">
        <v>13943</v>
      </c>
      <c r="H49" s="285">
        <v>14145</v>
      </c>
      <c r="I49" s="285">
        <v>14026</v>
      </c>
      <c r="J49" s="285">
        <v>13305</v>
      </c>
      <c r="K49" s="285">
        <v>13485</v>
      </c>
      <c r="L49" s="285">
        <v>13261</v>
      </c>
      <c r="M49" s="285">
        <v>12897</v>
      </c>
      <c r="N49" s="285">
        <v>13844</v>
      </c>
      <c r="O49" s="285">
        <v>12534</v>
      </c>
      <c r="P49" s="285">
        <v>13503</v>
      </c>
      <c r="Q49" s="285">
        <v>13281</v>
      </c>
      <c r="R49" s="285">
        <v>13130</v>
      </c>
      <c r="S49" s="285">
        <v>12722</v>
      </c>
      <c r="T49" s="285">
        <v>14954</v>
      </c>
      <c r="U49" s="285">
        <v>12990</v>
      </c>
      <c r="V49" s="285">
        <v>14107</v>
      </c>
      <c r="W49" s="285">
        <v>13646</v>
      </c>
      <c r="X49" s="285">
        <v>13176</v>
      </c>
      <c r="Y49" s="285">
        <v>13129</v>
      </c>
      <c r="Z49" s="285">
        <v>12945</v>
      </c>
      <c r="AA49" s="285">
        <v>12489</v>
      </c>
      <c r="AB49" s="285">
        <v>13844</v>
      </c>
      <c r="AC49" s="285">
        <v>12777</v>
      </c>
      <c r="AD49" s="285">
        <v>13085</v>
      </c>
      <c r="AE49" s="285">
        <v>13142</v>
      </c>
      <c r="AF49" s="285">
        <v>13637</v>
      </c>
      <c r="AG49" s="285">
        <v>13520</v>
      </c>
      <c r="AH49" s="285">
        <v>13442</v>
      </c>
      <c r="AI49" s="285">
        <v>13488</v>
      </c>
      <c r="AJ49" s="285">
        <v>13714</v>
      </c>
      <c r="AK49" s="285">
        <v>13688</v>
      </c>
      <c r="AL49" s="285">
        <v>13402</v>
      </c>
      <c r="AM49" s="285">
        <v>14195</v>
      </c>
      <c r="AN49" s="285">
        <v>14508</v>
      </c>
      <c r="AO49" s="285">
        <v>13498</v>
      </c>
      <c r="AP49" s="285">
        <v>14261</v>
      </c>
      <c r="AQ49" s="285">
        <v>14335</v>
      </c>
      <c r="AR49" s="285">
        <v>14157</v>
      </c>
      <c r="AS49" s="285">
        <v>13866</v>
      </c>
      <c r="AT49" s="285">
        <v>13680</v>
      </c>
      <c r="AU49" s="285">
        <v>13423</v>
      </c>
      <c r="AV49" s="285">
        <v>13733</v>
      </c>
      <c r="AW49" s="285">
        <v>12497</v>
      </c>
      <c r="AX49" s="285">
        <v>12290</v>
      </c>
      <c r="AY49" s="285">
        <v>11985</v>
      </c>
      <c r="AZ49" s="285">
        <v>12492</v>
      </c>
      <c r="BA49" s="285">
        <v>12177</v>
      </c>
      <c r="BB49" s="285">
        <v>12540</v>
      </c>
      <c r="BC49" s="285">
        <v>12504</v>
      </c>
      <c r="BD49" s="285">
        <v>12130</v>
      </c>
      <c r="BE49" s="285">
        <v>12541</v>
      </c>
      <c r="BF49" s="285">
        <v>12475</v>
      </c>
      <c r="BG49" s="285">
        <v>12476</v>
      </c>
      <c r="BH49" s="285">
        <v>12534</v>
      </c>
      <c r="BI49" s="285">
        <v>11944</v>
      </c>
      <c r="BJ49" s="285">
        <v>11566</v>
      </c>
      <c r="BK49" s="285">
        <v>11584</v>
      </c>
      <c r="BL49" s="285">
        <v>12301</v>
      </c>
      <c r="BM49" s="285">
        <v>12696</v>
      </c>
      <c r="BN49" s="285">
        <v>13176</v>
      </c>
      <c r="BO49" s="285">
        <v>13031</v>
      </c>
      <c r="BP49" s="285">
        <v>13088</v>
      </c>
      <c r="BQ49" s="285">
        <v>13147</v>
      </c>
      <c r="BR49" s="285">
        <v>12969</v>
      </c>
      <c r="BS49" s="285">
        <v>13093</v>
      </c>
      <c r="BT49" s="285">
        <v>13303</v>
      </c>
      <c r="BU49" s="285">
        <v>13182</v>
      </c>
      <c r="BV49" s="285">
        <v>13427</v>
      </c>
      <c r="BW49" s="285">
        <v>13229</v>
      </c>
      <c r="BX49" s="285">
        <v>14151</v>
      </c>
      <c r="BY49" s="285">
        <v>13516</v>
      </c>
      <c r="BZ49" s="285">
        <v>14268</v>
      </c>
      <c r="CA49" s="285">
        <v>14281</v>
      </c>
      <c r="CB49" s="285">
        <v>14627</v>
      </c>
      <c r="CC49" s="285">
        <v>14517</v>
      </c>
      <c r="CD49" s="285">
        <v>14264</v>
      </c>
      <c r="CE49" s="285">
        <v>14252</v>
      </c>
      <c r="CF49" s="285">
        <v>15479</v>
      </c>
      <c r="CG49" s="285">
        <v>14227</v>
      </c>
      <c r="CH49" s="285">
        <v>14067</v>
      </c>
      <c r="CI49" s="285">
        <v>14122</v>
      </c>
      <c r="CJ49" s="285">
        <v>15013</v>
      </c>
      <c r="CK49" s="285">
        <v>15470</v>
      </c>
      <c r="CL49" s="285">
        <v>16945</v>
      </c>
      <c r="CM49" s="285">
        <v>15714</v>
      </c>
      <c r="CN49" s="285">
        <v>15362</v>
      </c>
      <c r="CO49" s="285">
        <v>16106</v>
      </c>
      <c r="CP49" s="285">
        <v>15428</v>
      </c>
      <c r="CQ49" s="285">
        <v>16941</v>
      </c>
      <c r="CR49" s="285">
        <v>15985</v>
      </c>
      <c r="CS49" s="285">
        <v>15515</v>
      </c>
      <c r="CT49" s="285">
        <v>16354</v>
      </c>
      <c r="CU49" s="285">
        <v>16313</v>
      </c>
      <c r="CV49" s="285">
        <v>17798</v>
      </c>
      <c r="CW49" s="285">
        <v>17715</v>
      </c>
      <c r="CX49" s="285">
        <v>18906</v>
      </c>
      <c r="CY49" s="285">
        <v>17500</v>
      </c>
      <c r="CZ49" s="285">
        <v>16947</v>
      </c>
      <c r="DA49" s="285">
        <v>16447</v>
      </c>
      <c r="DB49" s="285">
        <v>16234</v>
      </c>
      <c r="DC49" s="285">
        <v>17222</v>
      </c>
      <c r="DD49" s="285">
        <v>14967</v>
      </c>
      <c r="DE49" s="285">
        <v>15033</v>
      </c>
      <c r="DF49" s="285">
        <v>14479</v>
      </c>
      <c r="DG49" s="285">
        <v>15688</v>
      </c>
      <c r="DH49" s="285">
        <v>17332</v>
      </c>
      <c r="DI49" s="285">
        <v>17630</v>
      </c>
      <c r="DJ49" s="285">
        <v>17503</v>
      </c>
      <c r="DK49" s="285">
        <v>17087</v>
      </c>
      <c r="DL49" s="285">
        <v>17177</v>
      </c>
      <c r="DM49" s="285">
        <v>17627</v>
      </c>
      <c r="DN49" s="285">
        <v>17048</v>
      </c>
      <c r="DO49" s="285">
        <v>16981</v>
      </c>
      <c r="DP49" s="285">
        <v>17470</v>
      </c>
      <c r="DQ49" s="285">
        <v>17052</v>
      </c>
      <c r="DR49" s="285">
        <v>17529</v>
      </c>
      <c r="DS49" s="285">
        <v>16874</v>
      </c>
      <c r="DT49" s="285">
        <v>18409</v>
      </c>
      <c r="DU49" s="285">
        <v>18234</v>
      </c>
      <c r="DV49" s="285">
        <v>19115</v>
      </c>
      <c r="DW49" s="285">
        <v>18491</v>
      </c>
      <c r="DX49" s="285">
        <v>19405</v>
      </c>
      <c r="DY49" s="285">
        <v>20032</v>
      </c>
      <c r="DZ49" s="285">
        <v>20477</v>
      </c>
      <c r="EA49" s="285">
        <v>20636</v>
      </c>
      <c r="EB49" s="285">
        <v>20929</v>
      </c>
      <c r="EC49" s="285">
        <v>20204</v>
      </c>
      <c r="ED49" s="285">
        <v>20365</v>
      </c>
      <c r="EE49" s="285">
        <v>20518</v>
      </c>
      <c r="EF49" s="285">
        <v>21773</v>
      </c>
      <c r="EG49" s="285">
        <v>21420</v>
      </c>
      <c r="EH49" s="285">
        <v>22497</v>
      </c>
      <c r="EI49" s="285">
        <v>21982</v>
      </c>
      <c r="EJ49" s="285">
        <v>22579</v>
      </c>
      <c r="EK49" s="285">
        <v>22597</v>
      </c>
      <c r="EL49" s="285">
        <v>22282</v>
      </c>
      <c r="EM49" s="285">
        <v>22592</v>
      </c>
      <c r="EN49" s="285">
        <v>21550</v>
      </c>
      <c r="EO49" s="285">
        <v>20415</v>
      </c>
      <c r="EP49" s="285">
        <v>21658</v>
      </c>
      <c r="EQ49" s="285">
        <v>20936</v>
      </c>
      <c r="ER49" s="285">
        <v>21722</v>
      </c>
      <c r="ES49" s="285">
        <v>21235</v>
      </c>
      <c r="ET49" s="285">
        <v>22004</v>
      </c>
      <c r="EU49" s="285">
        <v>20780</v>
      </c>
      <c r="EV49" s="285">
        <v>20197</v>
      </c>
      <c r="EW49" s="285">
        <v>19126</v>
      </c>
      <c r="EX49" s="285">
        <v>18641</v>
      </c>
      <c r="EY49" s="285">
        <v>18172</v>
      </c>
      <c r="EZ49" s="285">
        <v>19231</v>
      </c>
      <c r="FA49" s="285">
        <v>16532</v>
      </c>
      <c r="FB49" s="285">
        <v>16440</v>
      </c>
      <c r="FC49" s="285">
        <v>15942</v>
      </c>
      <c r="FD49" s="285">
        <v>16772</v>
      </c>
      <c r="FE49" s="285">
        <v>16654</v>
      </c>
      <c r="FF49" s="285">
        <v>16969</v>
      </c>
      <c r="FG49" s="285">
        <v>16310</v>
      </c>
      <c r="FH49" s="285">
        <v>16718</v>
      </c>
      <c r="FI49" s="285">
        <v>17120</v>
      </c>
      <c r="FJ49" s="285">
        <v>16657</v>
      </c>
      <c r="FK49" s="285">
        <v>17705</v>
      </c>
      <c r="FL49" s="285">
        <v>16994</v>
      </c>
      <c r="FM49" s="285">
        <v>16495</v>
      </c>
      <c r="FN49" s="285">
        <v>16410</v>
      </c>
      <c r="FO49" s="285">
        <v>16498</v>
      </c>
      <c r="FP49" s="285">
        <v>18023</v>
      </c>
      <c r="FQ49" s="285">
        <v>17638</v>
      </c>
      <c r="FR49" s="285">
        <v>17757</v>
      </c>
      <c r="FS49" s="285">
        <v>17697</v>
      </c>
      <c r="FT49" s="285">
        <v>18203</v>
      </c>
      <c r="FU49" s="285">
        <v>18540</v>
      </c>
      <c r="FV49" s="285">
        <v>17852</v>
      </c>
      <c r="FW49" s="285">
        <v>19089</v>
      </c>
      <c r="FX49" s="285">
        <v>19014</v>
      </c>
      <c r="FY49" s="285">
        <v>18554</v>
      </c>
      <c r="FZ49" s="285">
        <v>19016</v>
      </c>
      <c r="GA49" s="285">
        <v>19442</v>
      </c>
      <c r="GB49" s="285">
        <v>20198</v>
      </c>
      <c r="GC49" s="285">
        <v>20595</v>
      </c>
      <c r="GD49" s="285">
        <v>20967</v>
      </c>
      <c r="GE49" s="285">
        <v>20813</v>
      </c>
      <c r="GF49" s="285">
        <v>21029.4</v>
      </c>
      <c r="GG49" s="285">
        <v>21416</v>
      </c>
      <c r="GH49" s="285">
        <v>21112.9</v>
      </c>
      <c r="GI49" s="285">
        <v>22162.400000000001</v>
      </c>
      <c r="GJ49" s="285">
        <v>21950.3</v>
      </c>
      <c r="GK49" s="285">
        <v>20652.5</v>
      </c>
      <c r="GL49" s="285">
        <v>21285</v>
      </c>
      <c r="GM49" s="285">
        <v>20710.5</v>
      </c>
      <c r="GN49" s="285">
        <v>22569.699999999997</v>
      </c>
      <c r="GO49" s="285">
        <v>21603.5</v>
      </c>
      <c r="GP49" s="285">
        <v>23991.5</v>
      </c>
      <c r="GQ49" s="285">
        <v>22688.9</v>
      </c>
      <c r="GR49" s="285">
        <v>23208.400000000001</v>
      </c>
      <c r="GS49" s="285">
        <v>23840</v>
      </c>
      <c r="GT49" s="285">
        <v>22420.9</v>
      </c>
      <c r="GU49" s="285">
        <v>24529.4</v>
      </c>
      <c r="GV49" s="285">
        <v>23729.5</v>
      </c>
      <c r="GW49" s="285">
        <v>22597.800000000003</v>
      </c>
      <c r="GX49" s="285">
        <v>23274.1</v>
      </c>
      <c r="GY49" s="285">
        <v>22820.799999999999</v>
      </c>
      <c r="GZ49" s="285">
        <v>25318.5</v>
      </c>
      <c r="HA49" s="285">
        <v>24086.800000000003</v>
      </c>
      <c r="HB49" s="285">
        <v>25087.300000000003</v>
      </c>
      <c r="HC49" s="285">
        <v>24453.8</v>
      </c>
      <c r="HD49" s="285">
        <v>26143.9</v>
      </c>
      <c r="HE49" s="285">
        <v>25890.199999999997</v>
      </c>
      <c r="HF49" s="285">
        <v>24421.7</v>
      </c>
      <c r="HG49" s="285">
        <v>26074.1</v>
      </c>
      <c r="HH49" s="285">
        <v>26827.4</v>
      </c>
      <c r="HI49" s="285">
        <v>24313</v>
      </c>
      <c r="HJ49" s="285">
        <v>25278.7</v>
      </c>
      <c r="HK49" s="285">
        <v>24247.7</v>
      </c>
      <c r="HL49" s="285">
        <v>26984.400000000001</v>
      </c>
      <c r="HM49" s="285">
        <v>25523.800000000003</v>
      </c>
      <c r="HN49" s="285">
        <v>27042.7</v>
      </c>
      <c r="HO49" s="285">
        <v>25267</v>
      </c>
      <c r="HP49" s="286">
        <v>27500.400000000001</v>
      </c>
      <c r="HQ49" s="286">
        <v>26230.2</v>
      </c>
      <c r="HR49" s="286">
        <v>25383.599999999999</v>
      </c>
      <c r="HS49" s="286">
        <v>26901</v>
      </c>
      <c r="HT49" s="286">
        <v>26902</v>
      </c>
      <c r="HU49" s="286">
        <v>25134.699999999997</v>
      </c>
      <c r="HV49" s="545">
        <v>25727.475100000003</v>
      </c>
      <c r="HW49" s="545">
        <v>25863.345100000006</v>
      </c>
      <c r="HX49" s="545">
        <v>27372.969000000001</v>
      </c>
      <c r="HY49" s="545">
        <v>25205.019400000001</v>
      </c>
      <c r="HZ49" s="545">
        <v>26874.998899999999</v>
      </c>
      <c r="IA49" s="545">
        <v>26971.035000000003</v>
      </c>
      <c r="IB49" s="545">
        <v>29960.943200000002</v>
      </c>
      <c r="IC49" s="545">
        <v>31004.133000000002</v>
      </c>
      <c r="ID49" s="545">
        <v>29315.031099999978</v>
      </c>
      <c r="IE49" s="545">
        <v>31210.13700000001</v>
      </c>
      <c r="IF49" s="545">
        <v>27042.603099999993</v>
      </c>
      <c r="IG49" s="285">
        <v>27940.689399999999</v>
      </c>
      <c r="IH49" s="545">
        <v>27168.729500000001</v>
      </c>
      <c r="II49" s="545">
        <v>27951.09320000001</v>
      </c>
      <c r="IJ49" s="545">
        <v>27553.569399999993</v>
      </c>
      <c r="IK49" s="545">
        <v>26717.121400000004</v>
      </c>
      <c r="IL49" s="545">
        <v>27540.735199999999</v>
      </c>
      <c r="IM49" s="851">
        <v>27633.645</v>
      </c>
      <c r="IN49" s="168"/>
    </row>
    <row r="50" spans="1:665">
      <c r="A50" s="81" t="s">
        <v>142</v>
      </c>
      <c r="B50" s="284">
        <v>7990</v>
      </c>
      <c r="C50" s="284">
        <v>8067</v>
      </c>
      <c r="D50" s="284">
        <v>9260</v>
      </c>
      <c r="E50" s="284">
        <v>8393</v>
      </c>
      <c r="F50" s="284">
        <v>9141</v>
      </c>
      <c r="G50" s="284">
        <v>8619</v>
      </c>
      <c r="H50" s="284">
        <v>8892</v>
      </c>
      <c r="I50" s="284">
        <v>9633</v>
      </c>
      <c r="J50" s="284">
        <v>8500</v>
      </c>
      <c r="K50" s="284">
        <v>8996</v>
      </c>
      <c r="L50" s="284">
        <v>9424</v>
      </c>
      <c r="M50" s="284">
        <v>8202</v>
      </c>
      <c r="N50" s="284">
        <v>8196</v>
      </c>
      <c r="O50" s="284">
        <v>7314</v>
      </c>
      <c r="P50" s="284">
        <v>8457</v>
      </c>
      <c r="Q50" s="284">
        <v>7637</v>
      </c>
      <c r="R50" s="284">
        <v>8259</v>
      </c>
      <c r="S50" s="284">
        <v>7895</v>
      </c>
      <c r="T50" s="284">
        <v>8217</v>
      </c>
      <c r="U50" s="284">
        <v>8465</v>
      </c>
      <c r="V50" s="284">
        <v>8812</v>
      </c>
      <c r="W50" s="284">
        <v>9343</v>
      </c>
      <c r="X50" s="284">
        <v>9260</v>
      </c>
      <c r="Y50" s="284">
        <v>9496</v>
      </c>
      <c r="Z50" s="284">
        <v>9598</v>
      </c>
      <c r="AA50" s="284">
        <v>9550</v>
      </c>
      <c r="AB50" s="284">
        <v>10549</v>
      </c>
      <c r="AC50" s="284">
        <v>9732</v>
      </c>
      <c r="AD50" s="284">
        <v>10930</v>
      </c>
      <c r="AE50" s="284">
        <v>10184</v>
      </c>
      <c r="AF50" s="284">
        <v>10604</v>
      </c>
      <c r="AG50" s="284">
        <v>10674</v>
      </c>
      <c r="AH50" s="284">
        <v>10868</v>
      </c>
      <c r="AI50" s="284">
        <v>11369</v>
      </c>
      <c r="AJ50" s="284">
        <v>11066</v>
      </c>
      <c r="AK50" s="284">
        <v>11019</v>
      </c>
      <c r="AL50" s="284">
        <v>11492</v>
      </c>
      <c r="AM50" s="284">
        <v>11403</v>
      </c>
      <c r="AN50" s="284">
        <v>12438</v>
      </c>
      <c r="AO50" s="284">
        <v>12040</v>
      </c>
      <c r="AP50" s="284">
        <v>12903</v>
      </c>
      <c r="AQ50" s="284">
        <v>13410</v>
      </c>
      <c r="AR50" s="284">
        <v>12603</v>
      </c>
      <c r="AS50" s="284">
        <v>12445</v>
      </c>
      <c r="AT50" s="284">
        <v>13379</v>
      </c>
      <c r="AU50" s="284">
        <v>13436</v>
      </c>
      <c r="AV50" s="284">
        <v>12914</v>
      </c>
      <c r="AW50" s="284">
        <v>11626</v>
      </c>
      <c r="AX50" s="284">
        <v>11214</v>
      </c>
      <c r="AY50" s="284">
        <v>11299</v>
      </c>
      <c r="AZ50" s="284">
        <v>12631</v>
      </c>
      <c r="BA50" s="284">
        <v>12065</v>
      </c>
      <c r="BB50" s="284">
        <v>13032</v>
      </c>
      <c r="BC50" s="284">
        <v>12771</v>
      </c>
      <c r="BD50" s="284">
        <v>13811</v>
      </c>
      <c r="BE50" s="284">
        <v>13034</v>
      </c>
      <c r="BF50" s="284">
        <v>13972</v>
      </c>
      <c r="BG50" s="284">
        <v>14485</v>
      </c>
      <c r="BH50" s="284">
        <v>14719</v>
      </c>
      <c r="BI50" s="284">
        <v>13676</v>
      </c>
      <c r="BJ50" s="284">
        <v>13111</v>
      </c>
      <c r="BK50" s="284">
        <v>14754</v>
      </c>
      <c r="BL50" s="284">
        <v>16118</v>
      </c>
      <c r="BM50" s="284">
        <v>15493</v>
      </c>
      <c r="BN50" s="284">
        <v>17597</v>
      </c>
      <c r="BO50" s="284">
        <v>17553</v>
      </c>
      <c r="BP50" s="284">
        <v>17826</v>
      </c>
      <c r="BQ50" s="284">
        <v>18318</v>
      </c>
      <c r="BR50" s="284">
        <v>18845</v>
      </c>
      <c r="BS50" s="284">
        <v>18920</v>
      </c>
      <c r="BT50" s="284">
        <v>18599</v>
      </c>
      <c r="BU50" s="284">
        <v>16861</v>
      </c>
      <c r="BV50" s="284">
        <v>16254</v>
      </c>
      <c r="BW50" s="284">
        <v>18278</v>
      </c>
      <c r="BX50" s="284">
        <v>18026</v>
      </c>
      <c r="BY50" s="284">
        <v>17917</v>
      </c>
      <c r="BZ50" s="284">
        <v>19976</v>
      </c>
      <c r="CA50" s="284">
        <v>18962</v>
      </c>
      <c r="CB50" s="284">
        <v>19762</v>
      </c>
      <c r="CC50" s="284">
        <v>20546</v>
      </c>
      <c r="CD50" s="284">
        <v>18672</v>
      </c>
      <c r="CE50" s="284">
        <v>18738</v>
      </c>
      <c r="CF50" s="284">
        <v>19170</v>
      </c>
      <c r="CG50" s="284">
        <v>16945</v>
      </c>
      <c r="CH50" s="284">
        <v>18631</v>
      </c>
      <c r="CI50" s="284">
        <v>19306</v>
      </c>
      <c r="CJ50" s="284">
        <v>19986</v>
      </c>
      <c r="CK50" s="284">
        <v>20441</v>
      </c>
      <c r="CL50" s="284">
        <v>21671</v>
      </c>
      <c r="CM50" s="284">
        <v>22476</v>
      </c>
      <c r="CN50" s="284">
        <v>24319</v>
      </c>
      <c r="CO50" s="284">
        <v>25915</v>
      </c>
      <c r="CP50" s="284">
        <v>26571</v>
      </c>
      <c r="CQ50" s="284">
        <v>27225</v>
      </c>
      <c r="CR50" s="284">
        <v>26325</v>
      </c>
      <c r="CS50" s="284">
        <v>22808</v>
      </c>
      <c r="CT50" s="284">
        <v>23460</v>
      </c>
      <c r="CU50" s="284">
        <v>24250</v>
      </c>
      <c r="CV50" s="284">
        <v>26877</v>
      </c>
      <c r="CW50" s="284">
        <v>26221</v>
      </c>
      <c r="CX50" s="284">
        <v>26365</v>
      </c>
      <c r="CY50" s="284">
        <v>26226</v>
      </c>
      <c r="CZ50" s="284">
        <v>27481</v>
      </c>
      <c r="DA50" s="284">
        <v>26348</v>
      </c>
      <c r="DB50" s="284">
        <v>25738</v>
      </c>
      <c r="DC50" s="284">
        <v>26280</v>
      </c>
      <c r="DD50" s="284">
        <v>26706</v>
      </c>
      <c r="DE50" s="284">
        <v>25167</v>
      </c>
      <c r="DF50" s="284">
        <v>24187</v>
      </c>
      <c r="DG50" s="284">
        <v>24606</v>
      </c>
      <c r="DH50" s="284">
        <v>26401</v>
      </c>
      <c r="DI50" s="284">
        <v>25198</v>
      </c>
      <c r="DJ50" s="284">
        <v>26359</v>
      </c>
      <c r="DK50" s="284">
        <v>27511</v>
      </c>
      <c r="DL50" s="284">
        <v>29405</v>
      </c>
      <c r="DM50" s="284">
        <v>29892</v>
      </c>
      <c r="DN50" s="284">
        <v>28964</v>
      </c>
      <c r="DO50" s="284">
        <v>30275</v>
      </c>
      <c r="DP50" s="284">
        <v>30854</v>
      </c>
      <c r="DQ50" s="284">
        <v>27922</v>
      </c>
      <c r="DR50" s="284">
        <v>28642</v>
      </c>
      <c r="DS50" s="284">
        <v>27616</v>
      </c>
      <c r="DT50" s="284">
        <v>30481</v>
      </c>
      <c r="DU50" s="284">
        <v>30532</v>
      </c>
      <c r="DV50" s="284">
        <v>34785</v>
      </c>
      <c r="DW50" s="284">
        <v>34128</v>
      </c>
      <c r="DX50" s="284">
        <v>34969</v>
      </c>
      <c r="DY50" s="284">
        <v>36906</v>
      </c>
      <c r="DZ50" s="284">
        <v>36809</v>
      </c>
      <c r="EA50" s="284">
        <v>37582</v>
      </c>
      <c r="EB50" s="284">
        <v>38568</v>
      </c>
      <c r="EC50" s="284">
        <v>35972</v>
      </c>
      <c r="ED50" s="284">
        <v>37952</v>
      </c>
      <c r="EE50" s="284">
        <v>40702</v>
      </c>
      <c r="EF50" s="284">
        <v>44736</v>
      </c>
      <c r="EG50" s="284">
        <v>44108</v>
      </c>
      <c r="EH50" s="284">
        <v>48711</v>
      </c>
      <c r="EI50" s="284">
        <v>47599</v>
      </c>
      <c r="EJ50" s="284">
        <v>50182</v>
      </c>
      <c r="EK50" s="284">
        <v>52709</v>
      </c>
      <c r="EL50" s="284">
        <v>49996</v>
      </c>
      <c r="EM50" s="284">
        <v>51086</v>
      </c>
      <c r="EN50" s="284">
        <v>49377</v>
      </c>
      <c r="EO50" s="284">
        <v>47461</v>
      </c>
      <c r="EP50" s="284">
        <v>50703</v>
      </c>
      <c r="EQ50" s="284">
        <v>53327</v>
      </c>
      <c r="ER50" s="284">
        <v>54457</v>
      </c>
      <c r="ES50" s="284">
        <v>56769</v>
      </c>
      <c r="ET50" s="284">
        <v>55800</v>
      </c>
      <c r="EU50" s="284">
        <v>55393</v>
      </c>
      <c r="EV50" s="284">
        <v>59563</v>
      </c>
      <c r="EW50" s="284">
        <v>62851</v>
      </c>
      <c r="EX50" s="284">
        <v>57640</v>
      </c>
      <c r="EY50" s="284">
        <v>58911</v>
      </c>
      <c r="EZ50" s="284">
        <v>56827</v>
      </c>
      <c r="FA50" s="284">
        <v>50543</v>
      </c>
      <c r="FB50" s="284">
        <v>51565</v>
      </c>
      <c r="FC50" s="284">
        <v>51145</v>
      </c>
      <c r="FD50" s="284">
        <v>57117</v>
      </c>
      <c r="FE50" s="284">
        <v>55213</v>
      </c>
      <c r="FF50" s="284">
        <v>58315</v>
      </c>
      <c r="FG50" s="284">
        <v>55522</v>
      </c>
      <c r="FH50" s="284">
        <v>56463</v>
      </c>
      <c r="FI50" s="284">
        <v>55939</v>
      </c>
      <c r="FJ50" s="284">
        <v>55530</v>
      </c>
      <c r="FK50" s="284">
        <v>58357</v>
      </c>
      <c r="FL50" s="284">
        <v>56124</v>
      </c>
      <c r="FM50" s="284">
        <v>51735</v>
      </c>
      <c r="FN50" s="284">
        <v>50436</v>
      </c>
      <c r="FO50" s="284">
        <v>49102</v>
      </c>
      <c r="FP50" s="284">
        <v>52764</v>
      </c>
      <c r="FQ50" s="284">
        <v>49207</v>
      </c>
      <c r="FR50" s="284">
        <v>49174</v>
      </c>
      <c r="FS50" s="284">
        <v>48679</v>
      </c>
      <c r="FT50" s="284">
        <v>49403</v>
      </c>
      <c r="FU50" s="284">
        <v>49049</v>
      </c>
      <c r="FV50" s="284">
        <v>48826</v>
      </c>
      <c r="FW50" s="284">
        <v>47831</v>
      </c>
      <c r="FX50" s="284">
        <v>46369</v>
      </c>
      <c r="FY50" s="284">
        <v>44818</v>
      </c>
      <c r="FZ50" s="284">
        <v>43238</v>
      </c>
      <c r="GA50" s="284">
        <v>43227</v>
      </c>
      <c r="GB50" s="284">
        <v>43136</v>
      </c>
      <c r="GC50" s="284">
        <v>41991</v>
      </c>
      <c r="GD50" s="284">
        <v>44590</v>
      </c>
      <c r="GE50" s="284">
        <v>41795</v>
      </c>
      <c r="GF50" s="284">
        <v>44091</v>
      </c>
      <c r="GG50" s="284">
        <v>43983.199999999997</v>
      </c>
      <c r="GH50" s="284">
        <v>40572.5</v>
      </c>
      <c r="GI50" s="284">
        <v>41472.5</v>
      </c>
      <c r="GJ50" s="284">
        <v>43398.2</v>
      </c>
      <c r="GK50" s="284">
        <v>39387.100000000006</v>
      </c>
      <c r="GL50" s="284">
        <v>40555.5</v>
      </c>
      <c r="GM50" s="284">
        <v>40844.399999999994</v>
      </c>
      <c r="GN50" s="284">
        <v>41629.5</v>
      </c>
      <c r="GO50" s="284">
        <v>41196.399999999994</v>
      </c>
      <c r="GP50" s="284">
        <v>43464.7</v>
      </c>
      <c r="GQ50" s="284">
        <v>41092.6</v>
      </c>
      <c r="GR50" s="284">
        <v>43101.1</v>
      </c>
      <c r="GS50" s="284">
        <v>42710.8</v>
      </c>
      <c r="GT50" s="284">
        <v>41575.399999999994</v>
      </c>
      <c r="GU50" s="284">
        <v>42853.3</v>
      </c>
      <c r="GV50" s="284">
        <v>42955.399999999994</v>
      </c>
      <c r="GW50" s="284">
        <v>39292.699999999997</v>
      </c>
      <c r="GX50" s="284">
        <v>39752.400000000001</v>
      </c>
      <c r="GY50" s="284">
        <v>40519.699999999997</v>
      </c>
      <c r="GZ50" s="284">
        <v>43408.2</v>
      </c>
      <c r="HA50" s="284">
        <v>41939.699999999997</v>
      </c>
      <c r="HB50" s="284">
        <v>44236.5</v>
      </c>
      <c r="HC50" s="284">
        <v>42076.6</v>
      </c>
      <c r="HD50" s="284">
        <v>45355.199999999997</v>
      </c>
      <c r="HE50" s="284">
        <v>45286.9</v>
      </c>
      <c r="HF50" s="284">
        <v>43216.899999999994</v>
      </c>
      <c r="HG50" s="284">
        <v>46063.199999999997</v>
      </c>
      <c r="HH50" s="284">
        <v>45947.9</v>
      </c>
      <c r="HI50" s="284">
        <v>42451.9</v>
      </c>
      <c r="HJ50" s="284">
        <v>44176.899999999994</v>
      </c>
      <c r="HK50" s="284">
        <v>42969.2</v>
      </c>
      <c r="HL50" s="284">
        <v>44677.399999999994</v>
      </c>
      <c r="HM50" s="284">
        <v>45926.600000000006</v>
      </c>
      <c r="HN50" s="284">
        <v>49068.1</v>
      </c>
      <c r="HO50" s="284">
        <v>46250.3</v>
      </c>
      <c r="HP50" s="284">
        <v>51952.600000000006</v>
      </c>
      <c r="HQ50" s="284">
        <v>50919.9</v>
      </c>
      <c r="HR50" s="284">
        <v>49545.7</v>
      </c>
      <c r="HS50" s="284">
        <v>52195.199999999997</v>
      </c>
      <c r="HT50" s="284">
        <v>52082.899999999994</v>
      </c>
      <c r="HU50" s="284">
        <v>47534</v>
      </c>
      <c r="HV50" s="284">
        <v>50037.248300000007</v>
      </c>
      <c r="HW50" s="284">
        <v>52317.883900000001</v>
      </c>
      <c r="HX50" s="284">
        <v>54609.421700000006</v>
      </c>
      <c r="HY50" s="284">
        <v>53249.299799999986</v>
      </c>
      <c r="HZ50" s="284">
        <v>56492.322900000006</v>
      </c>
      <c r="IA50" s="284">
        <v>52663.735700000005</v>
      </c>
      <c r="IB50" s="284">
        <v>63412.121699999989</v>
      </c>
      <c r="IC50" s="284">
        <v>63071.219699999987</v>
      </c>
      <c r="ID50" s="284">
        <v>61653.300399999993</v>
      </c>
      <c r="IE50" s="284">
        <v>65932.421100000007</v>
      </c>
      <c r="IF50" s="284">
        <v>56588.011599999998</v>
      </c>
      <c r="IG50" s="284">
        <v>58019.424899999991</v>
      </c>
      <c r="IH50" s="284">
        <v>55968.529199999975</v>
      </c>
      <c r="II50" s="284">
        <v>62997.156500000012</v>
      </c>
      <c r="IJ50" s="284">
        <v>60988.044699999999</v>
      </c>
      <c r="IK50" s="284">
        <v>60288.606499999994</v>
      </c>
      <c r="IL50" s="284">
        <v>60949.512099999993</v>
      </c>
      <c r="IM50" s="850">
        <v>59846.46639999999</v>
      </c>
      <c r="IN50" s="168"/>
    </row>
    <row r="51" spans="1:665">
      <c r="A51" s="81" t="s">
        <v>1203</v>
      </c>
      <c r="B51" s="285">
        <v>415</v>
      </c>
      <c r="C51" s="285">
        <v>438</v>
      </c>
      <c r="D51" s="285">
        <v>605</v>
      </c>
      <c r="E51" s="285">
        <v>508</v>
      </c>
      <c r="F51" s="285">
        <v>572</v>
      </c>
      <c r="G51" s="285">
        <v>721</v>
      </c>
      <c r="H51" s="285">
        <v>611</v>
      </c>
      <c r="I51" s="285">
        <v>767</v>
      </c>
      <c r="J51" s="285">
        <v>1117</v>
      </c>
      <c r="K51" s="285">
        <v>1047</v>
      </c>
      <c r="L51" s="285">
        <v>1092</v>
      </c>
      <c r="M51" s="285">
        <v>907</v>
      </c>
      <c r="N51" s="285">
        <v>1006</v>
      </c>
      <c r="O51" s="285">
        <v>837</v>
      </c>
      <c r="P51" s="285">
        <v>821</v>
      </c>
      <c r="Q51" s="285">
        <v>699</v>
      </c>
      <c r="R51" s="285">
        <v>1114</v>
      </c>
      <c r="S51" s="285">
        <v>805</v>
      </c>
      <c r="T51" s="285">
        <v>647</v>
      </c>
      <c r="U51" s="285">
        <v>628</v>
      </c>
      <c r="V51" s="285">
        <v>711</v>
      </c>
      <c r="W51" s="285">
        <v>625</v>
      </c>
      <c r="X51" s="285">
        <v>554</v>
      </c>
      <c r="Y51" s="285">
        <v>489</v>
      </c>
      <c r="Z51" s="285">
        <v>487</v>
      </c>
      <c r="AA51" s="285">
        <v>519</v>
      </c>
      <c r="AB51" s="285">
        <v>631</v>
      </c>
      <c r="AC51" s="285">
        <v>522</v>
      </c>
      <c r="AD51" s="285">
        <v>577</v>
      </c>
      <c r="AE51" s="285">
        <v>678</v>
      </c>
      <c r="AF51" s="285">
        <v>615</v>
      </c>
      <c r="AG51" s="285">
        <v>615</v>
      </c>
      <c r="AH51" s="285">
        <v>713</v>
      </c>
      <c r="AI51" s="285">
        <v>631</v>
      </c>
      <c r="AJ51" s="285">
        <v>589</v>
      </c>
      <c r="AK51" s="285">
        <v>666</v>
      </c>
      <c r="AL51" s="285">
        <v>549</v>
      </c>
      <c r="AM51" s="285">
        <v>613</v>
      </c>
      <c r="AN51" s="285">
        <v>753</v>
      </c>
      <c r="AO51" s="285">
        <v>602</v>
      </c>
      <c r="AP51" s="285">
        <v>659</v>
      </c>
      <c r="AQ51" s="285">
        <v>724</v>
      </c>
      <c r="AR51" s="285">
        <v>640</v>
      </c>
      <c r="AS51" s="285">
        <v>627</v>
      </c>
      <c r="AT51" s="285">
        <v>624</v>
      </c>
      <c r="AU51" s="285">
        <v>584</v>
      </c>
      <c r="AV51" s="285">
        <v>615</v>
      </c>
      <c r="AW51" s="285">
        <v>732</v>
      </c>
      <c r="AX51" s="285">
        <v>618</v>
      </c>
      <c r="AY51" s="285">
        <v>698</v>
      </c>
      <c r="AZ51" s="285">
        <v>877</v>
      </c>
      <c r="BA51" s="285">
        <v>708</v>
      </c>
      <c r="BB51" s="285">
        <v>860</v>
      </c>
      <c r="BC51" s="285">
        <v>867</v>
      </c>
      <c r="BD51" s="285">
        <v>708</v>
      </c>
      <c r="BE51" s="285">
        <v>716</v>
      </c>
      <c r="BF51" s="285">
        <v>773</v>
      </c>
      <c r="BG51" s="285">
        <v>760</v>
      </c>
      <c r="BH51" s="285">
        <v>772</v>
      </c>
      <c r="BI51" s="285">
        <v>770</v>
      </c>
      <c r="BJ51" s="285">
        <v>633</v>
      </c>
      <c r="BK51" s="285">
        <v>676</v>
      </c>
      <c r="BL51" s="285">
        <v>753</v>
      </c>
      <c r="BM51" s="285">
        <v>599</v>
      </c>
      <c r="BN51" s="285">
        <v>585</v>
      </c>
      <c r="BO51" s="285">
        <v>711</v>
      </c>
      <c r="BP51" s="285">
        <v>536</v>
      </c>
      <c r="BQ51" s="285">
        <v>504</v>
      </c>
      <c r="BR51" s="285">
        <v>551</v>
      </c>
      <c r="BS51" s="285">
        <v>445</v>
      </c>
      <c r="BT51" s="285">
        <v>445</v>
      </c>
      <c r="BU51" s="285">
        <v>492</v>
      </c>
      <c r="BV51" s="285">
        <v>436</v>
      </c>
      <c r="BW51" s="285">
        <v>449</v>
      </c>
      <c r="BX51" s="285">
        <v>337</v>
      </c>
      <c r="BY51" s="285">
        <v>352</v>
      </c>
      <c r="BZ51" s="285">
        <v>436</v>
      </c>
      <c r="CA51" s="285">
        <v>577</v>
      </c>
      <c r="CB51" s="285">
        <v>517</v>
      </c>
      <c r="CC51" s="285">
        <v>364</v>
      </c>
      <c r="CD51" s="285">
        <v>609</v>
      </c>
      <c r="CE51" s="285">
        <v>501</v>
      </c>
      <c r="CF51" s="285">
        <v>667</v>
      </c>
      <c r="CG51" s="285">
        <v>612</v>
      </c>
      <c r="CH51" s="285">
        <v>501</v>
      </c>
      <c r="CI51" s="285">
        <v>567</v>
      </c>
      <c r="CJ51" s="285">
        <v>654</v>
      </c>
      <c r="CK51" s="285">
        <v>516</v>
      </c>
      <c r="CL51" s="285">
        <v>546</v>
      </c>
      <c r="CM51" s="285">
        <v>660</v>
      </c>
      <c r="CN51" s="285">
        <v>521</v>
      </c>
      <c r="CO51" s="285">
        <v>532</v>
      </c>
      <c r="CP51" s="285">
        <v>634</v>
      </c>
      <c r="CQ51" s="285">
        <v>538</v>
      </c>
      <c r="CR51" s="285">
        <v>553</v>
      </c>
      <c r="CS51" s="285">
        <v>507</v>
      </c>
      <c r="CT51" s="285">
        <v>263</v>
      </c>
      <c r="CU51" s="285">
        <v>264</v>
      </c>
      <c r="CV51" s="285">
        <v>340</v>
      </c>
      <c r="CW51" s="285">
        <v>284</v>
      </c>
      <c r="CX51" s="285">
        <v>276</v>
      </c>
      <c r="CY51" s="285">
        <v>304</v>
      </c>
      <c r="CZ51" s="285">
        <v>239</v>
      </c>
      <c r="DA51" s="285">
        <v>230</v>
      </c>
      <c r="DB51" s="285">
        <v>286</v>
      </c>
      <c r="DC51" s="285">
        <v>235</v>
      </c>
      <c r="DD51" s="285">
        <v>271</v>
      </c>
      <c r="DE51" s="285">
        <v>323</v>
      </c>
      <c r="DF51" s="285">
        <v>319</v>
      </c>
      <c r="DG51" s="285">
        <v>373</v>
      </c>
      <c r="DH51" s="285">
        <v>468</v>
      </c>
      <c r="DI51" s="285">
        <v>464</v>
      </c>
      <c r="DJ51" s="285">
        <v>484</v>
      </c>
      <c r="DK51" s="285">
        <v>611</v>
      </c>
      <c r="DL51" s="285">
        <v>616</v>
      </c>
      <c r="DM51" s="285">
        <v>687</v>
      </c>
      <c r="DN51" s="285">
        <v>620</v>
      </c>
      <c r="DO51" s="285">
        <v>496</v>
      </c>
      <c r="DP51" s="285">
        <v>469</v>
      </c>
      <c r="DQ51" s="285">
        <v>495</v>
      </c>
      <c r="DR51" s="285">
        <v>422</v>
      </c>
      <c r="DS51" s="285">
        <v>466</v>
      </c>
      <c r="DT51" s="285">
        <v>578</v>
      </c>
      <c r="DU51" s="285">
        <v>556</v>
      </c>
      <c r="DV51" s="285">
        <v>618</v>
      </c>
      <c r="DW51" s="285">
        <v>749</v>
      </c>
      <c r="DX51" s="285">
        <v>737</v>
      </c>
      <c r="DY51" s="285">
        <v>723</v>
      </c>
      <c r="DZ51" s="285">
        <v>802</v>
      </c>
      <c r="EA51" s="285">
        <v>778</v>
      </c>
      <c r="EB51" s="285">
        <v>804</v>
      </c>
      <c r="EC51" s="285">
        <v>835</v>
      </c>
      <c r="ED51" s="285">
        <v>845</v>
      </c>
      <c r="EE51" s="285">
        <v>785</v>
      </c>
      <c r="EF51" s="285">
        <v>848</v>
      </c>
      <c r="EG51" s="285">
        <v>803</v>
      </c>
      <c r="EH51" s="285">
        <v>873</v>
      </c>
      <c r="EI51" s="285">
        <v>836</v>
      </c>
      <c r="EJ51" s="285">
        <v>696</v>
      </c>
      <c r="EK51" s="285">
        <v>491</v>
      </c>
      <c r="EL51" s="285">
        <v>562</v>
      </c>
      <c r="EM51" s="285">
        <v>483</v>
      </c>
      <c r="EN51" s="285">
        <v>465</v>
      </c>
      <c r="EO51" s="285">
        <v>490</v>
      </c>
      <c r="EP51" s="285">
        <v>465</v>
      </c>
      <c r="EQ51" s="285">
        <v>481</v>
      </c>
      <c r="ER51" s="285">
        <v>541</v>
      </c>
      <c r="ES51" s="285">
        <v>441</v>
      </c>
      <c r="ET51" s="285">
        <v>404</v>
      </c>
      <c r="EU51" s="285">
        <v>454</v>
      </c>
      <c r="EV51" s="285">
        <v>417</v>
      </c>
      <c r="EW51" s="285">
        <v>418</v>
      </c>
      <c r="EX51" s="285">
        <v>435</v>
      </c>
      <c r="EY51" s="285">
        <v>415</v>
      </c>
      <c r="EZ51" s="285">
        <v>413</v>
      </c>
      <c r="FA51" s="285">
        <v>394</v>
      </c>
      <c r="FB51" s="285">
        <v>403</v>
      </c>
      <c r="FC51" s="285">
        <v>412</v>
      </c>
      <c r="FD51" s="285">
        <v>404</v>
      </c>
      <c r="FE51" s="285">
        <v>422</v>
      </c>
      <c r="FF51" s="285">
        <v>439</v>
      </c>
      <c r="FG51" s="285">
        <v>408</v>
      </c>
      <c r="FH51" s="285">
        <v>427</v>
      </c>
      <c r="FI51" s="285">
        <v>404</v>
      </c>
      <c r="FJ51" s="285">
        <v>392</v>
      </c>
      <c r="FK51" s="285">
        <v>432</v>
      </c>
      <c r="FL51" s="285">
        <v>424</v>
      </c>
      <c r="FM51" s="285">
        <v>399</v>
      </c>
      <c r="FN51" s="285">
        <v>648</v>
      </c>
      <c r="FO51" s="285">
        <v>688</v>
      </c>
      <c r="FP51" s="285">
        <v>708</v>
      </c>
      <c r="FQ51" s="285">
        <v>604</v>
      </c>
      <c r="FR51" s="285">
        <v>511</v>
      </c>
      <c r="FS51" s="285">
        <v>607</v>
      </c>
      <c r="FT51" s="285">
        <v>650</v>
      </c>
      <c r="FU51" s="285">
        <v>653</v>
      </c>
      <c r="FV51" s="285">
        <v>632</v>
      </c>
      <c r="FW51" s="285">
        <v>642</v>
      </c>
      <c r="FX51" s="285">
        <v>684</v>
      </c>
      <c r="FY51" s="285">
        <v>606</v>
      </c>
      <c r="FZ51" s="285">
        <v>565</v>
      </c>
      <c r="GA51" s="285">
        <v>682</v>
      </c>
      <c r="GB51" s="285">
        <v>802</v>
      </c>
      <c r="GC51" s="285">
        <v>788</v>
      </c>
      <c r="GD51" s="285">
        <v>824</v>
      </c>
      <c r="GE51" s="285">
        <v>835</v>
      </c>
      <c r="GF51" s="285">
        <v>945.2</v>
      </c>
      <c r="GG51" s="285">
        <v>1049.0999999999999</v>
      </c>
      <c r="GH51" s="285">
        <v>993</v>
      </c>
      <c r="GI51" s="285">
        <v>1022.1999999999999</v>
      </c>
      <c r="GJ51" s="285">
        <v>1030.4000000000001</v>
      </c>
      <c r="GK51" s="285">
        <v>1021.1999999999999</v>
      </c>
      <c r="GL51" s="285">
        <v>1098</v>
      </c>
      <c r="GM51" s="285">
        <v>1153.0999999999999</v>
      </c>
      <c r="GN51" s="285">
        <v>1469.4</v>
      </c>
      <c r="GO51" s="285">
        <v>1748.1999999999998</v>
      </c>
      <c r="GP51" s="285">
        <v>1803.9</v>
      </c>
      <c r="GQ51" s="285">
        <v>1696.9</v>
      </c>
      <c r="GR51" s="285">
        <v>1964.7</v>
      </c>
      <c r="GS51" s="285">
        <v>2045.3</v>
      </c>
      <c r="GT51" s="285">
        <v>2124.6999999999998</v>
      </c>
      <c r="GU51" s="285">
        <v>2275.6</v>
      </c>
      <c r="GV51" s="285">
        <v>2663.7</v>
      </c>
      <c r="GW51" s="285">
        <v>2629.2</v>
      </c>
      <c r="GX51" s="285">
        <v>3262.1</v>
      </c>
      <c r="GY51" s="285">
        <v>3647.1</v>
      </c>
      <c r="GZ51" s="285">
        <v>4631.1000000000004</v>
      </c>
      <c r="HA51" s="285">
        <v>4641.7</v>
      </c>
      <c r="HB51" s="285">
        <v>5079.7</v>
      </c>
      <c r="HC51" s="285">
        <v>4875</v>
      </c>
      <c r="HD51" s="285">
        <v>4686.1000000000004</v>
      </c>
      <c r="HE51" s="285">
        <v>4331.2</v>
      </c>
      <c r="HF51" s="285">
        <v>4341.5</v>
      </c>
      <c r="HG51" s="285">
        <v>5047</v>
      </c>
      <c r="HH51" s="285">
        <v>5015.1000000000004</v>
      </c>
      <c r="HI51" s="285">
        <v>4447.8</v>
      </c>
      <c r="HJ51" s="285">
        <v>4547.8999999999996</v>
      </c>
      <c r="HK51" s="285">
        <v>5033.6000000000004</v>
      </c>
      <c r="HL51" s="285">
        <v>5151</v>
      </c>
      <c r="HM51" s="285">
        <v>5031.7</v>
      </c>
      <c r="HN51" s="285">
        <v>5493.4</v>
      </c>
      <c r="HO51" s="285">
        <v>5138.3</v>
      </c>
      <c r="HP51" s="286">
        <v>4799.5</v>
      </c>
      <c r="HQ51" s="286">
        <v>4096.2</v>
      </c>
      <c r="HR51" s="286">
        <v>3217.9</v>
      </c>
      <c r="HS51" s="286">
        <v>2995.4</v>
      </c>
      <c r="HT51" s="286">
        <v>2369</v>
      </c>
      <c r="HU51" s="286">
        <v>1933.1999999999998</v>
      </c>
      <c r="HV51" s="545">
        <v>1798.5239999999999</v>
      </c>
      <c r="HW51" s="545">
        <v>1799.8138999999996</v>
      </c>
      <c r="HX51" s="545">
        <v>1947.8879999999999</v>
      </c>
      <c r="HY51" s="545">
        <v>1944.4920000000002</v>
      </c>
      <c r="HZ51" s="545">
        <v>1981.9980000000003</v>
      </c>
      <c r="IA51" s="545">
        <v>1878.4259999999999</v>
      </c>
      <c r="IB51" s="545">
        <v>2432.0877</v>
      </c>
      <c r="IC51" s="545">
        <v>2177.9157999999998</v>
      </c>
      <c r="ID51" s="545">
        <v>1972.1160000000004</v>
      </c>
      <c r="IE51" s="545">
        <v>1962.1259999999997</v>
      </c>
      <c r="IF51" s="545">
        <v>1639.5120000000002</v>
      </c>
      <c r="IG51" s="285">
        <v>1558.2420000000002</v>
      </c>
      <c r="IH51" s="545">
        <v>1570.3140000000001</v>
      </c>
      <c r="II51" s="545">
        <v>1592.8020000000001</v>
      </c>
      <c r="IJ51" s="545">
        <v>1887.9779999999998</v>
      </c>
      <c r="IK51" s="545">
        <v>1796.442</v>
      </c>
      <c r="IL51" s="545">
        <v>1766.2080000000001</v>
      </c>
      <c r="IM51" s="851">
        <v>1799.2260000000001</v>
      </c>
      <c r="IN51" s="168"/>
    </row>
    <row r="52" spans="1:665">
      <c r="A52" s="81" t="s">
        <v>192</v>
      </c>
      <c r="B52" s="284">
        <v>2478</v>
      </c>
      <c r="C52" s="284">
        <v>2170</v>
      </c>
      <c r="D52" s="284">
        <v>2197</v>
      </c>
      <c r="E52" s="284">
        <v>2164</v>
      </c>
      <c r="F52" s="284">
        <v>2501</v>
      </c>
      <c r="G52" s="284">
        <v>2553</v>
      </c>
      <c r="H52" s="284">
        <v>2442</v>
      </c>
      <c r="I52" s="284">
        <v>2362</v>
      </c>
      <c r="J52" s="284">
        <v>2087</v>
      </c>
      <c r="K52" s="284">
        <v>2358</v>
      </c>
      <c r="L52" s="284">
        <v>2337</v>
      </c>
      <c r="M52" s="284">
        <v>2518</v>
      </c>
      <c r="N52" s="284">
        <v>2012</v>
      </c>
      <c r="O52" s="284">
        <v>2192</v>
      </c>
      <c r="P52" s="284">
        <v>2622</v>
      </c>
      <c r="Q52" s="284">
        <v>2945</v>
      </c>
      <c r="R52" s="284">
        <v>2302</v>
      </c>
      <c r="S52" s="284">
        <v>2046</v>
      </c>
      <c r="T52" s="284">
        <v>1956</v>
      </c>
      <c r="U52" s="284">
        <v>1952</v>
      </c>
      <c r="V52" s="284">
        <v>2247</v>
      </c>
      <c r="W52" s="284">
        <v>1961</v>
      </c>
      <c r="X52" s="284">
        <v>2005</v>
      </c>
      <c r="Y52" s="284">
        <v>2001</v>
      </c>
      <c r="Z52" s="284">
        <v>1902</v>
      </c>
      <c r="AA52" s="284">
        <v>2074</v>
      </c>
      <c r="AB52" s="284">
        <v>2327</v>
      </c>
      <c r="AC52" s="284">
        <v>2093</v>
      </c>
      <c r="AD52" s="284">
        <v>1992</v>
      </c>
      <c r="AE52" s="284">
        <v>1971</v>
      </c>
      <c r="AF52" s="284">
        <v>2209</v>
      </c>
      <c r="AG52" s="284">
        <v>2291</v>
      </c>
      <c r="AH52" s="284">
        <v>2061</v>
      </c>
      <c r="AI52" s="284">
        <v>2395</v>
      </c>
      <c r="AJ52" s="284">
        <v>2170</v>
      </c>
      <c r="AK52" s="284">
        <v>2136</v>
      </c>
      <c r="AL52" s="284">
        <v>2469</v>
      </c>
      <c r="AM52" s="284">
        <v>2625</v>
      </c>
      <c r="AN52" s="284">
        <v>2512</v>
      </c>
      <c r="AO52" s="284">
        <v>2268</v>
      </c>
      <c r="AP52" s="284">
        <v>2309</v>
      </c>
      <c r="AQ52" s="284">
        <v>1829</v>
      </c>
      <c r="AR52" s="284">
        <v>2578</v>
      </c>
      <c r="AS52" s="284">
        <v>2361</v>
      </c>
      <c r="AT52" s="284">
        <v>2100</v>
      </c>
      <c r="AU52" s="284">
        <v>2308</v>
      </c>
      <c r="AV52" s="284">
        <v>2125</v>
      </c>
      <c r="AW52" s="284">
        <v>2273</v>
      </c>
      <c r="AX52" s="284">
        <v>1872</v>
      </c>
      <c r="AY52" s="284">
        <v>2063</v>
      </c>
      <c r="AZ52" s="284">
        <v>2217</v>
      </c>
      <c r="BA52" s="284">
        <v>2228</v>
      </c>
      <c r="BB52" s="284">
        <v>2114</v>
      </c>
      <c r="BC52" s="284">
        <v>2290</v>
      </c>
      <c r="BD52" s="284">
        <v>2395</v>
      </c>
      <c r="BE52" s="284">
        <v>2553</v>
      </c>
      <c r="BF52" s="284">
        <v>2134</v>
      </c>
      <c r="BG52" s="284">
        <v>2261</v>
      </c>
      <c r="BH52" s="284">
        <v>2398</v>
      </c>
      <c r="BI52" s="284">
        <v>2336</v>
      </c>
      <c r="BJ52" s="284">
        <v>2439</v>
      </c>
      <c r="BK52" s="284">
        <v>2585</v>
      </c>
      <c r="BL52" s="284">
        <v>2603</v>
      </c>
      <c r="BM52" s="284">
        <v>2727</v>
      </c>
      <c r="BN52" s="284">
        <v>2710</v>
      </c>
      <c r="BO52" s="284">
        <v>2446</v>
      </c>
      <c r="BP52" s="284">
        <v>2469</v>
      </c>
      <c r="BQ52" s="284">
        <v>2511</v>
      </c>
      <c r="BR52" s="284">
        <v>2350</v>
      </c>
      <c r="BS52" s="284">
        <v>2295</v>
      </c>
      <c r="BT52" s="284">
        <v>2360</v>
      </c>
      <c r="BU52" s="284">
        <v>2271</v>
      </c>
      <c r="BV52" s="284">
        <v>2556</v>
      </c>
      <c r="BW52" s="284">
        <v>2418</v>
      </c>
      <c r="BX52" s="284">
        <v>2530</v>
      </c>
      <c r="BY52" s="284">
        <v>2438</v>
      </c>
      <c r="BZ52" s="284">
        <v>2359</v>
      </c>
      <c r="CA52" s="284">
        <v>2777</v>
      </c>
      <c r="CB52" s="284">
        <v>2527</v>
      </c>
      <c r="CC52" s="284">
        <v>2149</v>
      </c>
      <c r="CD52" s="284">
        <v>2211</v>
      </c>
      <c r="CE52" s="284">
        <v>2274</v>
      </c>
      <c r="CF52" s="284">
        <v>2517</v>
      </c>
      <c r="CG52" s="284">
        <v>2310</v>
      </c>
      <c r="CH52" s="284">
        <v>2402</v>
      </c>
      <c r="CI52" s="284">
        <v>2755</v>
      </c>
      <c r="CJ52" s="284">
        <v>2354</v>
      </c>
      <c r="CK52" s="284">
        <v>2345</v>
      </c>
      <c r="CL52" s="284">
        <v>2257</v>
      </c>
      <c r="CM52" s="284">
        <v>2266</v>
      </c>
      <c r="CN52" s="284">
        <v>2242</v>
      </c>
      <c r="CO52" s="284">
        <v>2055</v>
      </c>
      <c r="CP52" s="284">
        <v>2108</v>
      </c>
      <c r="CQ52" s="284">
        <v>2294</v>
      </c>
      <c r="CR52" s="284">
        <v>2277</v>
      </c>
      <c r="CS52" s="284">
        <v>2345</v>
      </c>
      <c r="CT52" s="284">
        <v>2095</v>
      </c>
      <c r="CU52" s="284">
        <v>2144</v>
      </c>
      <c r="CV52" s="284">
        <v>2267</v>
      </c>
      <c r="CW52" s="284">
        <v>2350</v>
      </c>
      <c r="CX52" s="284">
        <v>2084</v>
      </c>
      <c r="CY52" s="284">
        <v>1943</v>
      </c>
      <c r="CZ52" s="284">
        <v>1851</v>
      </c>
      <c r="DA52" s="284">
        <v>1627</v>
      </c>
      <c r="DB52" s="284">
        <v>1651</v>
      </c>
      <c r="DC52" s="284">
        <v>1676</v>
      </c>
      <c r="DD52" s="284">
        <v>1575</v>
      </c>
      <c r="DE52" s="284">
        <v>1635</v>
      </c>
      <c r="DF52" s="284">
        <v>1512</v>
      </c>
      <c r="DG52" s="284">
        <v>1559</v>
      </c>
      <c r="DH52" s="284">
        <v>1663</v>
      </c>
      <c r="DI52" s="284">
        <v>1537</v>
      </c>
      <c r="DJ52" s="284">
        <v>1544</v>
      </c>
      <c r="DK52" s="284">
        <v>1449</v>
      </c>
      <c r="DL52" s="284">
        <v>1268</v>
      </c>
      <c r="DM52" s="284">
        <v>1255</v>
      </c>
      <c r="DN52" s="284">
        <v>1230</v>
      </c>
      <c r="DO52" s="284">
        <v>1280</v>
      </c>
      <c r="DP52" s="284">
        <v>1804</v>
      </c>
      <c r="DQ52" s="284">
        <v>1269</v>
      </c>
      <c r="DR52" s="284">
        <v>1235</v>
      </c>
      <c r="DS52" s="284">
        <v>1417</v>
      </c>
      <c r="DT52" s="284">
        <v>1485</v>
      </c>
      <c r="DU52" s="284">
        <v>1414</v>
      </c>
      <c r="DV52" s="284">
        <v>1675</v>
      </c>
      <c r="DW52" s="284">
        <v>1498</v>
      </c>
      <c r="DX52" s="284">
        <v>1537</v>
      </c>
      <c r="DY52" s="284">
        <v>1640</v>
      </c>
      <c r="DZ52" s="284">
        <v>1783</v>
      </c>
      <c r="EA52" s="284">
        <v>1797</v>
      </c>
      <c r="EB52" s="284">
        <v>1857</v>
      </c>
      <c r="EC52" s="284">
        <v>1728</v>
      </c>
      <c r="ED52" s="284">
        <v>1752</v>
      </c>
      <c r="EE52" s="284">
        <v>2388</v>
      </c>
      <c r="EF52" s="284">
        <v>2244</v>
      </c>
      <c r="EG52" s="284">
        <v>1789</v>
      </c>
      <c r="EH52" s="284">
        <v>2253</v>
      </c>
      <c r="EI52" s="284">
        <v>1791</v>
      </c>
      <c r="EJ52" s="284">
        <v>1794</v>
      </c>
      <c r="EK52" s="284">
        <v>1852</v>
      </c>
      <c r="EL52" s="284">
        <v>1623</v>
      </c>
      <c r="EM52" s="284">
        <v>1780</v>
      </c>
      <c r="EN52" s="284">
        <v>1719</v>
      </c>
      <c r="EO52" s="284">
        <v>1564</v>
      </c>
      <c r="EP52" s="284">
        <v>1662</v>
      </c>
      <c r="EQ52" s="284">
        <v>1731</v>
      </c>
      <c r="ER52" s="284">
        <v>1622</v>
      </c>
      <c r="ES52" s="284">
        <v>1682</v>
      </c>
      <c r="ET52" s="284">
        <v>1501</v>
      </c>
      <c r="EU52" s="284">
        <v>1300</v>
      </c>
      <c r="EV52" s="284">
        <v>1368</v>
      </c>
      <c r="EW52" s="284">
        <v>1280</v>
      </c>
      <c r="EX52" s="284">
        <v>1285</v>
      </c>
      <c r="EY52" s="284">
        <v>1324</v>
      </c>
      <c r="EZ52" s="284">
        <v>1484</v>
      </c>
      <c r="FA52" s="284">
        <v>1354</v>
      </c>
      <c r="FB52" s="284">
        <v>1361</v>
      </c>
      <c r="FC52" s="284">
        <v>1485</v>
      </c>
      <c r="FD52" s="284">
        <v>2031</v>
      </c>
      <c r="FE52" s="284">
        <v>1398</v>
      </c>
      <c r="FF52" s="284">
        <v>1355</v>
      </c>
      <c r="FG52" s="284">
        <v>1154</v>
      </c>
      <c r="FH52" s="284">
        <v>1219</v>
      </c>
      <c r="FI52" s="284">
        <v>1237</v>
      </c>
      <c r="FJ52" s="284">
        <v>1219</v>
      </c>
      <c r="FK52" s="284">
        <v>1281</v>
      </c>
      <c r="FL52" s="284">
        <v>1308</v>
      </c>
      <c r="FM52" s="284">
        <v>1212</v>
      </c>
      <c r="FN52" s="284">
        <v>1372</v>
      </c>
      <c r="FO52" s="284">
        <v>1371</v>
      </c>
      <c r="FP52" s="284">
        <v>1557</v>
      </c>
      <c r="FQ52" s="284">
        <v>1440</v>
      </c>
      <c r="FR52" s="284">
        <v>1553</v>
      </c>
      <c r="FS52" s="284">
        <v>1473</v>
      </c>
      <c r="FT52" s="284">
        <v>1533</v>
      </c>
      <c r="FU52" s="284">
        <v>1525</v>
      </c>
      <c r="FV52" s="284">
        <v>1539</v>
      </c>
      <c r="FW52" s="284">
        <v>1544</v>
      </c>
      <c r="FX52" s="284">
        <v>1478</v>
      </c>
      <c r="FY52" s="284">
        <v>1229</v>
      </c>
      <c r="FZ52" s="284">
        <v>1230</v>
      </c>
      <c r="GA52" s="284">
        <v>1475</v>
      </c>
      <c r="GB52" s="284">
        <v>1478</v>
      </c>
      <c r="GC52" s="284">
        <v>1329</v>
      </c>
      <c r="GD52" s="284">
        <v>1342</v>
      </c>
      <c r="GE52" s="284">
        <v>1341</v>
      </c>
      <c r="GF52" s="284">
        <v>1310.4000000000001</v>
      </c>
      <c r="GG52" s="284">
        <v>1272.7</v>
      </c>
      <c r="GH52" s="284">
        <v>1272.5999999999999</v>
      </c>
      <c r="GI52" s="284">
        <v>1301.3</v>
      </c>
      <c r="GJ52" s="284">
        <v>1366.1</v>
      </c>
      <c r="GK52" s="284">
        <v>1217.8</v>
      </c>
      <c r="GL52" s="284">
        <v>1263.9000000000001</v>
      </c>
      <c r="GM52" s="284">
        <v>1369.8000000000002</v>
      </c>
      <c r="GN52" s="284">
        <v>1550.6</v>
      </c>
      <c r="GO52" s="284">
        <v>1281.6999999999998</v>
      </c>
      <c r="GP52" s="284">
        <v>1399</v>
      </c>
      <c r="GQ52" s="284">
        <v>1292.4000000000001</v>
      </c>
      <c r="GR52" s="284">
        <v>1295</v>
      </c>
      <c r="GS52" s="284">
        <v>1325.4</v>
      </c>
      <c r="GT52" s="284">
        <v>1302.5</v>
      </c>
      <c r="GU52" s="284">
        <v>1331.7</v>
      </c>
      <c r="GV52" s="284">
        <v>1404.1</v>
      </c>
      <c r="GW52" s="284">
        <v>1277.9000000000001</v>
      </c>
      <c r="GX52" s="284">
        <v>1417.1</v>
      </c>
      <c r="GY52" s="284">
        <v>1390.6</v>
      </c>
      <c r="GZ52" s="284">
        <v>1757.6</v>
      </c>
      <c r="HA52" s="284">
        <v>1811.6</v>
      </c>
      <c r="HB52" s="284">
        <v>1857.4</v>
      </c>
      <c r="HC52" s="284">
        <v>1837.9</v>
      </c>
      <c r="HD52" s="284">
        <v>1864.5</v>
      </c>
      <c r="HE52" s="284">
        <v>1924.8000000000002</v>
      </c>
      <c r="HF52" s="284">
        <v>1840.8000000000002</v>
      </c>
      <c r="HG52" s="284">
        <v>2242.1999999999998</v>
      </c>
      <c r="HH52" s="284">
        <v>2270.6000000000004</v>
      </c>
      <c r="HI52" s="284">
        <v>1967</v>
      </c>
      <c r="HJ52" s="284">
        <v>2143.6</v>
      </c>
      <c r="HK52" s="284">
        <v>2359.9</v>
      </c>
      <c r="HL52" s="284">
        <v>2297.4</v>
      </c>
      <c r="HM52" s="284">
        <v>1909.9</v>
      </c>
      <c r="HN52" s="284">
        <v>2008.6</v>
      </c>
      <c r="HO52" s="284">
        <v>1807.4</v>
      </c>
      <c r="HP52" s="284">
        <v>1940.1999999999998</v>
      </c>
      <c r="HQ52" s="284">
        <v>1827.5</v>
      </c>
      <c r="HR52" s="284">
        <v>1793.9</v>
      </c>
      <c r="HS52" s="284">
        <v>1972.2</v>
      </c>
      <c r="HT52" s="284">
        <v>2029.8</v>
      </c>
      <c r="HU52" s="284">
        <v>1723.1</v>
      </c>
      <c r="HV52" s="284">
        <v>1964.9039</v>
      </c>
      <c r="HW52" s="284">
        <v>2052.8098999999997</v>
      </c>
      <c r="HX52" s="284">
        <v>2159.7779</v>
      </c>
      <c r="HY52" s="284">
        <v>1899.2938999999997</v>
      </c>
      <c r="HZ52" s="284">
        <v>2061.2698999999998</v>
      </c>
      <c r="IA52" s="284">
        <v>1983.6179</v>
      </c>
      <c r="IB52" s="284">
        <v>1898.9159</v>
      </c>
      <c r="IC52" s="284">
        <v>2064.1440000000002</v>
      </c>
      <c r="ID52" s="284">
        <v>2086.3559</v>
      </c>
      <c r="IE52" s="284">
        <v>2045.9639000000002</v>
      </c>
      <c r="IF52" s="284">
        <v>1726.7580000000003</v>
      </c>
      <c r="IG52" s="284">
        <v>1715.6458999999998</v>
      </c>
      <c r="IH52" s="284">
        <v>1762.8959</v>
      </c>
      <c r="II52" s="284">
        <v>1811.3218999999999</v>
      </c>
      <c r="IJ52" s="284">
        <v>1857.3239000000003</v>
      </c>
      <c r="IK52" s="284">
        <v>1817.6399000000001</v>
      </c>
      <c r="IL52" s="284">
        <v>1785.6659000000002</v>
      </c>
      <c r="IM52" s="850">
        <v>1944.3899000000001</v>
      </c>
      <c r="IN52" s="168"/>
    </row>
    <row r="53" spans="1:665">
      <c r="A53" s="81" t="s">
        <v>144</v>
      </c>
      <c r="B53" s="285">
        <v>5238</v>
      </c>
      <c r="C53" s="285">
        <v>5187</v>
      </c>
      <c r="D53" s="285">
        <v>7808</v>
      </c>
      <c r="E53" s="285">
        <v>5408</v>
      </c>
      <c r="F53" s="285">
        <v>5860</v>
      </c>
      <c r="G53" s="285">
        <v>5467</v>
      </c>
      <c r="H53" s="285">
        <v>5855</v>
      </c>
      <c r="I53" s="285">
        <v>5921</v>
      </c>
      <c r="J53" s="285">
        <v>5825</v>
      </c>
      <c r="K53" s="285">
        <v>6040</v>
      </c>
      <c r="L53" s="285">
        <v>5919</v>
      </c>
      <c r="M53" s="285">
        <v>5261</v>
      </c>
      <c r="N53" s="285">
        <v>5244</v>
      </c>
      <c r="O53" s="285">
        <v>5265</v>
      </c>
      <c r="P53" s="285">
        <v>5453</v>
      </c>
      <c r="Q53" s="285">
        <v>5875</v>
      </c>
      <c r="R53" s="285">
        <v>5796</v>
      </c>
      <c r="S53" s="285">
        <v>5115</v>
      </c>
      <c r="T53" s="285">
        <v>5838</v>
      </c>
      <c r="U53" s="285">
        <v>5867</v>
      </c>
      <c r="V53" s="285">
        <v>5536</v>
      </c>
      <c r="W53" s="285">
        <v>5487</v>
      </c>
      <c r="X53" s="285">
        <v>5818</v>
      </c>
      <c r="Y53" s="285">
        <v>5502</v>
      </c>
      <c r="Z53" s="285">
        <v>5408</v>
      </c>
      <c r="AA53" s="285">
        <v>5475</v>
      </c>
      <c r="AB53" s="285">
        <v>5957</v>
      </c>
      <c r="AC53" s="285">
        <v>6128</v>
      </c>
      <c r="AD53" s="285">
        <v>6858</v>
      </c>
      <c r="AE53" s="285">
        <v>6111</v>
      </c>
      <c r="AF53" s="285">
        <v>6682</v>
      </c>
      <c r="AG53" s="285">
        <v>5943</v>
      </c>
      <c r="AH53" s="285">
        <v>5863</v>
      </c>
      <c r="AI53" s="285">
        <v>5723</v>
      </c>
      <c r="AJ53" s="285">
        <v>5629</v>
      </c>
      <c r="AK53" s="285">
        <v>5496</v>
      </c>
      <c r="AL53" s="285">
        <v>5459</v>
      </c>
      <c r="AM53" s="285">
        <v>5765</v>
      </c>
      <c r="AN53" s="285">
        <v>7047</v>
      </c>
      <c r="AO53" s="285">
        <v>6487</v>
      </c>
      <c r="AP53" s="285">
        <v>6830</v>
      </c>
      <c r="AQ53" s="285">
        <v>7281</v>
      </c>
      <c r="AR53" s="285">
        <v>6985</v>
      </c>
      <c r="AS53" s="285">
        <v>7159</v>
      </c>
      <c r="AT53" s="285">
        <v>7117</v>
      </c>
      <c r="AU53" s="285">
        <v>7561</v>
      </c>
      <c r="AV53" s="285">
        <v>7592</v>
      </c>
      <c r="AW53" s="285">
        <v>7376</v>
      </c>
      <c r="AX53" s="285">
        <v>7608</v>
      </c>
      <c r="AY53" s="285">
        <v>7579</v>
      </c>
      <c r="AZ53" s="285">
        <v>8290</v>
      </c>
      <c r="BA53" s="285">
        <v>8509</v>
      </c>
      <c r="BB53" s="285">
        <v>8713</v>
      </c>
      <c r="BC53" s="285">
        <v>8546</v>
      </c>
      <c r="BD53" s="285">
        <v>9519</v>
      </c>
      <c r="BE53" s="285">
        <v>8891</v>
      </c>
      <c r="BF53" s="285">
        <v>8473</v>
      </c>
      <c r="BG53" s="285">
        <v>8765</v>
      </c>
      <c r="BH53" s="285">
        <v>9035</v>
      </c>
      <c r="BI53" s="285">
        <v>8187</v>
      </c>
      <c r="BJ53" s="285">
        <v>8567</v>
      </c>
      <c r="BK53" s="285">
        <v>8857</v>
      </c>
      <c r="BL53" s="285">
        <v>10226</v>
      </c>
      <c r="BM53" s="285">
        <v>9554</v>
      </c>
      <c r="BN53" s="285">
        <v>10640</v>
      </c>
      <c r="BO53" s="285">
        <v>11139</v>
      </c>
      <c r="BP53" s="285">
        <v>10734</v>
      </c>
      <c r="BQ53" s="285">
        <v>11704</v>
      </c>
      <c r="BR53" s="285">
        <v>11763</v>
      </c>
      <c r="BS53" s="285">
        <v>11577</v>
      </c>
      <c r="BT53" s="285">
        <v>11946</v>
      </c>
      <c r="BU53" s="285">
        <v>11675</v>
      </c>
      <c r="BV53" s="285">
        <v>11051</v>
      </c>
      <c r="BW53" s="285">
        <v>11865</v>
      </c>
      <c r="BX53" s="285">
        <v>14045</v>
      </c>
      <c r="BY53" s="285">
        <v>12450</v>
      </c>
      <c r="BZ53" s="285">
        <v>13310</v>
      </c>
      <c r="CA53" s="285">
        <v>13416</v>
      </c>
      <c r="CB53" s="285">
        <v>12982</v>
      </c>
      <c r="CC53" s="285">
        <v>14711</v>
      </c>
      <c r="CD53" s="285">
        <v>14377</v>
      </c>
      <c r="CE53" s="285">
        <v>12646</v>
      </c>
      <c r="CF53" s="285">
        <v>12727</v>
      </c>
      <c r="CG53" s="285">
        <v>11192</v>
      </c>
      <c r="CH53" s="285">
        <v>11501</v>
      </c>
      <c r="CI53" s="285">
        <v>11693</v>
      </c>
      <c r="CJ53" s="285">
        <v>12110</v>
      </c>
      <c r="CK53" s="285">
        <v>12310</v>
      </c>
      <c r="CL53" s="285">
        <v>12877</v>
      </c>
      <c r="CM53" s="285">
        <v>12896</v>
      </c>
      <c r="CN53" s="285">
        <v>14372</v>
      </c>
      <c r="CO53" s="285">
        <v>15126</v>
      </c>
      <c r="CP53" s="285">
        <v>13144</v>
      </c>
      <c r="CQ53" s="285">
        <v>12803</v>
      </c>
      <c r="CR53" s="285">
        <v>11446</v>
      </c>
      <c r="CS53" s="285">
        <v>10380</v>
      </c>
      <c r="CT53" s="285">
        <v>9185</v>
      </c>
      <c r="CU53" s="285">
        <v>8073</v>
      </c>
      <c r="CV53" s="285">
        <v>8107</v>
      </c>
      <c r="CW53" s="285">
        <v>7304</v>
      </c>
      <c r="CX53" s="285">
        <v>7227</v>
      </c>
      <c r="CY53" s="285">
        <v>7246</v>
      </c>
      <c r="CZ53" s="285">
        <v>7066</v>
      </c>
      <c r="DA53" s="285">
        <v>7788</v>
      </c>
      <c r="DB53" s="285">
        <v>6676</v>
      </c>
      <c r="DC53" s="285">
        <v>6994</v>
      </c>
      <c r="DD53" s="285">
        <v>6736</v>
      </c>
      <c r="DE53" s="285">
        <v>6561</v>
      </c>
      <c r="DF53" s="285">
        <v>6660</v>
      </c>
      <c r="DG53" s="285">
        <v>6949</v>
      </c>
      <c r="DH53" s="285">
        <v>7487</v>
      </c>
      <c r="DI53" s="285">
        <v>7107</v>
      </c>
      <c r="DJ53" s="285">
        <v>7562</v>
      </c>
      <c r="DK53" s="285">
        <v>8022</v>
      </c>
      <c r="DL53" s="285">
        <v>7938</v>
      </c>
      <c r="DM53" s="285">
        <v>8270</v>
      </c>
      <c r="DN53" s="285">
        <v>8335</v>
      </c>
      <c r="DO53" s="285">
        <v>9265</v>
      </c>
      <c r="DP53" s="285">
        <v>9056</v>
      </c>
      <c r="DQ53" s="285">
        <v>8572</v>
      </c>
      <c r="DR53" s="285">
        <v>8439</v>
      </c>
      <c r="DS53" s="285">
        <v>8804</v>
      </c>
      <c r="DT53" s="285">
        <v>9483</v>
      </c>
      <c r="DU53" s="285">
        <v>9175</v>
      </c>
      <c r="DV53" s="285">
        <v>10080</v>
      </c>
      <c r="DW53" s="285">
        <v>9848</v>
      </c>
      <c r="DX53" s="285">
        <v>9547</v>
      </c>
      <c r="DY53" s="285">
        <v>10036</v>
      </c>
      <c r="DZ53" s="285">
        <v>9124</v>
      </c>
      <c r="EA53" s="285">
        <v>9473</v>
      </c>
      <c r="EB53" s="285">
        <v>9417</v>
      </c>
      <c r="EC53" s="285">
        <v>8204</v>
      </c>
      <c r="ED53" s="285">
        <v>8380</v>
      </c>
      <c r="EE53" s="285">
        <v>8655</v>
      </c>
      <c r="EF53" s="285">
        <v>8535</v>
      </c>
      <c r="EG53" s="285">
        <v>7921</v>
      </c>
      <c r="EH53" s="285">
        <v>8324</v>
      </c>
      <c r="EI53" s="285">
        <v>8213</v>
      </c>
      <c r="EJ53" s="285">
        <v>8309</v>
      </c>
      <c r="EK53" s="285">
        <v>8368</v>
      </c>
      <c r="EL53" s="285">
        <v>7843</v>
      </c>
      <c r="EM53" s="285">
        <v>9072</v>
      </c>
      <c r="EN53" s="285">
        <v>8221</v>
      </c>
      <c r="EO53" s="285">
        <v>6913</v>
      </c>
      <c r="EP53" s="285">
        <v>7059</v>
      </c>
      <c r="EQ53" s="285">
        <v>6998</v>
      </c>
      <c r="ER53" s="285">
        <v>7253</v>
      </c>
      <c r="ES53" s="285">
        <v>7256</v>
      </c>
      <c r="ET53" s="285">
        <v>7071</v>
      </c>
      <c r="EU53" s="285">
        <v>6963</v>
      </c>
      <c r="EV53" s="285">
        <v>6870</v>
      </c>
      <c r="EW53" s="285">
        <v>6732</v>
      </c>
      <c r="EX53" s="285">
        <v>6485</v>
      </c>
      <c r="EY53" s="285">
        <v>7013</v>
      </c>
      <c r="EZ53" s="285">
        <v>6511</v>
      </c>
      <c r="FA53" s="285">
        <v>5789</v>
      </c>
      <c r="FB53" s="285">
        <v>5847</v>
      </c>
      <c r="FC53" s="285">
        <v>5651</v>
      </c>
      <c r="FD53" s="285">
        <v>6097</v>
      </c>
      <c r="FE53" s="285">
        <v>5463</v>
      </c>
      <c r="FF53" s="285">
        <v>6362</v>
      </c>
      <c r="FG53" s="285">
        <v>5708</v>
      </c>
      <c r="FH53" s="285">
        <v>6073</v>
      </c>
      <c r="FI53" s="285">
        <v>5874</v>
      </c>
      <c r="FJ53" s="285">
        <v>5575</v>
      </c>
      <c r="FK53" s="285">
        <v>6060</v>
      </c>
      <c r="FL53" s="285">
        <v>5866</v>
      </c>
      <c r="FM53" s="285">
        <v>5308</v>
      </c>
      <c r="FN53" s="285">
        <v>5476</v>
      </c>
      <c r="FO53" s="285">
        <v>5592</v>
      </c>
      <c r="FP53" s="285">
        <v>6102</v>
      </c>
      <c r="FQ53" s="285">
        <v>5727</v>
      </c>
      <c r="FR53" s="285">
        <v>6201</v>
      </c>
      <c r="FS53" s="285">
        <v>6213</v>
      </c>
      <c r="FT53" s="285">
        <v>6157</v>
      </c>
      <c r="FU53" s="285">
        <v>5906</v>
      </c>
      <c r="FV53" s="285">
        <v>5854</v>
      </c>
      <c r="FW53" s="285">
        <v>7150</v>
      </c>
      <c r="FX53" s="285">
        <v>5586</v>
      </c>
      <c r="FY53" s="285">
        <v>5149</v>
      </c>
      <c r="FZ53" s="285">
        <v>5142</v>
      </c>
      <c r="GA53" s="285">
        <v>5158</v>
      </c>
      <c r="GB53" s="285">
        <v>5454</v>
      </c>
      <c r="GC53" s="285">
        <v>5060</v>
      </c>
      <c r="GD53" s="285">
        <v>5629</v>
      </c>
      <c r="GE53" s="285">
        <v>5296</v>
      </c>
      <c r="GF53" s="285">
        <v>5539.9</v>
      </c>
      <c r="GG53" s="285">
        <v>5532.6</v>
      </c>
      <c r="GH53" s="285">
        <v>5429.4</v>
      </c>
      <c r="GI53" s="285">
        <v>5747.1</v>
      </c>
      <c r="GJ53" s="285">
        <v>5844.2999999999993</v>
      </c>
      <c r="GK53" s="285">
        <v>5444.5</v>
      </c>
      <c r="GL53" s="285">
        <v>5647.7000000000007</v>
      </c>
      <c r="GM53" s="285">
        <v>5507.6</v>
      </c>
      <c r="GN53" s="285">
        <v>7395.6</v>
      </c>
      <c r="GO53" s="285">
        <v>5821.5</v>
      </c>
      <c r="GP53" s="285">
        <v>6107.6</v>
      </c>
      <c r="GQ53" s="285">
        <v>5959.6</v>
      </c>
      <c r="GR53" s="285">
        <v>6116.6</v>
      </c>
      <c r="GS53" s="285">
        <v>6063.8</v>
      </c>
      <c r="GT53" s="285">
        <v>5563.5</v>
      </c>
      <c r="GU53" s="285">
        <v>5903.7000000000007</v>
      </c>
      <c r="GV53" s="285">
        <v>5957.4</v>
      </c>
      <c r="GW53" s="285">
        <v>5089.2</v>
      </c>
      <c r="GX53" s="285">
        <v>5238.8999999999996</v>
      </c>
      <c r="GY53" s="285">
        <v>4982.3999999999996</v>
      </c>
      <c r="GZ53" s="285">
        <v>5544.7999999999993</v>
      </c>
      <c r="HA53" s="285">
        <v>5203.8</v>
      </c>
      <c r="HB53" s="285">
        <v>6048.9</v>
      </c>
      <c r="HC53" s="285">
        <v>5342.3</v>
      </c>
      <c r="HD53" s="285">
        <v>5768.7999999999993</v>
      </c>
      <c r="HE53" s="285">
        <v>5943.9</v>
      </c>
      <c r="HF53" s="285">
        <v>5747.4</v>
      </c>
      <c r="HG53" s="285">
        <v>6704.3</v>
      </c>
      <c r="HH53" s="285">
        <v>6349.1</v>
      </c>
      <c r="HI53" s="285">
        <v>5598.8</v>
      </c>
      <c r="HJ53" s="285">
        <v>6036.7</v>
      </c>
      <c r="HK53" s="285">
        <v>6308</v>
      </c>
      <c r="HL53" s="285">
        <v>6699.7999999999993</v>
      </c>
      <c r="HM53" s="285">
        <v>6224.6</v>
      </c>
      <c r="HN53" s="285">
        <v>6819.8</v>
      </c>
      <c r="HO53" s="285">
        <v>6589.7000000000007</v>
      </c>
      <c r="HP53" s="286">
        <v>7157.1</v>
      </c>
      <c r="HQ53" s="286">
        <v>6936</v>
      </c>
      <c r="HR53" s="286">
        <v>7082.2000000000007</v>
      </c>
      <c r="HS53" s="286">
        <v>8426.7000000000007</v>
      </c>
      <c r="HT53" s="286">
        <v>9478.9000000000015</v>
      </c>
      <c r="HU53" s="286">
        <v>7407.6</v>
      </c>
      <c r="HV53" s="545">
        <v>7932.7788000000019</v>
      </c>
      <c r="HW53" s="545">
        <v>7458.3289000000004</v>
      </c>
      <c r="HX53" s="545">
        <v>7739.2788999999993</v>
      </c>
      <c r="HY53" s="545">
        <v>6687.5751999999993</v>
      </c>
      <c r="HZ53" s="545">
        <v>6852.6350000000002</v>
      </c>
      <c r="IA53" s="545">
        <v>7121.7768999999998</v>
      </c>
      <c r="IB53" s="545">
        <v>8420.4107000000004</v>
      </c>
      <c r="IC53" s="545">
        <v>8349.9707999999991</v>
      </c>
      <c r="ID53" s="545">
        <v>7564.0789999999997</v>
      </c>
      <c r="IE53" s="545">
        <v>7991.6268</v>
      </c>
      <c r="IF53" s="545">
        <v>7361.0390000000007</v>
      </c>
      <c r="IG53" s="285">
        <v>7185.2028999999993</v>
      </c>
      <c r="IH53" s="545">
        <v>7053.0411000000004</v>
      </c>
      <c r="II53" s="545">
        <v>7461.6409000000003</v>
      </c>
      <c r="IJ53" s="545">
        <v>7287.7367999999997</v>
      </c>
      <c r="IK53" s="545">
        <v>7009.1630000000005</v>
      </c>
      <c r="IL53" s="545">
        <v>7277.8307999999997</v>
      </c>
      <c r="IM53" s="851">
        <v>7670.0328</v>
      </c>
      <c r="IN53" s="168"/>
    </row>
    <row r="54" spans="1:665">
      <c r="A54" s="81" t="s">
        <v>147</v>
      </c>
      <c r="B54" s="284">
        <v>554</v>
      </c>
      <c r="C54" s="284">
        <v>569</v>
      </c>
      <c r="D54" s="284">
        <v>636</v>
      </c>
      <c r="E54" s="284">
        <v>595</v>
      </c>
      <c r="F54" s="284">
        <v>659</v>
      </c>
      <c r="G54" s="284">
        <v>615</v>
      </c>
      <c r="H54" s="284">
        <v>587</v>
      </c>
      <c r="I54" s="284">
        <v>583</v>
      </c>
      <c r="J54" s="284">
        <v>575</v>
      </c>
      <c r="K54" s="284">
        <v>684</v>
      </c>
      <c r="L54" s="284">
        <v>667</v>
      </c>
      <c r="M54" s="284">
        <v>585</v>
      </c>
      <c r="N54" s="284">
        <v>567</v>
      </c>
      <c r="O54" s="284">
        <v>578</v>
      </c>
      <c r="P54" s="284">
        <v>585</v>
      </c>
      <c r="Q54" s="284">
        <v>528</v>
      </c>
      <c r="R54" s="284">
        <v>596</v>
      </c>
      <c r="S54" s="284">
        <v>544</v>
      </c>
      <c r="T54" s="284">
        <v>533</v>
      </c>
      <c r="U54" s="284">
        <v>584</v>
      </c>
      <c r="V54" s="284">
        <v>566</v>
      </c>
      <c r="W54" s="284">
        <v>617</v>
      </c>
      <c r="X54" s="284">
        <v>564</v>
      </c>
      <c r="Y54" s="284">
        <v>510</v>
      </c>
      <c r="Z54" s="284">
        <v>544</v>
      </c>
      <c r="AA54" s="284">
        <v>545</v>
      </c>
      <c r="AB54" s="284">
        <v>576</v>
      </c>
      <c r="AC54" s="284">
        <v>543</v>
      </c>
      <c r="AD54" s="284">
        <v>596</v>
      </c>
      <c r="AE54" s="284">
        <v>532</v>
      </c>
      <c r="AF54" s="284">
        <v>572</v>
      </c>
      <c r="AG54" s="284">
        <v>590</v>
      </c>
      <c r="AH54" s="284">
        <v>542</v>
      </c>
      <c r="AI54" s="284">
        <v>591</v>
      </c>
      <c r="AJ54" s="284">
        <v>595</v>
      </c>
      <c r="AK54" s="284">
        <v>550</v>
      </c>
      <c r="AL54" s="284">
        <v>588</v>
      </c>
      <c r="AM54" s="284">
        <v>563</v>
      </c>
      <c r="AN54" s="284">
        <v>562</v>
      </c>
      <c r="AO54" s="284">
        <v>519</v>
      </c>
      <c r="AP54" s="284">
        <v>548</v>
      </c>
      <c r="AQ54" s="284">
        <v>571</v>
      </c>
      <c r="AR54" s="284">
        <v>584</v>
      </c>
      <c r="AS54" s="284">
        <v>570</v>
      </c>
      <c r="AT54" s="284">
        <v>588</v>
      </c>
      <c r="AU54" s="284">
        <v>548</v>
      </c>
      <c r="AV54" s="284">
        <v>587</v>
      </c>
      <c r="AW54" s="284">
        <v>619</v>
      </c>
      <c r="AX54" s="284">
        <v>559</v>
      </c>
      <c r="AY54" s="284">
        <v>719</v>
      </c>
      <c r="AZ54" s="284">
        <v>734</v>
      </c>
      <c r="BA54" s="284">
        <v>613</v>
      </c>
      <c r="BB54" s="284">
        <v>668</v>
      </c>
      <c r="BC54" s="284">
        <v>687</v>
      </c>
      <c r="BD54" s="284">
        <v>674</v>
      </c>
      <c r="BE54" s="284">
        <v>679</v>
      </c>
      <c r="BF54" s="284">
        <v>733</v>
      </c>
      <c r="BG54" s="284">
        <v>683</v>
      </c>
      <c r="BH54" s="284">
        <v>676</v>
      </c>
      <c r="BI54" s="284">
        <v>642</v>
      </c>
      <c r="BJ54" s="284">
        <v>621</v>
      </c>
      <c r="BK54" s="284">
        <v>615</v>
      </c>
      <c r="BL54" s="284">
        <v>700</v>
      </c>
      <c r="BM54" s="284">
        <v>571</v>
      </c>
      <c r="BN54" s="284">
        <v>666</v>
      </c>
      <c r="BO54" s="284">
        <v>683</v>
      </c>
      <c r="BP54" s="284">
        <v>669</v>
      </c>
      <c r="BQ54" s="284">
        <v>693</v>
      </c>
      <c r="BR54" s="284">
        <v>734</v>
      </c>
      <c r="BS54" s="284">
        <v>738</v>
      </c>
      <c r="BT54" s="284">
        <v>744</v>
      </c>
      <c r="BU54" s="284">
        <v>611</v>
      </c>
      <c r="BV54" s="284">
        <v>668</v>
      </c>
      <c r="BW54" s="284">
        <v>699</v>
      </c>
      <c r="BX54" s="284">
        <v>748</v>
      </c>
      <c r="BY54" s="284">
        <v>635</v>
      </c>
      <c r="BZ54" s="284">
        <v>733</v>
      </c>
      <c r="CA54" s="284">
        <v>683</v>
      </c>
      <c r="CB54" s="284">
        <v>680</v>
      </c>
      <c r="CC54" s="284">
        <v>714</v>
      </c>
      <c r="CD54" s="284">
        <v>661</v>
      </c>
      <c r="CE54" s="284">
        <v>772</v>
      </c>
      <c r="CF54" s="284">
        <v>764</v>
      </c>
      <c r="CG54" s="284">
        <v>672</v>
      </c>
      <c r="CH54" s="284">
        <v>670</v>
      </c>
      <c r="CI54" s="284">
        <v>631</v>
      </c>
      <c r="CJ54" s="284">
        <v>610</v>
      </c>
      <c r="CK54" s="284">
        <v>742</v>
      </c>
      <c r="CL54" s="284">
        <v>694</v>
      </c>
      <c r="CM54" s="284">
        <v>719</v>
      </c>
      <c r="CN54" s="284">
        <v>832</v>
      </c>
      <c r="CO54" s="284">
        <v>801</v>
      </c>
      <c r="CP54" s="284">
        <v>801</v>
      </c>
      <c r="CQ54" s="284">
        <v>765</v>
      </c>
      <c r="CR54" s="284">
        <v>679</v>
      </c>
      <c r="CS54" s="284">
        <v>681</v>
      </c>
      <c r="CT54" s="284">
        <v>629</v>
      </c>
      <c r="CU54" s="284">
        <v>645</v>
      </c>
      <c r="CV54" s="284">
        <v>698</v>
      </c>
      <c r="CW54" s="284">
        <v>690</v>
      </c>
      <c r="CX54" s="284">
        <v>826</v>
      </c>
      <c r="CY54" s="284">
        <v>792</v>
      </c>
      <c r="CZ54" s="284">
        <v>882</v>
      </c>
      <c r="DA54" s="284">
        <v>867</v>
      </c>
      <c r="DB54" s="284">
        <v>870</v>
      </c>
      <c r="DC54" s="284">
        <v>874</v>
      </c>
      <c r="DD54" s="284">
        <v>777</v>
      </c>
      <c r="DE54" s="284">
        <v>779</v>
      </c>
      <c r="DF54" s="284">
        <v>698</v>
      </c>
      <c r="DG54" s="284">
        <v>704</v>
      </c>
      <c r="DH54" s="284">
        <v>778</v>
      </c>
      <c r="DI54" s="284">
        <v>759</v>
      </c>
      <c r="DJ54" s="284">
        <v>816</v>
      </c>
      <c r="DK54" s="284">
        <v>820</v>
      </c>
      <c r="DL54" s="284">
        <v>858</v>
      </c>
      <c r="DM54" s="284">
        <v>956</v>
      </c>
      <c r="DN54" s="284">
        <v>847</v>
      </c>
      <c r="DO54" s="284">
        <v>789</v>
      </c>
      <c r="DP54" s="284">
        <v>747</v>
      </c>
      <c r="DQ54" s="284">
        <v>659</v>
      </c>
      <c r="DR54" s="284">
        <v>642</v>
      </c>
      <c r="DS54" s="284">
        <v>638</v>
      </c>
      <c r="DT54" s="284">
        <v>750</v>
      </c>
      <c r="DU54" s="284">
        <v>713</v>
      </c>
      <c r="DV54" s="284">
        <v>815</v>
      </c>
      <c r="DW54" s="284">
        <v>812</v>
      </c>
      <c r="DX54" s="284">
        <v>926</v>
      </c>
      <c r="DY54" s="284">
        <v>1134</v>
      </c>
      <c r="DZ54" s="284">
        <v>920</v>
      </c>
      <c r="EA54" s="284">
        <v>880</v>
      </c>
      <c r="EB54" s="284">
        <v>842</v>
      </c>
      <c r="EC54" s="284">
        <v>706</v>
      </c>
      <c r="ED54" s="284">
        <v>802</v>
      </c>
      <c r="EE54" s="284">
        <v>842</v>
      </c>
      <c r="EF54" s="284">
        <v>868</v>
      </c>
      <c r="EG54" s="284">
        <v>797</v>
      </c>
      <c r="EH54" s="284">
        <v>822</v>
      </c>
      <c r="EI54" s="284">
        <v>816</v>
      </c>
      <c r="EJ54" s="284">
        <v>837</v>
      </c>
      <c r="EK54" s="284">
        <v>838</v>
      </c>
      <c r="EL54" s="284">
        <v>886</v>
      </c>
      <c r="EM54" s="284">
        <v>892</v>
      </c>
      <c r="EN54" s="284">
        <v>1059</v>
      </c>
      <c r="EO54" s="284">
        <v>934</v>
      </c>
      <c r="EP54" s="284">
        <v>918</v>
      </c>
      <c r="EQ54" s="284">
        <v>895</v>
      </c>
      <c r="ER54" s="284">
        <v>908</v>
      </c>
      <c r="ES54" s="284">
        <v>875</v>
      </c>
      <c r="ET54" s="284">
        <v>914</v>
      </c>
      <c r="EU54" s="284">
        <v>914</v>
      </c>
      <c r="EV54" s="284">
        <v>987</v>
      </c>
      <c r="EW54" s="284">
        <v>1173</v>
      </c>
      <c r="EX54" s="284">
        <v>1030</v>
      </c>
      <c r="EY54" s="284">
        <v>1079</v>
      </c>
      <c r="EZ54" s="284">
        <v>1060</v>
      </c>
      <c r="FA54" s="284">
        <v>867</v>
      </c>
      <c r="FB54" s="284">
        <v>789</v>
      </c>
      <c r="FC54" s="284">
        <v>786</v>
      </c>
      <c r="FD54" s="284">
        <v>853</v>
      </c>
      <c r="FE54" s="284">
        <v>805</v>
      </c>
      <c r="FF54" s="284">
        <v>839</v>
      </c>
      <c r="FG54" s="284">
        <v>800</v>
      </c>
      <c r="FH54" s="284">
        <v>758</v>
      </c>
      <c r="FI54" s="284">
        <v>736</v>
      </c>
      <c r="FJ54" s="284">
        <v>678</v>
      </c>
      <c r="FK54" s="284">
        <v>745</v>
      </c>
      <c r="FL54" s="284">
        <v>709</v>
      </c>
      <c r="FM54" s="284">
        <v>650</v>
      </c>
      <c r="FN54" s="284">
        <v>596</v>
      </c>
      <c r="FO54" s="284">
        <v>574</v>
      </c>
      <c r="FP54" s="284">
        <v>605</v>
      </c>
      <c r="FQ54" s="284">
        <v>591</v>
      </c>
      <c r="FR54" s="284">
        <v>594</v>
      </c>
      <c r="FS54" s="284">
        <v>624</v>
      </c>
      <c r="FT54" s="284">
        <v>608</v>
      </c>
      <c r="FU54" s="284">
        <v>661</v>
      </c>
      <c r="FV54" s="284">
        <v>637</v>
      </c>
      <c r="FW54" s="284">
        <v>597</v>
      </c>
      <c r="FX54" s="284">
        <v>614</v>
      </c>
      <c r="FY54" s="284">
        <v>563</v>
      </c>
      <c r="FZ54" s="284">
        <v>499</v>
      </c>
      <c r="GA54" s="284">
        <v>562</v>
      </c>
      <c r="GB54" s="284">
        <v>566</v>
      </c>
      <c r="GC54" s="284">
        <v>500</v>
      </c>
      <c r="GD54" s="284">
        <v>519</v>
      </c>
      <c r="GE54" s="284">
        <v>508</v>
      </c>
      <c r="GF54" s="284">
        <v>516</v>
      </c>
      <c r="GG54" s="284">
        <v>565.6</v>
      </c>
      <c r="GH54" s="284">
        <v>533.4</v>
      </c>
      <c r="GI54" s="284">
        <v>592.29999999999995</v>
      </c>
      <c r="GJ54" s="284">
        <v>534.1</v>
      </c>
      <c r="GK54" s="284">
        <v>433.8</v>
      </c>
      <c r="GL54" s="284">
        <v>435.6</v>
      </c>
      <c r="GM54" s="284">
        <v>412.1</v>
      </c>
      <c r="GN54" s="284">
        <v>451.2</v>
      </c>
      <c r="GO54" s="284">
        <v>478.3</v>
      </c>
      <c r="GP54" s="284">
        <v>559</v>
      </c>
      <c r="GQ54" s="284">
        <v>526.29999999999995</v>
      </c>
      <c r="GR54" s="284">
        <v>522</v>
      </c>
      <c r="GS54" s="284">
        <v>599.6</v>
      </c>
      <c r="GT54" s="284">
        <v>529.1</v>
      </c>
      <c r="GU54" s="284">
        <v>602.70000000000005</v>
      </c>
      <c r="GV54" s="284">
        <v>596.5</v>
      </c>
      <c r="GW54" s="284">
        <v>481.09999999999997</v>
      </c>
      <c r="GX54" s="284">
        <v>550.20000000000005</v>
      </c>
      <c r="GY54" s="284">
        <v>508.2</v>
      </c>
      <c r="GZ54" s="284">
        <v>589.70000000000005</v>
      </c>
      <c r="HA54" s="284">
        <v>548.5</v>
      </c>
      <c r="HB54" s="284">
        <v>604</v>
      </c>
      <c r="HC54" s="284">
        <v>669.4</v>
      </c>
      <c r="HD54" s="284">
        <v>672.1</v>
      </c>
      <c r="HE54" s="284">
        <v>702.90000000000009</v>
      </c>
      <c r="HF54" s="284">
        <v>642.20000000000005</v>
      </c>
      <c r="HG54" s="284">
        <v>633.4</v>
      </c>
      <c r="HH54" s="284">
        <v>591.79999999999995</v>
      </c>
      <c r="HI54" s="284">
        <v>567</v>
      </c>
      <c r="HJ54" s="284">
        <v>540.29999999999995</v>
      </c>
      <c r="HK54" s="284">
        <v>493.79999999999995</v>
      </c>
      <c r="HL54" s="284">
        <v>533.9</v>
      </c>
      <c r="HM54" s="284">
        <v>575.29999999999995</v>
      </c>
      <c r="HN54" s="284">
        <v>718.3</v>
      </c>
      <c r="HO54" s="284">
        <v>699.3</v>
      </c>
      <c r="HP54" s="284">
        <v>720</v>
      </c>
      <c r="HQ54" s="284">
        <v>734.59999999999991</v>
      </c>
      <c r="HR54" s="284">
        <v>791</v>
      </c>
      <c r="HS54" s="284">
        <v>680.5</v>
      </c>
      <c r="HT54" s="284">
        <v>653.4</v>
      </c>
      <c r="HU54" s="284">
        <v>590.79999999999995</v>
      </c>
      <c r="HV54" s="284">
        <v>608.67599999999993</v>
      </c>
      <c r="HW54" s="284">
        <v>632.86800000000005</v>
      </c>
      <c r="HX54" s="284">
        <v>620.33399999999995</v>
      </c>
      <c r="HY54" s="284">
        <v>547.07400000000007</v>
      </c>
      <c r="HZ54" s="284">
        <v>582.20399999999995</v>
      </c>
      <c r="IA54" s="284">
        <v>607.83600000000001</v>
      </c>
      <c r="IB54" s="284">
        <v>665.95800000000008</v>
      </c>
      <c r="IC54" s="284">
        <v>726.30600000000004</v>
      </c>
      <c r="ID54" s="284">
        <v>615.91200000000003</v>
      </c>
      <c r="IE54" s="284">
        <v>634.47</v>
      </c>
      <c r="IF54" s="284">
        <v>705.61200000000008</v>
      </c>
      <c r="IG54" s="284">
        <v>523.26599999999996</v>
      </c>
      <c r="IH54" s="284">
        <v>521.69999999999993</v>
      </c>
      <c r="II54" s="284">
        <v>573.15599999999995</v>
      </c>
      <c r="IJ54" s="284">
        <v>654.4380000000001</v>
      </c>
      <c r="IK54" s="284">
        <v>573.69000000000005</v>
      </c>
      <c r="IL54" s="284">
        <v>691.33199999999999</v>
      </c>
      <c r="IM54" s="850">
        <v>580.05600000000004</v>
      </c>
      <c r="IN54" s="168"/>
    </row>
    <row r="55" spans="1:665" ht="15.75" thickBot="1">
      <c r="A55" s="82" t="s">
        <v>48</v>
      </c>
      <c r="B55" s="285">
        <v>1254</v>
      </c>
      <c r="C55" s="285">
        <v>1292</v>
      </c>
      <c r="D55" s="285">
        <v>1457</v>
      </c>
      <c r="E55" s="285">
        <v>1389</v>
      </c>
      <c r="F55" s="285">
        <v>1497</v>
      </c>
      <c r="G55" s="285">
        <v>1436</v>
      </c>
      <c r="H55" s="285">
        <v>1471</v>
      </c>
      <c r="I55" s="285">
        <v>1498</v>
      </c>
      <c r="J55" s="285">
        <v>1464</v>
      </c>
      <c r="K55" s="285">
        <v>1453</v>
      </c>
      <c r="L55" s="285">
        <v>1417</v>
      </c>
      <c r="M55" s="285">
        <v>1262</v>
      </c>
      <c r="N55" s="285">
        <v>1347</v>
      </c>
      <c r="O55" s="285">
        <v>1288</v>
      </c>
      <c r="P55" s="285">
        <v>1362</v>
      </c>
      <c r="Q55" s="285">
        <v>1318</v>
      </c>
      <c r="R55" s="285">
        <v>1240</v>
      </c>
      <c r="S55" s="285">
        <v>1321</v>
      </c>
      <c r="T55" s="285">
        <v>1489</v>
      </c>
      <c r="U55" s="285">
        <v>1400</v>
      </c>
      <c r="V55" s="285">
        <v>1355</v>
      </c>
      <c r="W55" s="285">
        <v>1492</v>
      </c>
      <c r="X55" s="285">
        <v>1466</v>
      </c>
      <c r="Y55" s="285">
        <v>1234</v>
      </c>
      <c r="Z55" s="285">
        <v>1170</v>
      </c>
      <c r="AA55" s="285">
        <v>1168</v>
      </c>
      <c r="AB55" s="285">
        <v>1294</v>
      </c>
      <c r="AC55" s="285">
        <v>1274</v>
      </c>
      <c r="AD55" s="285">
        <v>1320</v>
      </c>
      <c r="AE55" s="285">
        <v>1265</v>
      </c>
      <c r="AF55" s="285">
        <v>1372</v>
      </c>
      <c r="AG55" s="285">
        <v>1301</v>
      </c>
      <c r="AH55" s="285">
        <v>1318</v>
      </c>
      <c r="AI55" s="285">
        <v>1405</v>
      </c>
      <c r="AJ55" s="285">
        <v>1352</v>
      </c>
      <c r="AK55" s="285">
        <v>1302</v>
      </c>
      <c r="AL55" s="285">
        <v>1217</v>
      </c>
      <c r="AM55" s="285">
        <v>1354</v>
      </c>
      <c r="AN55" s="285">
        <v>1474</v>
      </c>
      <c r="AO55" s="285">
        <v>1346</v>
      </c>
      <c r="AP55" s="285">
        <v>1421</v>
      </c>
      <c r="AQ55" s="285">
        <v>1591</v>
      </c>
      <c r="AR55" s="285">
        <v>1537</v>
      </c>
      <c r="AS55" s="285">
        <v>1639</v>
      </c>
      <c r="AT55" s="285">
        <v>1670</v>
      </c>
      <c r="AU55" s="285">
        <v>1712</v>
      </c>
      <c r="AV55" s="285">
        <v>1686</v>
      </c>
      <c r="AW55" s="285">
        <v>1578</v>
      </c>
      <c r="AX55" s="285">
        <v>1483</v>
      </c>
      <c r="AY55" s="285">
        <v>1557</v>
      </c>
      <c r="AZ55" s="285">
        <v>1647</v>
      </c>
      <c r="BA55" s="285">
        <v>1678</v>
      </c>
      <c r="BB55" s="285">
        <v>1829</v>
      </c>
      <c r="BC55" s="285">
        <v>1733</v>
      </c>
      <c r="BD55" s="285">
        <v>1751</v>
      </c>
      <c r="BE55" s="285">
        <v>1881</v>
      </c>
      <c r="BF55" s="285">
        <v>1866</v>
      </c>
      <c r="BG55" s="285">
        <v>1971</v>
      </c>
      <c r="BH55" s="285">
        <v>1954</v>
      </c>
      <c r="BI55" s="285">
        <v>1699</v>
      </c>
      <c r="BJ55" s="285">
        <v>1564</v>
      </c>
      <c r="BK55" s="285">
        <v>1541</v>
      </c>
      <c r="BL55" s="285">
        <v>1768</v>
      </c>
      <c r="BM55" s="285">
        <v>1719</v>
      </c>
      <c r="BN55" s="285">
        <v>1680</v>
      </c>
      <c r="BO55" s="285">
        <v>1699</v>
      </c>
      <c r="BP55" s="285">
        <v>1634</v>
      </c>
      <c r="BQ55" s="285">
        <v>1718</v>
      </c>
      <c r="BR55" s="285">
        <v>1589</v>
      </c>
      <c r="BS55" s="285">
        <v>1627</v>
      </c>
      <c r="BT55" s="285">
        <v>1695</v>
      </c>
      <c r="BU55" s="285">
        <v>1504</v>
      </c>
      <c r="BV55" s="285">
        <v>1553</v>
      </c>
      <c r="BW55" s="285">
        <v>1578</v>
      </c>
      <c r="BX55" s="285">
        <v>1620</v>
      </c>
      <c r="BY55" s="285">
        <v>1626</v>
      </c>
      <c r="BZ55" s="285">
        <v>1773</v>
      </c>
      <c r="CA55" s="285">
        <v>1659</v>
      </c>
      <c r="CB55" s="285">
        <v>1755</v>
      </c>
      <c r="CC55" s="285">
        <v>1856</v>
      </c>
      <c r="CD55" s="285">
        <v>1893</v>
      </c>
      <c r="CE55" s="285">
        <v>1693</v>
      </c>
      <c r="CF55" s="285">
        <v>1806</v>
      </c>
      <c r="CG55" s="285">
        <v>1725</v>
      </c>
      <c r="CH55" s="285">
        <v>1760</v>
      </c>
      <c r="CI55" s="285">
        <v>1770</v>
      </c>
      <c r="CJ55" s="285">
        <v>1770</v>
      </c>
      <c r="CK55" s="285">
        <v>1854</v>
      </c>
      <c r="CL55" s="285">
        <v>2023</v>
      </c>
      <c r="CM55" s="285">
        <v>1833</v>
      </c>
      <c r="CN55" s="285">
        <v>2066</v>
      </c>
      <c r="CO55" s="285">
        <v>2181</v>
      </c>
      <c r="CP55" s="285">
        <v>2091</v>
      </c>
      <c r="CQ55" s="285">
        <v>2189</v>
      </c>
      <c r="CR55" s="285">
        <v>2089</v>
      </c>
      <c r="CS55" s="285">
        <v>2135</v>
      </c>
      <c r="CT55" s="285">
        <v>2276</v>
      </c>
      <c r="CU55" s="285">
        <v>2249</v>
      </c>
      <c r="CV55" s="285">
        <v>2024</v>
      </c>
      <c r="CW55" s="285">
        <v>1853</v>
      </c>
      <c r="CX55" s="285">
        <v>2027</v>
      </c>
      <c r="CY55" s="285">
        <v>1938</v>
      </c>
      <c r="CZ55" s="285">
        <v>2014</v>
      </c>
      <c r="DA55" s="285">
        <v>2017</v>
      </c>
      <c r="DB55" s="285">
        <v>1943</v>
      </c>
      <c r="DC55" s="285">
        <v>1981</v>
      </c>
      <c r="DD55" s="285">
        <v>1946</v>
      </c>
      <c r="DE55" s="285">
        <v>1963</v>
      </c>
      <c r="DF55" s="285">
        <v>1867</v>
      </c>
      <c r="DG55" s="285">
        <v>1879</v>
      </c>
      <c r="DH55" s="285">
        <v>2088</v>
      </c>
      <c r="DI55" s="285">
        <v>2068</v>
      </c>
      <c r="DJ55" s="285">
        <v>2259</v>
      </c>
      <c r="DK55" s="285">
        <v>2339</v>
      </c>
      <c r="DL55" s="285">
        <v>2381</v>
      </c>
      <c r="DM55" s="285">
        <v>2719</v>
      </c>
      <c r="DN55" s="285">
        <v>2648</v>
      </c>
      <c r="DO55" s="285">
        <v>2849</v>
      </c>
      <c r="DP55" s="285">
        <v>2784</v>
      </c>
      <c r="DQ55" s="285">
        <v>2700</v>
      </c>
      <c r="DR55" s="285">
        <v>2694</v>
      </c>
      <c r="DS55" s="285">
        <v>2711</v>
      </c>
      <c r="DT55" s="285">
        <v>3150</v>
      </c>
      <c r="DU55" s="285">
        <v>3031</v>
      </c>
      <c r="DV55" s="285">
        <v>3306</v>
      </c>
      <c r="DW55" s="285">
        <v>3254</v>
      </c>
      <c r="DX55" s="285">
        <v>3370</v>
      </c>
      <c r="DY55" s="285">
        <v>3605</v>
      </c>
      <c r="DZ55" s="285">
        <v>3260</v>
      </c>
      <c r="EA55" s="285">
        <v>3414</v>
      </c>
      <c r="EB55" s="285">
        <v>3218</v>
      </c>
      <c r="EC55" s="285">
        <v>2874</v>
      </c>
      <c r="ED55" s="285">
        <v>2854</v>
      </c>
      <c r="EE55" s="285">
        <v>2906</v>
      </c>
      <c r="EF55" s="285">
        <v>3225</v>
      </c>
      <c r="EG55" s="285">
        <v>2880</v>
      </c>
      <c r="EH55" s="285">
        <v>3191</v>
      </c>
      <c r="EI55" s="285">
        <v>2877</v>
      </c>
      <c r="EJ55" s="285">
        <v>2932</v>
      </c>
      <c r="EK55" s="285">
        <v>2855</v>
      </c>
      <c r="EL55" s="285">
        <v>2748</v>
      </c>
      <c r="EM55" s="285">
        <v>2933</v>
      </c>
      <c r="EN55" s="285">
        <v>2619</v>
      </c>
      <c r="EO55" s="285">
        <v>2427</v>
      </c>
      <c r="EP55" s="285">
        <v>2522</v>
      </c>
      <c r="EQ55" s="285">
        <v>2429</v>
      </c>
      <c r="ER55" s="285">
        <v>2651</v>
      </c>
      <c r="ES55" s="285">
        <v>2578</v>
      </c>
      <c r="ET55" s="285">
        <v>2968</v>
      </c>
      <c r="EU55" s="285">
        <v>2659</v>
      </c>
      <c r="EV55" s="285">
        <v>2741</v>
      </c>
      <c r="EW55" s="285">
        <v>2668</v>
      </c>
      <c r="EX55" s="285">
        <v>2614</v>
      </c>
      <c r="EY55" s="285">
        <v>2834</v>
      </c>
      <c r="EZ55" s="285">
        <v>2693</v>
      </c>
      <c r="FA55" s="285">
        <v>2530</v>
      </c>
      <c r="FB55" s="285">
        <v>2545</v>
      </c>
      <c r="FC55" s="285">
        <v>2373</v>
      </c>
      <c r="FD55" s="285">
        <v>2402</v>
      </c>
      <c r="FE55" s="285">
        <v>2290</v>
      </c>
      <c r="FF55" s="285">
        <v>2439</v>
      </c>
      <c r="FG55" s="285">
        <v>2446</v>
      </c>
      <c r="FH55" s="285">
        <v>2463</v>
      </c>
      <c r="FI55" s="285">
        <v>2245</v>
      </c>
      <c r="FJ55" s="285">
        <v>2359</v>
      </c>
      <c r="FK55" s="285">
        <v>2364</v>
      </c>
      <c r="FL55" s="285">
        <v>2360</v>
      </c>
      <c r="FM55" s="285">
        <v>2161</v>
      </c>
      <c r="FN55" s="285">
        <v>2034</v>
      </c>
      <c r="FO55" s="285">
        <v>2066</v>
      </c>
      <c r="FP55" s="285">
        <v>2140</v>
      </c>
      <c r="FQ55" s="285">
        <v>1985</v>
      </c>
      <c r="FR55" s="285">
        <v>1972</v>
      </c>
      <c r="FS55" s="285">
        <v>1955</v>
      </c>
      <c r="FT55" s="285">
        <v>1930</v>
      </c>
      <c r="FU55" s="285">
        <v>2132</v>
      </c>
      <c r="FV55" s="285">
        <v>2065</v>
      </c>
      <c r="FW55" s="285">
        <v>2110</v>
      </c>
      <c r="FX55" s="285">
        <v>2270</v>
      </c>
      <c r="FY55" s="285">
        <v>2135</v>
      </c>
      <c r="FZ55" s="285">
        <v>1975</v>
      </c>
      <c r="GA55" s="285">
        <v>1817</v>
      </c>
      <c r="GB55" s="285">
        <v>1757</v>
      </c>
      <c r="GC55" s="285">
        <v>1574</v>
      </c>
      <c r="GD55" s="285">
        <v>1782</v>
      </c>
      <c r="GE55" s="285">
        <v>1758</v>
      </c>
      <c r="GF55" s="285">
        <v>1670.9</v>
      </c>
      <c r="GG55" s="285">
        <v>1840.5</v>
      </c>
      <c r="GH55" s="285">
        <v>1681.1</v>
      </c>
      <c r="GI55" s="285">
        <v>1655.1</v>
      </c>
      <c r="GJ55" s="285">
        <v>1653.8</v>
      </c>
      <c r="GK55" s="285">
        <v>1569.4</v>
      </c>
      <c r="GL55" s="285">
        <v>1607.0000000000002</v>
      </c>
      <c r="GM55" s="285">
        <v>1694.9</v>
      </c>
      <c r="GN55" s="285">
        <v>1969.1000000000001</v>
      </c>
      <c r="GO55" s="285">
        <v>1862.7000000000003</v>
      </c>
      <c r="GP55" s="285">
        <v>1953.3999999999999</v>
      </c>
      <c r="GQ55" s="285">
        <v>1968.3999999999999</v>
      </c>
      <c r="GR55" s="285">
        <v>1788.6999999999998</v>
      </c>
      <c r="GS55" s="285">
        <v>2061.6</v>
      </c>
      <c r="GT55" s="285">
        <v>2144.4</v>
      </c>
      <c r="GU55" s="285">
        <v>2245.0999999999995</v>
      </c>
      <c r="GV55" s="285">
        <v>2271.6000000000004</v>
      </c>
      <c r="GW55" s="285">
        <v>2074.4</v>
      </c>
      <c r="GX55" s="285">
        <v>2089.8999999999996</v>
      </c>
      <c r="GY55" s="285">
        <v>2056.3000000000002</v>
      </c>
      <c r="GZ55" s="285">
        <v>2170.6</v>
      </c>
      <c r="HA55" s="285">
        <v>2197.8999999999996</v>
      </c>
      <c r="HB55" s="285">
        <v>2215.4000000000005</v>
      </c>
      <c r="HC55" s="285">
        <v>2144.1999999999998</v>
      </c>
      <c r="HD55" s="285">
        <v>2401</v>
      </c>
      <c r="HE55" s="285">
        <v>2386.4999999999995</v>
      </c>
      <c r="HF55" s="285">
        <v>2322.1000000000004</v>
      </c>
      <c r="HG55" s="285">
        <v>2272.4</v>
      </c>
      <c r="HH55" s="285">
        <v>2246.8000000000002</v>
      </c>
      <c r="HI55" s="285">
        <v>2107.1999999999998</v>
      </c>
      <c r="HJ55" s="285">
        <v>2243.5</v>
      </c>
      <c r="HK55" s="285">
        <v>2227.2000000000003</v>
      </c>
      <c r="HL55" s="285">
        <v>2297.8000000000002</v>
      </c>
      <c r="HM55" s="285">
        <v>2199.7999999999997</v>
      </c>
      <c r="HN55" s="285">
        <v>2381.3000000000002</v>
      </c>
      <c r="HO55" s="285">
        <v>2123.4</v>
      </c>
      <c r="HP55" s="286">
        <v>2371.0999999999995</v>
      </c>
      <c r="HQ55" s="286">
        <v>2178.8000000000002</v>
      </c>
      <c r="HR55" s="286">
        <v>2204.6</v>
      </c>
      <c r="HS55" s="286">
        <v>2186.6000000000004</v>
      </c>
      <c r="HT55" s="286">
        <v>2355.6</v>
      </c>
      <c r="HU55" s="286">
        <v>2339.3000000000002</v>
      </c>
      <c r="HV55" s="545">
        <v>2273.4180000000006</v>
      </c>
      <c r="HW55" s="545">
        <v>2306.328</v>
      </c>
      <c r="HX55" s="545">
        <v>2320.6320000000005</v>
      </c>
      <c r="HY55" s="545">
        <v>2200.4698999999991</v>
      </c>
      <c r="HZ55" s="545">
        <v>2270.4778999999999</v>
      </c>
      <c r="IA55" s="545">
        <v>2328.0478999999996</v>
      </c>
      <c r="IB55" s="545">
        <v>3069.8998000000001</v>
      </c>
      <c r="IC55" s="545">
        <v>3072.0418</v>
      </c>
      <c r="ID55" s="545">
        <v>2882.5317999999997</v>
      </c>
      <c r="IE55" s="545">
        <v>3049.6319000000003</v>
      </c>
      <c r="IF55" s="545">
        <v>2729.1418999999992</v>
      </c>
      <c r="IG55" s="285">
        <v>2892.8277999999996</v>
      </c>
      <c r="IH55" s="545">
        <v>2764.5359000000012</v>
      </c>
      <c r="II55" s="545">
        <v>2620.5658999999996</v>
      </c>
      <c r="IJ55" s="545">
        <v>2605.5780000000004</v>
      </c>
      <c r="IK55" s="545">
        <v>2596.5360000000005</v>
      </c>
      <c r="IL55" s="545">
        <v>2754.1558999999997</v>
      </c>
      <c r="IM55" s="851">
        <v>2475.8759999999993</v>
      </c>
      <c r="IN55" s="168"/>
    </row>
    <row r="56" spans="1:665" ht="16.5" thickTop="1" thickBot="1">
      <c r="A56" s="288" t="s">
        <v>97</v>
      </c>
      <c r="B56" s="287">
        <v>40167</v>
      </c>
      <c r="C56" s="469">
        <v>39918</v>
      </c>
      <c r="D56" s="469">
        <v>45840</v>
      </c>
      <c r="E56" s="469">
        <v>41703</v>
      </c>
      <c r="F56" s="469">
        <v>44205</v>
      </c>
      <c r="G56" s="469">
        <v>43147</v>
      </c>
      <c r="H56" s="469">
        <v>43613</v>
      </c>
      <c r="I56" s="469">
        <v>44715</v>
      </c>
      <c r="J56" s="469">
        <v>42405</v>
      </c>
      <c r="K56" s="469">
        <v>43807</v>
      </c>
      <c r="L56" s="469">
        <v>44062</v>
      </c>
      <c r="M56" s="469">
        <v>42316</v>
      </c>
      <c r="N56" s="469">
        <v>42618</v>
      </c>
      <c r="O56" s="469">
        <v>39422</v>
      </c>
      <c r="P56" s="469">
        <v>42846</v>
      </c>
      <c r="Q56" s="469">
        <v>41471</v>
      </c>
      <c r="R56" s="469">
        <v>42151</v>
      </c>
      <c r="S56" s="469">
        <v>39916</v>
      </c>
      <c r="T56" s="469">
        <v>43318</v>
      </c>
      <c r="U56" s="469">
        <v>41415</v>
      </c>
      <c r="V56" s="469">
        <v>42785</v>
      </c>
      <c r="W56" s="469">
        <v>43224</v>
      </c>
      <c r="X56" s="469">
        <v>43375</v>
      </c>
      <c r="Y56" s="469">
        <v>41942</v>
      </c>
      <c r="Z56" s="469">
        <v>41638</v>
      </c>
      <c r="AA56" s="469">
        <v>41161</v>
      </c>
      <c r="AB56" s="469">
        <v>44992</v>
      </c>
      <c r="AC56" s="469">
        <v>42654</v>
      </c>
      <c r="AD56" s="469">
        <v>45613</v>
      </c>
      <c r="AE56" s="469">
        <v>43747</v>
      </c>
      <c r="AF56" s="469">
        <v>45564</v>
      </c>
      <c r="AG56" s="469">
        <v>44950</v>
      </c>
      <c r="AH56" s="469">
        <v>44334</v>
      </c>
      <c r="AI56" s="469">
        <v>45599</v>
      </c>
      <c r="AJ56" s="469">
        <v>44815</v>
      </c>
      <c r="AK56" s="469">
        <v>43875</v>
      </c>
      <c r="AL56" s="469">
        <v>44261</v>
      </c>
      <c r="AM56" s="469">
        <v>45708</v>
      </c>
      <c r="AN56" s="469">
        <v>49019</v>
      </c>
      <c r="AO56" s="469">
        <v>46516</v>
      </c>
      <c r="AP56" s="469">
        <v>49107</v>
      </c>
      <c r="AQ56" s="469">
        <v>49712</v>
      </c>
      <c r="AR56" s="469">
        <v>49633</v>
      </c>
      <c r="AS56" s="469">
        <v>49742</v>
      </c>
      <c r="AT56" s="469">
        <v>50196</v>
      </c>
      <c r="AU56" s="469">
        <v>50276</v>
      </c>
      <c r="AV56" s="469">
        <v>50676</v>
      </c>
      <c r="AW56" s="469">
        <v>48528</v>
      </c>
      <c r="AX56" s="469">
        <v>47153</v>
      </c>
      <c r="AY56" s="469">
        <v>47543</v>
      </c>
      <c r="AZ56" s="469">
        <v>51065</v>
      </c>
      <c r="BA56" s="469">
        <v>50499</v>
      </c>
      <c r="BB56" s="469">
        <v>53292</v>
      </c>
      <c r="BC56" s="469">
        <v>52549</v>
      </c>
      <c r="BD56" s="469">
        <v>54504</v>
      </c>
      <c r="BE56" s="469">
        <v>54066</v>
      </c>
      <c r="BF56" s="469">
        <v>54290</v>
      </c>
      <c r="BG56" s="469">
        <v>54793</v>
      </c>
      <c r="BH56" s="469">
        <v>56608</v>
      </c>
      <c r="BI56" s="469">
        <v>53036</v>
      </c>
      <c r="BJ56" s="469">
        <v>51833</v>
      </c>
      <c r="BK56" s="469">
        <v>54404</v>
      </c>
      <c r="BL56" s="469">
        <v>59070</v>
      </c>
      <c r="BM56" s="469">
        <v>55785</v>
      </c>
      <c r="BN56" s="469">
        <v>62271</v>
      </c>
      <c r="BO56" s="469">
        <v>61856</v>
      </c>
      <c r="BP56" s="469">
        <v>61563</v>
      </c>
      <c r="BQ56" s="469">
        <v>62208</v>
      </c>
      <c r="BR56" s="469">
        <v>61818</v>
      </c>
      <c r="BS56" s="469">
        <v>62378</v>
      </c>
      <c r="BT56" s="469">
        <v>63136</v>
      </c>
      <c r="BU56" s="469">
        <v>59765</v>
      </c>
      <c r="BV56" s="469">
        <v>59288</v>
      </c>
      <c r="BW56" s="469">
        <v>62146</v>
      </c>
      <c r="BX56" s="469">
        <v>65838</v>
      </c>
      <c r="BY56" s="469">
        <v>62071</v>
      </c>
      <c r="BZ56" s="469">
        <v>67155</v>
      </c>
      <c r="CA56" s="469">
        <v>66095</v>
      </c>
      <c r="CB56" s="469">
        <v>67003</v>
      </c>
      <c r="CC56" s="469">
        <v>69270</v>
      </c>
      <c r="CD56" s="469">
        <v>66612</v>
      </c>
      <c r="CE56" s="469">
        <v>65498</v>
      </c>
      <c r="CF56" s="469">
        <v>67679</v>
      </c>
      <c r="CG56" s="469">
        <v>61561</v>
      </c>
      <c r="CH56" s="469">
        <v>63268</v>
      </c>
      <c r="CI56" s="469">
        <v>65404</v>
      </c>
      <c r="CJ56" s="469">
        <v>66618</v>
      </c>
      <c r="CK56" s="469">
        <v>67841</v>
      </c>
      <c r="CL56" s="469">
        <v>71365</v>
      </c>
      <c r="CM56" s="469">
        <v>71279</v>
      </c>
      <c r="CN56" s="469">
        <v>74463</v>
      </c>
      <c r="CO56" s="469">
        <v>77141</v>
      </c>
      <c r="CP56" s="469">
        <v>75092</v>
      </c>
      <c r="CQ56" s="469">
        <v>77773</v>
      </c>
      <c r="CR56" s="469">
        <v>73746</v>
      </c>
      <c r="CS56" s="469">
        <v>68454</v>
      </c>
      <c r="CT56" s="469">
        <v>67057</v>
      </c>
      <c r="CU56" s="469">
        <v>66767</v>
      </c>
      <c r="CV56" s="469">
        <v>70813</v>
      </c>
      <c r="CW56" s="469">
        <v>68592</v>
      </c>
      <c r="CX56" s="469">
        <v>70296</v>
      </c>
      <c r="CY56" s="469">
        <v>68166</v>
      </c>
      <c r="CZ56" s="469">
        <v>68814</v>
      </c>
      <c r="DA56" s="469">
        <v>67323</v>
      </c>
      <c r="DB56" s="469">
        <v>65729</v>
      </c>
      <c r="DC56" s="469">
        <v>67692</v>
      </c>
      <c r="DD56" s="469">
        <v>65897</v>
      </c>
      <c r="DE56" s="469">
        <v>64034</v>
      </c>
      <c r="DF56" s="469">
        <v>62118</v>
      </c>
      <c r="DG56" s="469">
        <v>64938</v>
      </c>
      <c r="DH56" s="469">
        <v>70220</v>
      </c>
      <c r="DI56" s="469">
        <v>68111</v>
      </c>
      <c r="DJ56" s="469">
        <v>70732</v>
      </c>
      <c r="DK56" s="469">
        <v>72070</v>
      </c>
      <c r="DL56" s="469">
        <v>74515</v>
      </c>
      <c r="DM56" s="469">
        <v>76322</v>
      </c>
      <c r="DN56" s="469">
        <v>74704</v>
      </c>
      <c r="DO56" s="469">
        <v>77681</v>
      </c>
      <c r="DP56" s="469">
        <v>79506</v>
      </c>
      <c r="DQ56" s="469">
        <v>74078</v>
      </c>
      <c r="DR56" s="469">
        <v>74747</v>
      </c>
      <c r="DS56" s="469">
        <v>74966</v>
      </c>
      <c r="DT56" s="469">
        <v>82243</v>
      </c>
      <c r="DU56" s="469">
        <v>79737</v>
      </c>
      <c r="DV56" s="469">
        <v>88774</v>
      </c>
      <c r="DW56" s="469">
        <v>86703</v>
      </c>
      <c r="DX56" s="469">
        <v>88320</v>
      </c>
      <c r="DY56" s="469">
        <v>92355</v>
      </c>
      <c r="DZ56" s="469">
        <v>90723</v>
      </c>
      <c r="EA56" s="469">
        <v>92505</v>
      </c>
      <c r="EB56" s="469">
        <v>93602</v>
      </c>
      <c r="EC56" s="469">
        <v>87231</v>
      </c>
      <c r="ED56" s="469">
        <v>88884</v>
      </c>
      <c r="EE56" s="469">
        <v>93528</v>
      </c>
      <c r="EF56" s="469">
        <v>99280</v>
      </c>
      <c r="EG56" s="469">
        <v>96188</v>
      </c>
      <c r="EH56" s="469">
        <v>102754</v>
      </c>
      <c r="EI56" s="469">
        <v>98672</v>
      </c>
      <c r="EJ56" s="469">
        <v>102272</v>
      </c>
      <c r="EK56" s="469">
        <v>104770</v>
      </c>
      <c r="EL56" s="469">
        <v>100138</v>
      </c>
      <c r="EM56" s="469">
        <v>103411</v>
      </c>
      <c r="EN56" s="469">
        <v>99646</v>
      </c>
      <c r="EO56" s="469">
        <v>93613</v>
      </c>
      <c r="EP56" s="469">
        <v>98475</v>
      </c>
      <c r="EQ56" s="469">
        <v>100456</v>
      </c>
      <c r="ER56" s="469">
        <v>102870</v>
      </c>
      <c r="ES56" s="469">
        <v>104408</v>
      </c>
      <c r="ET56" s="469">
        <v>104642</v>
      </c>
      <c r="EU56" s="469">
        <v>101680</v>
      </c>
      <c r="EV56" s="469">
        <v>105669</v>
      </c>
      <c r="EW56" s="469">
        <v>107297</v>
      </c>
      <c r="EX56" s="469">
        <v>100420</v>
      </c>
      <c r="EY56" s="469">
        <v>102927</v>
      </c>
      <c r="EZ56" s="469">
        <v>101139</v>
      </c>
      <c r="FA56" s="469">
        <v>90157</v>
      </c>
      <c r="FB56" s="469">
        <v>91214</v>
      </c>
      <c r="FC56" s="469">
        <v>90692</v>
      </c>
      <c r="FD56" s="469">
        <v>98950</v>
      </c>
      <c r="FE56" s="469">
        <v>94314</v>
      </c>
      <c r="FF56" s="469">
        <v>99407</v>
      </c>
      <c r="FG56" s="469">
        <v>94519</v>
      </c>
      <c r="FH56" s="469">
        <v>96589</v>
      </c>
      <c r="FI56" s="469">
        <v>95963</v>
      </c>
      <c r="FJ56" s="469">
        <v>94689</v>
      </c>
      <c r="FK56" s="469">
        <v>99792</v>
      </c>
      <c r="FL56" s="469">
        <v>96720</v>
      </c>
      <c r="FM56" s="469">
        <v>89953</v>
      </c>
      <c r="FN56" s="469">
        <v>86686</v>
      </c>
      <c r="FO56" s="469">
        <v>85885</v>
      </c>
      <c r="FP56" s="469">
        <v>92058</v>
      </c>
      <c r="FQ56" s="469">
        <v>86794</v>
      </c>
      <c r="FR56" s="469">
        <v>88005</v>
      </c>
      <c r="FS56" s="469">
        <v>87260</v>
      </c>
      <c r="FT56" s="469">
        <v>88731</v>
      </c>
      <c r="FU56" s="469">
        <v>88022</v>
      </c>
      <c r="FV56" s="469">
        <v>86588</v>
      </c>
      <c r="FW56" s="469">
        <v>88489</v>
      </c>
      <c r="FX56" s="469">
        <v>85799</v>
      </c>
      <c r="FY56" s="469">
        <v>81669</v>
      </c>
      <c r="FZ56" s="469">
        <v>82116</v>
      </c>
      <c r="GA56" s="469">
        <v>83218</v>
      </c>
      <c r="GB56" s="469">
        <v>83853</v>
      </c>
      <c r="GC56" s="469">
        <v>81776</v>
      </c>
      <c r="GD56" s="469">
        <v>86112</v>
      </c>
      <c r="GE56" s="469">
        <v>82443</v>
      </c>
      <c r="GF56" s="469">
        <v>85195</v>
      </c>
      <c r="GG56" s="469">
        <v>86118</v>
      </c>
      <c r="GH56" s="469">
        <v>81256.699999999983</v>
      </c>
      <c r="GI56" s="469">
        <v>84601.099999999991</v>
      </c>
      <c r="GJ56" s="469">
        <v>86166</v>
      </c>
      <c r="GK56" s="469">
        <v>80101</v>
      </c>
      <c r="GL56" s="958">
        <v>81903.700000000012</v>
      </c>
      <c r="GM56" s="958">
        <v>81930.299999999988</v>
      </c>
      <c r="GN56" s="958">
        <v>87880.599999999977</v>
      </c>
      <c r="GO56" s="958">
        <v>83694.7</v>
      </c>
      <c r="GP56" s="958">
        <v>90187.900000000009</v>
      </c>
      <c r="GQ56" s="958">
        <v>85932.9</v>
      </c>
      <c r="GR56" s="469">
        <v>88459</v>
      </c>
      <c r="GS56" s="469">
        <v>89407</v>
      </c>
      <c r="GT56" s="469">
        <v>86378.499999999985</v>
      </c>
      <c r="GU56" s="469">
        <v>90859.999999999971</v>
      </c>
      <c r="GV56" s="469">
        <v>91157</v>
      </c>
      <c r="GW56" s="469">
        <v>83800.600000000006</v>
      </c>
      <c r="GX56" s="469">
        <v>86909.4</v>
      </c>
      <c r="GY56" s="469">
        <v>86830.200000000012</v>
      </c>
      <c r="GZ56" s="469">
        <v>94335.39999999998</v>
      </c>
      <c r="HA56" s="469">
        <v>91039.400000000009</v>
      </c>
      <c r="HB56" s="469">
        <v>96463.299999999988</v>
      </c>
      <c r="HC56" s="469">
        <v>92624.8</v>
      </c>
      <c r="HD56" s="469">
        <v>98177.999999999985</v>
      </c>
      <c r="HE56" s="469">
        <v>97465.200000000012</v>
      </c>
      <c r="HF56" s="469">
        <v>92745.1</v>
      </c>
      <c r="HG56" s="469">
        <v>100816.1</v>
      </c>
      <c r="HH56" s="469">
        <v>100775.99999999999</v>
      </c>
      <c r="HI56" s="469">
        <v>92920.299999999988</v>
      </c>
      <c r="HJ56" s="469">
        <v>96266.599999999991</v>
      </c>
      <c r="HK56" s="469">
        <v>95150.900000000009</v>
      </c>
      <c r="HL56" s="469">
        <v>100741.49999999999</v>
      </c>
      <c r="HM56" s="469">
        <v>98621.2</v>
      </c>
      <c r="HN56" s="469">
        <v>105597.1</v>
      </c>
      <c r="HO56" s="469">
        <v>100276.6</v>
      </c>
      <c r="HP56" s="469">
        <v>108135.5</v>
      </c>
      <c r="HQ56" s="469">
        <v>104378.2</v>
      </c>
      <c r="HR56" s="469">
        <v>100979.30000000002</v>
      </c>
      <c r="HS56" s="469">
        <v>106979.4</v>
      </c>
      <c r="HT56" s="469">
        <v>107129.69999999998</v>
      </c>
      <c r="HU56" s="469">
        <v>97425.199999999983</v>
      </c>
      <c r="HV56" s="469">
        <v>100681.98240000002</v>
      </c>
      <c r="HW56" s="469">
        <v>103313.15589999998</v>
      </c>
      <c r="HX56" s="469">
        <v>107748.60750000001</v>
      </c>
      <c r="HY56" s="469">
        <v>101092.35889999998</v>
      </c>
      <c r="HZ56" s="469">
        <v>107475.5772</v>
      </c>
      <c r="IA56" s="853">
        <v>104136.99780000001</v>
      </c>
      <c r="IB56" s="853">
        <v>119786.69349999999</v>
      </c>
      <c r="IC56" s="853">
        <v>121061.13559999998</v>
      </c>
      <c r="ID56" s="853">
        <v>115874.44279999995</v>
      </c>
      <c r="IE56" s="853">
        <v>124040.57300000003</v>
      </c>
      <c r="IF56" s="853">
        <v>107518.31619999999</v>
      </c>
      <c r="IG56" s="853">
        <v>109417.21350000001</v>
      </c>
      <c r="IH56" s="853">
        <v>106264.28019999998</v>
      </c>
      <c r="II56" s="853">
        <v>115625.94080000003</v>
      </c>
      <c r="IJ56" s="853">
        <v>113748.90729999999</v>
      </c>
      <c r="IK56" s="853">
        <v>111251.91719999998</v>
      </c>
      <c r="IL56" s="853">
        <v>113407.87239999998</v>
      </c>
      <c r="IM56" s="854">
        <v>112728.87639999999</v>
      </c>
      <c r="IN56" s="168"/>
    </row>
    <row r="57" spans="1:665">
      <c r="A57" s="79"/>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72"/>
      <c r="CY57" s="172"/>
      <c r="CZ57" s="172"/>
      <c r="DA57" s="172"/>
      <c r="DB57" s="172"/>
      <c r="DC57" s="172"/>
      <c r="DD57" s="172"/>
      <c r="DE57" s="172"/>
      <c r="DF57" s="172"/>
      <c r="DG57" s="172"/>
      <c r="DH57" s="172"/>
      <c r="DI57" s="172"/>
      <c r="DJ57" s="172"/>
      <c r="DK57" s="172"/>
      <c r="DL57" s="172"/>
      <c r="DM57" s="172"/>
      <c r="DN57" s="172"/>
      <c r="DO57" s="172"/>
      <c r="DP57" s="172"/>
      <c r="DQ57" s="172"/>
      <c r="DR57" s="172"/>
      <c r="DS57" s="172"/>
      <c r="DT57" s="172"/>
      <c r="DU57" s="172"/>
      <c r="DV57" s="172"/>
      <c r="DW57" s="172"/>
      <c r="DX57" s="172"/>
      <c r="DY57" s="172"/>
      <c r="DZ57" s="172"/>
      <c r="EA57" s="172"/>
      <c r="EB57" s="172"/>
      <c r="EC57" s="172"/>
      <c r="ED57" s="172"/>
      <c r="EE57" s="172"/>
      <c r="EF57" s="172"/>
      <c r="EG57" s="172"/>
      <c r="EH57" s="172"/>
      <c r="EI57" s="172"/>
      <c r="EJ57" s="172"/>
      <c r="EK57" s="172"/>
      <c r="EL57" s="172"/>
      <c r="EM57" s="172"/>
      <c r="EN57" s="172"/>
      <c r="EO57" s="172"/>
      <c r="EP57" s="172"/>
      <c r="EQ57" s="172"/>
      <c r="ER57" s="172"/>
      <c r="ES57" s="172"/>
      <c r="ET57" s="172"/>
      <c r="EU57" s="172"/>
      <c r="EV57" s="172"/>
      <c r="EW57" s="172"/>
      <c r="EX57" s="172"/>
      <c r="EY57" s="172"/>
      <c r="EZ57" s="172"/>
      <c r="FA57" s="172"/>
      <c r="FB57" s="172"/>
      <c r="FC57" s="172"/>
      <c r="FD57" s="172"/>
      <c r="FE57" s="172"/>
      <c r="FF57" s="172"/>
      <c r="FG57" s="172"/>
      <c r="FH57" s="172"/>
      <c r="FI57" s="172"/>
      <c r="FJ57" s="172"/>
      <c r="FK57" s="172"/>
      <c r="FL57" s="172"/>
      <c r="FM57" s="172"/>
      <c r="FN57" s="172"/>
      <c r="FO57" s="172"/>
      <c r="FP57" s="172"/>
      <c r="FQ57" s="172"/>
      <c r="FR57" s="172"/>
      <c r="FS57" s="172"/>
      <c r="FT57" s="172"/>
      <c r="FU57" s="172"/>
      <c r="FV57" s="172"/>
      <c r="FW57" s="172"/>
      <c r="FX57" s="172"/>
      <c r="FY57" s="172"/>
      <c r="GE57" s="172"/>
      <c r="GK57" s="172"/>
      <c r="GL57" s="205"/>
      <c r="GM57" s="205"/>
      <c r="GN57" s="205"/>
      <c r="GO57" s="205"/>
      <c r="GP57" s="205"/>
      <c r="GQ57" s="172"/>
      <c r="GR57" s="205"/>
      <c r="GS57" s="205"/>
      <c r="GT57" s="205"/>
      <c r="GU57" s="205"/>
      <c r="GV57" s="205"/>
      <c r="GW57" s="172"/>
      <c r="GX57" s="205"/>
      <c r="GY57" s="205"/>
      <c r="GZ57" s="205"/>
      <c r="HA57" s="205"/>
      <c r="HB57" s="205"/>
      <c r="HC57" s="167"/>
      <c r="IA57" s="722"/>
      <c r="IB57" s="722"/>
      <c r="IC57" s="722"/>
      <c r="ID57" s="722"/>
      <c r="IE57" s="722"/>
      <c r="IF57" s="722"/>
      <c r="IG57" s="722"/>
      <c r="IH57" s="722"/>
      <c r="II57" s="722"/>
      <c r="IJ57" s="722"/>
      <c r="IK57" s="722"/>
      <c r="IL57" s="722"/>
      <c r="IM57" s="722"/>
      <c r="IN57" s="168"/>
    </row>
    <row r="58" spans="1:665" hidden="1">
      <c r="GK58" s="205"/>
      <c r="GL58" s="205"/>
      <c r="GM58" s="205"/>
      <c r="GN58" s="205"/>
      <c r="GO58" s="205"/>
      <c r="GP58" s="205"/>
      <c r="GQ58" s="205"/>
      <c r="GR58" s="205"/>
      <c r="GS58" s="205"/>
      <c r="GT58" s="205"/>
      <c r="GU58" s="205"/>
      <c r="GV58" s="205"/>
      <c r="GW58" s="205"/>
      <c r="GX58" s="205"/>
      <c r="GY58" s="205"/>
      <c r="GZ58" s="205"/>
      <c r="HA58" s="205"/>
      <c r="HB58" s="205"/>
      <c r="HC58" s="205"/>
      <c r="HJ58" s="8"/>
      <c r="HK58" s="8"/>
      <c r="HL58" s="8"/>
      <c r="HM58" s="8"/>
      <c r="HN58" s="8"/>
      <c r="HO58" s="8"/>
      <c r="HP58" s="8"/>
      <c r="HQ58" s="8"/>
      <c r="HR58" s="8"/>
      <c r="HS58" s="8"/>
      <c r="HT58" s="8"/>
      <c r="HU58" s="8"/>
      <c r="HV58" s="8"/>
      <c r="HW58" s="8"/>
      <c r="HX58" s="8"/>
      <c r="HY58" s="8"/>
      <c r="HZ58" s="8"/>
      <c r="IA58" s="8"/>
      <c r="IB58" s="8"/>
      <c r="IC58" s="722"/>
      <c r="ID58" s="722"/>
      <c r="IE58" s="722"/>
      <c r="IF58" s="722"/>
      <c r="IG58" s="722"/>
      <c r="IH58" s="722"/>
      <c r="II58" s="722"/>
      <c r="IJ58" s="722"/>
      <c r="IK58" s="722"/>
      <c r="IL58" s="722"/>
      <c r="IM58" s="722"/>
      <c r="IN58" s="168"/>
    </row>
    <row r="59" spans="1:665" s="168" customFormat="1" hidden="1">
      <c r="B59" s="168">
        <f t="shared" ref="B59:BM59" si="16">YEAR(B43)</f>
        <v>2001</v>
      </c>
      <c r="C59" s="168">
        <f t="shared" si="16"/>
        <v>2001</v>
      </c>
      <c r="D59" s="168">
        <f t="shared" si="16"/>
        <v>2001</v>
      </c>
      <c r="E59" s="168">
        <f t="shared" si="16"/>
        <v>2001</v>
      </c>
      <c r="F59" s="168">
        <f t="shared" si="16"/>
        <v>2001</v>
      </c>
      <c r="G59" s="168">
        <f t="shared" si="16"/>
        <v>2001</v>
      </c>
      <c r="H59" s="168">
        <f t="shared" si="16"/>
        <v>2001</v>
      </c>
      <c r="I59" s="168">
        <f t="shared" si="16"/>
        <v>2001</v>
      </c>
      <c r="J59" s="168">
        <f t="shared" si="16"/>
        <v>2001</v>
      </c>
      <c r="K59" s="168">
        <f t="shared" si="16"/>
        <v>2001</v>
      </c>
      <c r="L59" s="168">
        <f t="shared" si="16"/>
        <v>2001</v>
      </c>
      <c r="M59" s="168">
        <f t="shared" si="16"/>
        <v>2001</v>
      </c>
      <c r="N59" s="168">
        <f t="shared" si="16"/>
        <v>2002</v>
      </c>
      <c r="O59" s="168">
        <f t="shared" si="16"/>
        <v>2002</v>
      </c>
      <c r="P59" s="168">
        <f t="shared" si="16"/>
        <v>2002</v>
      </c>
      <c r="Q59" s="168">
        <f t="shared" si="16"/>
        <v>2002</v>
      </c>
      <c r="R59" s="168">
        <f t="shared" si="16"/>
        <v>2002</v>
      </c>
      <c r="S59" s="168">
        <f t="shared" si="16"/>
        <v>2002</v>
      </c>
      <c r="T59" s="168">
        <f t="shared" si="16"/>
        <v>2002</v>
      </c>
      <c r="U59" s="168">
        <f t="shared" si="16"/>
        <v>2002</v>
      </c>
      <c r="V59" s="168">
        <f t="shared" si="16"/>
        <v>2002</v>
      </c>
      <c r="W59" s="168">
        <f t="shared" si="16"/>
        <v>2002</v>
      </c>
      <c r="X59" s="168">
        <f t="shared" si="16"/>
        <v>2002</v>
      </c>
      <c r="Y59" s="168">
        <f t="shared" si="16"/>
        <v>2002</v>
      </c>
      <c r="Z59" s="168">
        <f t="shared" si="16"/>
        <v>2003</v>
      </c>
      <c r="AA59" s="168">
        <f t="shared" si="16"/>
        <v>2003</v>
      </c>
      <c r="AB59" s="168">
        <f t="shared" si="16"/>
        <v>2003</v>
      </c>
      <c r="AC59" s="168">
        <f t="shared" si="16"/>
        <v>2003</v>
      </c>
      <c r="AD59" s="168">
        <f t="shared" si="16"/>
        <v>2003</v>
      </c>
      <c r="AE59" s="168">
        <f t="shared" si="16"/>
        <v>2003</v>
      </c>
      <c r="AF59" s="168">
        <f t="shared" si="16"/>
        <v>2003</v>
      </c>
      <c r="AG59" s="168">
        <f t="shared" si="16"/>
        <v>2003</v>
      </c>
      <c r="AH59" s="168">
        <f t="shared" si="16"/>
        <v>2003</v>
      </c>
      <c r="AI59" s="168">
        <f t="shared" si="16"/>
        <v>2003</v>
      </c>
      <c r="AJ59" s="168">
        <f t="shared" si="16"/>
        <v>2003</v>
      </c>
      <c r="AK59" s="168">
        <f t="shared" si="16"/>
        <v>2003</v>
      </c>
      <c r="AL59" s="168">
        <f t="shared" si="16"/>
        <v>2004</v>
      </c>
      <c r="AM59" s="168">
        <f t="shared" si="16"/>
        <v>2004</v>
      </c>
      <c r="AN59" s="168">
        <f t="shared" si="16"/>
        <v>2004</v>
      </c>
      <c r="AO59" s="168">
        <f t="shared" si="16"/>
        <v>2004</v>
      </c>
      <c r="AP59" s="168">
        <f t="shared" si="16"/>
        <v>2004</v>
      </c>
      <c r="AQ59" s="168">
        <f t="shared" si="16"/>
        <v>2004</v>
      </c>
      <c r="AR59" s="168">
        <f t="shared" si="16"/>
        <v>2004</v>
      </c>
      <c r="AS59" s="168">
        <f t="shared" si="16"/>
        <v>2004</v>
      </c>
      <c r="AT59" s="168">
        <f t="shared" si="16"/>
        <v>2004</v>
      </c>
      <c r="AU59" s="168">
        <f t="shared" si="16"/>
        <v>2004</v>
      </c>
      <c r="AV59" s="168">
        <f t="shared" si="16"/>
        <v>2004</v>
      </c>
      <c r="AW59" s="168">
        <f t="shared" si="16"/>
        <v>2004</v>
      </c>
      <c r="AX59" s="168">
        <f t="shared" si="16"/>
        <v>2005</v>
      </c>
      <c r="AY59" s="168">
        <f t="shared" si="16"/>
        <v>2005</v>
      </c>
      <c r="AZ59" s="168">
        <f t="shared" si="16"/>
        <v>2005</v>
      </c>
      <c r="BA59" s="168">
        <f t="shared" si="16"/>
        <v>2005</v>
      </c>
      <c r="BB59" s="168">
        <f t="shared" si="16"/>
        <v>2005</v>
      </c>
      <c r="BC59" s="168">
        <f t="shared" si="16"/>
        <v>2005</v>
      </c>
      <c r="BD59" s="168">
        <f t="shared" si="16"/>
        <v>2005</v>
      </c>
      <c r="BE59" s="168">
        <f t="shared" si="16"/>
        <v>2005</v>
      </c>
      <c r="BF59" s="168">
        <f t="shared" si="16"/>
        <v>2005</v>
      </c>
      <c r="BG59" s="168">
        <f t="shared" si="16"/>
        <v>2005</v>
      </c>
      <c r="BH59" s="168">
        <f t="shared" si="16"/>
        <v>2005</v>
      </c>
      <c r="BI59" s="168">
        <f t="shared" si="16"/>
        <v>2005</v>
      </c>
      <c r="BJ59" s="168">
        <f t="shared" si="16"/>
        <v>2006</v>
      </c>
      <c r="BK59" s="168">
        <f t="shared" si="16"/>
        <v>2006</v>
      </c>
      <c r="BL59" s="168">
        <f t="shared" si="16"/>
        <v>2006</v>
      </c>
      <c r="BM59" s="168">
        <f t="shared" si="16"/>
        <v>2006</v>
      </c>
      <c r="BN59" s="168">
        <f t="shared" ref="BN59:DY59" si="17">YEAR(BN43)</f>
        <v>2006</v>
      </c>
      <c r="BO59" s="168">
        <f t="shared" si="17"/>
        <v>2006</v>
      </c>
      <c r="BP59" s="168">
        <f t="shared" si="17"/>
        <v>2006</v>
      </c>
      <c r="BQ59" s="168">
        <f t="shared" si="17"/>
        <v>2006</v>
      </c>
      <c r="BR59" s="168">
        <f t="shared" si="17"/>
        <v>2006</v>
      </c>
      <c r="BS59" s="168">
        <f t="shared" si="17"/>
        <v>2006</v>
      </c>
      <c r="BT59" s="168">
        <f t="shared" si="17"/>
        <v>2006</v>
      </c>
      <c r="BU59" s="168">
        <f t="shared" si="17"/>
        <v>2006</v>
      </c>
      <c r="BV59" s="168">
        <f t="shared" si="17"/>
        <v>2007</v>
      </c>
      <c r="BW59" s="168">
        <f t="shared" si="17"/>
        <v>2007</v>
      </c>
      <c r="BX59" s="168">
        <f t="shared" si="17"/>
        <v>2007</v>
      </c>
      <c r="BY59" s="168">
        <f t="shared" si="17"/>
        <v>2007</v>
      </c>
      <c r="BZ59" s="168">
        <f t="shared" si="17"/>
        <v>2007</v>
      </c>
      <c r="CA59" s="168">
        <f t="shared" si="17"/>
        <v>2007</v>
      </c>
      <c r="CB59" s="168">
        <f t="shared" si="17"/>
        <v>2007</v>
      </c>
      <c r="CC59" s="168">
        <f t="shared" si="17"/>
        <v>2007</v>
      </c>
      <c r="CD59" s="168">
        <f t="shared" si="17"/>
        <v>2007</v>
      </c>
      <c r="CE59" s="168">
        <f t="shared" si="17"/>
        <v>2007</v>
      </c>
      <c r="CF59" s="168">
        <f t="shared" si="17"/>
        <v>2007</v>
      </c>
      <c r="CG59" s="168">
        <f t="shared" si="17"/>
        <v>2007</v>
      </c>
      <c r="CH59" s="168">
        <f t="shared" si="17"/>
        <v>2008</v>
      </c>
      <c r="CI59" s="168">
        <f t="shared" si="17"/>
        <v>2008</v>
      </c>
      <c r="CJ59" s="168">
        <f t="shared" si="17"/>
        <v>2008</v>
      </c>
      <c r="CK59" s="168">
        <f t="shared" si="17"/>
        <v>2008</v>
      </c>
      <c r="CL59" s="168">
        <f t="shared" si="17"/>
        <v>2008</v>
      </c>
      <c r="CM59" s="168">
        <f t="shared" si="17"/>
        <v>2008</v>
      </c>
      <c r="CN59" s="168">
        <f t="shared" si="17"/>
        <v>2008</v>
      </c>
      <c r="CO59" s="168">
        <f t="shared" si="17"/>
        <v>2008</v>
      </c>
      <c r="CP59" s="168">
        <f t="shared" si="17"/>
        <v>2008</v>
      </c>
      <c r="CQ59" s="168">
        <f t="shared" si="17"/>
        <v>2008</v>
      </c>
      <c r="CR59" s="168">
        <f t="shared" si="17"/>
        <v>2008</v>
      </c>
      <c r="CS59" s="168">
        <f t="shared" si="17"/>
        <v>2008</v>
      </c>
      <c r="CT59" s="168">
        <f t="shared" si="17"/>
        <v>2009</v>
      </c>
      <c r="CU59" s="168">
        <f t="shared" si="17"/>
        <v>2009</v>
      </c>
      <c r="CV59" s="168">
        <f t="shared" si="17"/>
        <v>2009</v>
      </c>
      <c r="CW59" s="168">
        <f t="shared" si="17"/>
        <v>2009</v>
      </c>
      <c r="CX59" s="168">
        <f t="shared" si="17"/>
        <v>2009</v>
      </c>
      <c r="CY59" s="168">
        <f t="shared" si="17"/>
        <v>2009</v>
      </c>
      <c r="CZ59" s="168">
        <f t="shared" si="17"/>
        <v>2009</v>
      </c>
      <c r="DA59" s="168">
        <f t="shared" si="17"/>
        <v>2009</v>
      </c>
      <c r="DB59" s="168">
        <f t="shared" si="17"/>
        <v>2009</v>
      </c>
      <c r="DC59" s="168">
        <f t="shared" si="17"/>
        <v>2009</v>
      </c>
      <c r="DD59" s="168">
        <f t="shared" si="17"/>
        <v>2009</v>
      </c>
      <c r="DE59" s="168">
        <f t="shared" si="17"/>
        <v>2009</v>
      </c>
      <c r="DF59" s="168">
        <f t="shared" si="17"/>
        <v>2010</v>
      </c>
      <c r="DG59" s="168">
        <f t="shared" si="17"/>
        <v>2010</v>
      </c>
      <c r="DH59" s="168">
        <f t="shared" si="17"/>
        <v>2010</v>
      </c>
      <c r="DI59" s="168">
        <f t="shared" si="17"/>
        <v>2010</v>
      </c>
      <c r="DJ59" s="168">
        <f t="shared" si="17"/>
        <v>2010</v>
      </c>
      <c r="DK59" s="168">
        <f t="shared" si="17"/>
        <v>2010</v>
      </c>
      <c r="DL59" s="168">
        <f t="shared" si="17"/>
        <v>2010</v>
      </c>
      <c r="DM59" s="168">
        <f t="shared" si="17"/>
        <v>2010</v>
      </c>
      <c r="DN59" s="168">
        <f t="shared" si="17"/>
        <v>2010</v>
      </c>
      <c r="DO59" s="168">
        <f t="shared" si="17"/>
        <v>2010</v>
      </c>
      <c r="DP59" s="168">
        <f t="shared" si="17"/>
        <v>2010</v>
      </c>
      <c r="DQ59" s="168">
        <f t="shared" si="17"/>
        <v>2010</v>
      </c>
      <c r="DR59" s="168">
        <f t="shared" si="17"/>
        <v>2011</v>
      </c>
      <c r="DS59" s="168">
        <f t="shared" si="17"/>
        <v>2011</v>
      </c>
      <c r="DT59" s="168">
        <f t="shared" si="17"/>
        <v>2011</v>
      </c>
      <c r="DU59" s="168">
        <f t="shared" si="17"/>
        <v>2011</v>
      </c>
      <c r="DV59" s="168">
        <f t="shared" si="17"/>
        <v>2011</v>
      </c>
      <c r="DW59" s="168">
        <f t="shared" si="17"/>
        <v>2011</v>
      </c>
      <c r="DX59" s="168">
        <f t="shared" si="17"/>
        <v>2011</v>
      </c>
      <c r="DY59" s="168">
        <f t="shared" si="17"/>
        <v>2011</v>
      </c>
      <c r="DZ59" s="168">
        <f t="shared" ref="DZ59:GK59" si="18">YEAR(DZ43)</f>
        <v>2011</v>
      </c>
      <c r="EA59" s="168">
        <f t="shared" si="18"/>
        <v>2011</v>
      </c>
      <c r="EB59" s="168">
        <f t="shared" si="18"/>
        <v>2011</v>
      </c>
      <c r="EC59" s="168">
        <f t="shared" si="18"/>
        <v>2011</v>
      </c>
      <c r="ED59" s="168">
        <f t="shared" si="18"/>
        <v>2012</v>
      </c>
      <c r="EE59" s="168">
        <f t="shared" si="18"/>
        <v>2012</v>
      </c>
      <c r="EF59" s="168">
        <f t="shared" si="18"/>
        <v>2012</v>
      </c>
      <c r="EG59" s="168">
        <f t="shared" si="18"/>
        <v>2012</v>
      </c>
      <c r="EH59" s="168">
        <f t="shared" si="18"/>
        <v>2012</v>
      </c>
      <c r="EI59" s="168">
        <f t="shared" si="18"/>
        <v>2012</v>
      </c>
      <c r="EJ59" s="168">
        <f t="shared" si="18"/>
        <v>2012</v>
      </c>
      <c r="EK59" s="168">
        <f t="shared" si="18"/>
        <v>2012</v>
      </c>
      <c r="EL59" s="168">
        <f t="shared" si="18"/>
        <v>2012</v>
      </c>
      <c r="EM59" s="168">
        <f t="shared" si="18"/>
        <v>2012</v>
      </c>
      <c r="EN59" s="168">
        <f t="shared" si="18"/>
        <v>2012</v>
      </c>
      <c r="EO59" s="168">
        <f t="shared" si="18"/>
        <v>2012</v>
      </c>
      <c r="EP59" s="168">
        <f t="shared" si="18"/>
        <v>2013</v>
      </c>
      <c r="EQ59" s="168">
        <f t="shared" si="18"/>
        <v>2013</v>
      </c>
      <c r="ER59" s="168">
        <f t="shared" si="18"/>
        <v>2013</v>
      </c>
      <c r="ES59" s="168">
        <f t="shared" si="18"/>
        <v>2013</v>
      </c>
      <c r="ET59" s="168">
        <f t="shared" si="18"/>
        <v>2013</v>
      </c>
      <c r="EU59" s="168">
        <f t="shared" si="18"/>
        <v>2013</v>
      </c>
      <c r="EV59" s="168">
        <f t="shared" si="18"/>
        <v>2013</v>
      </c>
      <c r="EW59" s="168">
        <f t="shared" si="18"/>
        <v>2013</v>
      </c>
      <c r="EX59" s="168">
        <f t="shared" si="18"/>
        <v>2013</v>
      </c>
      <c r="EY59" s="168">
        <f t="shared" si="18"/>
        <v>2013</v>
      </c>
      <c r="EZ59" s="168">
        <f t="shared" si="18"/>
        <v>2013</v>
      </c>
      <c r="FA59" s="168">
        <f t="shared" si="18"/>
        <v>2013</v>
      </c>
      <c r="FB59" s="168">
        <f t="shared" si="18"/>
        <v>2014</v>
      </c>
      <c r="FC59" s="168">
        <f t="shared" si="18"/>
        <v>2014</v>
      </c>
      <c r="FD59" s="168">
        <f t="shared" si="18"/>
        <v>2014</v>
      </c>
      <c r="FE59" s="168">
        <f t="shared" si="18"/>
        <v>2014</v>
      </c>
      <c r="FF59" s="168">
        <f t="shared" si="18"/>
        <v>2014</v>
      </c>
      <c r="FG59" s="168">
        <f t="shared" si="18"/>
        <v>2014</v>
      </c>
      <c r="FH59" s="168">
        <f t="shared" si="18"/>
        <v>2014</v>
      </c>
      <c r="FI59" s="168">
        <f t="shared" si="18"/>
        <v>2014</v>
      </c>
      <c r="FJ59" s="168">
        <f t="shared" si="18"/>
        <v>2014</v>
      </c>
      <c r="FK59" s="168">
        <f t="shared" si="18"/>
        <v>2014</v>
      </c>
      <c r="FL59" s="168">
        <f t="shared" si="18"/>
        <v>2014</v>
      </c>
      <c r="FM59" s="168">
        <f t="shared" si="18"/>
        <v>2014</v>
      </c>
      <c r="FN59" s="168">
        <f t="shared" si="18"/>
        <v>2015</v>
      </c>
      <c r="FO59" s="168">
        <f t="shared" si="18"/>
        <v>2015</v>
      </c>
      <c r="FP59" s="168">
        <f t="shared" si="18"/>
        <v>2015</v>
      </c>
      <c r="FQ59" s="168">
        <f t="shared" si="18"/>
        <v>2015</v>
      </c>
      <c r="FR59" s="168">
        <f t="shared" si="18"/>
        <v>2015</v>
      </c>
      <c r="FS59" s="168">
        <f t="shared" si="18"/>
        <v>2015</v>
      </c>
      <c r="FT59" s="168">
        <f t="shared" si="18"/>
        <v>2015</v>
      </c>
      <c r="FU59" s="168">
        <f t="shared" si="18"/>
        <v>2015</v>
      </c>
      <c r="FV59" s="168">
        <f t="shared" si="18"/>
        <v>2015</v>
      </c>
      <c r="FW59" s="168">
        <f t="shared" si="18"/>
        <v>2015</v>
      </c>
      <c r="FX59" s="168">
        <f t="shared" si="18"/>
        <v>2015</v>
      </c>
      <c r="FY59" s="168">
        <f t="shared" si="18"/>
        <v>2015</v>
      </c>
      <c r="FZ59" s="168">
        <f t="shared" si="18"/>
        <v>2016</v>
      </c>
      <c r="GA59" s="168">
        <f t="shared" si="18"/>
        <v>2016</v>
      </c>
      <c r="GB59" s="168">
        <f t="shared" si="18"/>
        <v>2016</v>
      </c>
      <c r="GC59" s="168">
        <f t="shared" si="18"/>
        <v>2016</v>
      </c>
      <c r="GD59" s="168">
        <f t="shared" si="18"/>
        <v>2016</v>
      </c>
      <c r="GE59" s="168">
        <f t="shared" si="18"/>
        <v>2016</v>
      </c>
      <c r="GF59" s="168">
        <f t="shared" si="18"/>
        <v>2016</v>
      </c>
      <c r="GG59" s="168">
        <f t="shared" si="18"/>
        <v>2016</v>
      </c>
      <c r="GH59" s="168">
        <f t="shared" si="18"/>
        <v>2016</v>
      </c>
      <c r="GI59" s="168">
        <f t="shared" si="18"/>
        <v>2016</v>
      </c>
      <c r="GJ59" s="168">
        <f t="shared" si="18"/>
        <v>2016</v>
      </c>
      <c r="GK59" s="168">
        <f t="shared" si="18"/>
        <v>2016</v>
      </c>
      <c r="GL59" s="168">
        <f t="shared" ref="GL59:JH59" si="19">YEAR(GL43)</f>
        <v>2017</v>
      </c>
      <c r="GM59" s="168">
        <f t="shared" si="19"/>
        <v>2017</v>
      </c>
      <c r="GN59" s="168">
        <f t="shared" si="19"/>
        <v>2017</v>
      </c>
      <c r="GO59" s="168">
        <f t="shared" si="19"/>
        <v>2017</v>
      </c>
      <c r="GP59" s="168">
        <f t="shared" si="19"/>
        <v>2017</v>
      </c>
      <c r="GQ59" s="168">
        <f t="shared" si="19"/>
        <v>2017</v>
      </c>
      <c r="GR59" s="168">
        <f t="shared" si="19"/>
        <v>2017</v>
      </c>
      <c r="GS59" s="168">
        <f t="shared" si="19"/>
        <v>2017</v>
      </c>
      <c r="GT59" s="168">
        <f t="shared" si="19"/>
        <v>2017</v>
      </c>
      <c r="GU59" s="168">
        <f t="shared" si="19"/>
        <v>2017</v>
      </c>
      <c r="GV59" s="168">
        <f t="shared" si="19"/>
        <v>2017</v>
      </c>
      <c r="GW59" s="168">
        <f t="shared" si="19"/>
        <v>2017</v>
      </c>
      <c r="GX59" s="168">
        <f t="shared" si="19"/>
        <v>2018</v>
      </c>
      <c r="GY59" s="168">
        <f t="shared" si="19"/>
        <v>2018</v>
      </c>
      <c r="GZ59" s="168">
        <f t="shared" si="19"/>
        <v>2018</v>
      </c>
      <c r="HA59" s="168">
        <f t="shared" si="19"/>
        <v>2018</v>
      </c>
      <c r="HB59" s="168">
        <f t="shared" si="19"/>
        <v>2018</v>
      </c>
      <c r="HC59" s="168">
        <f t="shared" si="19"/>
        <v>2018</v>
      </c>
      <c r="HD59" s="168">
        <f t="shared" si="19"/>
        <v>2018</v>
      </c>
      <c r="HE59" s="168">
        <f t="shared" si="19"/>
        <v>2018</v>
      </c>
      <c r="HF59" s="168">
        <f t="shared" si="19"/>
        <v>2018</v>
      </c>
      <c r="HG59" s="168">
        <f t="shared" si="19"/>
        <v>2018</v>
      </c>
      <c r="HH59" s="168">
        <f t="shared" si="19"/>
        <v>2018</v>
      </c>
      <c r="HI59" s="168">
        <f t="shared" si="19"/>
        <v>2018</v>
      </c>
      <c r="HJ59" s="168">
        <f t="shared" si="19"/>
        <v>2019</v>
      </c>
      <c r="HK59" s="168">
        <f t="shared" si="19"/>
        <v>2019</v>
      </c>
      <c r="HL59" s="168">
        <f t="shared" si="19"/>
        <v>2019</v>
      </c>
      <c r="HM59" s="168">
        <f t="shared" si="19"/>
        <v>2019</v>
      </c>
      <c r="HN59" s="168">
        <f t="shared" si="19"/>
        <v>2019</v>
      </c>
      <c r="HO59" s="168">
        <f t="shared" si="19"/>
        <v>2019</v>
      </c>
      <c r="HP59" s="168">
        <f t="shared" si="19"/>
        <v>2019</v>
      </c>
      <c r="HQ59" s="168">
        <f t="shared" si="19"/>
        <v>2019</v>
      </c>
      <c r="HR59" s="168">
        <f t="shared" si="19"/>
        <v>2019</v>
      </c>
      <c r="HS59" s="168">
        <f t="shared" si="19"/>
        <v>2019</v>
      </c>
      <c r="HT59" s="168">
        <f t="shared" si="19"/>
        <v>2019</v>
      </c>
      <c r="HU59" s="168">
        <f t="shared" si="19"/>
        <v>2019</v>
      </c>
      <c r="HV59" s="168">
        <f t="shared" si="19"/>
        <v>2020</v>
      </c>
      <c r="HW59" s="168">
        <f t="shared" si="19"/>
        <v>2020</v>
      </c>
      <c r="HX59" s="168">
        <f t="shared" si="19"/>
        <v>2020</v>
      </c>
      <c r="HY59" s="168">
        <f t="shared" si="19"/>
        <v>2020</v>
      </c>
      <c r="HZ59" s="168">
        <f t="shared" si="19"/>
        <v>2020</v>
      </c>
      <c r="IA59" s="168">
        <f t="shared" si="19"/>
        <v>2020</v>
      </c>
      <c r="IB59" s="168">
        <f t="shared" si="19"/>
        <v>2020</v>
      </c>
      <c r="IC59" s="168">
        <f t="shared" si="19"/>
        <v>2020</v>
      </c>
      <c r="ID59" s="168">
        <f t="shared" si="19"/>
        <v>2020</v>
      </c>
      <c r="IE59" s="168">
        <f t="shared" si="19"/>
        <v>2020</v>
      </c>
      <c r="IF59" s="168">
        <f t="shared" si="19"/>
        <v>2020</v>
      </c>
      <c r="IG59" s="168">
        <f t="shared" si="19"/>
        <v>2020</v>
      </c>
      <c r="IH59" s="168">
        <f t="shared" si="19"/>
        <v>2021</v>
      </c>
      <c r="II59" s="168">
        <f t="shared" si="19"/>
        <v>2021</v>
      </c>
      <c r="IJ59" s="168">
        <f t="shared" si="19"/>
        <v>2021</v>
      </c>
      <c r="IK59" s="168">
        <f t="shared" si="19"/>
        <v>2021</v>
      </c>
      <c r="IL59" s="168">
        <f t="shared" si="19"/>
        <v>2021</v>
      </c>
      <c r="IM59" s="168">
        <f t="shared" si="19"/>
        <v>2021</v>
      </c>
      <c r="IN59" s="168">
        <f t="shared" si="19"/>
        <v>2021</v>
      </c>
      <c r="IO59" s="168">
        <f t="shared" si="19"/>
        <v>1900</v>
      </c>
      <c r="IP59" s="168">
        <f t="shared" si="19"/>
        <v>1900</v>
      </c>
      <c r="IQ59" s="168">
        <f t="shared" si="19"/>
        <v>1900</v>
      </c>
      <c r="IR59" s="168">
        <f t="shared" si="19"/>
        <v>1900</v>
      </c>
      <c r="IS59" s="168">
        <f t="shared" si="19"/>
        <v>1900</v>
      </c>
      <c r="IT59" s="168">
        <f t="shared" si="19"/>
        <v>1900</v>
      </c>
      <c r="IU59" s="168">
        <f t="shared" si="19"/>
        <v>1900</v>
      </c>
      <c r="IV59" s="168">
        <f t="shared" si="19"/>
        <v>1900</v>
      </c>
      <c r="IW59" s="168">
        <f t="shared" si="19"/>
        <v>1900</v>
      </c>
      <c r="IX59" s="168">
        <f t="shared" si="19"/>
        <v>1900</v>
      </c>
      <c r="IY59" s="168">
        <f t="shared" si="19"/>
        <v>1900</v>
      </c>
      <c r="IZ59" s="168">
        <f t="shared" si="19"/>
        <v>1900</v>
      </c>
      <c r="JA59" s="168">
        <f t="shared" si="19"/>
        <v>1900</v>
      </c>
      <c r="JB59" s="168">
        <f t="shared" si="19"/>
        <v>1900</v>
      </c>
      <c r="JC59" s="168">
        <f t="shared" si="19"/>
        <v>1900</v>
      </c>
      <c r="JD59" s="168">
        <f t="shared" si="19"/>
        <v>1900</v>
      </c>
      <c r="JE59" s="168">
        <f t="shared" si="19"/>
        <v>1900</v>
      </c>
      <c r="JF59" s="168">
        <f t="shared" si="19"/>
        <v>1900</v>
      </c>
      <c r="JG59" s="168">
        <f t="shared" si="19"/>
        <v>1900</v>
      </c>
      <c r="JH59" s="168">
        <f t="shared" si="19"/>
        <v>1900</v>
      </c>
      <c r="JI59" s="168">
        <f t="shared" ref="JI59:LT59" si="20">YEAR(JI43)</f>
        <v>1900</v>
      </c>
      <c r="JJ59" s="168">
        <f t="shared" si="20"/>
        <v>1900</v>
      </c>
      <c r="JK59" s="168">
        <f t="shared" si="20"/>
        <v>1900</v>
      </c>
      <c r="JL59" s="168">
        <f t="shared" si="20"/>
        <v>1900</v>
      </c>
      <c r="JM59" s="168">
        <f t="shared" si="20"/>
        <v>1900</v>
      </c>
      <c r="JN59" s="168">
        <f t="shared" si="20"/>
        <v>1900</v>
      </c>
      <c r="JO59" s="168">
        <f t="shared" si="20"/>
        <v>1900</v>
      </c>
      <c r="JP59" s="168">
        <f t="shared" si="20"/>
        <v>1900</v>
      </c>
      <c r="JQ59" s="168">
        <f t="shared" si="20"/>
        <v>1900</v>
      </c>
      <c r="JR59" s="168">
        <f t="shared" si="20"/>
        <v>1900</v>
      </c>
      <c r="JS59" s="168">
        <f t="shared" si="20"/>
        <v>1900</v>
      </c>
      <c r="JT59" s="168">
        <f t="shared" si="20"/>
        <v>1900</v>
      </c>
      <c r="JU59" s="168">
        <f t="shared" si="20"/>
        <v>1900</v>
      </c>
      <c r="JV59" s="168">
        <f t="shared" si="20"/>
        <v>1900</v>
      </c>
      <c r="JW59" s="168">
        <f t="shared" si="20"/>
        <v>1900</v>
      </c>
      <c r="JX59" s="168">
        <f t="shared" si="20"/>
        <v>1900</v>
      </c>
      <c r="JY59" s="168">
        <f t="shared" si="20"/>
        <v>1900</v>
      </c>
      <c r="JZ59" s="168">
        <f t="shared" si="20"/>
        <v>1900</v>
      </c>
      <c r="KA59" s="168">
        <f t="shared" si="20"/>
        <v>1900</v>
      </c>
      <c r="KB59" s="168">
        <f t="shared" si="20"/>
        <v>1900</v>
      </c>
      <c r="KC59" s="168">
        <f t="shared" si="20"/>
        <v>1900</v>
      </c>
      <c r="KD59" s="168">
        <f t="shared" si="20"/>
        <v>1900</v>
      </c>
      <c r="KE59" s="168">
        <f t="shared" si="20"/>
        <v>1900</v>
      </c>
      <c r="KF59" s="168">
        <f t="shared" si="20"/>
        <v>1900</v>
      </c>
      <c r="KG59" s="168">
        <f t="shared" si="20"/>
        <v>1900</v>
      </c>
      <c r="KH59" s="168">
        <f t="shared" si="20"/>
        <v>1900</v>
      </c>
      <c r="KI59" s="168">
        <f t="shared" si="20"/>
        <v>1900</v>
      </c>
      <c r="KJ59" s="168">
        <f t="shared" si="20"/>
        <v>1900</v>
      </c>
      <c r="KK59" s="168">
        <f t="shared" si="20"/>
        <v>1900</v>
      </c>
      <c r="KL59" s="168">
        <f t="shared" si="20"/>
        <v>1900</v>
      </c>
      <c r="KM59" s="168">
        <f t="shared" si="20"/>
        <v>1900</v>
      </c>
      <c r="KN59" s="168">
        <f t="shared" si="20"/>
        <v>1900</v>
      </c>
      <c r="KO59" s="168">
        <f t="shared" si="20"/>
        <v>1900</v>
      </c>
      <c r="KP59" s="168">
        <f t="shared" si="20"/>
        <v>1900</v>
      </c>
      <c r="KQ59" s="168">
        <f t="shared" si="20"/>
        <v>1900</v>
      </c>
      <c r="KR59" s="168">
        <f t="shared" si="20"/>
        <v>1900</v>
      </c>
      <c r="KS59" s="168">
        <f t="shared" si="20"/>
        <v>1900</v>
      </c>
      <c r="KT59" s="168">
        <f t="shared" si="20"/>
        <v>1900</v>
      </c>
      <c r="KU59" s="168">
        <f t="shared" si="20"/>
        <v>1900</v>
      </c>
      <c r="KV59" s="168">
        <f t="shared" si="20"/>
        <v>1900</v>
      </c>
      <c r="KW59" s="168">
        <f t="shared" si="20"/>
        <v>1900</v>
      </c>
      <c r="KX59" s="168">
        <f t="shared" si="20"/>
        <v>1900</v>
      </c>
      <c r="KY59" s="168">
        <f t="shared" si="20"/>
        <v>1900</v>
      </c>
      <c r="KZ59" s="168">
        <f t="shared" si="20"/>
        <v>1900</v>
      </c>
      <c r="LA59" s="168">
        <f t="shared" si="20"/>
        <v>1900</v>
      </c>
      <c r="LB59" s="168">
        <f t="shared" si="20"/>
        <v>1900</v>
      </c>
      <c r="LC59" s="168">
        <f t="shared" si="20"/>
        <v>1900</v>
      </c>
      <c r="LD59" s="168">
        <f t="shared" si="20"/>
        <v>1900</v>
      </c>
      <c r="LE59" s="168">
        <f t="shared" si="20"/>
        <v>1900</v>
      </c>
      <c r="LF59" s="168">
        <f t="shared" si="20"/>
        <v>1900</v>
      </c>
      <c r="LG59" s="168">
        <f t="shared" si="20"/>
        <v>1900</v>
      </c>
      <c r="LH59" s="168">
        <f t="shared" si="20"/>
        <v>1900</v>
      </c>
      <c r="LI59" s="168">
        <f t="shared" si="20"/>
        <v>1900</v>
      </c>
      <c r="LJ59" s="168">
        <f t="shared" si="20"/>
        <v>1900</v>
      </c>
      <c r="LK59" s="168">
        <f t="shared" si="20"/>
        <v>1900</v>
      </c>
      <c r="LL59" s="168">
        <f t="shared" si="20"/>
        <v>1900</v>
      </c>
      <c r="LM59" s="168">
        <f t="shared" si="20"/>
        <v>1900</v>
      </c>
      <c r="LN59" s="168">
        <f t="shared" si="20"/>
        <v>1900</v>
      </c>
      <c r="LO59" s="168">
        <f t="shared" si="20"/>
        <v>1900</v>
      </c>
      <c r="LP59" s="168">
        <f t="shared" si="20"/>
        <v>1900</v>
      </c>
      <c r="LQ59" s="168">
        <f t="shared" si="20"/>
        <v>1900</v>
      </c>
      <c r="LR59" s="168">
        <f t="shared" si="20"/>
        <v>1900</v>
      </c>
      <c r="LS59" s="168">
        <f t="shared" si="20"/>
        <v>1900</v>
      </c>
      <c r="LT59" s="168">
        <f t="shared" si="20"/>
        <v>1900</v>
      </c>
      <c r="LU59" s="168">
        <f t="shared" ref="LU59:OF59" si="21">YEAR(LU43)</f>
        <v>1900</v>
      </c>
      <c r="LV59" s="168">
        <f t="shared" si="21"/>
        <v>1900</v>
      </c>
      <c r="LW59" s="168">
        <f t="shared" si="21"/>
        <v>1900</v>
      </c>
      <c r="LX59" s="168">
        <f t="shared" si="21"/>
        <v>1900</v>
      </c>
      <c r="LY59" s="168">
        <f t="shared" si="21"/>
        <v>1900</v>
      </c>
      <c r="LZ59" s="168">
        <f t="shared" si="21"/>
        <v>1900</v>
      </c>
      <c r="MA59" s="168">
        <f t="shared" si="21"/>
        <v>1900</v>
      </c>
      <c r="MB59" s="168">
        <f t="shared" si="21"/>
        <v>1900</v>
      </c>
      <c r="MC59" s="168">
        <f t="shared" si="21"/>
        <v>1900</v>
      </c>
      <c r="MD59" s="168">
        <f t="shared" si="21"/>
        <v>1900</v>
      </c>
      <c r="ME59" s="168">
        <f t="shared" si="21"/>
        <v>1900</v>
      </c>
      <c r="MF59" s="168">
        <f t="shared" si="21"/>
        <v>1900</v>
      </c>
      <c r="MG59" s="168">
        <f t="shared" si="21"/>
        <v>1900</v>
      </c>
      <c r="MH59" s="168">
        <f t="shared" si="21"/>
        <v>1900</v>
      </c>
      <c r="MI59" s="168">
        <f t="shared" si="21"/>
        <v>1900</v>
      </c>
      <c r="MJ59" s="168">
        <f t="shared" si="21"/>
        <v>1900</v>
      </c>
      <c r="MK59" s="168">
        <f t="shared" si="21"/>
        <v>1900</v>
      </c>
      <c r="ML59" s="168">
        <f t="shared" si="21"/>
        <v>1900</v>
      </c>
      <c r="MM59" s="168">
        <f t="shared" si="21"/>
        <v>1900</v>
      </c>
      <c r="MN59" s="168">
        <f t="shared" si="21"/>
        <v>1900</v>
      </c>
      <c r="MO59" s="168">
        <f t="shared" si="21"/>
        <v>1900</v>
      </c>
      <c r="MP59" s="168">
        <f t="shared" si="21"/>
        <v>1900</v>
      </c>
      <c r="MQ59" s="168">
        <f t="shared" si="21"/>
        <v>1900</v>
      </c>
      <c r="MR59" s="168">
        <f t="shared" si="21"/>
        <v>1900</v>
      </c>
      <c r="MS59" s="168">
        <f t="shared" si="21"/>
        <v>1900</v>
      </c>
      <c r="MT59" s="168">
        <f t="shared" si="21"/>
        <v>1900</v>
      </c>
      <c r="MU59" s="168">
        <f t="shared" si="21"/>
        <v>1900</v>
      </c>
      <c r="MV59" s="168">
        <f t="shared" si="21"/>
        <v>1900</v>
      </c>
      <c r="MW59" s="168">
        <f t="shared" si="21"/>
        <v>1900</v>
      </c>
      <c r="MX59" s="168">
        <f t="shared" si="21"/>
        <v>1900</v>
      </c>
      <c r="MY59" s="168">
        <f t="shared" si="21"/>
        <v>1900</v>
      </c>
      <c r="MZ59" s="168">
        <f t="shared" si="21"/>
        <v>1900</v>
      </c>
      <c r="NA59" s="168">
        <f t="shared" si="21"/>
        <v>1900</v>
      </c>
      <c r="NB59" s="168">
        <f t="shared" si="21"/>
        <v>1900</v>
      </c>
      <c r="NC59" s="168">
        <f t="shared" si="21"/>
        <v>1900</v>
      </c>
      <c r="ND59" s="168">
        <f t="shared" si="21"/>
        <v>1900</v>
      </c>
      <c r="NE59" s="168">
        <f t="shared" si="21"/>
        <v>1900</v>
      </c>
      <c r="NF59" s="168">
        <f t="shared" si="21"/>
        <v>1900</v>
      </c>
      <c r="NG59" s="168">
        <f t="shared" si="21"/>
        <v>1900</v>
      </c>
      <c r="NH59" s="168">
        <f t="shared" si="21"/>
        <v>1900</v>
      </c>
      <c r="NI59" s="168">
        <f t="shared" si="21"/>
        <v>1900</v>
      </c>
      <c r="NJ59" s="168">
        <f t="shared" si="21"/>
        <v>1900</v>
      </c>
      <c r="NK59" s="168">
        <f t="shared" si="21"/>
        <v>1900</v>
      </c>
      <c r="NL59" s="168">
        <f t="shared" si="21"/>
        <v>1900</v>
      </c>
      <c r="NM59" s="168">
        <f t="shared" si="21"/>
        <v>1900</v>
      </c>
      <c r="NN59" s="168">
        <f t="shared" si="21"/>
        <v>1900</v>
      </c>
      <c r="NO59" s="168">
        <f t="shared" si="21"/>
        <v>1900</v>
      </c>
      <c r="NP59" s="168">
        <f t="shared" si="21"/>
        <v>1900</v>
      </c>
      <c r="NQ59" s="168">
        <f t="shared" si="21"/>
        <v>1900</v>
      </c>
      <c r="NR59" s="168">
        <f t="shared" si="21"/>
        <v>1900</v>
      </c>
      <c r="NS59" s="168">
        <f t="shared" si="21"/>
        <v>1900</v>
      </c>
      <c r="NT59" s="168">
        <f t="shared" si="21"/>
        <v>1900</v>
      </c>
      <c r="NU59" s="168">
        <f t="shared" si="21"/>
        <v>1900</v>
      </c>
      <c r="NV59" s="168">
        <f t="shared" si="21"/>
        <v>1900</v>
      </c>
      <c r="NW59" s="168">
        <f t="shared" si="21"/>
        <v>1900</v>
      </c>
      <c r="NX59" s="168">
        <f t="shared" si="21"/>
        <v>1900</v>
      </c>
      <c r="NY59" s="168">
        <f t="shared" si="21"/>
        <v>1900</v>
      </c>
      <c r="NZ59" s="168">
        <f t="shared" si="21"/>
        <v>1900</v>
      </c>
      <c r="OA59" s="168">
        <f t="shared" si="21"/>
        <v>1900</v>
      </c>
      <c r="OB59" s="168">
        <f t="shared" si="21"/>
        <v>1900</v>
      </c>
      <c r="OC59" s="168">
        <f t="shared" si="21"/>
        <v>1900</v>
      </c>
      <c r="OD59" s="168">
        <f t="shared" si="21"/>
        <v>1900</v>
      </c>
      <c r="OE59" s="168">
        <f t="shared" si="21"/>
        <v>1900</v>
      </c>
      <c r="OF59" s="168">
        <f t="shared" si="21"/>
        <v>1900</v>
      </c>
      <c r="OG59" s="168">
        <f t="shared" ref="OG59:QR59" si="22">YEAR(OG43)</f>
        <v>1900</v>
      </c>
      <c r="OH59" s="168">
        <f t="shared" si="22"/>
        <v>1900</v>
      </c>
      <c r="OI59" s="168">
        <f t="shared" si="22"/>
        <v>1900</v>
      </c>
      <c r="OJ59" s="168">
        <f t="shared" si="22"/>
        <v>1900</v>
      </c>
      <c r="OK59" s="168">
        <f t="shared" si="22"/>
        <v>1900</v>
      </c>
      <c r="OL59" s="168">
        <f t="shared" si="22"/>
        <v>1900</v>
      </c>
      <c r="OM59" s="168">
        <f t="shared" si="22"/>
        <v>1900</v>
      </c>
      <c r="ON59" s="168">
        <f t="shared" si="22"/>
        <v>1900</v>
      </c>
      <c r="OO59" s="168">
        <f t="shared" si="22"/>
        <v>1900</v>
      </c>
      <c r="OP59" s="168">
        <f t="shared" si="22"/>
        <v>1900</v>
      </c>
      <c r="OQ59" s="168">
        <f t="shared" si="22"/>
        <v>1900</v>
      </c>
      <c r="OR59" s="168">
        <f t="shared" si="22"/>
        <v>1900</v>
      </c>
      <c r="OS59" s="168">
        <f t="shared" si="22"/>
        <v>1900</v>
      </c>
      <c r="OT59" s="168">
        <f t="shared" si="22"/>
        <v>1900</v>
      </c>
      <c r="OU59" s="168">
        <f t="shared" si="22"/>
        <v>1900</v>
      </c>
      <c r="OV59" s="168">
        <f t="shared" si="22"/>
        <v>1900</v>
      </c>
      <c r="OW59" s="168">
        <f t="shared" si="22"/>
        <v>1900</v>
      </c>
      <c r="OX59" s="168">
        <f t="shared" si="22"/>
        <v>1900</v>
      </c>
      <c r="OY59" s="168">
        <f t="shared" si="22"/>
        <v>1900</v>
      </c>
      <c r="OZ59" s="168">
        <f t="shared" si="22"/>
        <v>1900</v>
      </c>
      <c r="PA59" s="168">
        <f t="shared" si="22"/>
        <v>1900</v>
      </c>
      <c r="PB59" s="168">
        <f t="shared" si="22"/>
        <v>1900</v>
      </c>
      <c r="PC59" s="168">
        <f t="shared" si="22"/>
        <v>1900</v>
      </c>
      <c r="PD59" s="168">
        <f t="shared" si="22"/>
        <v>1900</v>
      </c>
      <c r="PE59" s="168">
        <f t="shared" si="22"/>
        <v>1900</v>
      </c>
      <c r="PF59" s="168">
        <f t="shared" si="22"/>
        <v>1900</v>
      </c>
      <c r="PG59" s="168">
        <f t="shared" si="22"/>
        <v>1900</v>
      </c>
      <c r="PH59" s="168">
        <f t="shared" si="22"/>
        <v>1900</v>
      </c>
      <c r="PI59" s="168">
        <f t="shared" si="22"/>
        <v>1900</v>
      </c>
      <c r="PJ59" s="168">
        <f t="shared" si="22"/>
        <v>1900</v>
      </c>
      <c r="PK59" s="168">
        <f t="shared" si="22"/>
        <v>1900</v>
      </c>
      <c r="PL59" s="168">
        <f t="shared" si="22"/>
        <v>1900</v>
      </c>
      <c r="PM59" s="168">
        <f t="shared" si="22"/>
        <v>1900</v>
      </c>
      <c r="PN59" s="168">
        <f t="shared" si="22"/>
        <v>1900</v>
      </c>
      <c r="PO59" s="168">
        <f t="shared" si="22"/>
        <v>1900</v>
      </c>
      <c r="PP59" s="168">
        <f t="shared" si="22"/>
        <v>1900</v>
      </c>
      <c r="PQ59" s="168">
        <f t="shared" si="22"/>
        <v>1900</v>
      </c>
      <c r="PR59" s="168">
        <f t="shared" si="22"/>
        <v>1900</v>
      </c>
      <c r="PS59" s="168">
        <f t="shared" si="22"/>
        <v>1900</v>
      </c>
      <c r="PT59" s="168">
        <f t="shared" si="22"/>
        <v>1900</v>
      </c>
      <c r="PU59" s="168">
        <f t="shared" si="22"/>
        <v>1900</v>
      </c>
      <c r="PV59" s="168">
        <f t="shared" si="22"/>
        <v>1900</v>
      </c>
      <c r="PW59" s="168">
        <f t="shared" si="22"/>
        <v>1900</v>
      </c>
      <c r="PX59" s="168">
        <f t="shared" si="22"/>
        <v>1900</v>
      </c>
      <c r="PY59" s="168">
        <f t="shared" si="22"/>
        <v>1900</v>
      </c>
      <c r="PZ59" s="168">
        <f t="shared" si="22"/>
        <v>1900</v>
      </c>
      <c r="QA59" s="168">
        <f t="shared" si="22"/>
        <v>1900</v>
      </c>
      <c r="QB59" s="168">
        <f t="shared" si="22"/>
        <v>1900</v>
      </c>
      <c r="QC59" s="168">
        <f t="shared" si="22"/>
        <v>1900</v>
      </c>
      <c r="QD59" s="168">
        <f t="shared" si="22"/>
        <v>1900</v>
      </c>
      <c r="QE59" s="168">
        <f t="shared" si="22"/>
        <v>1900</v>
      </c>
      <c r="QF59" s="168">
        <f t="shared" si="22"/>
        <v>1900</v>
      </c>
      <c r="QG59" s="168">
        <f t="shared" si="22"/>
        <v>1900</v>
      </c>
      <c r="QH59" s="168">
        <f t="shared" si="22"/>
        <v>1900</v>
      </c>
      <c r="QI59" s="168">
        <f t="shared" si="22"/>
        <v>1900</v>
      </c>
      <c r="QJ59" s="168">
        <f t="shared" si="22"/>
        <v>1900</v>
      </c>
      <c r="QK59" s="168">
        <f t="shared" si="22"/>
        <v>1900</v>
      </c>
      <c r="QL59" s="168">
        <f t="shared" si="22"/>
        <v>1900</v>
      </c>
      <c r="QM59" s="168">
        <f t="shared" si="22"/>
        <v>1900</v>
      </c>
      <c r="QN59" s="168">
        <f t="shared" si="22"/>
        <v>1900</v>
      </c>
      <c r="QO59" s="168">
        <f t="shared" si="22"/>
        <v>1900</v>
      </c>
      <c r="QP59" s="168">
        <f t="shared" si="22"/>
        <v>1900</v>
      </c>
      <c r="QQ59" s="168">
        <f t="shared" si="22"/>
        <v>1900</v>
      </c>
      <c r="QR59" s="168">
        <f t="shared" si="22"/>
        <v>1900</v>
      </c>
      <c r="QS59" s="168">
        <f t="shared" ref="QS59:TD59" si="23">YEAR(QS43)</f>
        <v>1900</v>
      </c>
      <c r="QT59" s="168">
        <f t="shared" si="23"/>
        <v>1900</v>
      </c>
      <c r="QU59" s="168">
        <f t="shared" si="23"/>
        <v>1900</v>
      </c>
      <c r="QV59" s="168">
        <f t="shared" si="23"/>
        <v>1900</v>
      </c>
      <c r="QW59" s="168">
        <f t="shared" si="23"/>
        <v>1900</v>
      </c>
      <c r="QX59" s="168">
        <f t="shared" si="23"/>
        <v>1900</v>
      </c>
      <c r="QY59" s="168">
        <f t="shared" si="23"/>
        <v>1900</v>
      </c>
      <c r="QZ59" s="168">
        <f t="shared" si="23"/>
        <v>1900</v>
      </c>
      <c r="RA59" s="168">
        <f t="shared" si="23"/>
        <v>1900</v>
      </c>
      <c r="RB59" s="168">
        <f t="shared" si="23"/>
        <v>1900</v>
      </c>
      <c r="RC59" s="168">
        <f t="shared" si="23"/>
        <v>1900</v>
      </c>
      <c r="RD59" s="168">
        <f t="shared" si="23"/>
        <v>1900</v>
      </c>
      <c r="RE59" s="168">
        <f t="shared" si="23"/>
        <v>1900</v>
      </c>
      <c r="RF59" s="168">
        <f t="shared" si="23"/>
        <v>1900</v>
      </c>
      <c r="RG59" s="168">
        <f t="shared" si="23"/>
        <v>1900</v>
      </c>
      <c r="RH59" s="168">
        <f t="shared" si="23"/>
        <v>1900</v>
      </c>
      <c r="RI59" s="168">
        <f t="shared" si="23"/>
        <v>1900</v>
      </c>
      <c r="RJ59" s="168">
        <f t="shared" si="23"/>
        <v>1900</v>
      </c>
      <c r="RK59" s="168">
        <f t="shared" si="23"/>
        <v>1900</v>
      </c>
      <c r="RL59" s="168">
        <f t="shared" si="23"/>
        <v>1900</v>
      </c>
      <c r="RM59" s="168">
        <f t="shared" si="23"/>
        <v>1900</v>
      </c>
      <c r="RN59" s="168">
        <f t="shared" si="23"/>
        <v>1900</v>
      </c>
      <c r="RO59" s="168">
        <f t="shared" si="23"/>
        <v>1900</v>
      </c>
      <c r="RP59" s="168">
        <f t="shared" si="23"/>
        <v>1900</v>
      </c>
      <c r="RQ59" s="168">
        <f t="shared" si="23"/>
        <v>1900</v>
      </c>
      <c r="RR59" s="168">
        <f t="shared" si="23"/>
        <v>1900</v>
      </c>
      <c r="RS59" s="168">
        <f t="shared" si="23"/>
        <v>1900</v>
      </c>
      <c r="RT59" s="168">
        <f t="shared" si="23"/>
        <v>1900</v>
      </c>
      <c r="RU59" s="168">
        <f t="shared" si="23"/>
        <v>1900</v>
      </c>
      <c r="RV59" s="168">
        <f t="shared" si="23"/>
        <v>1900</v>
      </c>
      <c r="RW59" s="168">
        <f t="shared" si="23"/>
        <v>1900</v>
      </c>
      <c r="RX59" s="168">
        <f t="shared" si="23"/>
        <v>1900</v>
      </c>
      <c r="RY59" s="168">
        <f t="shared" si="23"/>
        <v>1900</v>
      </c>
      <c r="RZ59" s="168">
        <f t="shared" si="23"/>
        <v>1900</v>
      </c>
      <c r="SA59" s="168">
        <f t="shared" si="23"/>
        <v>1900</v>
      </c>
      <c r="SB59" s="168">
        <f t="shared" si="23"/>
        <v>1900</v>
      </c>
      <c r="SC59" s="168">
        <f t="shared" si="23"/>
        <v>1900</v>
      </c>
      <c r="SD59" s="168">
        <f t="shared" si="23"/>
        <v>1900</v>
      </c>
      <c r="SE59" s="168">
        <f t="shared" si="23"/>
        <v>1900</v>
      </c>
      <c r="SF59" s="168">
        <f t="shared" si="23"/>
        <v>1900</v>
      </c>
      <c r="SG59" s="168">
        <f t="shared" si="23"/>
        <v>1900</v>
      </c>
      <c r="SH59" s="168">
        <f t="shared" si="23"/>
        <v>1900</v>
      </c>
      <c r="SI59" s="168">
        <f t="shared" si="23"/>
        <v>1900</v>
      </c>
      <c r="SJ59" s="168">
        <f t="shared" si="23"/>
        <v>1900</v>
      </c>
      <c r="SK59" s="168">
        <f t="shared" si="23"/>
        <v>1900</v>
      </c>
      <c r="SL59" s="168">
        <f t="shared" si="23"/>
        <v>1900</v>
      </c>
      <c r="SM59" s="168">
        <f t="shared" si="23"/>
        <v>1900</v>
      </c>
      <c r="SN59" s="168">
        <f t="shared" si="23"/>
        <v>1900</v>
      </c>
      <c r="SO59" s="168">
        <f t="shared" si="23"/>
        <v>1900</v>
      </c>
      <c r="SP59" s="168">
        <f t="shared" si="23"/>
        <v>1900</v>
      </c>
      <c r="SQ59" s="168">
        <f t="shared" si="23"/>
        <v>1900</v>
      </c>
      <c r="SR59" s="168">
        <f t="shared" si="23"/>
        <v>1900</v>
      </c>
      <c r="SS59" s="168">
        <f t="shared" si="23"/>
        <v>1900</v>
      </c>
      <c r="ST59" s="168">
        <f t="shared" si="23"/>
        <v>1900</v>
      </c>
      <c r="SU59" s="168">
        <f t="shared" si="23"/>
        <v>1900</v>
      </c>
      <c r="SV59" s="168">
        <f t="shared" si="23"/>
        <v>1900</v>
      </c>
      <c r="SW59" s="168">
        <f t="shared" si="23"/>
        <v>1900</v>
      </c>
      <c r="SX59" s="168">
        <f t="shared" si="23"/>
        <v>1900</v>
      </c>
      <c r="SY59" s="168">
        <f t="shared" si="23"/>
        <v>1900</v>
      </c>
      <c r="SZ59" s="168">
        <f t="shared" si="23"/>
        <v>1900</v>
      </c>
      <c r="TA59" s="168">
        <f t="shared" si="23"/>
        <v>1900</v>
      </c>
      <c r="TB59" s="168">
        <f t="shared" si="23"/>
        <v>1900</v>
      </c>
      <c r="TC59" s="168">
        <f t="shared" si="23"/>
        <v>1900</v>
      </c>
      <c r="TD59" s="168">
        <f t="shared" si="23"/>
        <v>1900</v>
      </c>
      <c r="TE59" s="168">
        <f t="shared" ref="TE59:VP59" si="24">YEAR(TE43)</f>
        <v>1900</v>
      </c>
      <c r="TF59" s="168">
        <f t="shared" si="24"/>
        <v>1900</v>
      </c>
      <c r="TG59" s="168">
        <f t="shared" si="24"/>
        <v>1900</v>
      </c>
      <c r="TH59" s="168">
        <f t="shared" si="24"/>
        <v>1900</v>
      </c>
      <c r="TI59" s="168">
        <f t="shared" si="24"/>
        <v>1900</v>
      </c>
      <c r="TJ59" s="168">
        <f t="shared" si="24"/>
        <v>1900</v>
      </c>
      <c r="TK59" s="168">
        <f t="shared" si="24"/>
        <v>1900</v>
      </c>
      <c r="TL59" s="168">
        <f t="shared" si="24"/>
        <v>1900</v>
      </c>
      <c r="TM59" s="168">
        <f t="shared" si="24"/>
        <v>1900</v>
      </c>
      <c r="TN59" s="168">
        <f t="shared" si="24"/>
        <v>1900</v>
      </c>
      <c r="TO59" s="168">
        <f t="shared" si="24"/>
        <v>1900</v>
      </c>
      <c r="TP59" s="168">
        <f t="shared" si="24"/>
        <v>1900</v>
      </c>
      <c r="TQ59" s="168">
        <f t="shared" si="24"/>
        <v>1900</v>
      </c>
      <c r="TR59" s="168">
        <f t="shared" si="24"/>
        <v>1900</v>
      </c>
      <c r="TS59" s="168">
        <f t="shared" si="24"/>
        <v>1900</v>
      </c>
      <c r="TT59" s="168">
        <f t="shared" si="24"/>
        <v>1900</v>
      </c>
      <c r="TU59" s="168">
        <f t="shared" si="24"/>
        <v>1900</v>
      </c>
      <c r="TV59" s="168">
        <f t="shared" si="24"/>
        <v>1900</v>
      </c>
      <c r="TW59" s="168">
        <f t="shared" si="24"/>
        <v>1900</v>
      </c>
      <c r="TX59" s="168">
        <f t="shared" si="24"/>
        <v>1900</v>
      </c>
      <c r="TY59" s="168">
        <f t="shared" si="24"/>
        <v>1900</v>
      </c>
      <c r="TZ59" s="168">
        <f t="shared" si="24"/>
        <v>1900</v>
      </c>
      <c r="UA59" s="168">
        <f t="shared" si="24"/>
        <v>1900</v>
      </c>
      <c r="UB59" s="168">
        <f t="shared" si="24"/>
        <v>1900</v>
      </c>
      <c r="UC59" s="168">
        <f t="shared" si="24"/>
        <v>1900</v>
      </c>
      <c r="UD59" s="168">
        <f t="shared" si="24"/>
        <v>1900</v>
      </c>
      <c r="UE59" s="168">
        <f t="shared" si="24"/>
        <v>1900</v>
      </c>
      <c r="UF59" s="168">
        <f t="shared" si="24"/>
        <v>1900</v>
      </c>
      <c r="UG59" s="168">
        <f t="shared" si="24"/>
        <v>1900</v>
      </c>
      <c r="UH59" s="168">
        <f t="shared" si="24"/>
        <v>1900</v>
      </c>
      <c r="UI59" s="168">
        <f t="shared" si="24"/>
        <v>1900</v>
      </c>
      <c r="UJ59" s="168">
        <f t="shared" si="24"/>
        <v>1900</v>
      </c>
      <c r="UK59" s="168">
        <f t="shared" si="24"/>
        <v>1900</v>
      </c>
      <c r="UL59" s="168">
        <f t="shared" si="24"/>
        <v>1900</v>
      </c>
      <c r="UM59" s="168">
        <f t="shared" si="24"/>
        <v>1900</v>
      </c>
      <c r="UN59" s="168">
        <f t="shared" si="24"/>
        <v>1900</v>
      </c>
      <c r="UO59" s="168">
        <f t="shared" si="24"/>
        <v>1900</v>
      </c>
      <c r="UP59" s="168">
        <f t="shared" si="24"/>
        <v>1900</v>
      </c>
      <c r="UQ59" s="168">
        <f t="shared" si="24"/>
        <v>1900</v>
      </c>
      <c r="UR59" s="168">
        <f t="shared" si="24"/>
        <v>1900</v>
      </c>
      <c r="US59" s="168">
        <f t="shared" si="24"/>
        <v>1900</v>
      </c>
      <c r="UT59" s="168">
        <f t="shared" si="24"/>
        <v>1900</v>
      </c>
      <c r="UU59" s="168">
        <f t="shared" si="24"/>
        <v>1900</v>
      </c>
      <c r="UV59" s="168">
        <f t="shared" si="24"/>
        <v>1900</v>
      </c>
      <c r="UW59" s="168">
        <f t="shared" si="24"/>
        <v>1900</v>
      </c>
      <c r="UX59" s="168">
        <f t="shared" si="24"/>
        <v>1900</v>
      </c>
      <c r="UY59" s="168">
        <f t="shared" si="24"/>
        <v>1900</v>
      </c>
      <c r="UZ59" s="168">
        <f t="shared" si="24"/>
        <v>1900</v>
      </c>
      <c r="VA59" s="168">
        <f t="shared" si="24"/>
        <v>1900</v>
      </c>
      <c r="VB59" s="168">
        <f t="shared" si="24"/>
        <v>1900</v>
      </c>
      <c r="VC59" s="168">
        <f t="shared" si="24"/>
        <v>1900</v>
      </c>
      <c r="VD59" s="168">
        <f t="shared" si="24"/>
        <v>1900</v>
      </c>
      <c r="VE59" s="168">
        <f t="shared" si="24"/>
        <v>1900</v>
      </c>
      <c r="VF59" s="168">
        <f t="shared" si="24"/>
        <v>1900</v>
      </c>
      <c r="VG59" s="168">
        <f t="shared" si="24"/>
        <v>1900</v>
      </c>
      <c r="VH59" s="168">
        <f t="shared" si="24"/>
        <v>1900</v>
      </c>
      <c r="VI59" s="168">
        <f t="shared" si="24"/>
        <v>1900</v>
      </c>
      <c r="VJ59" s="168">
        <f t="shared" si="24"/>
        <v>1900</v>
      </c>
      <c r="VK59" s="168">
        <f t="shared" si="24"/>
        <v>1900</v>
      </c>
      <c r="VL59" s="168">
        <f t="shared" si="24"/>
        <v>1900</v>
      </c>
      <c r="VM59" s="168">
        <f t="shared" si="24"/>
        <v>1900</v>
      </c>
      <c r="VN59" s="168">
        <f t="shared" si="24"/>
        <v>1900</v>
      </c>
      <c r="VO59" s="168">
        <f t="shared" si="24"/>
        <v>1900</v>
      </c>
      <c r="VP59" s="168">
        <f t="shared" si="24"/>
        <v>1900</v>
      </c>
      <c r="VQ59" s="168">
        <f t="shared" ref="VQ59:YB59" si="25">YEAR(VQ43)</f>
        <v>1900</v>
      </c>
      <c r="VR59" s="168">
        <f t="shared" si="25"/>
        <v>1900</v>
      </c>
      <c r="VS59" s="168">
        <f t="shared" si="25"/>
        <v>1900</v>
      </c>
      <c r="VT59" s="168">
        <f t="shared" si="25"/>
        <v>1900</v>
      </c>
      <c r="VU59" s="168">
        <f t="shared" si="25"/>
        <v>1900</v>
      </c>
      <c r="VV59" s="168">
        <f t="shared" si="25"/>
        <v>1900</v>
      </c>
      <c r="VW59" s="168">
        <f t="shared" si="25"/>
        <v>1900</v>
      </c>
      <c r="VX59" s="168">
        <f t="shared" si="25"/>
        <v>1900</v>
      </c>
      <c r="VY59" s="168">
        <f t="shared" si="25"/>
        <v>1900</v>
      </c>
      <c r="VZ59" s="168">
        <f t="shared" si="25"/>
        <v>1900</v>
      </c>
      <c r="WA59" s="168">
        <f t="shared" si="25"/>
        <v>1900</v>
      </c>
      <c r="WB59" s="168">
        <f t="shared" si="25"/>
        <v>1900</v>
      </c>
      <c r="WC59" s="168">
        <f t="shared" si="25"/>
        <v>1900</v>
      </c>
      <c r="WD59" s="168">
        <f t="shared" si="25"/>
        <v>1900</v>
      </c>
      <c r="WE59" s="168">
        <f t="shared" si="25"/>
        <v>1900</v>
      </c>
      <c r="WF59" s="168">
        <f t="shared" si="25"/>
        <v>1900</v>
      </c>
      <c r="WG59" s="168">
        <f t="shared" si="25"/>
        <v>1900</v>
      </c>
      <c r="WH59" s="168">
        <f t="shared" si="25"/>
        <v>1900</v>
      </c>
      <c r="WI59" s="168">
        <f t="shared" si="25"/>
        <v>1900</v>
      </c>
      <c r="WJ59" s="168">
        <f t="shared" si="25"/>
        <v>1900</v>
      </c>
      <c r="WK59" s="168">
        <f t="shared" si="25"/>
        <v>1900</v>
      </c>
      <c r="WL59" s="168">
        <f t="shared" si="25"/>
        <v>1900</v>
      </c>
      <c r="WM59" s="168">
        <f t="shared" si="25"/>
        <v>1900</v>
      </c>
      <c r="WN59" s="168">
        <f t="shared" si="25"/>
        <v>1900</v>
      </c>
      <c r="WO59" s="168">
        <f t="shared" si="25"/>
        <v>1900</v>
      </c>
      <c r="WP59" s="168">
        <f t="shared" si="25"/>
        <v>1900</v>
      </c>
      <c r="WQ59" s="168">
        <f t="shared" si="25"/>
        <v>1900</v>
      </c>
      <c r="WR59" s="168">
        <f t="shared" si="25"/>
        <v>1900</v>
      </c>
      <c r="WS59" s="168">
        <f t="shared" si="25"/>
        <v>1900</v>
      </c>
      <c r="WT59" s="168">
        <f t="shared" si="25"/>
        <v>1900</v>
      </c>
      <c r="WU59" s="168">
        <f t="shared" si="25"/>
        <v>1900</v>
      </c>
      <c r="WV59" s="168">
        <f t="shared" si="25"/>
        <v>1900</v>
      </c>
      <c r="WW59" s="168">
        <f t="shared" si="25"/>
        <v>1900</v>
      </c>
      <c r="WX59" s="168">
        <f t="shared" si="25"/>
        <v>1900</v>
      </c>
      <c r="WY59" s="168">
        <f t="shared" si="25"/>
        <v>1900</v>
      </c>
      <c r="WZ59" s="168">
        <f t="shared" si="25"/>
        <v>1900</v>
      </c>
      <c r="XA59" s="168">
        <f t="shared" si="25"/>
        <v>1900</v>
      </c>
      <c r="XB59" s="168">
        <f t="shared" si="25"/>
        <v>1900</v>
      </c>
      <c r="XC59" s="168">
        <f t="shared" si="25"/>
        <v>1900</v>
      </c>
      <c r="XD59" s="168">
        <f t="shared" si="25"/>
        <v>1900</v>
      </c>
      <c r="XE59" s="168">
        <f t="shared" si="25"/>
        <v>1900</v>
      </c>
      <c r="XF59" s="168">
        <f t="shared" si="25"/>
        <v>1900</v>
      </c>
      <c r="XG59" s="168">
        <f t="shared" si="25"/>
        <v>1900</v>
      </c>
      <c r="XH59" s="168">
        <f t="shared" si="25"/>
        <v>1900</v>
      </c>
      <c r="XI59" s="168">
        <f t="shared" si="25"/>
        <v>1900</v>
      </c>
      <c r="XJ59" s="168">
        <f t="shared" si="25"/>
        <v>1900</v>
      </c>
      <c r="XK59" s="168">
        <f t="shared" si="25"/>
        <v>1900</v>
      </c>
      <c r="XL59" s="168">
        <f t="shared" si="25"/>
        <v>1900</v>
      </c>
      <c r="XM59" s="168">
        <f t="shared" si="25"/>
        <v>1900</v>
      </c>
      <c r="XN59" s="168">
        <f t="shared" si="25"/>
        <v>1900</v>
      </c>
      <c r="XO59" s="168">
        <f t="shared" si="25"/>
        <v>1900</v>
      </c>
      <c r="XP59" s="168">
        <f t="shared" si="25"/>
        <v>1900</v>
      </c>
      <c r="XQ59" s="168">
        <f t="shared" si="25"/>
        <v>1900</v>
      </c>
      <c r="XR59" s="168">
        <f t="shared" si="25"/>
        <v>1900</v>
      </c>
      <c r="XS59" s="168">
        <f t="shared" si="25"/>
        <v>1900</v>
      </c>
      <c r="XT59" s="168">
        <f t="shared" si="25"/>
        <v>1900</v>
      </c>
      <c r="XU59" s="168">
        <f t="shared" si="25"/>
        <v>1900</v>
      </c>
      <c r="XV59" s="168">
        <f t="shared" si="25"/>
        <v>1900</v>
      </c>
      <c r="XW59" s="168">
        <f t="shared" si="25"/>
        <v>1900</v>
      </c>
      <c r="XX59" s="168">
        <f t="shared" si="25"/>
        <v>1900</v>
      </c>
      <c r="XY59" s="168">
        <f t="shared" si="25"/>
        <v>1900</v>
      </c>
      <c r="XZ59" s="168">
        <f t="shared" si="25"/>
        <v>1900</v>
      </c>
      <c r="YA59" s="168">
        <f t="shared" si="25"/>
        <v>1900</v>
      </c>
      <c r="YB59" s="168">
        <f t="shared" si="25"/>
        <v>1900</v>
      </c>
      <c r="YC59" s="168">
        <f t="shared" ref="YC59:YO59" si="26">YEAR(YC43)</f>
        <v>1900</v>
      </c>
      <c r="YD59" s="168">
        <f t="shared" si="26"/>
        <v>1900</v>
      </c>
      <c r="YE59" s="168">
        <f t="shared" si="26"/>
        <v>1900</v>
      </c>
      <c r="YF59" s="168">
        <f t="shared" si="26"/>
        <v>1900</v>
      </c>
      <c r="YG59" s="168">
        <f t="shared" si="26"/>
        <v>1900</v>
      </c>
      <c r="YH59" s="168">
        <f t="shared" si="26"/>
        <v>1900</v>
      </c>
      <c r="YI59" s="168">
        <f t="shared" si="26"/>
        <v>1900</v>
      </c>
      <c r="YJ59" s="168">
        <f t="shared" si="26"/>
        <v>1900</v>
      </c>
      <c r="YK59" s="168">
        <f t="shared" si="26"/>
        <v>1900</v>
      </c>
      <c r="YL59" s="168">
        <f t="shared" si="26"/>
        <v>1900</v>
      </c>
      <c r="YM59" s="168">
        <f t="shared" si="26"/>
        <v>1900</v>
      </c>
      <c r="YN59" s="168">
        <f t="shared" si="26"/>
        <v>1900</v>
      </c>
      <c r="YO59" s="168">
        <f t="shared" si="26"/>
        <v>1900</v>
      </c>
    </row>
    <row r="60" spans="1:665" s="953" customFormat="1" ht="15.75" hidden="1" thickBot="1">
      <c r="A60" s="964" t="s">
        <v>271</v>
      </c>
      <c r="B60" s="953" t="str">
        <f t="shared" ref="B60:BM60" si="27">IF(MONTH(B43)&gt;6,"2","1")</f>
        <v>1</v>
      </c>
      <c r="C60" s="953" t="str">
        <f t="shared" si="27"/>
        <v>1</v>
      </c>
      <c r="D60" s="953" t="str">
        <f t="shared" si="27"/>
        <v>1</v>
      </c>
      <c r="E60" s="953" t="str">
        <f t="shared" si="27"/>
        <v>1</v>
      </c>
      <c r="F60" s="953" t="str">
        <f t="shared" si="27"/>
        <v>1</v>
      </c>
      <c r="G60" s="953" t="str">
        <f t="shared" si="27"/>
        <v>1</v>
      </c>
      <c r="H60" s="953" t="str">
        <f t="shared" si="27"/>
        <v>2</v>
      </c>
      <c r="I60" s="953" t="str">
        <f t="shared" si="27"/>
        <v>2</v>
      </c>
      <c r="J60" s="953" t="str">
        <f t="shared" si="27"/>
        <v>2</v>
      </c>
      <c r="K60" s="953" t="str">
        <f t="shared" si="27"/>
        <v>2</v>
      </c>
      <c r="L60" s="953" t="str">
        <f t="shared" si="27"/>
        <v>2</v>
      </c>
      <c r="M60" s="953" t="str">
        <f t="shared" si="27"/>
        <v>2</v>
      </c>
      <c r="N60" s="953" t="str">
        <f t="shared" si="27"/>
        <v>1</v>
      </c>
      <c r="O60" s="953" t="str">
        <f t="shared" si="27"/>
        <v>1</v>
      </c>
      <c r="P60" s="953" t="str">
        <f t="shared" si="27"/>
        <v>1</v>
      </c>
      <c r="Q60" s="953" t="str">
        <f t="shared" si="27"/>
        <v>1</v>
      </c>
      <c r="R60" s="953" t="str">
        <f t="shared" si="27"/>
        <v>1</v>
      </c>
      <c r="S60" s="953" t="str">
        <f t="shared" si="27"/>
        <v>1</v>
      </c>
      <c r="T60" s="953" t="str">
        <f t="shared" si="27"/>
        <v>2</v>
      </c>
      <c r="U60" s="953" t="str">
        <f t="shared" si="27"/>
        <v>2</v>
      </c>
      <c r="V60" s="953" t="str">
        <f t="shared" si="27"/>
        <v>2</v>
      </c>
      <c r="W60" s="953" t="str">
        <f t="shared" si="27"/>
        <v>2</v>
      </c>
      <c r="X60" s="953" t="str">
        <f t="shared" si="27"/>
        <v>2</v>
      </c>
      <c r="Y60" s="953" t="str">
        <f t="shared" si="27"/>
        <v>2</v>
      </c>
      <c r="Z60" s="953" t="str">
        <f t="shared" si="27"/>
        <v>1</v>
      </c>
      <c r="AA60" s="953" t="str">
        <f t="shared" si="27"/>
        <v>1</v>
      </c>
      <c r="AB60" s="953" t="str">
        <f t="shared" si="27"/>
        <v>1</v>
      </c>
      <c r="AC60" s="953" t="str">
        <f t="shared" si="27"/>
        <v>1</v>
      </c>
      <c r="AD60" s="953" t="str">
        <f t="shared" si="27"/>
        <v>1</v>
      </c>
      <c r="AE60" s="953" t="str">
        <f t="shared" si="27"/>
        <v>1</v>
      </c>
      <c r="AF60" s="953" t="str">
        <f t="shared" si="27"/>
        <v>2</v>
      </c>
      <c r="AG60" s="953" t="str">
        <f t="shared" si="27"/>
        <v>2</v>
      </c>
      <c r="AH60" s="953" t="str">
        <f t="shared" si="27"/>
        <v>2</v>
      </c>
      <c r="AI60" s="953" t="str">
        <f t="shared" si="27"/>
        <v>2</v>
      </c>
      <c r="AJ60" s="953" t="str">
        <f t="shared" si="27"/>
        <v>2</v>
      </c>
      <c r="AK60" s="953" t="str">
        <f t="shared" si="27"/>
        <v>2</v>
      </c>
      <c r="AL60" s="953" t="str">
        <f t="shared" si="27"/>
        <v>1</v>
      </c>
      <c r="AM60" s="953" t="str">
        <f t="shared" si="27"/>
        <v>1</v>
      </c>
      <c r="AN60" s="953" t="str">
        <f t="shared" si="27"/>
        <v>1</v>
      </c>
      <c r="AO60" s="953" t="str">
        <f t="shared" si="27"/>
        <v>1</v>
      </c>
      <c r="AP60" s="953" t="str">
        <f t="shared" si="27"/>
        <v>1</v>
      </c>
      <c r="AQ60" s="953" t="str">
        <f t="shared" si="27"/>
        <v>1</v>
      </c>
      <c r="AR60" s="953" t="str">
        <f t="shared" si="27"/>
        <v>2</v>
      </c>
      <c r="AS60" s="953" t="str">
        <f t="shared" si="27"/>
        <v>2</v>
      </c>
      <c r="AT60" s="953" t="str">
        <f t="shared" si="27"/>
        <v>2</v>
      </c>
      <c r="AU60" s="953" t="str">
        <f t="shared" si="27"/>
        <v>2</v>
      </c>
      <c r="AV60" s="953" t="str">
        <f t="shared" si="27"/>
        <v>2</v>
      </c>
      <c r="AW60" s="953" t="str">
        <f t="shared" si="27"/>
        <v>2</v>
      </c>
      <c r="AX60" s="953" t="str">
        <f t="shared" si="27"/>
        <v>1</v>
      </c>
      <c r="AY60" s="953" t="str">
        <f t="shared" si="27"/>
        <v>1</v>
      </c>
      <c r="AZ60" s="953" t="str">
        <f t="shared" si="27"/>
        <v>1</v>
      </c>
      <c r="BA60" s="953" t="str">
        <f t="shared" si="27"/>
        <v>1</v>
      </c>
      <c r="BB60" s="953" t="str">
        <f t="shared" si="27"/>
        <v>1</v>
      </c>
      <c r="BC60" s="953" t="str">
        <f t="shared" si="27"/>
        <v>1</v>
      </c>
      <c r="BD60" s="953" t="str">
        <f t="shared" si="27"/>
        <v>2</v>
      </c>
      <c r="BE60" s="953" t="str">
        <f t="shared" si="27"/>
        <v>2</v>
      </c>
      <c r="BF60" s="953" t="str">
        <f t="shared" si="27"/>
        <v>2</v>
      </c>
      <c r="BG60" s="953" t="str">
        <f t="shared" si="27"/>
        <v>2</v>
      </c>
      <c r="BH60" s="953" t="str">
        <f t="shared" si="27"/>
        <v>2</v>
      </c>
      <c r="BI60" s="953" t="str">
        <f t="shared" si="27"/>
        <v>2</v>
      </c>
      <c r="BJ60" s="953" t="str">
        <f t="shared" si="27"/>
        <v>1</v>
      </c>
      <c r="BK60" s="953" t="str">
        <f t="shared" si="27"/>
        <v>1</v>
      </c>
      <c r="BL60" s="953" t="str">
        <f t="shared" si="27"/>
        <v>1</v>
      </c>
      <c r="BM60" s="953" t="str">
        <f t="shared" si="27"/>
        <v>1</v>
      </c>
      <c r="BN60" s="953" t="str">
        <f t="shared" ref="BN60:DY60" si="28">IF(MONTH(BN43)&gt;6,"2","1")</f>
        <v>1</v>
      </c>
      <c r="BO60" s="953" t="str">
        <f t="shared" si="28"/>
        <v>1</v>
      </c>
      <c r="BP60" s="953" t="str">
        <f t="shared" si="28"/>
        <v>2</v>
      </c>
      <c r="BQ60" s="953" t="str">
        <f t="shared" si="28"/>
        <v>2</v>
      </c>
      <c r="BR60" s="953" t="str">
        <f t="shared" si="28"/>
        <v>2</v>
      </c>
      <c r="BS60" s="953" t="str">
        <f t="shared" si="28"/>
        <v>2</v>
      </c>
      <c r="BT60" s="953" t="str">
        <f t="shared" si="28"/>
        <v>2</v>
      </c>
      <c r="BU60" s="953" t="str">
        <f t="shared" si="28"/>
        <v>2</v>
      </c>
      <c r="BV60" s="953" t="str">
        <f t="shared" si="28"/>
        <v>1</v>
      </c>
      <c r="BW60" s="953" t="str">
        <f t="shared" si="28"/>
        <v>1</v>
      </c>
      <c r="BX60" s="953" t="str">
        <f t="shared" si="28"/>
        <v>1</v>
      </c>
      <c r="BY60" s="953" t="str">
        <f t="shared" si="28"/>
        <v>1</v>
      </c>
      <c r="BZ60" s="953" t="str">
        <f t="shared" si="28"/>
        <v>1</v>
      </c>
      <c r="CA60" s="953" t="str">
        <f t="shared" si="28"/>
        <v>1</v>
      </c>
      <c r="CB60" s="953" t="str">
        <f t="shared" si="28"/>
        <v>2</v>
      </c>
      <c r="CC60" s="953" t="str">
        <f t="shared" si="28"/>
        <v>2</v>
      </c>
      <c r="CD60" s="953" t="str">
        <f t="shared" si="28"/>
        <v>2</v>
      </c>
      <c r="CE60" s="953" t="str">
        <f t="shared" si="28"/>
        <v>2</v>
      </c>
      <c r="CF60" s="953" t="str">
        <f t="shared" si="28"/>
        <v>2</v>
      </c>
      <c r="CG60" s="953" t="str">
        <f t="shared" si="28"/>
        <v>2</v>
      </c>
      <c r="CH60" s="953" t="str">
        <f t="shared" si="28"/>
        <v>1</v>
      </c>
      <c r="CI60" s="953" t="str">
        <f t="shared" si="28"/>
        <v>1</v>
      </c>
      <c r="CJ60" s="953" t="str">
        <f t="shared" si="28"/>
        <v>1</v>
      </c>
      <c r="CK60" s="953" t="str">
        <f t="shared" si="28"/>
        <v>1</v>
      </c>
      <c r="CL60" s="953" t="str">
        <f t="shared" si="28"/>
        <v>1</v>
      </c>
      <c r="CM60" s="953" t="str">
        <f t="shared" si="28"/>
        <v>1</v>
      </c>
      <c r="CN60" s="953" t="str">
        <f t="shared" si="28"/>
        <v>2</v>
      </c>
      <c r="CO60" s="953" t="str">
        <f t="shared" si="28"/>
        <v>2</v>
      </c>
      <c r="CP60" s="953" t="str">
        <f t="shared" si="28"/>
        <v>2</v>
      </c>
      <c r="CQ60" s="953" t="str">
        <f t="shared" si="28"/>
        <v>2</v>
      </c>
      <c r="CR60" s="953" t="str">
        <f t="shared" si="28"/>
        <v>2</v>
      </c>
      <c r="CS60" s="953" t="str">
        <f t="shared" si="28"/>
        <v>2</v>
      </c>
      <c r="CT60" s="953" t="str">
        <f t="shared" si="28"/>
        <v>1</v>
      </c>
      <c r="CU60" s="953" t="str">
        <f t="shared" si="28"/>
        <v>1</v>
      </c>
      <c r="CV60" s="953" t="str">
        <f t="shared" si="28"/>
        <v>1</v>
      </c>
      <c r="CW60" s="953" t="str">
        <f t="shared" si="28"/>
        <v>1</v>
      </c>
      <c r="CX60" s="953" t="str">
        <f t="shared" si="28"/>
        <v>1</v>
      </c>
      <c r="CY60" s="953" t="str">
        <f t="shared" si="28"/>
        <v>1</v>
      </c>
      <c r="CZ60" s="953" t="str">
        <f t="shared" si="28"/>
        <v>2</v>
      </c>
      <c r="DA60" s="953" t="str">
        <f t="shared" si="28"/>
        <v>2</v>
      </c>
      <c r="DB60" s="953" t="str">
        <f t="shared" si="28"/>
        <v>2</v>
      </c>
      <c r="DC60" s="953" t="str">
        <f t="shared" si="28"/>
        <v>2</v>
      </c>
      <c r="DD60" s="953" t="str">
        <f t="shared" si="28"/>
        <v>2</v>
      </c>
      <c r="DE60" s="953" t="str">
        <f t="shared" si="28"/>
        <v>2</v>
      </c>
      <c r="DF60" s="953" t="str">
        <f t="shared" si="28"/>
        <v>1</v>
      </c>
      <c r="DG60" s="953" t="str">
        <f t="shared" si="28"/>
        <v>1</v>
      </c>
      <c r="DH60" s="953" t="str">
        <f t="shared" si="28"/>
        <v>1</v>
      </c>
      <c r="DI60" s="953" t="str">
        <f t="shared" si="28"/>
        <v>1</v>
      </c>
      <c r="DJ60" s="953" t="str">
        <f t="shared" si="28"/>
        <v>1</v>
      </c>
      <c r="DK60" s="953" t="str">
        <f t="shared" si="28"/>
        <v>1</v>
      </c>
      <c r="DL60" s="953" t="str">
        <f t="shared" si="28"/>
        <v>2</v>
      </c>
      <c r="DM60" s="953" t="str">
        <f t="shared" si="28"/>
        <v>2</v>
      </c>
      <c r="DN60" s="953" t="str">
        <f t="shared" si="28"/>
        <v>2</v>
      </c>
      <c r="DO60" s="953" t="str">
        <f t="shared" si="28"/>
        <v>2</v>
      </c>
      <c r="DP60" s="953" t="str">
        <f t="shared" si="28"/>
        <v>2</v>
      </c>
      <c r="DQ60" s="953" t="str">
        <f t="shared" si="28"/>
        <v>2</v>
      </c>
      <c r="DR60" s="953" t="str">
        <f t="shared" si="28"/>
        <v>1</v>
      </c>
      <c r="DS60" s="953" t="str">
        <f t="shared" si="28"/>
        <v>1</v>
      </c>
      <c r="DT60" s="953" t="str">
        <f t="shared" si="28"/>
        <v>1</v>
      </c>
      <c r="DU60" s="953" t="str">
        <f t="shared" si="28"/>
        <v>1</v>
      </c>
      <c r="DV60" s="953" t="str">
        <f t="shared" si="28"/>
        <v>1</v>
      </c>
      <c r="DW60" s="953" t="str">
        <f t="shared" si="28"/>
        <v>1</v>
      </c>
      <c r="DX60" s="953" t="str">
        <f t="shared" si="28"/>
        <v>2</v>
      </c>
      <c r="DY60" s="953" t="str">
        <f t="shared" si="28"/>
        <v>2</v>
      </c>
      <c r="DZ60" s="953" t="str">
        <f t="shared" ref="DZ60:GK60" si="29">IF(MONTH(DZ43)&gt;6,"2","1")</f>
        <v>2</v>
      </c>
      <c r="EA60" s="953" t="str">
        <f t="shared" si="29"/>
        <v>2</v>
      </c>
      <c r="EB60" s="953" t="str">
        <f t="shared" si="29"/>
        <v>2</v>
      </c>
      <c r="EC60" s="953" t="str">
        <f t="shared" si="29"/>
        <v>2</v>
      </c>
      <c r="ED60" s="953" t="str">
        <f t="shared" si="29"/>
        <v>1</v>
      </c>
      <c r="EE60" s="953" t="str">
        <f t="shared" si="29"/>
        <v>1</v>
      </c>
      <c r="EF60" s="953" t="str">
        <f t="shared" si="29"/>
        <v>1</v>
      </c>
      <c r="EG60" s="953" t="str">
        <f t="shared" si="29"/>
        <v>1</v>
      </c>
      <c r="EH60" s="953" t="str">
        <f t="shared" si="29"/>
        <v>1</v>
      </c>
      <c r="EI60" s="953" t="str">
        <f t="shared" si="29"/>
        <v>1</v>
      </c>
      <c r="EJ60" s="953" t="str">
        <f t="shared" si="29"/>
        <v>2</v>
      </c>
      <c r="EK60" s="953" t="str">
        <f t="shared" si="29"/>
        <v>2</v>
      </c>
      <c r="EL60" s="953" t="str">
        <f t="shared" si="29"/>
        <v>2</v>
      </c>
      <c r="EM60" s="953" t="str">
        <f t="shared" si="29"/>
        <v>2</v>
      </c>
      <c r="EN60" s="953" t="str">
        <f t="shared" si="29"/>
        <v>2</v>
      </c>
      <c r="EO60" s="953" t="str">
        <f t="shared" si="29"/>
        <v>2</v>
      </c>
      <c r="EP60" s="953" t="str">
        <f t="shared" si="29"/>
        <v>1</v>
      </c>
      <c r="EQ60" s="953" t="str">
        <f t="shared" si="29"/>
        <v>1</v>
      </c>
      <c r="ER60" s="953" t="str">
        <f t="shared" si="29"/>
        <v>1</v>
      </c>
      <c r="ES60" s="953" t="str">
        <f t="shared" si="29"/>
        <v>1</v>
      </c>
      <c r="ET60" s="953" t="str">
        <f t="shared" si="29"/>
        <v>1</v>
      </c>
      <c r="EU60" s="953" t="str">
        <f t="shared" si="29"/>
        <v>1</v>
      </c>
      <c r="EV60" s="953" t="str">
        <f t="shared" si="29"/>
        <v>2</v>
      </c>
      <c r="EW60" s="953" t="str">
        <f t="shared" si="29"/>
        <v>2</v>
      </c>
      <c r="EX60" s="953" t="str">
        <f t="shared" si="29"/>
        <v>2</v>
      </c>
      <c r="EY60" s="953" t="str">
        <f t="shared" si="29"/>
        <v>2</v>
      </c>
      <c r="EZ60" s="953" t="str">
        <f t="shared" si="29"/>
        <v>2</v>
      </c>
      <c r="FA60" s="953" t="str">
        <f t="shared" si="29"/>
        <v>2</v>
      </c>
      <c r="FB60" s="953" t="str">
        <f t="shared" si="29"/>
        <v>1</v>
      </c>
      <c r="FC60" s="953" t="str">
        <f t="shared" si="29"/>
        <v>1</v>
      </c>
      <c r="FD60" s="953" t="str">
        <f t="shared" si="29"/>
        <v>1</v>
      </c>
      <c r="FE60" s="953" t="str">
        <f t="shared" si="29"/>
        <v>1</v>
      </c>
      <c r="FF60" s="953" t="str">
        <f t="shared" si="29"/>
        <v>1</v>
      </c>
      <c r="FG60" s="953" t="str">
        <f t="shared" si="29"/>
        <v>1</v>
      </c>
      <c r="FH60" s="953" t="str">
        <f t="shared" si="29"/>
        <v>2</v>
      </c>
      <c r="FI60" s="953" t="str">
        <f t="shared" si="29"/>
        <v>2</v>
      </c>
      <c r="FJ60" s="953" t="str">
        <f t="shared" si="29"/>
        <v>2</v>
      </c>
      <c r="FK60" s="953" t="str">
        <f t="shared" si="29"/>
        <v>2</v>
      </c>
      <c r="FL60" s="953" t="str">
        <f t="shared" si="29"/>
        <v>2</v>
      </c>
      <c r="FM60" s="953" t="str">
        <f t="shared" si="29"/>
        <v>2</v>
      </c>
      <c r="FN60" s="953" t="str">
        <f t="shared" si="29"/>
        <v>1</v>
      </c>
      <c r="FO60" s="953" t="str">
        <f t="shared" si="29"/>
        <v>1</v>
      </c>
      <c r="FP60" s="953" t="str">
        <f t="shared" si="29"/>
        <v>1</v>
      </c>
      <c r="FQ60" s="953" t="str">
        <f t="shared" si="29"/>
        <v>1</v>
      </c>
      <c r="FR60" s="953" t="str">
        <f t="shared" si="29"/>
        <v>1</v>
      </c>
      <c r="FS60" s="953" t="str">
        <f t="shared" si="29"/>
        <v>1</v>
      </c>
      <c r="FT60" s="953" t="str">
        <f t="shared" si="29"/>
        <v>2</v>
      </c>
      <c r="FU60" s="953" t="str">
        <f t="shared" si="29"/>
        <v>2</v>
      </c>
      <c r="FV60" s="953" t="str">
        <f t="shared" si="29"/>
        <v>2</v>
      </c>
      <c r="FW60" s="953" t="str">
        <f t="shared" si="29"/>
        <v>2</v>
      </c>
      <c r="FX60" s="953" t="str">
        <f t="shared" si="29"/>
        <v>2</v>
      </c>
      <c r="FY60" s="953" t="str">
        <f t="shared" si="29"/>
        <v>2</v>
      </c>
      <c r="FZ60" s="953" t="str">
        <f t="shared" si="29"/>
        <v>1</v>
      </c>
      <c r="GA60" s="953" t="str">
        <f t="shared" si="29"/>
        <v>1</v>
      </c>
      <c r="GB60" s="953" t="str">
        <f t="shared" si="29"/>
        <v>1</v>
      </c>
      <c r="GC60" s="953" t="str">
        <f t="shared" si="29"/>
        <v>1</v>
      </c>
      <c r="GD60" s="953" t="str">
        <f t="shared" si="29"/>
        <v>1</v>
      </c>
      <c r="GE60" s="953" t="str">
        <f t="shared" si="29"/>
        <v>1</v>
      </c>
      <c r="GF60" s="953" t="str">
        <f t="shared" si="29"/>
        <v>2</v>
      </c>
      <c r="GG60" s="953" t="str">
        <f t="shared" si="29"/>
        <v>2</v>
      </c>
      <c r="GH60" s="953" t="str">
        <f t="shared" si="29"/>
        <v>2</v>
      </c>
      <c r="GI60" s="953" t="str">
        <f t="shared" si="29"/>
        <v>2</v>
      </c>
      <c r="GJ60" s="953" t="str">
        <f t="shared" si="29"/>
        <v>2</v>
      </c>
      <c r="GK60" s="953" t="str">
        <f t="shared" si="29"/>
        <v>2</v>
      </c>
      <c r="GL60" s="953" t="str">
        <f t="shared" ref="GL60:JH60" si="30">IF(MONTH(GL43)&gt;6,"2","1")</f>
        <v>1</v>
      </c>
      <c r="GM60" s="953" t="str">
        <f t="shared" si="30"/>
        <v>1</v>
      </c>
      <c r="GN60" s="953" t="str">
        <f t="shared" si="30"/>
        <v>1</v>
      </c>
      <c r="GO60" s="953" t="str">
        <f t="shared" si="30"/>
        <v>1</v>
      </c>
      <c r="GP60" s="953" t="str">
        <f t="shared" si="30"/>
        <v>1</v>
      </c>
      <c r="GQ60" s="953" t="str">
        <f t="shared" si="30"/>
        <v>1</v>
      </c>
      <c r="GR60" s="953" t="str">
        <f t="shared" si="30"/>
        <v>2</v>
      </c>
      <c r="GS60" s="953" t="str">
        <f t="shared" si="30"/>
        <v>2</v>
      </c>
      <c r="GT60" s="953" t="str">
        <f t="shared" si="30"/>
        <v>2</v>
      </c>
      <c r="GU60" s="953" t="str">
        <f t="shared" si="30"/>
        <v>2</v>
      </c>
      <c r="GV60" s="953" t="str">
        <f t="shared" si="30"/>
        <v>2</v>
      </c>
      <c r="GW60" s="953" t="str">
        <f t="shared" si="30"/>
        <v>2</v>
      </c>
      <c r="GX60" s="953" t="str">
        <f t="shared" si="30"/>
        <v>1</v>
      </c>
      <c r="GY60" s="953" t="str">
        <f t="shared" si="30"/>
        <v>1</v>
      </c>
      <c r="GZ60" s="953" t="str">
        <f t="shared" si="30"/>
        <v>1</v>
      </c>
      <c r="HA60" s="953" t="str">
        <f t="shared" si="30"/>
        <v>1</v>
      </c>
      <c r="HB60" s="953" t="str">
        <f t="shared" si="30"/>
        <v>1</v>
      </c>
      <c r="HC60" s="953" t="str">
        <f t="shared" si="30"/>
        <v>1</v>
      </c>
      <c r="HD60" s="953" t="str">
        <f t="shared" si="30"/>
        <v>2</v>
      </c>
      <c r="HE60" s="953" t="str">
        <f t="shared" si="30"/>
        <v>2</v>
      </c>
      <c r="HF60" s="953" t="str">
        <f t="shared" si="30"/>
        <v>2</v>
      </c>
      <c r="HG60" s="953" t="str">
        <f t="shared" si="30"/>
        <v>2</v>
      </c>
      <c r="HH60" s="953" t="str">
        <f t="shared" si="30"/>
        <v>2</v>
      </c>
      <c r="HI60" s="953" t="str">
        <f t="shared" si="30"/>
        <v>2</v>
      </c>
      <c r="HJ60" s="953" t="str">
        <f>IF(MONTH(HJ43)&gt;6,"2","1")</f>
        <v>1</v>
      </c>
      <c r="HK60" s="953" t="str">
        <f t="shared" si="30"/>
        <v>1</v>
      </c>
      <c r="HL60" s="953" t="str">
        <f t="shared" si="30"/>
        <v>1</v>
      </c>
      <c r="HM60" s="953" t="str">
        <f t="shared" si="30"/>
        <v>1</v>
      </c>
      <c r="HN60" s="953" t="str">
        <f t="shared" si="30"/>
        <v>1</v>
      </c>
      <c r="HO60" s="953" t="str">
        <f t="shared" si="30"/>
        <v>1</v>
      </c>
      <c r="HP60" s="953" t="str">
        <f>IF(MONTH(HP43)&gt;6,"2","1")</f>
        <v>2</v>
      </c>
      <c r="HQ60" s="953" t="str">
        <f t="shared" ref="HQ60:IN60" si="31">IF(MONTH(HQ43)&gt;6,"2","1")</f>
        <v>2</v>
      </c>
      <c r="HR60" s="953" t="str">
        <f t="shared" si="31"/>
        <v>2</v>
      </c>
      <c r="HS60" s="953" t="str">
        <f t="shared" si="31"/>
        <v>2</v>
      </c>
      <c r="HT60" s="953" t="str">
        <f t="shared" si="31"/>
        <v>2</v>
      </c>
      <c r="HU60" s="953" t="str">
        <f t="shared" si="31"/>
        <v>2</v>
      </c>
      <c r="HV60" s="953" t="str">
        <f t="shared" si="31"/>
        <v>1</v>
      </c>
      <c r="HW60" s="953" t="str">
        <f t="shared" si="31"/>
        <v>1</v>
      </c>
      <c r="HX60" s="953" t="str">
        <f t="shared" si="31"/>
        <v>1</v>
      </c>
      <c r="HY60" s="953" t="str">
        <f t="shared" si="31"/>
        <v>1</v>
      </c>
      <c r="HZ60" s="953" t="str">
        <f t="shared" si="31"/>
        <v>1</v>
      </c>
      <c r="IA60" s="953" t="str">
        <f t="shared" si="31"/>
        <v>1</v>
      </c>
      <c r="IB60" s="953" t="str">
        <f t="shared" si="31"/>
        <v>2</v>
      </c>
      <c r="IC60" s="953" t="str">
        <f t="shared" si="31"/>
        <v>2</v>
      </c>
      <c r="ID60" s="953" t="str">
        <f t="shared" si="31"/>
        <v>2</v>
      </c>
      <c r="IE60" s="953" t="str">
        <f t="shared" si="31"/>
        <v>2</v>
      </c>
      <c r="IF60" s="953" t="str">
        <f t="shared" si="31"/>
        <v>2</v>
      </c>
      <c r="IG60" s="953" t="str">
        <f t="shared" si="31"/>
        <v>2</v>
      </c>
      <c r="IH60" s="953" t="str">
        <f t="shared" si="31"/>
        <v>1</v>
      </c>
      <c r="II60" s="953" t="str">
        <f t="shared" si="31"/>
        <v>1</v>
      </c>
      <c r="IJ60" s="953" t="str">
        <f t="shared" si="31"/>
        <v>1</v>
      </c>
      <c r="IK60" s="953" t="str">
        <f t="shared" si="31"/>
        <v>1</v>
      </c>
      <c r="IL60" s="953" t="str">
        <f t="shared" si="31"/>
        <v>1</v>
      </c>
      <c r="IM60" s="953" t="str">
        <f t="shared" si="31"/>
        <v>1</v>
      </c>
      <c r="IN60" s="953" t="str">
        <f t="shared" si="31"/>
        <v>2</v>
      </c>
      <c r="IO60" s="953">
        <v>2</v>
      </c>
      <c r="IP60" s="953">
        <v>2</v>
      </c>
      <c r="IQ60" s="953">
        <v>2</v>
      </c>
      <c r="IR60" s="953">
        <v>2</v>
      </c>
      <c r="IS60" s="953">
        <v>2</v>
      </c>
      <c r="IT60" s="953" t="str">
        <f t="shared" si="30"/>
        <v>1</v>
      </c>
      <c r="IU60" s="953" t="str">
        <f t="shared" si="30"/>
        <v>1</v>
      </c>
      <c r="IV60" s="953" t="str">
        <f t="shared" si="30"/>
        <v>1</v>
      </c>
      <c r="IW60" s="953" t="str">
        <f t="shared" si="30"/>
        <v>1</v>
      </c>
      <c r="IX60" s="953" t="str">
        <f t="shared" si="30"/>
        <v>1</v>
      </c>
      <c r="IY60" s="953" t="str">
        <f t="shared" si="30"/>
        <v>1</v>
      </c>
      <c r="IZ60" s="953" t="str">
        <f t="shared" si="30"/>
        <v>1</v>
      </c>
      <c r="JA60" s="953" t="str">
        <f t="shared" si="30"/>
        <v>1</v>
      </c>
      <c r="JB60" s="953" t="str">
        <f t="shared" si="30"/>
        <v>1</v>
      </c>
      <c r="JC60" s="953" t="str">
        <f t="shared" si="30"/>
        <v>1</v>
      </c>
      <c r="JD60" s="953" t="str">
        <f t="shared" si="30"/>
        <v>1</v>
      </c>
      <c r="JE60" s="953" t="str">
        <f t="shared" si="30"/>
        <v>1</v>
      </c>
      <c r="JF60" s="953" t="str">
        <f t="shared" si="30"/>
        <v>1</v>
      </c>
      <c r="JG60" s="953" t="str">
        <f t="shared" si="30"/>
        <v>1</v>
      </c>
      <c r="JH60" s="953" t="str">
        <f t="shared" si="30"/>
        <v>1</v>
      </c>
      <c r="JI60" s="953" t="str">
        <f t="shared" ref="JI60:LT60" si="32">IF(MONTH(JI43)&gt;6,"2","1")</f>
        <v>1</v>
      </c>
      <c r="JJ60" s="953" t="str">
        <f t="shared" si="32"/>
        <v>1</v>
      </c>
      <c r="JK60" s="953" t="str">
        <f t="shared" si="32"/>
        <v>1</v>
      </c>
      <c r="JL60" s="953" t="str">
        <f t="shared" si="32"/>
        <v>1</v>
      </c>
      <c r="JM60" s="953" t="str">
        <f t="shared" si="32"/>
        <v>1</v>
      </c>
      <c r="JN60" s="953" t="str">
        <f t="shared" si="32"/>
        <v>1</v>
      </c>
      <c r="JO60" s="953" t="str">
        <f t="shared" si="32"/>
        <v>1</v>
      </c>
      <c r="JP60" s="953" t="str">
        <f t="shared" si="32"/>
        <v>1</v>
      </c>
      <c r="JQ60" s="953" t="str">
        <f t="shared" si="32"/>
        <v>1</v>
      </c>
      <c r="JR60" s="953" t="str">
        <f t="shared" si="32"/>
        <v>1</v>
      </c>
      <c r="JS60" s="953" t="str">
        <f t="shared" si="32"/>
        <v>1</v>
      </c>
      <c r="JT60" s="953" t="str">
        <f t="shared" si="32"/>
        <v>1</v>
      </c>
      <c r="JU60" s="953" t="str">
        <f t="shared" si="32"/>
        <v>1</v>
      </c>
      <c r="JV60" s="953" t="str">
        <f t="shared" si="32"/>
        <v>1</v>
      </c>
      <c r="JW60" s="953" t="str">
        <f t="shared" si="32"/>
        <v>1</v>
      </c>
      <c r="JX60" s="953" t="str">
        <f t="shared" si="32"/>
        <v>1</v>
      </c>
      <c r="JY60" s="953" t="str">
        <f t="shared" si="32"/>
        <v>1</v>
      </c>
      <c r="JZ60" s="953" t="str">
        <f t="shared" si="32"/>
        <v>1</v>
      </c>
      <c r="KA60" s="953" t="str">
        <f t="shared" si="32"/>
        <v>1</v>
      </c>
      <c r="KB60" s="953" t="str">
        <f t="shared" si="32"/>
        <v>1</v>
      </c>
      <c r="KC60" s="953" t="str">
        <f t="shared" si="32"/>
        <v>1</v>
      </c>
      <c r="KD60" s="953" t="str">
        <f t="shared" si="32"/>
        <v>1</v>
      </c>
      <c r="KE60" s="953" t="str">
        <f t="shared" si="32"/>
        <v>1</v>
      </c>
      <c r="KF60" s="953" t="str">
        <f t="shared" si="32"/>
        <v>1</v>
      </c>
      <c r="KG60" s="953" t="str">
        <f t="shared" si="32"/>
        <v>1</v>
      </c>
      <c r="KH60" s="953" t="str">
        <f t="shared" si="32"/>
        <v>1</v>
      </c>
      <c r="KI60" s="953" t="str">
        <f t="shared" si="32"/>
        <v>1</v>
      </c>
      <c r="KJ60" s="953" t="str">
        <f t="shared" si="32"/>
        <v>1</v>
      </c>
      <c r="KK60" s="953" t="str">
        <f t="shared" si="32"/>
        <v>1</v>
      </c>
      <c r="KL60" s="953" t="str">
        <f t="shared" si="32"/>
        <v>1</v>
      </c>
      <c r="KM60" s="953" t="str">
        <f t="shared" si="32"/>
        <v>1</v>
      </c>
      <c r="KN60" s="953" t="str">
        <f t="shared" si="32"/>
        <v>1</v>
      </c>
      <c r="KO60" s="953" t="str">
        <f t="shared" si="32"/>
        <v>1</v>
      </c>
      <c r="KP60" s="953" t="str">
        <f t="shared" si="32"/>
        <v>1</v>
      </c>
      <c r="KQ60" s="953" t="str">
        <f t="shared" si="32"/>
        <v>1</v>
      </c>
      <c r="KR60" s="953" t="str">
        <f t="shared" si="32"/>
        <v>1</v>
      </c>
      <c r="KS60" s="953" t="str">
        <f t="shared" si="32"/>
        <v>1</v>
      </c>
      <c r="KT60" s="953" t="str">
        <f t="shared" si="32"/>
        <v>1</v>
      </c>
      <c r="KU60" s="953" t="str">
        <f t="shared" si="32"/>
        <v>1</v>
      </c>
      <c r="KV60" s="953" t="str">
        <f t="shared" si="32"/>
        <v>1</v>
      </c>
      <c r="KW60" s="953" t="str">
        <f t="shared" si="32"/>
        <v>1</v>
      </c>
      <c r="KX60" s="953" t="str">
        <f t="shared" si="32"/>
        <v>1</v>
      </c>
      <c r="KY60" s="953" t="str">
        <f t="shared" si="32"/>
        <v>1</v>
      </c>
      <c r="KZ60" s="953" t="str">
        <f t="shared" si="32"/>
        <v>1</v>
      </c>
      <c r="LA60" s="953" t="str">
        <f t="shared" si="32"/>
        <v>1</v>
      </c>
      <c r="LB60" s="953" t="str">
        <f t="shared" si="32"/>
        <v>1</v>
      </c>
      <c r="LC60" s="953" t="str">
        <f t="shared" si="32"/>
        <v>1</v>
      </c>
      <c r="LD60" s="953" t="str">
        <f t="shared" si="32"/>
        <v>1</v>
      </c>
      <c r="LE60" s="953" t="str">
        <f t="shared" si="32"/>
        <v>1</v>
      </c>
      <c r="LF60" s="953" t="str">
        <f t="shared" si="32"/>
        <v>1</v>
      </c>
      <c r="LG60" s="953" t="str">
        <f t="shared" si="32"/>
        <v>1</v>
      </c>
      <c r="LH60" s="953" t="str">
        <f t="shared" si="32"/>
        <v>1</v>
      </c>
      <c r="LI60" s="953" t="str">
        <f t="shared" si="32"/>
        <v>1</v>
      </c>
      <c r="LJ60" s="953" t="str">
        <f t="shared" si="32"/>
        <v>1</v>
      </c>
      <c r="LK60" s="953" t="str">
        <f t="shared" si="32"/>
        <v>1</v>
      </c>
      <c r="LL60" s="953" t="str">
        <f t="shared" si="32"/>
        <v>1</v>
      </c>
      <c r="LM60" s="953" t="str">
        <f t="shared" si="32"/>
        <v>1</v>
      </c>
      <c r="LN60" s="953" t="str">
        <f t="shared" si="32"/>
        <v>1</v>
      </c>
      <c r="LO60" s="953" t="str">
        <f t="shared" si="32"/>
        <v>1</v>
      </c>
      <c r="LP60" s="953" t="str">
        <f t="shared" si="32"/>
        <v>1</v>
      </c>
      <c r="LQ60" s="953" t="str">
        <f t="shared" si="32"/>
        <v>1</v>
      </c>
      <c r="LR60" s="953" t="str">
        <f t="shared" si="32"/>
        <v>1</v>
      </c>
      <c r="LS60" s="953" t="str">
        <f t="shared" si="32"/>
        <v>1</v>
      </c>
      <c r="LT60" s="953" t="str">
        <f t="shared" si="32"/>
        <v>1</v>
      </c>
      <c r="LU60" s="953" t="str">
        <f t="shared" ref="LU60:OF60" si="33">IF(MONTH(LU43)&gt;6,"2","1")</f>
        <v>1</v>
      </c>
      <c r="LV60" s="953" t="str">
        <f t="shared" si="33"/>
        <v>1</v>
      </c>
      <c r="LW60" s="953" t="str">
        <f t="shared" si="33"/>
        <v>1</v>
      </c>
      <c r="LX60" s="953" t="str">
        <f t="shared" si="33"/>
        <v>1</v>
      </c>
      <c r="LY60" s="953" t="str">
        <f t="shared" si="33"/>
        <v>1</v>
      </c>
      <c r="LZ60" s="953" t="str">
        <f t="shared" si="33"/>
        <v>1</v>
      </c>
      <c r="MA60" s="953" t="str">
        <f t="shared" si="33"/>
        <v>1</v>
      </c>
      <c r="MB60" s="953" t="str">
        <f t="shared" si="33"/>
        <v>1</v>
      </c>
      <c r="MC60" s="953" t="str">
        <f t="shared" si="33"/>
        <v>1</v>
      </c>
      <c r="MD60" s="953" t="str">
        <f t="shared" si="33"/>
        <v>1</v>
      </c>
      <c r="ME60" s="953" t="str">
        <f t="shared" si="33"/>
        <v>1</v>
      </c>
      <c r="MF60" s="953" t="str">
        <f t="shared" si="33"/>
        <v>1</v>
      </c>
      <c r="MG60" s="953" t="str">
        <f t="shared" si="33"/>
        <v>1</v>
      </c>
      <c r="MH60" s="953" t="str">
        <f t="shared" si="33"/>
        <v>1</v>
      </c>
      <c r="MI60" s="953" t="str">
        <f t="shared" si="33"/>
        <v>1</v>
      </c>
      <c r="MJ60" s="953" t="str">
        <f t="shared" si="33"/>
        <v>1</v>
      </c>
      <c r="MK60" s="953" t="str">
        <f t="shared" si="33"/>
        <v>1</v>
      </c>
      <c r="ML60" s="953" t="str">
        <f t="shared" si="33"/>
        <v>1</v>
      </c>
      <c r="MM60" s="953" t="str">
        <f t="shared" si="33"/>
        <v>1</v>
      </c>
      <c r="MN60" s="953" t="str">
        <f t="shared" si="33"/>
        <v>1</v>
      </c>
      <c r="MO60" s="953" t="str">
        <f t="shared" si="33"/>
        <v>1</v>
      </c>
      <c r="MP60" s="953" t="str">
        <f t="shared" si="33"/>
        <v>1</v>
      </c>
      <c r="MQ60" s="953" t="str">
        <f t="shared" si="33"/>
        <v>1</v>
      </c>
      <c r="MR60" s="953" t="str">
        <f t="shared" si="33"/>
        <v>1</v>
      </c>
      <c r="MS60" s="953" t="str">
        <f t="shared" si="33"/>
        <v>1</v>
      </c>
      <c r="MT60" s="953" t="str">
        <f t="shared" si="33"/>
        <v>1</v>
      </c>
      <c r="MU60" s="953" t="str">
        <f t="shared" si="33"/>
        <v>1</v>
      </c>
      <c r="MV60" s="953" t="str">
        <f t="shared" si="33"/>
        <v>1</v>
      </c>
      <c r="MW60" s="953" t="str">
        <f t="shared" si="33"/>
        <v>1</v>
      </c>
      <c r="MX60" s="953" t="str">
        <f t="shared" si="33"/>
        <v>1</v>
      </c>
      <c r="MY60" s="953" t="str">
        <f t="shared" si="33"/>
        <v>1</v>
      </c>
      <c r="MZ60" s="953" t="str">
        <f t="shared" si="33"/>
        <v>1</v>
      </c>
      <c r="NA60" s="953" t="str">
        <f t="shared" si="33"/>
        <v>1</v>
      </c>
      <c r="NB60" s="953" t="str">
        <f t="shared" si="33"/>
        <v>1</v>
      </c>
      <c r="NC60" s="953" t="str">
        <f t="shared" si="33"/>
        <v>1</v>
      </c>
      <c r="ND60" s="953" t="str">
        <f t="shared" si="33"/>
        <v>1</v>
      </c>
      <c r="NE60" s="953" t="str">
        <f t="shared" si="33"/>
        <v>1</v>
      </c>
      <c r="NF60" s="953" t="str">
        <f t="shared" si="33"/>
        <v>1</v>
      </c>
      <c r="NG60" s="953" t="str">
        <f t="shared" si="33"/>
        <v>1</v>
      </c>
      <c r="NH60" s="953" t="str">
        <f t="shared" si="33"/>
        <v>1</v>
      </c>
      <c r="NI60" s="953" t="str">
        <f t="shared" si="33"/>
        <v>1</v>
      </c>
      <c r="NJ60" s="953" t="str">
        <f t="shared" si="33"/>
        <v>1</v>
      </c>
      <c r="NK60" s="953" t="str">
        <f t="shared" si="33"/>
        <v>1</v>
      </c>
      <c r="NL60" s="953" t="str">
        <f t="shared" si="33"/>
        <v>1</v>
      </c>
      <c r="NM60" s="953" t="str">
        <f t="shared" si="33"/>
        <v>1</v>
      </c>
      <c r="NN60" s="953" t="str">
        <f t="shared" si="33"/>
        <v>1</v>
      </c>
      <c r="NO60" s="953" t="str">
        <f t="shared" si="33"/>
        <v>1</v>
      </c>
      <c r="NP60" s="953" t="str">
        <f t="shared" si="33"/>
        <v>1</v>
      </c>
      <c r="NQ60" s="953" t="str">
        <f t="shared" si="33"/>
        <v>1</v>
      </c>
      <c r="NR60" s="953" t="str">
        <f t="shared" si="33"/>
        <v>1</v>
      </c>
      <c r="NS60" s="953" t="str">
        <f t="shared" si="33"/>
        <v>1</v>
      </c>
      <c r="NT60" s="953" t="str">
        <f t="shared" si="33"/>
        <v>1</v>
      </c>
      <c r="NU60" s="953" t="str">
        <f t="shared" si="33"/>
        <v>1</v>
      </c>
      <c r="NV60" s="953" t="str">
        <f t="shared" si="33"/>
        <v>1</v>
      </c>
      <c r="NW60" s="953" t="str">
        <f t="shared" si="33"/>
        <v>1</v>
      </c>
      <c r="NX60" s="953" t="str">
        <f t="shared" si="33"/>
        <v>1</v>
      </c>
      <c r="NY60" s="953" t="str">
        <f t="shared" si="33"/>
        <v>1</v>
      </c>
      <c r="NZ60" s="953" t="str">
        <f t="shared" si="33"/>
        <v>1</v>
      </c>
      <c r="OA60" s="953" t="str">
        <f t="shared" si="33"/>
        <v>1</v>
      </c>
      <c r="OB60" s="953" t="str">
        <f t="shared" si="33"/>
        <v>1</v>
      </c>
      <c r="OC60" s="953" t="str">
        <f t="shared" si="33"/>
        <v>1</v>
      </c>
      <c r="OD60" s="953" t="str">
        <f t="shared" si="33"/>
        <v>1</v>
      </c>
      <c r="OE60" s="953" t="str">
        <f t="shared" si="33"/>
        <v>1</v>
      </c>
      <c r="OF60" s="953" t="str">
        <f t="shared" si="33"/>
        <v>1</v>
      </c>
      <c r="OG60" s="953" t="str">
        <f t="shared" ref="OG60:QR60" si="34">IF(MONTH(OG43)&gt;6,"2","1")</f>
        <v>1</v>
      </c>
      <c r="OH60" s="953" t="str">
        <f t="shared" si="34"/>
        <v>1</v>
      </c>
      <c r="OI60" s="953" t="str">
        <f t="shared" si="34"/>
        <v>1</v>
      </c>
      <c r="OJ60" s="953" t="str">
        <f t="shared" si="34"/>
        <v>1</v>
      </c>
      <c r="OK60" s="953" t="str">
        <f t="shared" si="34"/>
        <v>1</v>
      </c>
      <c r="OL60" s="953" t="str">
        <f t="shared" si="34"/>
        <v>1</v>
      </c>
      <c r="OM60" s="953" t="str">
        <f t="shared" si="34"/>
        <v>1</v>
      </c>
      <c r="ON60" s="953" t="str">
        <f t="shared" si="34"/>
        <v>1</v>
      </c>
      <c r="OO60" s="953" t="str">
        <f t="shared" si="34"/>
        <v>1</v>
      </c>
      <c r="OP60" s="953" t="str">
        <f t="shared" si="34"/>
        <v>1</v>
      </c>
      <c r="OQ60" s="953" t="str">
        <f t="shared" si="34"/>
        <v>1</v>
      </c>
      <c r="OR60" s="953" t="str">
        <f t="shared" si="34"/>
        <v>1</v>
      </c>
      <c r="OS60" s="953" t="str">
        <f t="shared" si="34"/>
        <v>1</v>
      </c>
      <c r="OT60" s="953" t="str">
        <f t="shared" si="34"/>
        <v>1</v>
      </c>
      <c r="OU60" s="953" t="str">
        <f t="shared" si="34"/>
        <v>1</v>
      </c>
      <c r="OV60" s="953" t="str">
        <f t="shared" si="34"/>
        <v>1</v>
      </c>
      <c r="OW60" s="953" t="str">
        <f t="shared" si="34"/>
        <v>1</v>
      </c>
      <c r="OX60" s="953" t="str">
        <f t="shared" si="34"/>
        <v>1</v>
      </c>
      <c r="OY60" s="953" t="str">
        <f t="shared" si="34"/>
        <v>1</v>
      </c>
      <c r="OZ60" s="953" t="str">
        <f t="shared" si="34"/>
        <v>1</v>
      </c>
      <c r="PA60" s="953" t="str">
        <f t="shared" si="34"/>
        <v>1</v>
      </c>
      <c r="PB60" s="953" t="str">
        <f t="shared" si="34"/>
        <v>1</v>
      </c>
      <c r="PC60" s="953" t="str">
        <f t="shared" si="34"/>
        <v>1</v>
      </c>
      <c r="PD60" s="953" t="str">
        <f t="shared" si="34"/>
        <v>1</v>
      </c>
      <c r="PE60" s="953" t="str">
        <f t="shared" si="34"/>
        <v>1</v>
      </c>
      <c r="PF60" s="953" t="str">
        <f t="shared" si="34"/>
        <v>1</v>
      </c>
      <c r="PG60" s="953" t="str">
        <f t="shared" si="34"/>
        <v>1</v>
      </c>
      <c r="PH60" s="953" t="str">
        <f t="shared" si="34"/>
        <v>1</v>
      </c>
      <c r="PI60" s="953" t="str">
        <f t="shared" si="34"/>
        <v>1</v>
      </c>
      <c r="PJ60" s="953" t="str">
        <f t="shared" si="34"/>
        <v>1</v>
      </c>
      <c r="PK60" s="953" t="str">
        <f t="shared" si="34"/>
        <v>1</v>
      </c>
      <c r="PL60" s="953" t="str">
        <f t="shared" si="34"/>
        <v>1</v>
      </c>
      <c r="PM60" s="953" t="str">
        <f t="shared" si="34"/>
        <v>1</v>
      </c>
      <c r="PN60" s="953" t="str">
        <f t="shared" si="34"/>
        <v>1</v>
      </c>
      <c r="PO60" s="953" t="str">
        <f t="shared" si="34"/>
        <v>1</v>
      </c>
      <c r="PP60" s="953" t="str">
        <f t="shared" si="34"/>
        <v>1</v>
      </c>
      <c r="PQ60" s="953" t="str">
        <f t="shared" si="34"/>
        <v>1</v>
      </c>
      <c r="PR60" s="953" t="str">
        <f t="shared" si="34"/>
        <v>1</v>
      </c>
      <c r="PS60" s="953" t="str">
        <f t="shared" si="34"/>
        <v>1</v>
      </c>
      <c r="PT60" s="953" t="str">
        <f t="shared" si="34"/>
        <v>1</v>
      </c>
      <c r="PU60" s="953" t="str">
        <f t="shared" si="34"/>
        <v>1</v>
      </c>
      <c r="PV60" s="953" t="str">
        <f t="shared" si="34"/>
        <v>1</v>
      </c>
      <c r="PW60" s="953" t="str">
        <f t="shared" si="34"/>
        <v>1</v>
      </c>
      <c r="PX60" s="953" t="str">
        <f t="shared" si="34"/>
        <v>1</v>
      </c>
      <c r="PY60" s="953" t="str">
        <f t="shared" si="34"/>
        <v>1</v>
      </c>
      <c r="PZ60" s="953" t="str">
        <f t="shared" si="34"/>
        <v>1</v>
      </c>
      <c r="QA60" s="953" t="str">
        <f t="shared" si="34"/>
        <v>1</v>
      </c>
      <c r="QB60" s="953" t="str">
        <f t="shared" si="34"/>
        <v>1</v>
      </c>
      <c r="QC60" s="953" t="str">
        <f t="shared" si="34"/>
        <v>1</v>
      </c>
      <c r="QD60" s="953" t="str">
        <f t="shared" si="34"/>
        <v>1</v>
      </c>
      <c r="QE60" s="953" t="str">
        <f t="shared" si="34"/>
        <v>1</v>
      </c>
      <c r="QF60" s="953" t="str">
        <f t="shared" si="34"/>
        <v>1</v>
      </c>
      <c r="QG60" s="953" t="str">
        <f t="shared" si="34"/>
        <v>1</v>
      </c>
      <c r="QH60" s="953" t="str">
        <f t="shared" si="34"/>
        <v>1</v>
      </c>
      <c r="QI60" s="953" t="str">
        <f t="shared" si="34"/>
        <v>1</v>
      </c>
      <c r="QJ60" s="953" t="str">
        <f t="shared" si="34"/>
        <v>1</v>
      </c>
      <c r="QK60" s="953" t="str">
        <f t="shared" si="34"/>
        <v>1</v>
      </c>
      <c r="QL60" s="953" t="str">
        <f t="shared" si="34"/>
        <v>1</v>
      </c>
      <c r="QM60" s="953" t="str">
        <f t="shared" si="34"/>
        <v>1</v>
      </c>
      <c r="QN60" s="953" t="str">
        <f t="shared" si="34"/>
        <v>1</v>
      </c>
      <c r="QO60" s="953" t="str">
        <f t="shared" si="34"/>
        <v>1</v>
      </c>
      <c r="QP60" s="953" t="str">
        <f t="shared" si="34"/>
        <v>1</v>
      </c>
      <c r="QQ60" s="953" t="str">
        <f t="shared" si="34"/>
        <v>1</v>
      </c>
      <c r="QR60" s="953" t="str">
        <f t="shared" si="34"/>
        <v>1</v>
      </c>
      <c r="QS60" s="953" t="str">
        <f t="shared" ref="QS60:TD60" si="35">IF(MONTH(QS43)&gt;6,"2","1")</f>
        <v>1</v>
      </c>
      <c r="QT60" s="953" t="str">
        <f t="shared" si="35"/>
        <v>1</v>
      </c>
      <c r="QU60" s="953" t="str">
        <f t="shared" si="35"/>
        <v>1</v>
      </c>
      <c r="QV60" s="953" t="str">
        <f t="shared" si="35"/>
        <v>1</v>
      </c>
      <c r="QW60" s="953" t="str">
        <f t="shared" si="35"/>
        <v>1</v>
      </c>
      <c r="QX60" s="953" t="str">
        <f t="shared" si="35"/>
        <v>1</v>
      </c>
      <c r="QY60" s="953" t="str">
        <f t="shared" si="35"/>
        <v>1</v>
      </c>
      <c r="QZ60" s="953" t="str">
        <f t="shared" si="35"/>
        <v>1</v>
      </c>
      <c r="RA60" s="953" t="str">
        <f t="shared" si="35"/>
        <v>1</v>
      </c>
      <c r="RB60" s="953" t="str">
        <f t="shared" si="35"/>
        <v>1</v>
      </c>
      <c r="RC60" s="953" t="str">
        <f t="shared" si="35"/>
        <v>1</v>
      </c>
      <c r="RD60" s="953" t="str">
        <f t="shared" si="35"/>
        <v>1</v>
      </c>
      <c r="RE60" s="953" t="str">
        <f t="shared" si="35"/>
        <v>1</v>
      </c>
      <c r="RF60" s="953" t="str">
        <f t="shared" si="35"/>
        <v>1</v>
      </c>
      <c r="RG60" s="953" t="str">
        <f t="shared" si="35"/>
        <v>1</v>
      </c>
      <c r="RH60" s="953" t="str">
        <f t="shared" si="35"/>
        <v>1</v>
      </c>
      <c r="RI60" s="953" t="str">
        <f t="shared" si="35"/>
        <v>1</v>
      </c>
      <c r="RJ60" s="953" t="str">
        <f t="shared" si="35"/>
        <v>1</v>
      </c>
      <c r="RK60" s="953" t="str">
        <f t="shared" si="35"/>
        <v>1</v>
      </c>
      <c r="RL60" s="953" t="str">
        <f t="shared" si="35"/>
        <v>1</v>
      </c>
      <c r="RM60" s="953" t="str">
        <f t="shared" si="35"/>
        <v>1</v>
      </c>
      <c r="RN60" s="953" t="str">
        <f t="shared" si="35"/>
        <v>1</v>
      </c>
      <c r="RO60" s="953" t="str">
        <f t="shared" si="35"/>
        <v>1</v>
      </c>
      <c r="RP60" s="953" t="str">
        <f t="shared" si="35"/>
        <v>1</v>
      </c>
      <c r="RQ60" s="953" t="str">
        <f t="shared" si="35"/>
        <v>1</v>
      </c>
      <c r="RR60" s="953" t="str">
        <f t="shared" si="35"/>
        <v>1</v>
      </c>
      <c r="RS60" s="953" t="str">
        <f t="shared" si="35"/>
        <v>1</v>
      </c>
      <c r="RT60" s="953" t="str">
        <f t="shared" si="35"/>
        <v>1</v>
      </c>
      <c r="RU60" s="953" t="str">
        <f t="shared" si="35"/>
        <v>1</v>
      </c>
      <c r="RV60" s="953" t="str">
        <f t="shared" si="35"/>
        <v>1</v>
      </c>
      <c r="RW60" s="953" t="str">
        <f t="shared" si="35"/>
        <v>1</v>
      </c>
      <c r="RX60" s="953" t="str">
        <f t="shared" si="35"/>
        <v>1</v>
      </c>
      <c r="RY60" s="953" t="str">
        <f t="shared" si="35"/>
        <v>1</v>
      </c>
      <c r="RZ60" s="953" t="str">
        <f t="shared" si="35"/>
        <v>1</v>
      </c>
      <c r="SA60" s="953" t="str">
        <f t="shared" si="35"/>
        <v>1</v>
      </c>
      <c r="SB60" s="953" t="str">
        <f t="shared" si="35"/>
        <v>1</v>
      </c>
      <c r="SC60" s="953" t="str">
        <f t="shared" si="35"/>
        <v>1</v>
      </c>
      <c r="SD60" s="953" t="str">
        <f t="shared" si="35"/>
        <v>1</v>
      </c>
      <c r="SE60" s="953" t="str">
        <f t="shared" si="35"/>
        <v>1</v>
      </c>
      <c r="SF60" s="953" t="str">
        <f t="shared" si="35"/>
        <v>1</v>
      </c>
      <c r="SG60" s="953" t="str">
        <f t="shared" si="35"/>
        <v>1</v>
      </c>
      <c r="SH60" s="953" t="str">
        <f t="shared" si="35"/>
        <v>1</v>
      </c>
      <c r="SI60" s="953" t="str">
        <f t="shared" si="35"/>
        <v>1</v>
      </c>
      <c r="SJ60" s="953" t="str">
        <f t="shared" si="35"/>
        <v>1</v>
      </c>
      <c r="SK60" s="953" t="str">
        <f t="shared" si="35"/>
        <v>1</v>
      </c>
      <c r="SL60" s="953" t="str">
        <f t="shared" si="35"/>
        <v>1</v>
      </c>
      <c r="SM60" s="953" t="str">
        <f t="shared" si="35"/>
        <v>1</v>
      </c>
      <c r="SN60" s="953" t="str">
        <f t="shared" si="35"/>
        <v>1</v>
      </c>
      <c r="SO60" s="953" t="str">
        <f t="shared" si="35"/>
        <v>1</v>
      </c>
      <c r="SP60" s="953" t="str">
        <f t="shared" si="35"/>
        <v>1</v>
      </c>
      <c r="SQ60" s="953" t="str">
        <f t="shared" si="35"/>
        <v>1</v>
      </c>
      <c r="SR60" s="953" t="str">
        <f t="shared" si="35"/>
        <v>1</v>
      </c>
      <c r="SS60" s="953" t="str">
        <f t="shared" si="35"/>
        <v>1</v>
      </c>
      <c r="ST60" s="953" t="str">
        <f t="shared" si="35"/>
        <v>1</v>
      </c>
      <c r="SU60" s="953" t="str">
        <f t="shared" si="35"/>
        <v>1</v>
      </c>
      <c r="SV60" s="953" t="str">
        <f t="shared" si="35"/>
        <v>1</v>
      </c>
      <c r="SW60" s="953" t="str">
        <f t="shared" si="35"/>
        <v>1</v>
      </c>
      <c r="SX60" s="953" t="str">
        <f t="shared" si="35"/>
        <v>1</v>
      </c>
      <c r="SY60" s="953" t="str">
        <f t="shared" si="35"/>
        <v>1</v>
      </c>
      <c r="SZ60" s="953" t="str">
        <f t="shared" si="35"/>
        <v>1</v>
      </c>
      <c r="TA60" s="953" t="str">
        <f t="shared" si="35"/>
        <v>1</v>
      </c>
      <c r="TB60" s="953" t="str">
        <f t="shared" si="35"/>
        <v>1</v>
      </c>
      <c r="TC60" s="953" t="str">
        <f t="shared" si="35"/>
        <v>1</v>
      </c>
      <c r="TD60" s="953" t="str">
        <f t="shared" si="35"/>
        <v>1</v>
      </c>
      <c r="TE60" s="953" t="str">
        <f t="shared" ref="TE60:VP60" si="36">IF(MONTH(TE43)&gt;6,"2","1")</f>
        <v>1</v>
      </c>
      <c r="TF60" s="953" t="str">
        <f t="shared" si="36"/>
        <v>1</v>
      </c>
      <c r="TG60" s="953" t="str">
        <f t="shared" si="36"/>
        <v>1</v>
      </c>
      <c r="TH60" s="953" t="str">
        <f t="shared" si="36"/>
        <v>1</v>
      </c>
      <c r="TI60" s="953" t="str">
        <f t="shared" si="36"/>
        <v>1</v>
      </c>
      <c r="TJ60" s="953" t="str">
        <f t="shared" si="36"/>
        <v>1</v>
      </c>
      <c r="TK60" s="953" t="str">
        <f t="shared" si="36"/>
        <v>1</v>
      </c>
      <c r="TL60" s="953" t="str">
        <f t="shared" si="36"/>
        <v>1</v>
      </c>
      <c r="TM60" s="953" t="str">
        <f t="shared" si="36"/>
        <v>1</v>
      </c>
      <c r="TN60" s="953" t="str">
        <f t="shared" si="36"/>
        <v>1</v>
      </c>
      <c r="TO60" s="953" t="str">
        <f t="shared" si="36"/>
        <v>1</v>
      </c>
      <c r="TP60" s="953" t="str">
        <f t="shared" si="36"/>
        <v>1</v>
      </c>
      <c r="TQ60" s="953" t="str">
        <f t="shared" si="36"/>
        <v>1</v>
      </c>
      <c r="TR60" s="953" t="str">
        <f t="shared" si="36"/>
        <v>1</v>
      </c>
      <c r="TS60" s="953" t="str">
        <f t="shared" si="36"/>
        <v>1</v>
      </c>
      <c r="TT60" s="953" t="str">
        <f t="shared" si="36"/>
        <v>1</v>
      </c>
      <c r="TU60" s="953" t="str">
        <f t="shared" si="36"/>
        <v>1</v>
      </c>
      <c r="TV60" s="953" t="str">
        <f t="shared" si="36"/>
        <v>1</v>
      </c>
      <c r="TW60" s="953" t="str">
        <f t="shared" si="36"/>
        <v>1</v>
      </c>
      <c r="TX60" s="953" t="str">
        <f t="shared" si="36"/>
        <v>1</v>
      </c>
      <c r="TY60" s="953" t="str">
        <f t="shared" si="36"/>
        <v>1</v>
      </c>
      <c r="TZ60" s="953" t="str">
        <f t="shared" si="36"/>
        <v>1</v>
      </c>
      <c r="UA60" s="953" t="str">
        <f t="shared" si="36"/>
        <v>1</v>
      </c>
      <c r="UB60" s="953" t="str">
        <f t="shared" si="36"/>
        <v>1</v>
      </c>
      <c r="UC60" s="953" t="str">
        <f t="shared" si="36"/>
        <v>1</v>
      </c>
      <c r="UD60" s="953" t="str">
        <f t="shared" si="36"/>
        <v>1</v>
      </c>
      <c r="UE60" s="953" t="str">
        <f t="shared" si="36"/>
        <v>1</v>
      </c>
      <c r="UF60" s="953" t="str">
        <f t="shared" si="36"/>
        <v>1</v>
      </c>
      <c r="UG60" s="953" t="str">
        <f t="shared" si="36"/>
        <v>1</v>
      </c>
      <c r="UH60" s="953" t="str">
        <f t="shared" si="36"/>
        <v>1</v>
      </c>
      <c r="UI60" s="953" t="str">
        <f t="shared" si="36"/>
        <v>1</v>
      </c>
      <c r="UJ60" s="953" t="str">
        <f t="shared" si="36"/>
        <v>1</v>
      </c>
      <c r="UK60" s="953" t="str">
        <f t="shared" si="36"/>
        <v>1</v>
      </c>
      <c r="UL60" s="953" t="str">
        <f t="shared" si="36"/>
        <v>1</v>
      </c>
      <c r="UM60" s="953" t="str">
        <f t="shared" si="36"/>
        <v>1</v>
      </c>
      <c r="UN60" s="953" t="str">
        <f t="shared" si="36"/>
        <v>1</v>
      </c>
      <c r="UO60" s="953" t="str">
        <f t="shared" si="36"/>
        <v>1</v>
      </c>
      <c r="UP60" s="953" t="str">
        <f t="shared" si="36"/>
        <v>1</v>
      </c>
      <c r="UQ60" s="953" t="str">
        <f t="shared" si="36"/>
        <v>1</v>
      </c>
      <c r="UR60" s="953" t="str">
        <f t="shared" si="36"/>
        <v>1</v>
      </c>
      <c r="US60" s="953" t="str">
        <f t="shared" si="36"/>
        <v>1</v>
      </c>
      <c r="UT60" s="953" t="str">
        <f t="shared" si="36"/>
        <v>1</v>
      </c>
      <c r="UU60" s="953" t="str">
        <f t="shared" si="36"/>
        <v>1</v>
      </c>
      <c r="UV60" s="953" t="str">
        <f t="shared" si="36"/>
        <v>1</v>
      </c>
      <c r="UW60" s="953" t="str">
        <f t="shared" si="36"/>
        <v>1</v>
      </c>
      <c r="UX60" s="953" t="str">
        <f t="shared" si="36"/>
        <v>1</v>
      </c>
      <c r="UY60" s="953" t="str">
        <f t="shared" si="36"/>
        <v>1</v>
      </c>
      <c r="UZ60" s="953" t="str">
        <f t="shared" si="36"/>
        <v>1</v>
      </c>
      <c r="VA60" s="953" t="str">
        <f t="shared" si="36"/>
        <v>1</v>
      </c>
      <c r="VB60" s="953" t="str">
        <f t="shared" si="36"/>
        <v>1</v>
      </c>
      <c r="VC60" s="953" t="str">
        <f t="shared" si="36"/>
        <v>1</v>
      </c>
      <c r="VD60" s="953" t="str">
        <f t="shared" si="36"/>
        <v>1</v>
      </c>
      <c r="VE60" s="953" t="str">
        <f t="shared" si="36"/>
        <v>1</v>
      </c>
      <c r="VF60" s="953" t="str">
        <f t="shared" si="36"/>
        <v>1</v>
      </c>
      <c r="VG60" s="953" t="str">
        <f t="shared" si="36"/>
        <v>1</v>
      </c>
      <c r="VH60" s="953" t="str">
        <f t="shared" si="36"/>
        <v>1</v>
      </c>
      <c r="VI60" s="953" t="str">
        <f t="shared" si="36"/>
        <v>1</v>
      </c>
      <c r="VJ60" s="953" t="str">
        <f t="shared" si="36"/>
        <v>1</v>
      </c>
      <c r="VK60" s="953" t="str">
        <f t="shared" si="36"/>
        <v>1</v>
      </c>
      <c r="VL60" s="953" t="str">
        <f t="shared" si="36"/>
        <v>1</v>
      </c>
      <c r="VM60" s="953" t="str">
        <f t="shared" si="36"/>
        <v>1</v>
      </c>
      <c r="VN60" s="953" t="str">
        <f t="shared" si="36"/>
        <v>1</v>
      </c>
      <c r="VO60" s="953" t="str">
        <f t="shared" si="36"/>
        <v>1</v>
      </c>
      <c r="VP60" s="953" t="str">
        <f t="shared" si="36"/>
        <v>1</v>
      </c>
      <c r="VQ60" s="953" t="str">
        <f t="shared" ref="VQ60:YB60" si="37">IF(MONTH(VQ43)&gt;6,"2","1")</f>
        <v>1</v>
      </c>
      <c r="VR60" s="953" t="str">
        <f t="shared" si="37"/>
        <v>1</v>
      </c>
      <c r="VS60" s="953" t="str">
        <f t="shared" si="37"/>
        <v>1</v>
      </c>
      <c r="VT60" s="953" t="str">
        <f t="shared" si="37"/>
        <v>1</v>
      </c>
      <c r="VU60" s="953" t="str">
        <f t="shared" si="37"/>
        <v>1</v>
      </c>
      <c r="VV60" s="953" t="str">
        <f t="shared" si="37"/>
        <v>1</v>
      </c>
      <c r="VW60" s="953" t="str">
        <f t="shared" si="37"/>
        <v>1</v>
      </c>
      <c r="VX60" s="953" t="str">
        <f t="shared" si="37"/>
        <v>1</v>
      </c>
      <c r="VY60" s="953" t="str">
        <f t="shared" si="37"/>
        <v>1</v>
      </c>
      <c r="VZ60" s="953" t="str">
        <f t="shared" si="37"/>
        <v>1</v>
      </c>
      <c r="WA60" s="953" t="str">
        <f t="shared" si="37"/>
        <v>1</v>
      </c>
      <c r="WB60" s="953" t="str">
        <f t="shared" si="37"/>
        <v>1</v>
      </c>
      <c r="WC60" s="953" t="str">
        <f t="shared" si="37"/>
        <v>1</v>
      </c>
      <c r="WD60" s="953" t="str">
        <f t="shared" si="37"/>
        <v>1</v>
      </c>
      <c r="WE60" s="953" t="str">
        <f t="shared" si="37"/>
        <v>1</v>
      </c>
      <c r="WF60" s="953" t="str">
        <f t="shared" si="37"/>
        <v>1</v>
      </c>
      <c r="WG60" s="953" t="str">
        <f t="shared" si="37"/>
        <v>1</v>
      </c>
      <c r="WH60" s="953" t="str">
        <f t="shared" si="37"/>
        <v>1</v>
      </c>
      <c r="WI60" s="953" t="str">
        <f t="shared" si="37"/>
        <v>1</v>
      </c>
      <c r="WJ60" s="953" t="str">
        <f t="shared" si="37"/>
        <v>1</v>
      </c>
      <c r="WK60" s="953" t="str">
        <f t="shared" si="37"/>
        <v>1</v>
      </c>
      <c r="WL60" s="953" t="str">
        <f t="shared" si="37"/>
        <v>1</v>
      </c>
      <c r="WM60" s="953" t="str">
        <f t="shared" si="37"/>
        <v>1</v>
      </c>
      <c r="WN60" s="953" t="str">
        <f t="shared" si="37"/>
        <v>1</v>
      </c>
      <c r="WO60" s="953" t="str">
        <f t="shared" si="37"/>
        <v>1</v>
      </c>
      <c r="WP60" s="953" t="str">
        <f t="shared" si="37"/>
        <v>1</v>
      </c>
      <c r="WQ60" s="953" t="str">
        <f t="shared" si="37"/>
        <v>1</v>
      </c>
      <c r="WR60" s="953" t="str">
        <f t="shared" si="37"/>
        <v>1</v>
      </c>
      <c r="WS60" s="953" t="str">
        <f t="shared" si="37"/>
        <v>1</v>
      </c>
      <c r="WT60" s="953" t="str">
        <f t="shared" si="37"/>
        <v>1</v>
      </c>
      <c r="WU60" s="953" t="str">
        <f t="shared" si="37"/>
        <v>1</v>
      </c>
      <c r="WV60" s="953" t="str">
        <f t="shared" si="37"/>
        <v>1</v>
      </c>
      <c r="WW60" s="953" t="str">
        <f t="shared" si="37"/>
        <v>1</v>
      </c>
      <c r="WX60" s="953" t="str">
        <f t="shared" si="37"/>
        <v>1</v>
      </c>
      <c r="WY60" s="953" t="str">
        <f t="shared" si="37"/>
        <v>1</v>
      </c>
      <c r="WZ60" s="953" t="str">
        <f t="shared" si="37"/>
        <v>1</v>
      </c>
      <c r="XA60" s="953" t="str">
        <f t="shared" si="37"/>
        <v>1</v>
      </c>
      <c r="XB60" s="953" t="str">
        <f t="shared" si="37"/>
        <v>1</v>
      </c>
      <c r="XC60" s="953" t="str">
        <f t="shared" si="37"/>
        <v>1</v>
      </c>
      <c r="XD60" s="953" t="str">
        <f t="shared" si="37"/>
        <v>1</v>
      </c>
      <c r="XE60" s="953" t="str">
        <f t="shared" si="37"/>
        <v>1</v>
      </c>
      <c r="XF60" s="953" t="str">
        <f t="shared" si="37"/>
        <v>1</v>
      </c>
      <c r="XG60" s="953" t="str">
        <f t="shared" si="37"/>
        <v>1</v>
      </c>
      <c r="XH60" s="953" t="str">
        <f t="shared" si="37"/>
        <v>1</v>
      </c>
      <c r="XI60" s="953" t="str">
        <f t="shared" si="37"/>
        <v>1</v>
      </c>
      <c r="XJ60" s="953" t="str">
        <f t="shared" si="37"/>
        <v>1</v>
      </c>
      <c r="XK60" s="953" t="str">
        <f t="shared" si="37"/>
        <v>1</v>
      </c>
      <c r="XL60" s="953" t="str">
        <f t="shared" si="37"/>
        <v>1</v>
      </c>
      <c r="XM60" s="953" t="str">
        <f t="shared" si="37"/>
        <v>1</v>
      </c>
      <c r="XN60" s="953" t="str">
        <f t="shared" si="37"/>
        <v>1</v>
      </c>
      <c r="XO60" s="953" t="str">
        <f t="shared" si="37"/>
        <v>1</v>
      </c>
      <c r="XP60" s="953" t="str">
        <f t="shared" si="37"/>
        <v>1</v>
      </c>
      <c r="XQ60" s="953" t="str">
        <f t="shared" si="37"/>
        <v>1</v>
      </c>
      <c r="XR60" s="953" t="str">
        <f t="shared" si="37"/>
        <v>1</v>
      </c>
      <c r="XS60" s="953" t="str">
        <f t="shared" si="37"/>
        <v>1</v>
      </c>
      <c r="XT60" s="953" t="str">
        <f t="shared" si="37"/>
        <v>1</v>
      </c>
      <c r="XU60" s="953" t="str">
        <f t="shared" si="37"/>
        <v>1</v>
      </c>
      <c r="XV60" s="953" t="str">
        <f t="shared" si="37"/>
        <v>1</v>
      </c>
      <c r="XW60" s="953" t="str">
        <f t="shared" si="37"/>
        <v>1</v>
      </c>
      <c r="XX60" s="953" t="str">
        <f t="shared" si="37"/>
        <v>1</v>
      </c>
      <c r="XY60" s="953" t="str">
        <f t="shared" si="37"/>
        <v>1</v>
      </c>
      <c r="XZ60" s="953" t="str">
        <f t="shared" si="37"/>
        <v>1</v>
      </c>
      <c r="YA60" s="953" t="str">
        <f t="shared" si="37"/>
        <v>1</v>
      </c>
      <c r="YB60" s="953" t="str">
        <f t="shared" si="37"/>
        <v>1</v>
      </c>
      <c r="YC60" s="953" t="str">
        <f t="shared" ref="YC60:YO60" si="38">IF(MONTH(YC43)&gt;6,"2","1")</f>
        <v>1</v>
      </c>
      <c r="YD60" s="953" t="str">
        <f t="shared" si="38"/>
        <v>1</v>
      </c>
      <c r="YE60" s="953" t="str">
        <f t="shared" si="38"/>
        <v>1</v>
      </c>
      <c r="YF60" s="953" t="str">
        <f t="shared" si="38"/>
        <v>1</v>
      </c>
      <c r="YG60" s="953" t="str">
        <f t="shared" si="38"/>
        <v>1</v>
      </c>
      <c r="YH60" s="953" t="str">
        <f t="shared" si="38"/>
        <v>1</v>
      </c>
      <c r="YI60" s="953" t="str">
        <f t="shared" si="38"/>
        <v>1</v>
      </c>
      <c r="YJ60" s="953" t="str">
        <f t="shared" si="38"/>
        <v>1</v>
      </c>
      <c r="YK60" s="953" t="str">
        <f t="shared" si="38"/>
        <v>1</v>
      </c>
      <c r="YL60" s="953" t="str">
        <f t="shared" si="38"/>
        <v>1</v>
      </c>
      <c r="YM60" s="953" t="str">
        <f t="shared" si="38"/>
        <v>1</v>
      </c>
      <c r="YN60" s="953" t="str">
        <f t="shared" si="38"/>
        <v>1</v>
      </c>
      <c r="YO60" s="953" t="str">
        <f t="shared" si="38"/>
        <v>1</v>
      </c>
    </row>
    <row r="61" spans="1:665" ht="15.75" hidden="1" thickBot="1">
      <c r="A61" s="2" t="s">
        <v>95</v>
      </c>
      <c r="B61" s="80" t="s">
        <v>201</v>
      </c>
      <c r="C61" s="80" t="s">
        <v>202</v>
      </c>
      <c r="D61" s="80" t="s">
        <v>203</v>
      </c>
      <c r="E61" s="80" t="s">
        <v>204</v>
      </c>
      <c r="F61" s="80" t="s">
        <v>205</v>
      </c>
      <c r="G61" s="80" t="s">
        <v>206</v>
      </c>
      <c r="H61" s="80" t="s">
        <v>207</v>
      </c>
      <c r="I61" s="80" t="s">
        <v>208</v>
      </c>
      <c r="J61" s="80" t="s">
        <v>209</v>
      </c>
      <c r="K61" s="80" t="s">
        <v>210</v>
      </c>
      <c r="L61" s="80" t="s">
        <v>211</v>
      </c>
      <c r="M61" s="80" t="s">
        <v>212</v>
      </c>
      <c r="N61" s="80" t="s">
        <v>213</v>
      </c>
      <c r="O61" s="80" t="s">
        <v>214</v>
      </c>
      <c r="P61" s="80" t="s">
        <v>215</v>
      </c>
      <c r="Q61" s="80" t="s">
        <v>216</v>
      </c>
      <c r="R61" s="80" t="s">
        <v>217</v>
      </c>
      <c r="S61" s="80" t="s">
        <v>218</v>
      </c>
      <c r="T61" s="80" t="s">
        <v>219</v>
      </c>
      <c r="U61" s="80" t="s">
        <v>220</v>
      </c>
      <c r="V61" s="80" t="s">
        <v>221</v>
      </c>
      <c r="W61" s="80" t="s">
        <v>222</v>
      </c>
      <c r="X61" s="80" t="s">
        <v>223</v>
      </c>
      <c r="Y61" s="80" t="s">
        <v>224</v>
      </c>
      <c r="Z61" s="80" t="s">
        <v>225</v>
      </c>
      <c r="AA61" s="80" t="s">
        <v>226</v>
      </c>
      <c r="AB61" s="80" t="s">
        <v>227</v>
      </c>
      <c r="AC61" s="80" t="s">
        <v>228</v>
      </c>
      <c r="AD61" s="80" t="s">
        <v>229</v>
      </c>
      <c r="AE61" s="80" t="s">
        <v>230</v>
      </c>
      <c r="AF61" s="80" t="s">
        <v>231</v>
      </c>
      <c r="AG61" s="80" t="s">
        <v>232</v>
      </c>
      <c r="AH61" s="80" t="s">
        <v>233</v>
      </c>
      <c r="AI61" s="80" t="s">
        <v>234</v>
      </c>
      <c r="AJ61" s="80" t="s">
        <v>235</v>
      </c>
      <c r="AK61" s="80" t="s">
        <v>236</v>
      </c>
      <c r="AL61" s="149" t="s">
        <v>237</v>
      </c>
      <c r="AM61" s="149" t="s">
        <v>238</v>
      </c>
      <c r="AN61" s="149" t="s">
        <v>239</v>
      </c>
      <c r="AO61" s="149" t="s">
        <v>240</v>
      </c>
      <c r="AP61" s="149" t="s">
        <v>241</v>
      </c>
      <c r="AQ61" s="149" t="s">
        <v>242</v>
      </c>
      <c r="AR61" s="149" t="s">
        <v>243</v>
      </c>
      <c r="AS61" s="149" t="s">
        <v>244</v>
      </c>
      <c r="AT61" s="149"/>
      <c r="AU61" s="149"/>
      <c r="AV61" s="149"/>
      <c r="AW61" s="149"/>
      <c r="AX61" s="149"/>
      <c r="AY61" s="149"/>
      <c r="AZ61" s="149"/>
      <c r="BA61" s="149"/>
      <c r="BB61" s="149"/>
      <c r="BC61" s="251"/>
      <c r="BD61" s="251"/>
      <c r="BE61" s="251"/>
      <c r="BF61" s="251"/>
      <c r="BG61" s="251"/>
      <c r="BH61" s="251"/>
      <c r="BI61" s="251"/>
      <c r="BJ61" s="251"/>
      <c r="BK61" s="251"/>
      <c r="BL61" s="251"/>
      <c r="BM61" s="251"/>
      <c r="BN61" s="251"/>
      <c r="BO61" s="251"/>
      <c r="BP61" s="251"/>
      <c r="BQ61" s="251"/>
      <c r="BR61" s="251"/>
      <c r="BS61" s="251"/>
      <c r="FY61" s="167"/>
      <c r="GE61" s="167"/>
      <c r="GK61" s="167"/>
      <c r="GL61" s="205"/>
      <c r="GM61" s="205"/>
      <c r="GN61" s="205"/>
      <c r="GO61" s="205"/>
      <c r="GP61" s="205"/>
      <c r="GQ61" s="167"/>
      <c r="GR61" s="205"/>
      <c r="GS61" s="205"/>
      <c r="GT61" s="205"/>
      <c r="GU61" s="205"/>
      <c r="GV61" s="205"/>
      <c r="GW61" s="167"/>
      <c r="GX61" s="205"/>
      <c r="GY61" s="205"/>
      <c r="GZ61" s="205"/>
      <c r="HA61" s="205"/>
      <c r="HB61" s="205"/>
      <c r="HC61" s="205"/>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168"/>
      <c r="IO61" s="8"/>
      <c r="IP61" s="8"/>
      <c r="IQ61" s="8"/>
      <c r="IR61" s="8"/>
      <c r="IS61" s="8"/>
      <c r="IT61" s="8"/>
      <c r="IU61" s="8"/>
      <c r="IV61" s="8"/>
      <c r="IW61" s="8"/>
      <c r="IX61" s="8"/>
      <c r="IY61" s="8"/>
      <c r="IZ61" s="8"/>
    </row>
    <row r="62" spans="1:665" s="55" customFormat="1" hidden="1">
      <c r="A62" s="940" t="s">
        <v>189</v>
      </c>
      <c r="B62" s="284">
        <f t="shared" ref="B62:AG62" si="39">AVERAGEIFS($B45:$YO45,$B$60:$YO$60,RIGHT(LEFT(B$61,2),1),$B$59:$YO$59,RIGHT(B$61,4))</f>
        <v>1336.8333333333333</v>
      </c>
      <c r="C62" s="284">
        <f t="shared" si="39"/>
        <v>1320</v>
      </c>
      <c r="D62" s="284">
        <f t="shared" si="39"/>
        <v>1252.6666666666667</v>
      </c>
      <c r="E62" s="284">
        <f t="shared" si="39"/>
        <v>1375.3333333333333</v>
      </c>
      <c r="F62" s="284">
        <f t="shared" si="39"/>
        <v>1479.5</v>
      </c>
      <c r="G62" s="284">
        <f t="shared" si="39"/>
        <v>1272.8333333333333</v>
      </c>
      <c r="H62" s="284">
        <f t="shared" si="39"/>
        <v>991.66666666666663</v>
      </c>
      <c r="I62" s="284">
        <f t="shared" si="39"/>
        <v>1329.3333333333333</v>
      </c>
      <c r="J62" s="284">
        <f t="shared" si="39"/>
        <v>1421.3333333333333</v>
      </c>
      <c r="K62" s="284">
        <f t="shared" si="39"/>
        <v>1838.5</v>
      </c>
      <c r="L62" s="284">
        <f t="shared" si="39"/>
        <v>1965.8333333333333</v>
      </c>
      <c r="M62" s="284">
        <f t="shared" si="39"/>
        <v>2221.6666666666665</v>
      </c>
      <c r="N62" s="284">
        <f t="shared" si="39"/>
        <v>2468.3333333333335</v>
      </c>
      <c r="O62" s="284">
        <f t="shared" si="39"/>
        <v>2459.5</v>
      </c>
      <c r="P62" s="284">
        <f t="shared" si="39"/>
        <v>2563.3333333333335</v>
      </c>
      <c r="Q62" s="284">
        <f t="shared" si="39"/>
        <v>2348.3333333333335</v>
      </c>
      <c r="R62" s="284">
        <f t="shared" si="39"/>
        <v>1457</v>
      </c>
      <c r="S62" s="284">
        <f t="shared" si="39"/>
        <v>1495.3333333333333</v>
      </c>
      <c r="T62" s="284">
        <f t="shared" si="39"/>
        <v>1835.6666666666667</v>
      </c>
      <c r="U62" s="284">
        <f t="shared" si="39"/>
        <v>1963.6666666666667</v>
      </c>
      <c r="V62" s="284">
        <f t="shared" si="39"/>
        <v>2119.1666666666665</v>
      </c>
      <c r="W62" s="284">
        <f t="shared" si="39"/>
        <v>2483.8333333333335</v>
      </c>
      <c r="X62" s="284">
        <f t="shared" si="39"/>
        <v>2756.5</v>
      </c>
      <c r="Y62" s="284">
        <f t="shared" si="39"/>
        <v>2706.3333333333335</v>
      </c>
      <c r="Z62" s="284">
        <f t="shared" si="39"/>
        <v>2455.8333333333335</v>
      </c>
      <c r="AA62" s="284">
        <f t="shared" si="39"/>
        <v>2478.3333333333335</v>
      </c>
      <c r="AB62" s="284">
        <f t="shared" si="39"/>
        <v>2256.1666666666665</v>
      </c>
      <c r="AC62" s="284">
        <f t="shared" si="39"/>
        <v>2331</v>
      </c>
      <c r="AD62" s="284">
        <f t="shared" si="39"/>
        <v>2150</v>
      </c>
      <c r="AE62" s="284">
        <f t="shared" si="39"/>
        <v>2049</v>
      </c>
      <c r="AF62" s="284">
        <f t="shared" si="39"/>
        <v>1880.3333333333333</v>
      </c>
      <c r="AG62" s="284">
        <f t="shared" si="39"/>
        <v>1862.8</v>
      </c>
      <c r="AH62" s="284">
        <f t="shared" ref="AH62:BB62" si="40">AVERAGEIFS($B45:$YO45,$B$60:$YO$60,RIGHT(LEFT(AH$61,2),1),$B$59:$YO$59,RIGHT(AH$61,4))</f>
        <v>1925.0833333333333</v>
      </c>
      <c r="AI62" s="284">
        <f t="shared" si="40"/>
        <v>2164.5333333333333</v>
      </c>
      <c r="AJ62" s="284">
        <f t="shared" si="40"/>
        <v>2140.0499999999997</v>
      </c>
      <c r="AK62" s="284">
        <f t="shared" si="40"/>
        <v>2203.0666666666662</v>
      </c>
      <c r="AL62" s="284">
        <f t="shared" si="40"/>
        <v>2312.7833333333333</v>
      </c>
      <c r="AM62" s="284">
        <f>AVERAGEIFS($B45:$YO45,$B$60:$YO$60,RIGHT(LEFT(AM$61,2),1),$B$59:$YO$59,RIGHT(AM$61,4))</f>
        <v>2256.6333333333337</v>
      </c>
      <c r="AN62" s="955">
        <f>AVERAGEIFS($B45:$YO45,$B$60:$YO$60,RIGHT(LEFT(AN$61,2),1),$B$59:$YO$59,RIGHT(AN$61,4))</f>
        <v>1893.7208500000004</v>
      </c>
      <c r="AO62" s="284">
        <f t="shared" si="40"/>
        <v>1887.2188999999998</v>
      </c>
      <c r="AP62" s="284">
        <f>AVERAGEIFS($B45:$YO45,$B$60:$YO$60,RIGHT(LEFT(AP$61,2),1),$B$59:$YO$59,RIGHT(AP$61,4))</f>
        <v>1900.227883333333</v>
      </c>
      <c r="AQ62" s="284" t="e">
        <f t="shared" si="40"/>
        <v>#DIV/0!</v>
      </c>
      <c r="AR62" s="284" t="e">
        <f t="shared" si="40"/>
        <v>#DIV/0!</v>
      </c>
      <c r="AS62" s="284" t="e">
        <f t="shared" si="40"/>
        <v>#DIV/0!</v>
      </c>
      <c r="AT62" s="284" t="e">
        <f t="shared" si="40"/>
        <v>#DIV/0!</v>
      </c>
      <c r="AU62" s="284" t="e">
        <f t="shared" si="40"/>
        <v>#DIV/0!</v>
      </c>
      <c r="AV62" s="284" t="e">
        <f t="shared" si="40"/>
        <v>#DIV/0!</v>
      </c>
      <c r="AW62" s="284" t="e">
        <f t="shared" si="40"/>
        <v>#DIV/0!</v>
      </c>
      <c r="AX62" s="284" t="e">
        <f t="shared" si="40"/>
        <v>#DIV/0!</v>
      </c>
      <c r="AY62" s="284" t="e">
        <f t="shared" si="40"/>
        <v>#DIV/0!</v>
      </c>
      <c r="AZ62" s="284" t="e">
        <f t="shared" si="40"/>
        <v>#DIV/0!</v>
      </c>
      <c r="BA62" s="284" t="e">
        <f t="shared" si="40"/>
        <v>#DIV/0!</v>
      </c>
      <c r="BB62" s="284" t="e">
        <f t="shared" si="40"/>
        <v>#DIV/0!</v>
      </c>
      <c r="BC62" s="128"/>
      <c r="BD62" s="128"/>
      <c r="BE62" s="128"/>
      <c r="BF62" s="128"/>
      <c r="BG62" s="128"/>
      <c r="BH62" s="128"/>
      <c r="BI62" s="128"/>
      <c r="BJ62" s="128"/>
      <c r="BK62" s="128"/>
      <c r="BL62" s="128"/>
      <c r="BM62" s="128"/>
      <c r="BN62" s="128"/>
      <c r="BO62" s="128"/>
      <c r="BP62" s="128"/>
      <c r="BQ62" s="128"/>
      <c r="BR62" s="128"/>
      <c r="BS62" s="128"/>
      <c r="FY62" s="939"/>
      <c r="GE62" s="939"/>
      <c r="GK62" s="939"/>
      <c r="GQ62" s="939"/>
      <c r="GW62" s="939"/>
      <c r="IN62" s="168"/>
    </row>
    <row r="63" spans="1:665" hidden="1">
      <c r="A63" s="81" t="s">
        <v>143</v>
      </c>
      <c r="B63" s="285">
        <f t="shared" ref="B63:AG63" si="41">AVERAGEIFS($B44:$YO44,$B$60:$YO$60,RIGHT(LEFT(B$61,2),1),$B$59:$YO$59,RIGHT(B$61,4))</f>
        <v>5830.833333333333</v>
      </c>
      <c r="C63" s="285">
        <f t="shared" si="41"/>
        <v>6172.5</v>
      </c>
      <c r="D63" s="285">
        <f t="shared" si="41"/>
        <v>6191.666666666667</v>
      </c>
      <c r="E63" s="285">
        <f t="shared" si="41"/>
        <v>6327.166666666667</v>
      </c>
      <c r="F63" s="285">
        <f t="shared" si="41"/>
        <v>6271.666666666667</v>
      </c>
      <c r="G63" s="285">
        <f t="shared" si="41"/>
        <v>6382</v>
      </c>
      <c r="H63" s="285">
        <f t="shared" si="41"/>
        <v>6485.833333333333</v>
      </c>
      <c r="I63" s="285">
        <f t="shared" si="41"/>
        <v>7323.833333333333</v>
      </c>
      <c r="J63" s="285">
        <f t="shared" si="41"/>
        <v>8305.6666666666661</v>
      </c>
      <c r="K63" s="285">
        <f t="shared" si="41"/>
        <v>9165.5</v>
      </c>
      <c r="L63" s="285">
        <f t="shared" si="41"/>
        <v>9212.6666666666661</v>
      </c>
      <c r="M63" s="285">
        <f t="shared" si="41"/>
        <v>8168.333333333333</v>
      </c>
      <c r="N63" s="285">
        <f t="shared" si="41"/>
        <v>7976.5</v>
      </c>
      <c r="O63" s="285">
        <f t="shared" si="41"/>
        <v>8049.833333333333</v>
      </c>
      <c r="P63" s="285">
        <f t="shared" si="41"/>
        <v>7779.666666666667</v>
      </c>
      <c r="Q63" s="285">
        <f t="shared" si="41"/>
        <v>7954.333333333333</v>
      </c>
      <c r="R63" s="285">
        <f t="shared" si="41"/>
        <v>7951.666666666667</v>
      </c>
      <c r="S63" s="285">
        <f t="shared" si="41"/>
        <v>8333</v>
      </c>
      <c r="T63" s="285">
        <f t="shared" si="41"/>
        <v>9079.3333333333339</v>
      </c>
      <c r="U63" s="285">
        <f t="shared" si="41"/>
        <v>10429.833333333334</v>
      </c>
      <c r="V63" s="285">
        <f t="shared" si="41"/>
        <v>11758.5</v>
      </c>
      <c r="W63" s="285">
        <f t="shared" si="41"/>
        <v>11562.333333333334</v>
      </c>
      <c r="X63" s="285">
        <f t="shared" si="41"/>
        <v>9179.8333333333339</v>
      </c>
      <c r="Y63" s="285">
        <f t="shared" si="41"/>
        <v>7246.666666666667</v>
      </c>
      <c r="Z63" s="285">
        <f t="shared" si="41"/>
        <v>7253.333333333333</v>
      </c>
      <c r="AA63" s="285">
        <f t="shared" si="41"/>
        <v>7170</v>
      </c>
      <c r="AB63" s="285">
        <f t="shared" si="41"/>
        <v>7217.166666666667</v>
      </c>
      <c r="AC63" s="285">
        <f t="shared" si="41"/>
        <v>6998.333333333333</v>
      </c>
      <c r="AD63" s="285">
        <f t="shared" si="41"/>
        <v>7034.833333333333</v>
      </c>
      <c r="AE63" s="285">
        <f t="shared" si="41"/>
        <v>7041.166666666667</v>
      </c>
      <c r="AF63" s="285">
        <f t="shared" si="41"/>
        <v>6197.166666666667</v>
      </c>
      <c r="AG63" s="285">
        <f t="shared" si="41"/>
        <v>6107.9666666666672</v>
      </c>
      <c r="AH63" s="285">
        <f t="shared" ref="AH63:BB63" si="42">AVERAGEIFS($B44:$YO44,$B$60:$YO$60,RIGHT(LEFT(AH$61,2),1),$B$59:$YO$59,RIGHT(AH$61,4))</f>
        <v>6182.25</v>
      </c>
      <c r="AI63" s="285">
        <f t="shared" si="42"/>
        <v>6355.083333333333</v>
      </c>
      <c r="AJ63" s="285">
        <f t="shared" si="42"/>
        <v>6608.7</v>
      </c>
      <c r="AK63" s="285">
        <f t="shared" si="42"/>
        <v>6639.6833333333334</v>
      </c>
      <c r="AL63" s="285">
        <f t="shared" si="42"/>
        <v>7207.8499999999995</v>
      </c>
      <c r="AM63" s="285">
        <f t="shared" si="42"/>
        <v>6906.3833333333341</v>
      </c>
      <c r="AN63" s="955">
        <f t="shared" si="42"/>
        <v>6622.8996666666671</v>
      </c>
      <c r="AO63" s="285">
        <f t="shared" si="42"/>
        <v>6809.5367166666665</v>
      </c>
      <c r="AP63" s="285">
        <f t="shared" si="42"/>
        <v>6870.0186666666668</v>
      </c>
      <c r="AQ63" s="285" t="e">
        <f t="shared" si="42"/>
        <v>#DIV/0!</v>
      </c>
      <c r="AR63" s="285" t="e">
        <f t="shared" si="42"/>
        <v>#DIV/0!</v>
      </c>
      <c r="AS63" s="285" t="e">
        <f t="shared" si="42"/>
        <v>#DIV/0!</v>
      </c>
      <c r="AT63" s="285" t="e">
        <f t="shared" si="42"/>
        <v>#DIV/0!</v>
      </c>
      <c r="AU63" s="285" t="e">
        <f t="shared" si="42"/>
        <v>#DIV/0!</v>
      </c>
      <c r="AV63" s="285" t="e">
        <f t="shared" si="42"/>
        <v>#DIV/0!</v>
      </c>
      <c r="AW63" s="285" t="e">
        <f t="shared" si="42"/>
        <v>#DIV/0!</v>
      </c>
      <c r="AX63" s="285" t="e">
        <f t="shared" si="42"/>
        <v>#DIV/0!</v>
      </c>
      <c r="AY63" s="285" t="e">
        <f t="shared" si="42"/>
        <v>#DIV/0!</v>
      </c>
      <c r="AZ63" s="285" t="e">
        <f t="shared" si="42"/>
        <v>#DIV/0!</v>
      </c>
      <c r="BA63" s="285" t="e">
        <f t="shared" si="42"/>
        <v>#DIV/0!</v>
      </c>
      <c r="BB63" s="285" t="e">
        <f t="shared" si="42"/>
        <v>#DIV/0!</v>
      </c>
      <c r="BC63" s="128"/>
      <c r="BD63" s="128"/>
      <c r="BE63" s="128"/>
      <c r="BF63" s="128"/>
      <c r="BG63" s="128"/>
      <c r="BH63" s="128"/>
      <c r="BI63" s="128"/>
      <c r="BJ63" s="128"/>
      <c r="BK63" s="128"/>
      <c r="BL63" s="128"/>
      <c r="BM63" s="128"/>
      <c r="BN63" s="128"/>
      <c r="BO63" s="128"/>
      <c r="BP63" s="128"/>
      <c r="BQ63" s="128"/>
      <c r="BR63" s="128"/>
      <c r="BS63" s="128"/>
      <c r="FY63" s="167"/>
      <c r="GE63" s="167"/>
      <c r="GK63" s="167"/>
      <c r="GL63" s="205"/>
      <c r="GM63" s="205"/>
      <c r="GN63" s="205"/>
      <c r="GO63" s="205"/>
      <c r="GP63" s="205"/>
      <c r="GQ63" s="167"/>
      <c r="GR63" s="205"/>
      <c r="GS63" s="205"/>
      <c r="GT63" s="205"/>
      <c r="GU63" s="205"/>
      <c r="GV63" s="205"/>
      <c r="GW63" s="167"/>
      <c r="GX63" s="205"/>
      <c r="GY63" s="205"/>
      <c r="GZ63" s="205"/>
      <c r="HA63" s="205"/>
      <c r="HB63" s="205"/>
      <c r="HC63" s="205"/>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168"/>
      <c r="IO63" s="8"/>
      <c r="IP63" s="8"/>
      <c r="IQ63" s="8"/>
      <c r="IR63" s="8"/>
      <c r="IS63" s="8"/>
      <c r="IT63" s="8"/>
      <c r="IU63" s="8"/>
      <c r="IV63" s="8"/>
      <c r="IW63" s="8"/>
      <c r="IX63" s="8"/>
      <c r="IY63" s="8"/>
      <c r="IZ63" s="8"/>
    </row>
    <row r="64" spans="1:665" hidden="1">
      <c r="A64" s="81" t="s">
        <v>146</v>
      </c>
      <c r="B64" s="284">
        <f t="shared" ref="B64:AG64" si="43">AVERAGEIFS($B46:$YO46,$B$60:$YO$60,RIGHT(LEFT(B$61,2),1),$B$59:$YO$59,RIGHT(B$61,4))</f>
        <v>603.66666666666663</v>
      </c>
      <c r="C64" s="284">
        <f t="shared" si="43"/>
        <v>583.66666666666663</v>
      </c>
      <c r="D64" s="284">
        <f t="shared" si="43"/>
        <v>568.33333333333337</v>
      </c>
      <c r="E64" s="284">
        <f t="shared" si="43"/>
        <v>557.5</v>
      </c>
      <c r="F64" s="284">
        <f t="shared" si="43"/>
        <v>537.33333333333337</v>
      </c>
      <c r="G64" s="284">
        <f t="shared" si="43"/>
        <v>550.83333333333337</v>
      </c>
      <c r="H64" s="284">
        <f t="shared" si="43"/>
        <v>527.16666666666663</v>
      </c>
      <c r="I64" s="284">
        <f t="shared" si="43"/>
        <v>562</v>
      </c>
      <c r="J64" s="284">
        <f t="shared" si="43"/>
        <v>545.5</v>
      </c>
      <c r="K64" s="284">
        <f t="shared" si="43"/>
        <v>615</v>
      </c>
      <c r="L64" s="284">
        <f t="shared" si="43"/>
        <v>659.66666666666663</v>
      </c>
      <c r="M64" s="284">
        <f t="shared" si="43"/>
        <v>653.5</v>
      </c>
      <c r="N64" s="284">
        <f t="shared" si="43"/>
        <v>610.66666666666663</v>
      </c>
      <c r="O64" s="284">
        <f t="shared" si="43"/>
        <v>616.66666666666663</v>
      </c>
      <c r="P64" s="284">
        <f t="shared" si="43"/>
        <v>658.33333333333337</v>
      </c>
      <c r="Q64" s="284">
        <f t="shared" si="43"/>
        <v>717.83333333333337</v>
      </c>
      <c r="R64" s="284">
        <f t="shared" si="43"/>
        <v>717.16666666666663</v>
      </c>
      <c r="S64" s="284">
        <f t="shared" si="43"/>
        <v>732.66666666666663</v>
      </c>
      <c r="T64" s="284">
        <f t="shared" si="43"/>
        <v>745.5</v>
      </c>
      <c r="U64" s="284">
        <f t="shared" si="43"/>
        <v>676.66666666666663</v>
      </c>
      <c r="V64" s="284">
        <f t="shared" si="43"/>
        <v>638</v>
      </c>
      <c r="W64" s="284">
        <f t="shared" si="43"/>
        <v>699</v>
      </c>
      <c r="X64" s="284">
        <f t="shared" si="43"/>
        <v>734.5</v>
      </c>
      <c r="Y64" s="284">
        <f t="shared" si="43"/>
        <v>741.16666666666663</v>
      </c>
      <c r="Z64" s="284">
        <f t="shared" si="43"/>
        <v>717</v>
      </c>
      <c r="AA64" s="284">
        <f t="shared" si="43"/>
        <v>690</v>
      </c>
      <c r="AB64" s="284">
        <f t="shared" si="43"/>
        <v>739.33333333333337</v>
      </c>
      <c r="AC64" s="284">
        <f t="shared" si="43"/>
        <v>801.5</v>
      </c>
      <c r="AD64" s="284">
        <f t="shared" si="43"/>
        <v>810.16666666666663</v>
      </c>
      <c r="AE64" s="284">
        <f t="shared" si="43"/>
        <v>883</v>
      </c>
      <c r="AF64" s="284">
        <f t="shared" si="43"/>
        <v>815</v>
      </c>
      <c r="AG64" s="284">
        <f t="shared" si="43"/>
        <v>785.38333333333333</v>
      </c>
      <c r="AH64" s="284">
        <f t="shared" ref="AH64:BB64" si="44">AVERAGEIFS($B46:$YO46,$B$60:$YO$60,RIGHT(LEFT(AH$61,2),1),$B$59:$YO$59,RIGHT(AH$61,4))</f>
        <v>752.48333333333346</v>
      </c>
      <c r="AI64" s="284">
        <f t="shared" si="44"/>
        <v>749.36666666666667</v>
      </c>
      <c r="AJ64" s="284">
        <f t="shared" si="44"/>
        <v>757.93333333333328</v>
      </c>
      <c r="AK64" s="284">
        <f t="shared" si="44"/>
        <v>721.4666666666667</v>
      </c>
      <c r="AL64" s="284">
        <f t="shared" si="44"/>
        <v>701.20000000000016</v>
      </c>
      <c r="AM64" s="284">
        <f t="shared" si="44"/>
        <v>713.03333333333319</v>
      </c>
      <c r="AN64" s="955">
        <f t="shared" si="44"/>
        <v>687.31990000000008</v>
      </c>
      <c r="AO64" s="284">
        <f t="shared" si="44"/>
        <v>642.43190000000016</v>
      </c>
      <c r="AP64" s="284">
        <f t="shared" si="44"/>
        <v>642.13191666666671</v>
      </c>
      <c r="AQ64" s="284" t="e">
        <f t="shared" si="44"/>
        <v>#DIV/0!</v>
      </c>
      <c r="AR64" s="284" t="e">
        <f t="shared" si="44"/>
        <v>#DIV/0!</v>
      </c>
      <c r="AS64" s="284" t="e">
        <f t="shared" si="44"/>
        <v>#DIV/0!</v>
      </c>
      <c r="AT64" s="284" t="e">
        <f t="shared" si="44"/>
        <v>#DIV/0!</v>
      </c>
      <c r="AU64" s="284" t="e">
        <f t="shared" si="44"/>
        <v>#DIV/0!</v>
      </c>
      <c r="AV64" s="284" t="e">
        <f t="shared" si="44"/>
        <v>#DIV/0!</v>
      </c>
      <c r="AW64" s="284" t="e">
        <f t="shared" si="44"/>
        <v>#DIV/0!</v>
      </c>
      <c r="AX64" s="284" t="e">
        <f t="shared" si="44"/>
        <v>#DIV/0!</v>
      </c>
      <c r="AY64" s="284" t="e">
        <f t="shared" si="44"/>
        <v>#DIV/0!</v>
      </c>
      <c r="AZ64" s="284" t="e">
        <f t="shared" si="44"/>
        <v>#DIV/0!</v>
      </c>
      <c r="BA64" s="284" t="e">
        <f t="shared" si="44"/>
        <v>#DIV/0!</v>
      </c>
      <c r="BB64" s="284" t="e">
        <f t="shared" si="44"/>
        <v>#DIV/0!</v>
      </c>
      <c r="BC64" s="128"/>
      <c r="BD64" s="128"/>
      <c r="BE64" s="128"/>
      <c r="BF64" s="128"/>
      <c r="BG64" s="128"/>
      <c r="BH64" s="128"/>
      <c r="BI64" s="128"/>
      <c r="BJ64" s="128"/>
      <c r="BK64" s="128"/>
      <c r="BL64" s="128"/>
      <c r="BM64" s="128"/>
      <c r="BN64" s="128"/>
      <c r="BO64" s="128"/>
      <c r="BP64" s="128"/>
      <c r="BQ64" s="128"/>
      <c r="BR64" s="128"/>
      <c r="BS64" s="128"/>
      <c r="FY64" s="167"/>
      <c r="GE64" s="167"/>
      <c r="GK64" s="167"/>
      <c r="GL64" s="205"/>
      <c r="GM64" s="205"/>
      <c r="GN64" s="205"/>
      <c r="GO64" s="205"/>
      <c r="GP64" s="205"/>
      <c r="GQ64" s="167"/>
      <c r="GR64" s="205"/>
      <c r="GS64" s="205"/>
      <c r="GT64" s="205"/>
      <c r="GU64" s="205"/>
      <c r="GV64" s="205"/>
      <c r="GW64" s="167"/>
      <c r="GX64" s="205"/>
      <c r="GY64" s="205"/>
      <c r="GZ64" s="205"/>
      <c r="HA64" s="205"/>
      <c r="HB64" s="205"/>
      <c r="HC64" s="205"/>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168"/>
      <c r="IO64" s="8"/>
      <c r="IP64" s="8"/>
      <c r="IQ64" s="8"/>
      <c r="IR64" s="8"/>
      <c r="IS64" s="8"/>
      <c r="IT64" s="8"/>
      <c r="IU64" s="8"/>
      <c r="IV64" s="8"/>
      <c r="IW64" s="8"/>
      <c r="IX64" s="8"/>
      <c r="IY64" s="8"/>
      <c r="IZ64" s="8"/>
    </row>
    <row r="65" spans="1:260" hidden="1">
      <c r="A65" s="81" t="s">
        <v>148</v>
      </c>
      <c r="B65" s="285">
        <f t="shared" ref="B65:AG65" si="45">AVERAGEIFS($B47:$YO47,$B$60:$YO$60,RIGHT(LEFT(B$61,2),1),$B$59:$YO$59,RIGHT(B$61,4))</f>
        <v>646.83333333333337</v>
      </c>
      <c r="C65" s="285">
        <f t="shared" si="45"/>
        <v>686.16666666666663</v>
      </c>
      <c r="D65" s="285">
        <f t="shared" si="45"/>
        <v>489.16666666666669</v>
      </c>
      <c r="E65" s="285">
        <f t="shared" si="45"/>
        <v>293.66666666666669</v>
      </c>
      <c r="F65" s="285">
        <f t="shared" si="45"/>
        <v>285.16666666666669</v>
      </c>
      <c r="G65" s="285">
        <f t="shared" si="45"/>
        <v>284.16666666666669</v>
      </c>
      <c r="H65" s="285">
        <f t="shared" si="45"/>
        <v>275.5</v>
      </c>
      <c r="I65" s="285">
        <f t="shared" si="45"/>
        <v>335</v>
      </c>
      <c r="J65" s="285">
        <f t="shared" si="45"/>
        <v>335.33333333333331</v>
      </c>
      <c r="K65" s="285">
        <f t="shared" si="45"/>
        <v>379</v>
      </c>
      <c r="L65" s="285">
        <f t="shared" si="45"/>
        <v>413.66666666666669</v>
      </c>
      <c r="M65" s="285">
        <f t="shared" si="45"/>
        <v>506</v>
      </c>
      <c r="N65" s="285">
        <f t="shared" si="45"/>
        <v>531.16666666666663</v>
      </c>
      <c r="O65" s="285">
        <f t="shared" si="45"/>
        <v>600.33333333333337</v>
      </c>
      <c r="P65" s="285">
        <f t="shared" si="45"/>
        <v>618.83333333333337</v>
      </c>
      <c r="Q65" s="285">
        <f t="shared" si="45"/>
        <v>631.66666666666663</v>
      </c>
      <c r="R65" s="285">
        <f t="shared" si="45"/>
        <v>617.33333333333337</v>
      </c>
      <c r="S65" s="285">
        <f t="shared" si="45"/>
        <v>543.33333333333337</v>
      </c>
      <c r="T65" s="285">
        <f t="shared" si="45"/>
        <v>626.33333333333337</v>
      </c>
      <c r="U65" s="285">
        <f t="shared" si="45"/>
        <v>652.66666666666663</v>
      </c>
      <c r="V65" s="285">
        <f t="shared" si="45"/>
        <v>648.16666666666663</v>
      </c>
      <c r="W65" s="285">
        <f t="shared" si="45"/>
        <v>833</v>
      </c>
      <c r="X65" s="285">
        <f t="shared" si="45"/>
        <v>889.83333333333337</v>
      </c>
      <c r="Y65" s="285">
        <f t="shared" si="45"/>
        <v>872.66666666666663</v>
      </c>
      <c r="Z65" s="285">
        <f t="shared" si="45"/>
        <v>899.83333333333337</v>
      </c>
      <c r="AA65" s="285">
        <f t="shared" si="45"/>
        <v>917.33333333333337</v>
      </c>
      <c r="AB65" s="285">
        <f t="shared" si="45"/>
        <v>891</v>
      </c>
      <c r="AC65" s="285">
        <f t="shared" si="45"/>
        <v>978</v>
      </c>
      <c r="AD65" s="285">
        <f t="shared" si="45"/>
        <v>765.16666666666663</v>
      </c>
      <c r="AE65" s="285">
        <f t="shared" si="45"/>
        <v>711.83333333333337</v>
      </c>
      <c r="AF65" s="285">
        <f t="shared" si="45"/>
        <v>700.33333333333337</v>
      </c>
      <c r="AG65" s="285">
        <f t="shared" si="45"/>
        <v>764.71666666666681</v>
      </c>
      <c r="AH65" s="285">
        <f t="shared" ref="AH65:BB65" si="46">AVERAGEIFS($B47:$YO47,$B$60:$YO$60,RIGHT(LEFT(AH$61,2),1),$B$59:$YO$59,RIGHT(AH$61,4))</f>
        <v>767.59999999999991</v>
      </c>
      <c r="AI65" s="285">
        <f t="shared" si="46"/>
        <v>783.18333333333339</v>
      </c>
      <c r="AJ65" s="285">
        <f t="shared" si="46"/>
        <v>748.83333333333337</v>
      </c>
      <c r="AK65" s="285">
        <f t="shared" si="46"/>
        <v>797.2166666666667</v>
      </c>
      <c r="AL65" s="285">
        <f t="shared" si="46"/>
        <v>721.15000000000009</v>
      </c>
      <c r="AM65" s="285">
        <f t="shared" si="46"/>
        <v>728.21666666666658</v>
      </c>
      <c r="AN65" s="955">
        <f t="shared" si="46"/>
        <v>664.86599999999999</v>
      </c>
      <c r="AO65" s="285">
        <f t="shared" si="46"/>
        <v>701.79800000000012</v>
      </c>
      <c r="AP65" s="285">
        <f t="shared" si="46"/>
        <v>646.06500000000005</v>
      </c>
      <c r="AQ65" s="285" t="e">
        <f t="shared" si="46"/>
        <v>#DIV/0!</v>
      </c>
      <c r="AR65" s="285" t="e">
        <f t="shared" si="46"/>
        <v>#DIV/0!</v>
      </c>
      <c r="AS65" s="285" t="e">
        <f t="shared" si="46"/>
        <v>#DIV/0!</v>
      </c>
      <c r="AT65" s="285" t="e">
        <f t="shared" si="46"/>
        <v>#DIV/0!</v>
      </c>
      <c r="AU65" s="285" t="e">
        <f t="shared" si="46"/>
        <v>#DIV/0!</v>
      </c>
      <c r="AV65" s="285" t="e">
        <f t="shared" si="46"/>
        <v>#DIV/0!</v>
      </c>
      <c r="AW65" s="285" t="e">
        <f t="shared" si="46"/>
        <v>#DIV/0!</v>
      </c>
      <c r="AX65" s="285" t="e">
        <f t="shared" si="46"/>
        <v>#DIV/0!</v>
      </c>
      <c r="AY65" s="285" t="e">
        <f t="shared" si="46"/>
        <v>#DIV/0!</v>
      </c>
      <c r="AZ65" s="285" t="e">
        <f t="shared" si="46"/>
        <v>#DIV/0!</v>
      </c>
      <c r="BA65" s="285" t="e">
        <f t="shared" si="46"/>
        <v>#DIV/0!</v>
      </c>
      <c r="BB65" s="285" t="e">
        <f t="shared" si="46"/>
        <v>#DIV/0!</v>
      </c>
      <c r="BC65" s="128"/>
      <c r="BD65" s="128"/>
      <c r="BE65" s="128"/>
      <c r="BF65" s="128"/>
      <c r="BG65" s="128"/>
      <c r="BH65" s="128"/>
      <c r="BI65" s="128"/>
      <c r="BJ65" s="128"/>
      <c r="BK65" s="128"/>
      <c r="BL65" s="128"/>
      <c r="BM65" s="128"/>
      <c r="BN65" s="128"/>
      <c r="BO65" s="128"/>
      <c r="BP65" s="128"/>
      <c r="BQ65" s="128"/>
      <c r="BR65" s="128"/>
      <c r="BS65" s="128"/>
      <c r="FY65" s="167"/>
      <c r="GE65" s="167"/>
      <c r="GK65" s="167"/>
      <c r="GL65" s="205"/>
      <c r="GM65" s="205"/>
      <c r="GN65" s="205"/>
      <c r="GO65" s="205"/>
      <c r="GP65" s="205"/>
      <c r="GQ65" s="167"/>
      <c r="GR65" s="205"/>
      <c r="GS65" s="205"/>
      <c r="GT65" s="205"/>
      <c r="GU65" s="205"/>
      <c r="GV65" s="205"/>
      <c r="GW65" s="167"/>
      <c r="GX65" s="205"/>
      <c r="GY65" s="205"/>
      <c r="GZ65" s="205"/>
      <c r="HA65" s="205"/>
      <c r="HB65" s="205"/>
      <c r="HC65" s="205"/>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168"/>
      <c r="IO65" s="8"/>
      <c r="IP65" s="8"/>
      <c r="IQ65" s="8"/>
      <c r="IR65" s="8"/>
      <c r="IS65" s="8"/>
      <c r="IT65" s="8"/>
      <c r="IU65" s="8"/>
      <c r="IV65" s="8"/>
      <c r="IW65" s="8"/>
      <c r="IX65" s="8"/>
      <c r="IY65" s="8"/>
      <c r="IZ65" s="8"/>
    </row>
    <row r="66" spans="1:260" hidden="1">
      <c r="A66" s="81" t="s">
        <v>145</v>
      </c>
      <c r="B66" s="284">
        <f t="shared" ref="B66:AG66" si="47">AVERAGEIFS($B48:$YO48,$B$60:$YO$60,RIGHT(LEFT(B$61,2),1),$B$59:$YO$59,RIGHT(B$61,4))</f>
        <v>978.66666666666663</v>
      </c>
      <c r="C66" s="284">
        <f t="shared" si="47"/>
        <v>1144.8333333333333</v>
      </c>
      <c r="D66" s="284">
        <f t="shared" si="47"/>
        <v>1202.6666666666667</v>
      </c>
      <c r="E66" s="284">
        <f t="shared" si="47"/>
        <v>1252.8333333333333</v>
      </c>
      <c r="F66" s="284">
        <f t="shared" si="47"/>
        <v>1168</v>
      </c>
      <c r="G66" s="284">
        <f t="shared" si="47"/>
        <v>1199</v>
      </c>
      <c r="H66" s="284">
        <f t="shared" si="47"/>
        <v>1371</v>
      </c>
      <c r="I66" s="284">
        <f t="shared" si="47"/>
        <v>1553.3333333333333</v>
      </c>
      <c r="J66" s="284">
        <f t="shared" si="47"/>
        <v>1815.8333333333333</v>
      </c>
      <c r="K66" s="284">
        <f t="shared" si="47"/>
        <v>1810</v>
      </c>
      <c r="L66" s="284">
        <f t="shared" si="47"/>
        <v>1742.3333333333333</v>
      </c>
      <c r="M66" s="284">
        <f t="shared" si="47"/>
        <v>2139.6666666666665</v>
      </c>
      <c r="N66" s="284">
        <f t="shared" si="47"/>
        <v>2169.3333333333335</v>
      </c>
      <c r="O66" s="284">
        <f t="shared" si="47"/>
        <v>2531</v>
      </c>
      <c r="P66" s="284">
        <f t="shared" si="47"/>
        <v>2654.6666666666665</v>
      </c>
      <c r="Q66" s="284">
        <f t="shared" si="47"/>
        <v>2845.5</v>
      </c>
      <c r="R66" s="284">
        <f t="shared" si="47"/>
        <v>1807.3333333333333</v>
      </c>
      <c r="S66" s="284">
        <f t="shared" si="47"/>
        <v>1327</v>
      </c>
      <c r="T66" s="284">
        <f t="shared" si="47"/>
        <v>1274.8333333333333</v>
      </c>
      <c r="U66" s="284">
        <f t="shared" si="47"/>
        <v>1657.3333333333333</v>
      </c>
      <c r="V66" s="284">
        <f t="shared" si="47"/>
        <v>1816.3333333333333</v>
      </c>
      <c r="W66" s="284">
        <f t="shared" si="47"/>
        <v>2134.6666666666665</v>
      </c>
      <c r="X66" s="284">
        <f t="shared" si="47"/>
        <v>2577.6666666666665</v>
      </c>
      <c r="Y66" s="284">
        <f t="shared" si="47"/>
        <v>2904</v>
      </c>
      <c r="Z66" s="284">
        <f t="shared" si="47"/>
        <v>2280.3333333333335</v>
      </c>
      <c r="AA66" s="284">
        <f t="shared" si="47"/>
        <v>1596.3333333333333</v>
      </c>
      <c r="AB66" s="284">
        <f t="shared" si="47"/>
        <v>1457.6666666666667</v>
      </c>
      <c r="AC66" s="284">
        <f t="shared" si="47"/>
        <v>1379.8333333333333</v>
      </c>
      <c r="AD66" s="284">
        <f t="shared" si="47"/>
        <v>1219.1666666666667</v>
      </c>
      <c r="AE66" s="284">
        <f t="shared" si="47"/>
        <v>907.16666666666663</v>
      </c>
      <c r="AF66" s="284">
        <f t="shared" si="47"/>
        <v>785.5</v>
      </c>
      <c r="AG66" s="284">
        <f t="shared" si="47"/>
        <v>749.79999999999984</v>
      </c>
      <c r="AH66" s="284">
        <f t="shared" ref="AH66:BB66" si="48">AVERAGEIFS($B48:$YO48,$B$60:$YO$60,RIGHT(LEFT(AH$61,2),1),$B$59:$YO$59,RIGHT(AH$61,4))</f>
        <v>774.81666666666672</v>
      </c>
      <c r="AI66" s="284">
        <f t="shared" si="48"/>
        <v>780.59999999999991</v>
      </c>
      <c r="AJ66" s="284">
        <f t="shared" si="48"/>
        <v>796.7833333333333</v>
      </c>
      <c r="AK66" s="284">
        <f t="shared" si="48"/>
        <v>850.58333333333337</v>
      </c>
      <c r="AL66" s="284">
        <f t="shared" si="48"/>
        <v>824.66666666666663</v>
      </c>
      <c r="AM66" s="284">
        <f t="shared" si="48"/>
        <v>687.79999999999984</v>
      </c>
      <c r="AN66" s="955">
        <f t="shared" si="48"/>
        <v>547.92194999999992</v>
      </c>
      <c r="AO66" s="284">
        <f t="shared" si="48"/>
        <v>97.118999999999986</v>
      </c>
      <c r="AP66" s="284">
        <f t="shared" si="48"/>
        <v>418.44198333333333</v>
      </c>
      <c r="AQ66" s="284" t="e">
        <f t="shared" si="48"/>
        <v>#DIV/0!</v>
      </c>
      <c r="AR66" s="284" t="e">
        <f t="shared" si="48"/>
        <v>#DIV/0!</v>
      </c>
      <c r="AS66" s="284" t="e">
        <f t="shared" si="48"/>
        <v>#DIV/0!</v>
      </c>
      <c r="AT66" s="284" t="e">
        <f t="shared" si="48"/>
        <v>#DIV/0!</v>
      </c>
      <c r="AU66" s="284" t="e">
        <f t="shared" si="48"/>
        <v>#DIV/0!</v>
      </c>
      <c r="AV66" s="284" t="e">
        <f t="shared" si="48"/>
        <v>#DIV/0!</v>
      </c>
      <c r="AW66" s="284" t="e">
        <f t="shared" si="48"/>
        <v>#DIV/0!</v>
      </c>
      <c r="AX66" s="284" t="e">
        <f t="shared" si="48"/>
        <v>#DIV/0!</v>
      </c>
      <c r="AY66" s="284" t="e">
        <f t="shared" si="48"/>
        <v>#DIV/0!</v>
      </c>
      <c r="AZ66" s="284" t="e">
        <f t="shared" si="48"/>
        <v>#DIV/0!</v>
      </c>
      <c r="BA66" s="284" t="e">
        <f t="shared" si="48"/>
        <v>#DIV/0!</v>
      </c>
      <c r="BB66" s="284" t="e">
        <f t="shared" si="48"/>
        <v>#DIV/0!</v>
      </c>
      <c r="BC66" s="128"/>
      <c r="BD66" s="128"/>
      <c r="BE66" s="128"/>
      <c r="BF66" s="128"/>
      <c r="BG66" s="128"/>
      <c r="BH66" s="128"/>
      <c r="BI66" s="128"/>
      <c r="BJ66" s="128"/>
      <c r="BK66" s="128"/>
      <c r="BL66" s="128"/>
      <c r="BM66" s="128"/>
      <c r="BN66" s="128"/>
      <c r="BO66" s="128"/>
      <c r="BP66" s="128"/>
      <c r="BQ66" s="128"/>
      <c r="BR66" s="128"/>
      <c r="BS66" s="128"/>
      <c r="FY66" s="167"/>
      <c r="GE66" s="167"/>
      <c r="GK66" s="167"/>
      <c r="GL66" s="205"/>
      <c r="GM66" s="205"/>
      <c r="GN66" s="205"/>
      <c r="GO66" s="205"/>
      <c r="GP66" s="205"/>
      <c r="GQ66" s="167"/>
      <c r="GR66" s="205"/>
      <c r="GS66" s="205"/>
      <c r="GT66" s="205"/>
      <c r="GU66" s="205"/>
      <c r="GV66" s="205"/>
      <c r="GW66" s="167"/>
      <c r="GX66" s="205"/>
      <c r="GY66" s="205"/>
      <c r="GZ66" s="205"/>
      <c r="HA66" s="205"/>
      <c r="HB66" s="205"/>
      <c r="HC66" s="205"/>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168"/>
      <c r="IO66" s="8"/>
      <c r="IP66" s="8"/>
      <c r="IQ66" s="8"/>
      <c r="IR66" s="8"/>
      <c r="IS66" s="8"/>
      <c r="IT66" s="8"/>
      <c r="IU66" s="8"/>
      <c r="IV66" s="8"/>
      <c r="IW66" s="8"/>
      <c r="IX66" s="8"/>
      <c r="IY66" s="8"/>
      <c r="IZ66" s="8"/>
    </row>
    <row r="67" spans="1:260" hidden="1">
      <c r="A67" s="81" t="s">
        <v>8</v>
      </c>
      <c r="B67" s="285">
        <f t="shared" ref="B67:AG67" si="49">AVERAGEIFS($B49:$YO49,$B$60:$YO$60,RIGHT(LEFT(B$61,2),1),$B$59:$YO$59,RIGHT(B$61,4))</f>
        <v>13814.5</v>
      </c>
      <c r="C67" s="285">
        <f t="shared" si="49"/>
        <v>13519.833333333334</v>
      </c>
      <c r="D67" s="285">
        <f t="shared" si="49"/>
        <v>13169</v>
      </c>
      <c r="E67" s="285">
        <f t="shared" si="49"/>
        <v>13667</v>
      </c>
      <c r="F67" s="285">
        <f t="shared" si="49"/>
        <v>13047</v>
      </c>
      <c r="G67" s="285">
        <f t="shared" si="49"/>
        <v>13581.5</v>
      </c>
      <c r="H67" s="285">
        <f t="shared" si="49"/>
        <v>14033.166666666666</v>
      </c>
      <c r="I67" s="285">
        <f t="shared" si="49"/>
        <v>13559.333333333334</v>
      </c>
      <c r="J67" s="285">
        <f t="shared" si="49"/>
        <v>12331.333333333334</v>
      </c>
      <c r="K67" s="285">
        <f t="shared" si="49"/>
        <v>12350</v>
      </c>
      <c r="L67" s="285">
        <f t="shared" si="49"/>
        <v>12392.333333333334</v>
      </c>
      <c r="M67" s="285">
        <f t="shared" si="49"/>
        <v>13130.333333333334</v>
      </c>
      <c r="N67" s="285">
        <f t="shared" si="49"/>
        <v>13812</v>
      </c>
      <c r="O67" s="285">
        <f t="shared" si="49"/>
        <v>14561</v>
      </c>
      <c r="P67" s="285">
        <f t="shared" si="49"/>
        <v>15221.833333333334</v>
      </c>
      <c r="Q67" s="285">
        <f t="shared" si="49"/>
        <v>15889.5</v>
      </c>
      <c r="R67" s="285">
        <f t="shared" si="49"/>
        <v>17431</v>
      </c>
      <c r="S67" s="285">
        <f t="shared" si="49"/>
        <v>16141.666666666666</v>
      </c>
      <c r="T67" s="285">
        <f t="shared" si="49"/>
        <v>16619.833333333332</v>
      </c>
      <c r="U67" s="285">
        <f t="shared" si="49"/>
        <v>17225.833333333332</v>
      </c>
      <c r="V67" s="285">
        <f t="shared" si="49"/>
        <v>18108.666666666668</v>
      </c>
      <c r="W67" s="285">
        <f t="shared" si="49"/>
        <v>20280.5</v>
      </c>
      <c r="X67" s="285">
        <f t="shared" si="49"/>
        <v>21425.833333333332</v>
      </c>
      <c r="Y67" s="285">
        <f t="shared" si="49"/>
        <v>22002.5</v>
      </c>
      <c r="Z67" s="285">
        <f t="shared" si="49"/>
        <v>21389.166666666668</v>
      </c>
      <c r="AA67" s="285">
        <f t="shared" si="49"/>
        <v>18649.833333333332</v>
      </c>
      <c r="AB67" s="285">
        <f t="shared" si="49"/>
        <v>16514.5</v>
      </c>
      <c r="AC67" s="285">
        <f t="shared" si="49"/>
        <v>16948.166666666668</v>
      </c>
      <c r="AD67" s="285">
        <f t="shared" si="49"/>
        <v>17337.166666666668</v>
      </c>
      <c r="AE67" s="285">
        <f t="shared" si="49"/>
        <v>18542</v>
      </c>
      <c r="AF67" s="285">
        <f t="shared" si="49"/>
        <v>20171.833333333332</v>
      </c>
      <c r="AG67" s="285">
        <f t="shared" si="49"/>
        <v>21387.250000000004</v>
      </c>
      <c r="AH67" s="285">
        <f t="shared" ref="AH67:BB67" si="50">AVERAGEIFS($B49:$YO49,$B$60:$YO$60,RIGHT(LEFT(AH$61,2),1),$B$59:$YO$59,RIGHT(AH$61,4))</f>
        <v>22141.516666666666</v>
      </c>
      <c r="AI67" s="285">
        <f t="shared" si="50"/>
        <v>23387.666666666668</v>
      </c>
      <c r="AJ67" s="285">
        <f t="shared" si="50"/>
        <v>24173.55</v>
      </c>
      <c r="AK67" s="285">
        <f t="shared" si="50"/>
        <v>25611.716666666664</v>
      </c>
      <c r="AL67" s="285">
        <f t="shared" si="50"/>
        <v>25724.05</v>
      </c>
      <c r="AM67" s="285">
        <f t="shared" si="50"/>
        <v>26341.983333333337</v>
      </c>
      <c r="AN67" s="955">
        <f t="shared" si="50"/>
        <v>26335.807083333337</v>
      </c>
      <c r="AO67" s="285">
        <f t="shared" si="50"/>
        <v>29412.256133333329</v>
      </c>
      <c r="AP67" s="285">
        <f t="shared" si="50"/>
        <v>27427.482283333331</v>
      </c>
      <c r="AQ67" s="285" t="e">
        <f t="shared" si="50"/>
        <v>#DIV/0!</v>
      </c>
      <c r="AR67" s="285" t="e">
        <f t="shared" si="50"/>
        <v>#DIV/0!</v>
      </c>
      <c r="AS67" s="285" t="e">
        <f t="shared" si="50"/>
        <v>#DIV/0!</v>
      </c>
      <c r="AT67" s="285" t="e">
        <f t="shared" si="50"/>
        <v>#DIV/0!</v>
      </c>
      <c r="AU67" s="285" t="e">
        <f t="shared" si="50"/>
        <v>#DIV/0!</v>
      </c>
      <c r="AV67" s="285" t="e">
        <f t="shared" si="50"/>
        <v>#DIV/0!</v>
      </c>
      <c r="AW67" s="285" t="e">
        <f t="shared" si="50"/>
        <v>#DIV/0!</v>
      </c>
      <c r="AX67" s="285" t="e">
        <f t="shared" si="50"/>
        <v>#DIV/0!</v>
      </c>
      <c r="AY67" s="285" t="e">
        <f t="shared" si="50"/>
        <v>#DIV/0!</v>
      </c>
      <c r="AZ67" s="285" t="e">
        <f t="shared" si="50"/>
        <v>#DIV/0!</v>
      </c>
      <c r="BA67" s="285" t="e">
        <f t="shared" si="50"/>
        <v>#DIV/0!</v>
      </c>
      <c r="BB67" s="285" t="e">
        <f t="shared" si="50"/>
        <v>#DIV/0!</v>
      </c>
      <c r="BC67" s="128"/>
      <c r="BD67" s="128"/>
      <c r="BE67" s="128"/>
      <c r="BF67" s="128"/>
      <c r="BG67" s="128"/>
      <c r="BH67" s="128"/>
      <c r="BI67" s="128"/>
      <c r="BJ67" s="128"/>
      <c r="BK67" s="128"/>
      <c r="BL67" s="128"/>
      <c r="BM67" s="128"/>
      <c r="BN67" s="128"/>
      <c r="BO67" s="128"/>
      <c r="BP67" s="128"/>
      <c r="BQ67" s="128"/>
      <c r="BR67" s="128"/>
      <c r="BS67" s="128"/>
      <c r="FY67" s="167"/>
      <c r="GE67" s="167"/>
      <c r="GK67" s="167"/>
      <c r="GL67" s="205"/>
      <c r="GM67" s="205"/>
      <c r="GN67" s="205"/>
      <c r="GO67" s="205"/>
      <c r="GP67" s="205"/>
      <c r="GQ67" s="167"/>
      <c r="GR67" s="205"/>
      <c r="GS67" s="205"/>
      <c r="GT67" s="205"/>
      <c r="GU67" s="205"/>
      <c r="GV67" s="205"/>
      <c r="GW67" s="167"/>
      <c r="GX67" s="205"/>
      <c r="GY67" s="205"/>
      <c r="GZ67" s="205"/>
      <c r="HA67" s="205"/>
      <c r="HB67" s="205"/>
      <c r="HC67" s="205"/>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168"/>
      <c r="IO67" s="8"/>
      <c r="IP67" s="8"/>
      <c r="IQ67" s="8"/>
      <c r="IR67" s="8"/>
      <c r="IS67" s="8"/>
      <c r="IT67" s="8"/>
      <c r="IU67" s="8"/>
      <c r="IV67" s="8"/>
      <c r="IW67" s="8"/>
      <c r="IX67" s="8"/>
      <c r="IY67" s="8"/>
      <c r="IZ67" s="8"/>
    </row>
    <row r="68" spans="1:260" hidden="1">
      <c r="A68" s="81" t="s">
        <v>192</v>
      </c>
      <c r="B68" s="284">
        <f t="shared" ref="B68:AG68" si="51">AVERAGEIFS($B52:$YO52,$B$60:$YO$60,RIGHT(LEFT(B$61,2),1),$B$59:$YO$59,RIGHT(B$61,4))</f>
        <v>2343.8333333333335</v>
      </c>
      <c r="C68" s="284">
        <f t="shared" si="51"/>
        <v>2350.6666666666665</v>
      </c>
      <c r="D68" s="284">
        <f t="shared" si="51"/>
        <v>2353.1666666666665</v>
      </c>
      <c r="E68" s="284">
        <f t="shared" si="51"/>
        <v>2020.3333333333333</v>
      </c>
      <c r="F68" s="284">
        <f t="shared" si="51"/>
        <v>2059.8333333333335</v>
      </c>
      <c r="G68" s="284">
        <f t="shared" si="51"/>
        <v>2210.3333333333335</v>
      </c>
      <c r="H68" s="284">
        <f t="shared" si="51"/>
        <v>2335.3333333333335</v>
      </c>
      <c r="I68" s="284">
        <f t="shared" si="51"/>
        <v>2290.8333333333335</v>
      </c>
      <c r="J68" s="284">
        <f t="shared" si="51"/>
        <v>2130.6666666666665</v>
      </c>
      <c r="K68" s="284">
        <f t="shared" si="51"/>
        <v>2346.1666666666665</v>
      </c>
      <c r="L68" s="284">
        <f t="shared" si="51"/>
        <v>2585</v>
      </c>
      <c r="M68" s="284">
        <f t="shared" si="51"/>
        <v>2376</v>
      </c>
      <c r="N68" s="284">
        <f t="shared" si="51"/>
        <v>2513</v>
      </c>
      <c r="O68" s="284">
        <f t="shared" si="51"/>
        <v>2331.3333333333335</v>
      </c>
      <c r="P68" s="284">
        <f t="shared" si="51"/>
        <v>2396.5</v>
      </c>
      <c r="Q68" s="284">
        <f t="shared" si="51"/>
        <v>2220.1666666666665</v>
      </c>
      <c r="R68" s="284">
        <f t="shared" si="51"/>
        <v>2147.1666666666665</v>
      </c>
      <c r="S68" s="284">
        <f t="shared" si="51"/>
        <v>1669.1666666666667</v>
      </c>
      <c r="T68" s="284">
        <f t="shared" si="51"/>
        <v>1544</v>
      </c>
      <c r="U68" s="284">
        <f t="shared" si="51"/>
        <v>1351</v>
      </c>
      <c r="V68" s="284">
        <f t="shared" si="51"/>
        <v>1454</v>
      </c>
      <c r="W68" s="284">
        <f t="shared" si="51"/>
        <v>1723.6666666666667</v>
      </c>
      <c r="X68" s="284">
        <f t="shared" si="51"/>
        <v>2036.1666666666667</v>
      </c>
      <c r="Y68" s="284">
        <f t="shared" si="51"/>
        <v>1722</v>
      </c>
      <c r="Z68" s="284">
        <f t="shared" si="51"/>
        <v>1583</v>
      </c>
      <c r="AA68" s="284">
        <f t="shared" si="51"/>
        <v>1349.1666666666667</v>
      </c>
      <c r="AB68" s="284">
        <f t="shared" si="51"/>
        <v>1464</v>
      </c>
      <c r="AC68" s="284">
        <f t="shared" si="51"/>
        <v>1246</v>
      </c>
      <c r="AD68" s="284">
        <f t="shared" si="51"/>
        <v>1461</v>
      </c>
      <c r="AE68" s="284">
        <f t="shared" si="51"/>
        <v>1474.6666666666667</v>
      </c>
      <c r="AF68" s="284">
        <f t="shared" si="51"/>
        <v>1365.8333333333333</v>
      </c>
      <c r="AG68" s="284">
        <f t="shared" si="51"/>
        <v>1290.1500000000001</v>
      </c>
      <c r="AH68" s="284">
        <f t="shared" ref="AH68:BB68" si="52">AVERAGEIFS($B52:$YO52,$B$60:$YO$60,RIGHT(LEFT(AH$61,2),1),$B$59:$YO$59,RIGHT(AH$61,4))</f>
        <v>1359.5666666666666</v>
      </c>
      <c r="AI68" s="284">
        <f t="shared" si="52"/>
        <v>1322.7666666666667</v>
      </c>
      <c r="AJ68" s="284">
        <f t="shared" si="52"/>
        <v>1678.6999999999998</v>
      </c>
      <c r="AK68" s="284">
        <f t="shared" si="52"/>
        <v>2018.3166666666668</v>
      </c>
      <c r="AL68" s="284">
        <f t="shared" si="52"/>
        <v>2087.7999999999997</v>
      </c>
      <c r="AM68" s="284">
        <f t="shared" si="52"/>
        <v>1881.1166666666668</v>
      </c>
      <c r="AN68" s="955">
        <f t="shared" si="52"/>
        <v>2020.2788999999996</v>
      </c>
      <c r="AO68" s="284">
        <f t="shared" si="52"/>
        <v>1922.9639333333334</v>
      </c>
      <c r="AP68" s="284">
        <f t="shared" si="52"/>
        <v>1829.8729000000001</v>
      </c>
      <c r="AQ68" s="284" t="e">
        <f t="shared" si="52"/>
        <v>#DIV/0!</v>
      </c>
      <c r="AR68" s="284" t="e">
        <f t="shared" si="52"/>
        <v>#DIV/0!</v>
      </c>
      <c r="AS68" s="284" t="e">
        <f t="shared" si="52"/>
        <v>#DIV/0!</v>
      </c>
      <c r="AT68" s="284" t="e">
        <f t="shared" si="52"/>
        <v>#DIV/0!</v>
      </c>
      <c r="AU68" s="284" t="e">
        <f t="shared" si="52"/>
        <v>#DIV/0!</v>
      </c>
      <c r="AV68" s="284" t="e">
        <f t="shared" si="52"/>
        <v>#DIV/0!</v>
      </c>
      <c r="AW68" s="284" t="e">
        <f t="shared" si="52"/>
        <v>#DIV/0!</v>
      </c>
      <c r="AX68" s="284" t="e">
        <f t="shared" si="52"/>
        <v>#DIV/0!</v>
      </c>
      <c r="AY68" s="284" t="e">
        <f t="shared" si="52"/>
        <v>#DIV/0!</v>
      </c>
      <c r="AZ68" s="284" t="e">
        <f t="shared" si="52"/>
        <v>#DIV/0!</v>
      </c>
      <c r="BA68" s="284" t="e">
        <f t="shared" si="52"/>
        <v>#DIV/0!</v>
      </c>
      <c r="BB68" s="284" t="e">
        <f t="shared" si="52"/>
        <v>#DIV/0!</v>
      </c>
      <c r="BC68" s="128"/>
      <c r="BD68" s="128"/>
      <c r="BE68" s="128"/>
      <c r="BF68" s="128"/>
      <c r="BG68" s="128"/>
      <c r="BH68" s="128"/>
      <c r="BI68" s="128"/>
      <c r="BJ68" s="128"/>
      <c r="BK68" s="128"/>
      <c r="BL68" s="128"/>
      <c r="BM68" s="128"/>
      <c r="BN68" s="128"/>
      <c r="BO68" s="128"/>
      <c r="BP68" s="128"/>
      <c r="BQ68" s="128"/>
      <c r="BR68" s="128"/>
      <c r="BS68" s="128"/>
      <c r="FY68" s="167"/>
      <c r="GE68" s="167"/>
      <c r="GK68" s="167"/>
      <c r="GL68" s="205"/>
      <c r="GM68" s="205"/>
      <c r="GN68" s="205"/>
      <c r="GO68" s="205"/>
      <c r="GP68" s="205"/>
      <c r="GQ68" s="167"/>
      <c r="GR68" s="205"/>
      <c r="GS68" s="205"/>
      <c r="GT68" s="205"/>
      <c r="GU68" s="205"/>
      <c r="GV68" s="205"/>
      <c r="GW68" s="167"/>
      <c r="GX68" s="205"/>
      <c r="GY68" s="205"/>
      <c r="GZ68" s="205"/>
      <c r="HA68" s="205"/>
      <c r="HB68" s="205"/>
      <c r="HC68" s="205"/>
      <c r="HV68" s="8"/>
      <c r="HW68" s="8"/>
      <c r="HX68" s="8"/>
      <c r="HY68" s="8"/>
      <c r="HZ68" s="8"/>
      <c r="IA68" s="8"/>
      <c r="IB68" s="8"/>
      <c r="IC68" s="8"/>
      <c r="ID68" s="8"/>
      <c r="IE68" s="8"/>
      <c r="IF68" s="8"/>
      <c r="IG68" s="8"/>
      <c r="IH68" s="8"/>
      <c r="II68" s="8"/>
      <c r="IJ68" s="8"/>
      <c r="IK68" s="8"/>
      <c r="IL68" s="8"/>
      <c r="IM68" s="8"/>
      <c r="IN68" s="168"/>
      <c r="IO68" s="8"/>
      <c r="IP68" s="8"/>
      <c r="IQ68" s="8"/>
      <c r="IR68" s="8"/>
      <c r="IS68" s="8"/>
      <c r="IT68" s="8"/>
      <c r="IU68" s="8"/>
      <c r="IV68" s="8"/>
      <c r="IW68" s="8"/>
      <c r="IX68" s="8"/>
      <c r="IY68" s="8"/>
      <c r="IZ68" s="8"/>
    </row>
    <row r="69" spans="1:260" hidden="1">
      <c r="A69" s="81" t="s">
        <v>142</v>
      </c>
      <c r="B69" s="285">
        <f t="shared" ref="B69:AG69" si="53">AVERAGEIFS($B50:$YO50,$B$60:$YO$60,RIGHT(LEFT(B$61,2),1),$B$59:$YO$59,RIGHT(B$61,4))</f>
        <v>8578.3333333333339</v>
      </c>
      <c r="C69" s="285">
        <f t="shared" si="53"/>
        <v>8941.1666666666661</v>
      </c>
      <c r="D69" s="285">
        <f t="shared" si="53"/>
        <v>7959.666666666667</v>
      </c>
      <c r="E69" s="285">
        <f t="shared" si="53"/>
        <v>8932.1666666666661</v>
      </c>
      <c r="F69" s="285">
        <f t="shared" si="53"/>
        <v>10090.5</v>
      </c>
      <c r="G69" s="285">
        <f t="shared" si="53"/>
        <v>10933.333333333334</v>
      </c>
      <c r="H69" s="285">
        <f t="shared" si="53"/>
        <v>12281</v>
      </c>
      <c r="I69" s="285">
        <f t="shared" si="53"/>
        <v>12733.833333333334</v>
      </c>
      <c r="J69" s="285">
        <f t="shared" si="53"/>
        <v>12168.666666666666</v>
      </c>
      <c r="K69" s="285">
        <f t="shared" si="53"/>
        <v>13949.5</v>
      </c>
      <c r="L69" s="285">
        <f t="shared" si="53"/>
        <v>15771</v>
      </c>
      <c r="M69" s="285">
        <f t="shared" si="53"/>
        <v>18228.166666666668</v>
      </c>
      <c r="N69" s="285">
        <f t="shared" si="53"/>
        <v>18235.5</v>
      </c>
      <c r="O69" s="285">
        <f t="shared" si="53"/>
        <v>18972.166666666668</v>
      </c>
      <c r="P69" s="285">
        <f t="shared" si="53"/>
        <v>20418.5</v>
      </c>
      <c r="Q69" s="285">
        <f t="shared" si="53"/>
        <v>25527.166666666668</v>
      </c>
      <c r="R69" s="285">
        <f t="shared" si="53"/>
        <v>25566.5</v>
      </c>
      <c r="S69" s="285">
        <f t="shared" si="53"/>
        <v>26286.666666666668</v>
      </c>
      <c r="T69" s="285">
        <f t="shared" si="53"/>
        <v>25710.333333333332</v>
      </c>
      <c r="U69" s="285">
        <f t="shared" si="53"/>
        <v>29552</v>
      </c>
      <c r="V69" s="285">
        <f t="shared" si="53"/>
        <v>31030.666666666668</v>
      </c>
      <c r="W69" s="285">
        <f t="shared" si="53"/>
        <v>36801</v>
      </c>
      <c r="X69" s="285">
        <f t="shared" si="53"/>
        <v>43968</v>
      </c>
      <c r="Y69" s="285">
        <f t="shared" si="53"/>
        <v>50135.166666666664</v>
      </c>
      <c r="Z69" s="285">
        <f t="shared" si="53"/>
        <v>54408.166666666664</v>
      </c>
      <c r="AA69" s="285">
        <f t="shared" si="53"/>
        <v>57722.5</v>
      </c>
      <c r="AB69" s="285">
        <f t="shared" si="53"/>
        <v>54812.833333333336</v>
      </c>
      <c r="AC69" s="285">
        <f t="shared" si="53"/>
        <v>55691.333333333336</v>
      </c>
      <c r="AD69" s="285">
        <f t="shared" si="53"/>
        <v>49893.666666666664</v>
      </c>
      <c r="AE69" s="285">
        <f t="shared" si="53"/>
        <v>47716</v>
      </c>
      <c r="AF69" s="285">
        <f t="shared" si="53"/>
        <v>42996.166666666664</v>
      </c>
      <c r="AG69" s="285">
        <f t="shared" si="53"/>
        <v>42150.750000000007</v>
      </c>
      <c r="AH69" s="285">
        <f t="shared" ref="AH69:BB69" si="54">AVERAGEIFS($B50:$YO50,$B$60:$YO$60,RIGHT(LEFT(AH$61,2),1),$B$59:$YO$59,RIGHT(AH$61,4))</f>
        <v>41463.85</v>
      </c>
      <c r="AI69" s="285">
        <f t="shared" si="54"/>
        <v>42081.44999999999</v>
      </c>
      <c r="AJ69" s="285">
        <f t="shared" si="54"/>
        <v>41988.85</v>
      </c>
      <c r="AK69" s="285">
        <f t="shared" si="54"/>
        <v>44720.333333333336</v>
      </c>
      <c r="AL69" s="285">
        <f t="shared" si="54"/>
        <v>45511.416666666664</v>
      </c>
      <c r="AM69" s="285">
        <f t="shared" si="54"/>
        <v>50705.05000000001</v>
      </c>
      <c r="AN69" s="955">
        <f t="shared" si="54"/>
        <v>53228.318716666668</v>
      </c>
      <c r="AO69" s="285">
        <f t="shared" si="54"/>
        <v>61446.083233333331</v>
      </c>
      <c r="AP69" s="285">
        <f t="shared" si="54"/>
        <v>60173.052566666658</v>
      </c>
      <c r="AQ69" s="285" t="e">
        <f t="shared" si="54"/>
        <v>#DIV/0!</v>
      </c>
      <c r="AR69" s="285" t="e">
        <f t="shared" si="54"/>
        <v>#DIV/0!</v>
      </c>
      <c r="AS69" s="285" t="e">
        <f t="shared" si="54"/>
        <v>#DIV/0!</v>
      </c>
      <c r="AT69" s="285" t="e">
        <f t="shared" si="54"/>
        <v>#DIV/0!</v>
      </c>
      <c r="AU69" s="285" t="e">
        <f t="shared" si="54"/>
        <v>#DIV/0!</v>
      </c>
      <c r="AV69" s="285" t="e">
        <f t="shared" si="54"/>
        <v>#DIV/0!</v>
      </c>
      <c r="AW69" s="285" t="e">
        <f t="shared" si="54"/>
        <v>#DIV/0!</v>
      </c>
      <c r="AX69" s="285" t="e">
        <f t="shared" si="54"/>
        <v>#DIV/0!</v>
      </c>
      <c r="AY69" s="285" t="e">
        <f t="shared" si="54"/>
        <v>#DIV/0!</v>
      </c>
      <c r="AZ69" s="285" t="e">
        <f t="shared" si="54"/>
        <v>#DIV/0!</v>
      </c>
      <c r="BA69" s="285" t="e">
        <f t="shared" si="54"/>
        <v>#DIV/0!</v>
      </c>
      <c r="BB69" s="285" t="e">
        <f t="shared" si="54"/>
        <v>#DIV/0!</v>
      </c>
      <c r="BC69" s="128"/>
      <c r="BD69" s="128"/>
      <c r="BE69" s="128"/>
      <c r="BF69" s="128"/>
      <c r="BG69" s="128"/>
      <c r="BH69" s="128"/>
      <c r="BI69" s="128"/>
      <c r="BJ69" s="128"/>
      <c r="BK69" s="128"/>
      <c r="BL69" s="128"/>
      <c r="BM69" s="128"/>
      <c r="BN69" s="128"/>
      <c r="BO69" s="128"/>
      <c r="BP69" s="128"/>
      <c r="BQ69" s="128"/>
      <c r="BR69" s="128"/>
      <c r="BS69" s="128"/>
      <c r="FY69" s="167"/>
      <c r="GE69" s="167"/>
      <c r="GK69" s="167"/>
      <c r="GL69" s="205"/>
      <c r="GM69" s="205"/>
      <c r="GN69" s="205"/>
      <c r="GO69" s="205"/>
      <c r="GP69" s="205"/>
      <c r="GQ69" s="167"/>
      <c r="GR69" s="205"/>
      <c r="GS69" s="205"/>
      <c r="GT69" s="205"/>
      <c r="GU69" s="205"/>
      <c r="GV69" s="205"/>
      <c r="GW69" s="167"/>
      <c r="GX69" s="205"/>
      <c r="GY69" s="205"/>
      <c r="GZ69" s="205"/>
      <c r="HA69" s="205"/>
      <c r="HB69" s="205"/>
      <c r="HC69" s="205"/>
      <c r="HV69" s="8"/>
      <c r="HW69" s="8"/>
      <c r="HX69" s="8"/>
      <c r="HY69" s="8"/>
      <c r="HZ69" s="8"/>
      <c r="IA69" s="8"/>
      <c r="IB69" s="8"/>
      <c r="IC69" s="8"/>
      <c r="ID69" s="8"/>
      <c r="IE69" s="8"/>
      <c r="IF69" s="8"/>
      <c r="IG69" s="8"/>
      <c r="IH69" s="8"/>
      <c r="II69" s="8"/>
      <c r="IJ69" s="8"/>
      <c r="IK69" s="8"/>
      <c r="IL69" s="8"/>
      <c r="IM69" s="8"/>
      <c r="IN69" s="168"/>
      <c r="IO69" s="8"/>
      <c r="IP69" s="8"/>
      <c r="IQ69" s="8"/>
      <c r="IR69" s="8"/>
      <c r="IS69" s="8"/>
      <c r="IT69" s="8"/>
      <c r="IU69" s="8"/>
      <c r="IV69" s="8"/>
      <c r="IW69" s="8"/>
      <c r="IX69" s="8"/>
      <c r="IY69" s="8"/>
      <c r="IZ69" s="8"/>
    </row>
    <row r="70" spans="1:260" hidden="1">
      <c r="A70" s="81" t="s">
        <v>1203</v>
      </c>
      <c r="B70" s="284">
        <f t="shared" ref="B70:AG70" si="55">AVERAGEIFS($B51:$YO51,$B$60:$YO$60,RIGHT(LEFT(B$61,2),1),$B$59:$YO$59,RIGHT(B$61,4))</f>
        <v>543.16666666666663</v>
      </c>
      <c r="C70" s="284">
        <f t="shared" si="55"/>
        <v>923.5</v>
      </c>
      <c r="D70" s="284">
        <f t="shared" si="55"/>
        <v>880.33333333333337</v>
      </c>
      <c r="E70" s="284">
        <f t="shared" si="55"/>
        <v>609</v>
      </c>
      <c r="F70" s="284">
        <f t="shared" si="55"/>
        <v>569</v>
      </c>
      <c r="G70" s="284">
        <f t="shared" si="55"/>
        <v>638.16666666666663</v>
      </c>
      <c r="H70" s="284">
        <f t="shared" si="55"/>
        <v>650</v>
      </c>
      <c r="I70" s="284">
        <f t="shared" si="55"/>
        <v>637</v>
      </c>
      <c r="J70" s="284">
        <f t="shared" si="55"/>
        <v>771.33333333333337</v>
      </c>
      <c r="K70" s="284">
        <f t="shared" si="55"/>
        <v>749.83333333333337</v>
      </c>
      <c r="L70" s="284">
        <f t="shared" si="55"/>
        <v>659.5</v>
      </c>
      <c r="M70" s="284">
        <f t="shared" si="55"/>
        <v>495.5</v>
      </c>
      <c r="N70" s="284">
        <f t="shared" si="55"/>
        <v>431.16666666666669</v>
      </c>
      <c r="O70" s="284">
        <f t="shared" si="55"/>
        <v>545</v>
      </c>
      <c r="P70" s="284">
        <f t="shared" si="55"/>
        <v>574</v>
      </c>
      <c r="Q70" s="284">
        <f t="shared" si="55"/>
        <v>547.5</v>
      </c>
      <c r="R70" s="284">
        <f t="shared" si="55"/>
        <v>288.5</v>
      </c>
      <c r="S70" s="284">
        <f t="shared" si="55"/>
        <v>264</v>
      </c>
      <c r="T70" s="284">
        <f t="shared" si="55"/>
        <v>453.16666666666669</v>
      </c>
      <c r="U70" s="284">
        <f t="shared" si="55"/>
        <v>563.83333333333337</v>
      </c>
      <c r="V70" s="284">
        <f t="shared" si="55"/>
        <v>564.83333333333337</v>
      </c>
      <c r="W70" s="284">
        <f t="shared" si="55"/>
        <v>779.83333333333337</v>
      </c>
      <c r="X70" s="284">
        <f t="shared" si="55"/>
        <v>831.66666666666663</v>
      </c>
      <c r="Y70" s="284">
        <f t="shared" si="55"/>
        <v>531.16666666666663</v>
      </c>
      <c r="Z70" s="284">
        <f t="shared" si="55"/>
        <v>464.33333333333331</v>
      </c>
      <c r="AA70" s="284">
        <f t="shared" si="55"/>
        <v>415.33333333333331</v>
      </c>
      <c r="AB70" s="284">
        <f t="shared" si="55"/>
        <v>414.66666666666669</v>
      </c>
      <c r="AC70" s="284">
        <f t="shared" si="55"/>
        <v>413</v>
      </c>
      <c r="AD70" s="284">
        <f t="shared" si="55"/>
        <v>627.66666666666663</v>
      </c>
      <c r="AE70" s="284">
        <f t="shared" si="55"/>
        <v>644.5</v>
      </c>
      <c r="AF70" s="284">
        <f t="shared" si="55"/>
        <v>749.33333333333337</v>
      </c>
      <c r="AG70" s="284">
        <f t="shared" si="55"/>
        <v>1010.1833333333333</v>
      </c>
      <c r="AH70" s="284">
        <f t="shared" ref="AH70:BB70" si="56">AVERAGEIFS($B51:$YO51,$B$60:$YO$60,RIGHT(LEFT(AH$61,2),1),$B$59:$YO$59,RIGHT(AH$61,4))</f>
        <v>1494.9166666666667</v>
      </c>
      <c r="AI70" s="284">
        <f t="shared" si="56"/>
        <v>2283.8666666666668</v>
      </c>
      <c r="AJ70" s="284">
        <f t="shared" si="56"/>
        <v>4356.1166666666668</v>
      </c>
      <c r="AK70" s="284">
        <f t="shared" si="56"/>
        <v>4644.7833333333338</v>
      </c>
      <c r="AL70" s="284">
        <f t="shared" si="56"/>
        <v>5065.9833333333327</v>
      </c>
      <c r="AM70" s="284">
        <f t="shared" si="56"/>
        <v>3235.2000000000003</v>
      </c>
      <c r="AN70" s="955">
        <f t="shared" si="56"/>
        <v>1891.8569833333331</v>
      </c>
      <c r="AO70" s="284">
        <f t="shared" si="56"/>
        <v>1956.9999166666669</v>
      </c>
      <c r="AP70" s="284">
        <f t="shared" si="56"/>
        <v>1735.4950000000001</v>
      </c>
      <c r="AQ70" s="284" t="e">
        <f t="shared" si="56"/>
        <v>#DIV/0!</v>
      </c>
      <c r="AR70" s="284" t="e">
        <f t="shared" si="56"/>
        <v>#DIV/0!</v>
      </c>
      <c r="AS70" s="284" t="e">
        <f t="shared" si="56"/>
        <v>#DIV/0!</v>
      </c>
      <c r="AT70" s="284" t="e">
        <f t="shared" si="56"/>
        <v>#DIV/0!</v>
      </c>
      <c r="AU70" s="284" t="e">
        <f t="shared" si="56"/>
        <v>#DIV/0!</v>
      </c>
      <c r="AV70" s="284" t="e">
        <f t="shared" si="56"/>
        <v>#DIV/0!</v>
      </c>
      <c r="AW70" s="284" t="e">
        <f t="shared" si="56"/>
        <v>#DIV/0!</v>
      </c>
      <c r="AX70" s="284" t="e">
        <f t="shared" si="56"/>
        <v>#DIV/0!</v>
      </c>
      <c r="AY70" s="284" t="e">
        <f t="shared" si="56"/>
        <v>#DIV/0!</v>
      </c>
      <c r="AZ70" s="284" t="e">
        <f t="shared" si="56"/>
        <v>#DIV/0!</v>
      </c>
      <c r="BA70" s="284" t="e">
        <f t="shared" si="56"/>
        <v>#DIV/0!</v>
      </c>
      <c r="BB70" s="284" t="e">
        <f t="shared" si="56"/>
        <v>#DIV/0!</v>
      </c>
      <c r="BC70" s="128"/>
      <c r="BD70" s="128"/>
      <c r="BE70" s="128"/>
      <c r="BF70" s="128"/>
      <c r="BG70" s="128"/>
      <c r="BH70" s="128"/>
      <c r="BI70" s="128"/>
      <c r="BJ70" s="128"/>
      <c r="BK70" s="128"/>
      <c r="BL70" s="128"/>
      <c r="BM70" s="128"/>
      <c r="BN70" s="128"/>
      <c r="BO70" s="128"/>
      <c r="BP70" s="128"/>
      <c r="BQ70" s="128"/>
      <c r="BR70" s="128"/>
      <c r="BS70" s="128"/>
      <c r="FY70" s="167"/>
      <c r="GE70" s="167"/>
      <c r="GK70" s="167"/>
      <c r="GL70" s="205"/>
      <c r="GM70" s="205"/>
      <c r="GN70" s="205"/>
      <c r="GO70" s="205"/>
      <c r="GP70" s="205"/>
      <c r="GQ70" s="167"/>
      <c r="GR70" s="205"/>
      <c r="GS70" s="205"/>
      <c r="GT70" s="205"/>
      <c r="GU70" s="205"/>
      <c r="GV70" s="205"/>
      <c r="GW70" s="167"/>
      <c r="GX70" s="205"/>
      <c r="GY70" s="205"/>
      <c r="GZ70" s="205"/>
      <c r="HA70" s="205"/>
      <c r="HB70" s="205"/>
      <c r="HC70" s="205"/>
      <c r="HV70" s="8"/>
      <c r="HW70" s="8"/>
      <c r="HX70" s="8"/>
      <c r="HY70" s="8"/>
      <c r="HZ70" s="8"/>
      <c r="IA70" s="8"/>
      <c r="IB70" s="8"/>
      <c r="IC70" s="8"/>
      <c r="ID70" s="8"/>
      <c r="IE70" s="8"/>
      <c r="IF70" s="8"/>
      <c r="IG70" s="8"/>
      <c r="IH70" s="8"/>
      <c r="II70" s="8"/>
      <c r="IJ70" s="8"/>
      <c r="IK70" s="8"/>
      <c r="IL70" s="8"/>
      <c r="IM70" s="8"/>
      <c r="IN70" s="168"/>
      <c r="IO70" s="8"/>
      <c r="IP70" s="8"/>
      <c r="IQ70" s="8"/>
      <c r="IR70" s="8"/>
      <c r="IS70" s="8"/>
      <c r="IT70" s="8"/>
      <c r="IU70" s="8"/>
      <c r="IV70" s="8"/>
      <c r="IW70" s="8"/>
      <c r="IX70" s="8"/>
      <c r="IY70" s="8"/>
      <c r="IZ70" s="8"/>
    </row>
    <row r="71" spans="1:260" hidden="1">
      <c r="A71" s="81" t="s">
        <v>144</v>
      </c>
      <c r="B71" s="285">
        <f t="shared" ref="B71:AG71" si="57">AVERAGEIFS($B53:$YO53,$B$60:$YO$60,RIGHT(LEFT(B$61,2),1),$B$59:$YO$59,RIGHT(B$61,4))</f>
        <v>5828</v>
      </c>
      <c r="C71" s="285">
        <f t="shared" si="57"/>
        <v>5803.5</v>
      </c>
      <c r="D71" s="285">
        <f t="shared" si="57"/>
        <v>5458</v>
      </c>
      <c r="E71" s="285">
        <f t="shared" si="57"/>
        <v>5674.666666666667</v>
      </c>
      <c r="F71" s="285">
        <f t="shared" si="57"/>
        <v>5989.5</v>
      </c>
      <c r="G71" s="285">
        <f t="shared" si="57"/>
        <v>5889.333333333333</v>
      </c>
      <c r="H71" s="285">
        <f t="shared" si="57"/>
        <v>6478.166666666667</v>
      </c>
      <c r="I71" s="285">
        <f t="shared" si="57"/>
        <v>7298.333333333333</v>
      </c>
      <c r="J71" s="285">
        <f t="shared" si="57"/>
        <v>8207.5</v>
      </c>
      <c r="K71" s="285">
        <f t="shared" si="57"/>
        <v>8811.6666666666661</v>
      </c>
      <c r="L71" s="285">
        <f t="shared" si="57"/>
        <v>9830.5</v>
      </c>
      <c r="M71" s="285">
        <f t="shared" si="57"/>
        <v>11566.5</v>
      </c>
      <c r="N71" s="285">
        <f t="shared" si="57"/>
        <v>12689.5</v>
      </c>
      <c r="O71" s="285">
        <f t="shared" si="57"/>
        <v>13105.833333333334</v>
      </c>
      <c r="P71" s="285">
        <f t="shared" si="57"/>
        <v>12231.166666666666</v>
      </c>
      <c r="Q71" s="285">
        <f t="shared" si="57"/>
        <v>12878.5</v>
      </c>
      <c r="R71" s="285">
        <f t="shared" si="57"/>
        <v>7857</v>
      </c>
      <c r="S71" s="285">
        <f t="shared" si="57"/>
        <v>6970.166666666667</v>
      </c>
      <c r="T71" s="285">
        <f t="shared" si="57"/>
        <v>7297.833333333333</v>
      </c>
      <c r="U71" s="285">
        <f t="shared" si="57"/>
        <v>8572.6666666666661</v>
      </c>
      <c r="V71" s="285">
        <f t="shared" si="57"/>
        <v>9304.8333333333339</v>
      </c>
      <c r="W71" s="285">
        <f t="shared" si="57"/>
        <v>9300.1666666666661</v>
      </c>
      <c r="X71" s="285">
        <f t="shared" si="57"/>
        <v>8338</v>
      </c>
      <c r="Y71" s="285">
        <f t="shared" si="57"/>
        <v>8121</v>
      </c>
      <c r="Z71" s="285">
        <f t="shared" si="57"/>
        <v>7100</v>
      </c>
      <c r="AA71" s="285">
        <f t="shared" si="57"/>
        <v>6566.666666666667</v>
      </c>
      <c r="AB71" s="285">
        <f t="shared" si="57"/>
        <v>5854.666666666667</v>
      </c>
      <c r="AC71" s="285">
        <f t="shared" si="57"/>
        <v>5792.666666666667</v>
      </c>
      <c r="AD71" s="285">
        <f t="shared" si="57"/>
        <v>5885.166666666667</v>
      </c>
      <c r="AE71" s="285">
        <f t="shared" si="57"/>
        <v>5967</v>
      </c>
      <c r="AF71" s="285">
        <f t="shared" si="57"/>
        <v>5289.833333333333</v>
      </c>
      <c r="AG71" s="285">
        <f t="shared" si="57"/>
        <v>5589.6333333333341</v>
      </c>
      <c r="AH71" s="285">
        <f t="shared" ref="AH71:BB71" si="58">AVERAGEIFS($B53:$YO53,$B$60:$YO$60,RIGHT(LEFT(AH$61,2),1),$B$59:$YO$59,RIGHT(AH$61,4))</f>
        <v>6073.2666666666664</v>
      </c>
      <c r="AI71" s="285">
        <f t="shared" si="58"/>
        <v>5782.3666666666659</v>
      </c>
      <c r="AJ71" s="285">
        <f t="shared" si="58"/>
        <v>5393.5166666666655</v>
      </c>
      <c r="AK71" s="285">
        <f t="shared" si="58"/>
        <v>6018.7166666666672</v>
      </c>
      <c r="AL71" s="285">
        <f t="shared" si="58"/>
        <v>6446.4333333333334</v>
      </c>
      <c r="AM71" s="285">
        <f t="shared" si="58"/>
        <v>7748.0833333333348</v>
      </c>
      <c r="AN71" s="955">
        <f t="shared" si="58"/>
        <v>7298.7289499999997</v>
      </c>
      <c r="AO71" s="285">
        <f t="shared" si="58"/>
        <v>7812.0548666666664</v>
      </c>
      <c r="AP71" s="285">
        <f t="shared" si="58"/>
        <v>7293.2408999999998</v>
      </c>
      <c r="AQ71" s="285" t="e">
        <f t="shared" si="58"/>
        <v>#DIV/0!</v>
      </c>
      <c r="AR71" s="285" t="e">
        <f t="shared" si="58"/>
        <v>#DIV/0!</v>
      </c>
      <c r="AS71" s="285" t="e">
        <f t="shared" si="58"/>
        <v>#DIV/0!</v>
      </c>
      <c r="AT71" s="285" t="e">
        <f t="shared" si="58"/>
        <v>#DIV/0!</v>
      </c>
      <c r="AU71" s="285" t="e">
        <f t="shared" si="58"/>
        <v>#DIV/0!</v>
      </c>
      <c r="AV71" s="285" t="e">
        <f t="shared" si="58"/>
        <v>#DIV/0!</v>
      </c>
      <c r="AW71" s="285" t="e">
        <f t="shared" si="58"/>
        <v>#DIV/0!</v>
      </c>
      <c r="AX71" s="285" t="e">
        <f t="shared" si="58"/>
        <v>#DIV/0!</v>
      </c>
      <c r="AY71" s="285" t="e">
        <f t="shared" si="58"/>
        <v>#DIV/0!</v>
      </c>
      <c r="AZ71" s="285" t="e">
        <f t="shared" si="58"/>
        <v>#DIV/0!</v>
      </c>
      <c r="BA71" s="285" t="e">
        <f t="shared" si="58"/>
        <v>#DIV/0!</v>
      </c>
      <c r="BB71" s="285" t="e">
        <f t="shared" si="58"/>
        <v>#DIV/0!</v>
      </c>
      <c r="BC71" s="128"/>
      <c r="BD71" s="128"/>
      <c r="BE71" s="128"/>
      <c r="BF71" s="128"/>
      <c r="BG71" s="128"/>
      <c r="BH71" s="128"/>
      <c r="BI71" s="128"/>
      <c r="BJ71" s="128"/>
      <c r="BK71" s="128"/>
      <c r="BL71" s="128"/>
      <c r="BM71" s="128"/>
      <c r="BN71" s="128"/>
      <c r="BO71" s="128"/>
      <c r="BP71" s="128"/>
      <c r="BQ71" s="128"/>
      <c r="BR71" s="128"/>
      <c r="BS71" s="128"/>
      <c r="FY71" s="167"/>
      <c r="GE71" s="167"/>
      <c r="GK71" s="167"/>
      <c r="GL71" s="205"/>
      <c r="GM71" s="205"/>
      <c r="GN71" s="205"/>
      <c r="GO71" s="205"/>
      <c r="GP71" s="205"/>
      <c r="GQ71" s="167"/>
      <c r="GR71" s="205"/>
      <c r="GS71" s="205"/>
      <c r="GT71" s="205"/>
      <c r="GU71" s="205"/>
      <c r="GV71" s="205"/>
      <c r="GW71" s="167"/>
      <c r="GX71" s="205"/>
      <c r="GY71" s="205"/>
      <c r="GZ71" s="205"/>
      <c r="HA71" s="205"/>
      <c r="HB71" s="205"/>
      <c r="HC71" s="205"/>
      <c r="HV71" s="8"/>
      <c r="HW71" s="8"/>
      <c r="HX71" s="8"/>
      <c r="HY71" s="8"/>
      <c r="HZ71" s="8"/>
      <c r="IA71" s="8"/>
      <c r="IB71" s="8"/>
      <c r="IC71" s="8"/>
      <c r="ID71" s="8"/>
      <c r="IE71" s="8"/>
      <c r="IF71" s="8"/>
      <c r="IG71" s="8"/>
      <c r="IH71" s="8"/>
      <c r="II71" s="8"/>
      <c r="IJ71" s="8"/>
      <c r="IK71" s="8"/>
      <c r="IL71" s="8"/>
      <c r="IM71" s="8"/>
      <c r="IN71" s="168"/>
      <c r="IO71" s="8"/>
      <c r="IP71" s="8"/>
      <c r="IQ71" s="8"/>
      <c r="IR71" s="8"/>
      <c r="IS71" s="8"/>
      <c r="IT71" s="8"/>
      <c r="IU71" s="8"/>
      <c r="IV71" s="8"/>
      <c r="IW71" s="8"/>
      <c r="IX71" s="8"/>
      <c r="IY71" s="8"/>
      <c r="IZ71" s="8"/>
    </row>
    <row r="72" spans="1:260" hidden="1">
      <c r="A72" s="81" t="s">
        <v>147</v>
      </c>
      <c r="B72" s="284">
        <f t="shared" ref="B72:AG72" si="59">AVERAGEIFS($B54:$YO54,$B$60:$YO$60,RIGHT(LEFT(B$61,2),1),$B$59:$YO$59,RIGHT(B$61,4))</f>
        <v>604.66666666666663</v>
      </c>
      <c r="C72" s="284">
        <f t="shared" si="59"/>
        <v>613.5</v>
      </c>
      <c r="D72" s="284">
        <f t="shared" si="59"/>
        <v>566.33333333333337</v>
      </c>
      <c r="E72" s="284">
        <f t="shared" si="59"/>
        <v>562.33333333333337</v>
      </c>
      <c r="F72" s="284">
        <f t="shared" si="59"/>
        <v>556</v>
      </c>
      <c r="G72" s="284">
        <f t="shared" si="59"/>
        <v>573.33333333333337</v>
      </c>
      <c r="H72" s="284">
        <f t="shared" si="59"/>
        <v>558.5</v>
      </c>
      <c r="I72" s="284">
        <f t="shared" si="59"/>
        <v>582.66666666666663</v>
      </c>
      <c r="J72" s="284">
        <f t="shared" si="59"/>
        <v>663.33333333333337</v>
      </c>
      <c r="K72" s="284">
        <f t="shared" si="59"/>
        <v>681.16666666666663</v>
      </c>
      <c r="L72" s="284">
        <f t="shared" si="59"/>
        <v>642.66666666666663</v>
      </c>
      <c r="M72" s="284">
        <f t="shared" si="59"/>
        <v>698.16666666666663</v>
      </c>
      <c r="N72" s="284">
        <f t="shared" si="59"/>
        <v>694.33333333333337</v>
      </c>
      <c r="O72" s="284">
        <f t="shared" si="59"/>
        <v>710.5</v>
      </c>
      <c r="P72" s="284">
        <f t="shared" si="59"/>
        <v>677.66666666666663</v>
      </c>
      <c r="Q72" s="284">
        <f t="shared" si="59"/>
        <v>759.83333333333337</v>
      </c>
      <c r="R72" s="284">
        <f t="shared" si="59"/>
        <v>713.33333333333337</v>
      </c>
      <c r="S72" s="284">
        <f t="shared" si="59"/>
        <v>841.5</v>
      </c>
      <c r="T72" s="284">
        <f t="shared" si="59"/>
        <v>762.5</v>
      </c>
      <c r="U72" s="284">
        <f t="shared" si="59"/>
        <v>809.33333333333337</v>
      </c>
      <c r="V72" s="284">
        <f t="shared" si="59"/>
        <v>728.33333333333337</v>
      </c>
      <c r="W72" s="284">
        <f t="shared" si="59"/>
        <v>901.33333333333337</v>
      </c>
      <c r="X72" s="284">
        <f t="shared" si="59"/>
        <v>824.5</v>
      </c>
      <c r="Y72" s="284">
        <f t="shared" si="59"/>
        <v>907.66666666666663</v>
      </c>
      <c r="Z72" s="284">
        <f t="shared" si="59"/>
        <v>904</v>
      </c>
      <c r="AA72" s="284">
        <f t="shared" si="59"/>
        <v>1032.6666666666667</v>
      </c>
      <c r="AB72" s="284">
        <f t="shared" si="59"/>
        <v>812</v>
      </c>
      <c r="AC72" s="284">
        <f t="shared" si="59"/>
        <v>712.66666666666663</v>
      </c>
      <c r="AD72" s="284">
        <f t="shared" si="59"/>
        <v>597.33333333333337</v>
      </c>
      <c r="AE72" s="284">
        <f t="shared" si="59"/>
        <v>613.33333333333337</v>
      </c>
      <c r="AF72" s="284">
        <f t="shared" si="59"/>
        <v>525.66666666666663</v>
      </c>
      <c r="AG72" s="284">
        <f t="shared" si="59"/>
        <v>529.20000000000005</v>
      </c>
      <c r="AH72" s="284">
        <f t="shared" ref="AH72:BB72" si="60">AVERAGEIFS($B54:$YO54,$B$60:$YO$60,RIGHT(LEFT(AH$61,2),1),$B$59:$YO$59,RIGHT(AH$61,4))</f>
        <v>477.08333333333331</v>
      </c>
      <c r="AI72" s="284">
        <f t="shared" si="60"/>
        <v>555.16666666666663</v>
      </c>
      <c r="AJ72" s="284">
        <f t="shared" si="60"/>
        <v>578.33333333333337</v>
      </c>
      <c r="AK72" s="284">
        <f t="shared" si="60"/>
        <v>634.9</v>
      </c>
      <c r="AL72" s="284">
        <f t="shared" si="60"/>
        <v>593.48333333333346</v>
      </c>
      <c r="AM72" s="284">
        <f t="shared" si="60"/>
        <v>695.05000000000007</v>
      </c>
      <c r="AN72" s="955">
        <f t="shared" si="60"/>
        <v>599.83199999999999</v>
      </c>
      <c r="AO72" s="284">
        <f t="shared" si="60"/>
        <v>645.25400000000002</v>
      </c>
      <c r="AP72" s="284">
        <f t="shared" si="60"/>
        <v>599.06200000000001</v>
      </c>
      <c r="AQ72" s="284" t="e">
        <f t="shared" si="60"/>
        <v>#DIV/0!</v>
      </c>
      <c r="AR72" s="284" t="e">
        <f t="shared" si="60"/>
        <v>#DIV/0!</v>
      </c>
      <c r="AS72" s="284" t="e">
        <f t="shared" si="60"/>
        <v>#DIV/0!</v>
      </c>
      <c r="AT72" s="284" t="e">
        <f t="shared" si="60"/>
        <v>#DIV/0!</v>
      </c>
      <c r="AU72" s="284" t="e">
        <f t="shared" si="60"/>
        <v>#DIV/0!</v>
      </c>
      <c r="AV72" s="284" t="e">
        <f t="shared" si="60"/>
        <v>#DIV/0!</v>
      </c>
      <c r="AW72" s="284" t="e">
        <f t="shared" si="60"/>
        <v>#DIV/0!</v>
      </c>
      <c r="AX72" s="284" t="e">
        <f t="shared" si="60"/>
        <v>#DIV/0!</v>
      </c>
      <c r="AY72" s="284" t="e">
        <f t="shared" si="60"/>
        <v>#DIV/0!</v>
      </c>
      <c r="AZ72" s="284" t="e">
        <f t="shared" si="60"/>
        <v>#DIV/0!</v>
      </c>
      <c r="BA72" s="284" t="e">
        <f t="shared" si="60"/>
        <v>#DIV/0!</v>
      </c>
      <c r="BB72" s="284" t="e">
        <f t="shared" si="60"/>
        <v>#DIV/0!</v>
      </c>
      <c r="BC72" s="128"/>
      <c r="BD72" s="128"/>
      <c r="BE72" s="128"/>
      <c r="BF72" s="128"/>
      <c r="BG72" s="128"/>
      <c r="BH72" s="128"/>
      <c r="BI72" s="128"/>
      <c r="BJ72" s="128"/>
      <c r="BK72" s="128"/>
      <c r="BL72" s="128"/>
      <c r="BM72" s="128"/>
      <c r="BN72" s="128"/>
      <c r="BO72" s="128"/>
      <c r="BP72" s="128"/>
      <c r="BQ72" s="128"/>
      <c r="BR72" s="128"/>
      <c r="BS72" s="128"/>
      <c r="FY72" s="167"/>
      <c r="GE72" s="167"/>
      <c r="GK72" s="167"/>
      <c r="GL72" s="205"/>
      <c r="GM72" s="205"/>
      <c r="GN72" s="205"/>
      <c r="GO72" s="205"/>
      <c r="GP72" s="205"/>
      <c r="GQ72" s="167"/>
      <c r="GR72" s="205"/>
      <c r="GS72" s="205"/>
      <c r="GT72" s="205"/>
      <c r="GU72" s="205"/>
      <c r="GV72" s="205"/>
      <c r="GW72" s="167"/>
      <c r="GX72" s="205"/>
      <c r="GY72" s="205"/>
      <c r="GZ72" s="205"/>
      <c r="HA72" s="205"/>
      <c r="HB72" s="205"/>
      <c r="HC72" s="205"/>
      <c r="HV72" s="8"/>
      <c r="HW72" s="8"/>
      <c r="HX72" s="8"/>
      <c r="HY72" s="8"/>
      <c r="HZ72" s="8"/>
      <c r="IA72" s="8"/>
      <c r="IB72" s="8"/>
      <c r="IC72" s="8"/>
      <c r="ID72" s="8"/>
      <c r="IE72" s="8"/>
      <c r="IF72" s="8"/>
      <c r="IG72" s="8"/>
      <c r="IH72" s="8"/>
      <c r="II72" s="8"/>
      <c r="IJ72" s="8"/>
      <c r="IK72" s="8"/>
      <c r="IL72" s="8"/>
      <c r="IM72" s="8"/>
      <c r="IN72" s="168"/>
      <c r="IO72" s="8"/>
      <c r="IP72" s="8"/>
      <c r="IQ72" s="8"/>
      <c r="IR72" s="8"/>
      <c r="IS72" s="8"/>
      <c r="IT72" s="8"/>
      <c r="IU72" s="8"/>
      <c r="IV72" s="8"/>
      <c r="IW72" s="8"/>
      <c r="IX72" s="8"/>
      <c r="IY72" s="8"/>
      <c r="IZ72" s="8"/>
    </row>
    <row r="73" spans="1:260" hidden="1">
      <c r="A73" s="81" t="s">
        <v>184</v>
      </c>
      <c r="B73" s="285">
        <f t="shared" ref="B73:AG73" si="61">AVERAGEIFS($B84:$YO84,$B$60:$YO$60,RIGHT(LEFT(B$61,2),1),$B$59:$YO$59,RIGHT(B$61,4))</f>
        <v>531</v>
      </c>
      <c r="C73" s="285">
        <f t="shared" si="61"/>
        <v>677.5</v>
      </c>
      <c r="D73" s="285">
        <f t="shared" si="61"/>
        <v>398.83333333333331</v>
      </c>
      <c r="E73" s="285">
        <f t="shared" si="61"/>
        <v>529.83333333333337</v>
      </c>
      <c r="F73" s="285">
        <f t="shared" si="61"/>
        <v>462.16666666666669</v>
      </c>
      <c r="G73" s="285">
        <f t="shared" si="61"/>
        <v>510.83333333333331</v>
      </c>
      <c r="H73" s="285">
        <f t="shared" si="61"/>
        <v>539.83333333333337</v>
      </c>
      <c r="I73" s="285">
        <f t="shared" si="61"/>
        <v>823.33333333333337</v>
      </c>
      <c r="J73" s="285">
        <f t="shared" si="61"/>
        <v>758.33333333333337</v>
      </c>
      <c r="K73" s="285">
        <f t="shared" si="61"/>
        <v>875.83333333333337</v>
      </c>
      <c r="L73" s="285">
        <f t="shared" si="61"/>
        <v>792</v>
      </c>
      <c r="M73" s="285">
        <f t="shared" si="61"/>
        <v>1191.6666666666667</v>
      </c>
      <c r="N73" s="285">
        <f t="shared" si="61"/>
        <v>1225.1666666666667</v>
      </c>
      <c r="O73" s="285">
        <f t="shared" si="61"/>
        <v>1875.5</v>
      </c>
      <c r="P73" s="285">
        <f t="shared" si="61"/>
        <v>2162.1666666666665</v>
      </c>
      <c r="Q73" s="285">
        <f t="shared" si="61"/>
        <v>2951.6666666666665</v>
      </c>
      <c r="R73" s="285">
        <f t="shared" si="61"/>
        <v>1884.8333333333333</v>
      </c>
      <c r="S73" s="285">
        <f t="shared" si="61"/>
        <v>2797.5</v>
      </c>
      <c r="T73" s="285">
        <f t="shared" si="61"/>
        <v>2914.1666666666665</v>
      </c>
      <c r="U73" s="285">
        <f t="shared" si="61"/>
        <v>3598.1666666666665</v>
      </c>
      <c r="V73" s="285">
        <f t="shared" si="61"/>
        <v>3268</v>
      </c>
      <c r="W73" s="285">
        <f t="shared" si="61"/>
        <v>4054.8333333333335</v>
      </c>
      <c r="X73" s="285">
        <f t="shared" si="61"/>
        <v>3853.1666666666665</v>
      </c>
      <c r="Y73" s="285">
        <f t="shared" si="61"/>
        <v>3246.5</v>
      </c>
      <c r="Z73" s="285">
        <f t="shared" si="61"/>
        <v>2232.5</v>
      </c>
      <c r="AA73" s="285">
        <f t="shared" si="61"/>
        <v>2573.6666666666665</v>
      </c>
      <c r="AB73" s="285">
        <f t="shared" si="61"/>
        <v>2203.3333333333335</v>
      </c>
      <c r="AC73" s="285">
        <f t="shared" si="61"/>
        <v>2297.6666666666665</v>
      </c>
      <c r="AD73" s="285">
        <f t="shared" si="61"/>
        <v>1727.3333333333333</v>
      </c>
      <c r="AE73" s="285">
        <f t="shared" si="61"/>
        <v>2087.1666666666665</v>
      </c>
      <c r="AF73" s="285">
        <f t="shared" si="61"/>
        <v>1726.5</v>
      </c>
      <c r="AG73" s="285">
        <f t="shared" si="61"/>
        <v>2145.5500000000002</v>
      </c>
      <c r="AH73" s="285">
        <f t="shared" ref="AH73:BB73" si="62">AVERAGEIFS($B84:$YO84,$B$60:$YO$60,RIGHT(LEFT(AH$61,2),1),$B$59:$YO$59,RIGHT(AH$61,4))</f>
        <v>1984.583333333333</v>
      </c>
      <c r="AI73" s="285">
        <f t="shared" si="62"/>
        <v>2407.6833333333334</v>
      </c>
      <c r="AJ73" s="285">
        <f t="shared" si="62"/>
        <v>2562.9</v>
      </c>
      <c r="AK73" s="285">
        <f t="shared" si="62"/>
        <v>2791.1666666666665</v>
      </c>
      <c r="AL73" s="285">
        <f t="shared" si="62"/>
        <v>2926.2333333333336</v>
      </c>
      <c r="AM73" s="285">
        <f t="shared" ref="AM73:AR73" si="63">AVERAGEIFS($B84:$YO84,$B$60:$YO$60,RIGHT(LEFT(AM$61,2),1),$B$59:$YO$59,RIGHT(AM$61,4))</f>
        <v>3445.6499999999996</v>
      </c>
      <c r="AN73" s="955">
        <f t="shared" si="63"/>
        <v>3108.2667666666662</v>
      </c>
      <c r="AO73" s="285">
        <f t="shared" si="63"/>
        <v>4252.3257499999991</v>
      </c>
      <c r="AP73" s="285">
        <f t="shared" si="63"/>
        <v>4103.2687333333324</v>
      </c>
      <c r="AQ73" s="285" t="e">
        <f t="shared" si="63"/>
        <v>#DIV/0!</v>
      </c>
      <c r="AR73" s="285" t="e">
        <f t="shared" si="63"/>
        <v>#DIV/0!</v>
      </c>
      <c r="AS73" s="285" t="e">
        <f t="shared" si="62"/>
        <v>#DIV/0!</v>
      </c>
      <c r="AT73" s="285" t="e">
        <f t="shared" si="62"/>
        <v>#DIV/0!</v>
      </c>
      <c r="AU73" s="285" t="e">
        <f t="shared" si="62"/>
        <v>#DIV/0!</v>
      </c>
      <c r="AV73" s="285" t="e">
        <f t="shared" si="62"/>
        <v>#DIV/0!</v>
      </c>
      <c r="AW73" s="285" t="e">
        <f t="shared" si="62"/>
        <v>#DIV/0!</v>
      </c>
      <c r="AX73" s="285" t="e">
        <f t="shared" si="62"/>
        <v>#DIV/0!</v>
      </c>
      <c r="AY73" s="285" t="e">
        <f t="shared" si="62"/>
        <v>#DIV/0!</v>
      </c>
      <c r="AZ73" s="285" t="e">
        <f t="shared" si="62"/>
        <v>#DIV/0!</v>
      </c>
      <c r="BA73" s="285" t="e">
        <f t="shared" si="62"/>
        <v>#DIV/0!</v>
      </c>
      <c r="BB73" s="285" t="e">
        <f t="shared" si="62"/>
        <v>#DIV/0!</v>
      </c>
      <c r="BC73" s="128"/>
      <c r="BD73" s="128"/>
      <c r="BE73" s="128"/>
      <c r="BF73" s="128"/>
      <c r="BG73" s="128"/>
      <c r="BH73" s="128"/>
      <c r="BI73" s="128"/>
      <c r="BJ73" s="128"/>
      <c r="BK73" s="128"/>
      <c r="BL73" s="128"/>
      <c r="BM73" s="128"/>
      <c r="BN73" s="128"/>
      <c r="BO73" s="128"/>
      <c r="BP73" s="128"/>
      <c r="BQ73" s="128"/>
      <c r="BR73" s="128"/>
      <c r="BS73" s="128"/>
      <c r="FY73" s="167"/>
      <c r="GE73" s="167"/>
      <c r="GK73" s="167"/>
      <c r="GL73" s="205"/>
      <c r="GM73" s="205"/>
      <c r="GN73" s="205"/>
      <c r="GO73" s="205"/>
      <c r="GP73" s="205"/>
      <c r="GQ73" s="167"/>
      <c r="GR73" s="205"/>
      <c r="GS73" s="205"/>
      <c r="GT73" s="205"/>
      <c r="GU73" s="205"/>
      <c r="GV73" s="205"/>
      <c r="GW73" s="167"/>
      <c r="GX73" s="205"/>
      <c r="GY73" s="205"/>
      <c r="GZ73" s="205"/>
      <c r="HA73" s="205"/>
      <c r="HB73" s="205"/>
      <c r="HC73" s="205"/>
      <c r="HV73" s="8"/>
      <c r="HW73" s="8"/>
      <c r="HX73" s="8"/>
      <c r="HY73" s="8"/>
      <c r="HZ73" s="8"/>
      <c r="IA73" s="8"/>
      <c r="IB73" s="8"/>
      <c r="IC73" s="8"/>
      <c r="ID73" s="8"/>
      <c r="IE73" s="8"/>
      <c r="IF73" s="8"/>
      <c r="IG73" s="8"/>
      <c r="IH73" s="8"/>
      <c r="II73" s="8"/>
      <c r="IJ73" s="8"/>
      <c r="IK73" s="8"/>
      <c r="IL73" s="8"/>
      <c r="IM73" s="8"/>
      <c r="IN73" s="168"/>
      <c r="IO73" s="8"/>
      <c r="IP73" s="8"/>
      <c r="IQ73" s="8"/>
      <c r="IR73" s="8"/>
      <c r="IS73" s="8"/>
      <c r="IT73" s="8"/>
      <c r="IU73" s="8"/>
      <c r="IV73" s="8"/>
      <c r="IW73" s="8"/>
      <c r="IX73" s="8"/>
      <c r="IY73" s="8"/>
      <c r="IZ73" s="8"/>
    </row>
    <row r="74" spans="1:260" ht="15.75" hidden="1" thickBot="1">
      <c r="A74" s="82" t="s">
        <v>48</v>
      </c>
      <c r="B74" s="284">
        <f t="shared" ref="B74:AG74" si="64">AVERAGEIFS($B55:$YO55,$B$60:$YO$60,RIGHT(LEFT(B$61,2),1),$B$59:$YO$59,RIGHT(B$61,4))</f>
        <v>1387.5</v>
      </c>
      <c r="C74" s="284">
        <f t="shared" si="64"/>
        <v>1427.5</v>
      </c>
      <c r="D74" s="284">
        <f t="shared" si="64"/>
        <v>1312.6666666666667</v>
      </c>
      <c r="E74" s="284">
        <f t="shared" si="64"/>
        <v>1406</v>
      </c>
      <c r="F74" s="284">
        <f t="shared" si="64"/>
        <v>1248.5</v>
      </c>
      <c r="G74" s="284">
        <f t="shared" si="64"/>
        <v>1341.6666666666667</v>
      </c>
      <c r="H74" s="284">
        <f t="shared" si="64"/>
        <v>1400.5</v>
      </c>
      <c r="I74" s="284">
        <f t="shared" si="64"/>
        <v>1637</v>
      </c>
      <c r="J74" s="284">
        <f t="shared" si="64"/>
        <v>1654.5</v>
      </c>
      <c r="K74" s="284">
        <f t="shared" si="64"/>
        <v>1853.6666666666667</v>
      </c>
      <c r="L74" s="284">
        <f t="shared" si="64"/>
        <v>1661.8333333333333</v>
      </c>
      <c r="M74" s="284">
        <f t="shared" si="64"/>
        <v>1627.8333333333333</v>
      </c>
      <c r="N74" s="284">
        <f t="shared" si="64"/>
        <v>1634.8333333333333</v>
      </c>
      <c r="O74" s="284">
        <f t="shared" si="64"/>
        <v>1788</v>
      </c>
      <c r="P74" s="284">
        <f t="shared" si="64"/>
        <v>1835</v>
      </c>
      <c r="Q74" s="284">
        <f t="shared" si="64"/>
        <v>2125.1666666666665</v>
      </c>
      <c r="R74" s="284">
        <f t="shared" si="64"/>
        <v>2061.1666666666665</v>
      </c>
      <c r="S74" s="284">
        <f t="shared" si="64"/>
        <v>1977.3333333333333</v>
      </c>
      <c r="T74" s="284">
        <f t="shared" si="64"/>
        <v>2083.3333333333335</v>
      </c>
      <c r="U74" s="284">
        <f t="shared" si="64"/>
        <v>2680.1666666666665</v>
      </c>
      <c r="V74" s="284">
        <f t="shared" si="64"/>
        <v>3024.3333333333335</v>
      </c>
      <c r="W74" s="284">
        <f t="shared" si="64"/>
        <v>3290.1666666666665</v>
      </c>
      <c r="X74" s="284">
        <f t="shared" si="64"/>
        <v>2988.8333333333335</v>
      </c>
      <c r="Y74" s="284">
        <f t="shared" si="64"/>
        <v>2752.3333333333335</v>
      </c>
      <c r="Z74" s="284">
        <f t="shared" si="64"/>
        <v>2634.5</v>
      </c>
      <c r="AA74" s="284">
        <f t="shared" si="64"/>
        <v>2680</v>
      </c>
      <c r="AB74" s="284">
        <f t="shared" si="64"/>
        <v>2415.8333333333335</v>
      </c>
      <c r="AC74" s="284">
        <f t="shared" si="64"/>
        <v>2325.3333333333335</v>
      </c>
      <c r="AD74" s="284">
        <f t="shared" si="64"/>
        <v>2025.3333333333333</v>
      </c>
      <c r="AE74" s="284">
        <f t="shared" si="64"/>
        <v>2107</v>
      </c>
      <c r="AF74" s="284">
        <f t="shared" si="64"/>
        <v>1777.1666666666667</v>
      </c>
      <c r="AG74" s="284">
        <f t="shared" si="64"/>
        <v>1678.4666666666665</v>
      </c>
      <c r="AH74" s="284">
        <f t="shared" ref="AH74:BB74" si="65">AVERAGEIFS($B55:$YO55,$B$60:$YO$60,RIGHT(LEFT(AH$61,2),1),$B$59:$YO$59,RIGHT(AH$61,4))</f>
        <v>1842.5833333333333</v>
      </c>
      <c r="AI74" s="284">
        <f t="shared" si="65"/>
        <v>2097.6333333333332</v>
      </c>
      <c r="AJ74" s="284">
        <f t="shared" si="65"/>
        <v>2145.7166666666667</v>
      </c>
      <c r="AK74" s="284">
        <f t="shared" si="65"/>
        <v>2289.3333333333335</v>
      </c>
      <c r="AL74" s="284">
        <f t="shared" si="65"/>
        <v>2245.5000000000005</v>
      </c>
      <c r="AM74" s="284">
        <f t="shared" si="65"/>
        <v>2272.6666666666665</v>
      </c>
      <c r="AN74" s="955">
        <f t="shared" si="65"/>
        <v>2283.2289500000002</v>
      </c>
      <c r="AO74" s="284">
        <f t="shared" si="65"/>
        <v>2949.3458333333328</v>
      </c>
      <c r="AP74" s="284">
        <f t="shared" si="65"/>
        <v>2636.20795</v>
      </c>
      <c r="AQ74" s="284" t="e">
        <f t="shared" si="65"/>
        <v>#DIV/0!</v>
      </c>
      <c r="AR74" s="284" t="e">
        <f t="shared" si="65"/>
        <v>#DIV/0!</v>
      </c>
      <c r="AS74" s="284" t="e">
        <f t="shared" si="65"/>
        <v>#DIV/0!</v>
      </c>
      <c r="AT74" s="284" t="e">
        <f t="shared" si="65"/>
        <v>#DIV/0!</v>
      </c>
      <c r="AU74" s="284" t="e">
        <f t="shared" si="65"/>
        <v>#DIV/0!</v>
      </c>
      <c r="AV74" s="284" t="e">
        <f t="shared" si="65"/>
        <v>#DIV/0!</v>
      </c>
      <c r="AW74" s="284" t="e">
        <f t="shared" si="65"/>
        <v>#DIV/0!</v>
      </c>
      <c r="AX74" s="284" t="e">
        <f t="shared" si="65"/>
        <v>#DIV/0!</v>
      </c>
      <c r="AY74" s="284" t="e">
        <f t="shared" si="65"/>
        <v>#DIV/0!</v>
      </c>
      <c r="AZ74" s="284" t="e">
        <f t="shared" si="65"/>
        <v>#DIV/0!</v>
      </c>
      <c r="BA74" s="284" t="e">
        <f t="shared" si="65"/>
        <v>#DIV/0!</v>
      </c>
      <c r="BB74" s="284" t="e">
        <f t="shared" si="65"/>
        <v>#DIV/0!</v>
      </c>
      <c r="BC74" s="128"/>
      <c r="BD74" s="128"/>
      <c r="BE74" s="128"/>
      <c r="BF74" s="128"/>
      <c r="BG74" s="128"/>
      <c r="BH74" s="128"/>
      <c r="BI74" s="128"/>
      <c r="BJ74" s="128"/>
      <c r="BK74" s="128"/>
      <c r="BL74" s="128"/>
      <c r="BM74" s="128"/>
      <c r="BN74" s="128"/>
      <c r="BO74" s="128"/>
      <c r="BP74" s="128"/>
      <c r="BQ74" s="128"/>
      <c r="BR74" s="128"/>
      <c r="BS74" s="128"/>
      <c r="FY74" s="167"/>
      <c r="GE74" s="167"/>
      <c r="GK74" s="167"/>
      <c r="GL74" s="205"/>
      <c r="GM74" s="205"/>
      <c r="GN74" s="205"/>
      <c r="GO74" s="205"/>
      <c r="GP74" s="205"/>
      <c r="GQ74" s="167"/>
      <c r="GR74" s="205"/>
      <c r="GS74" s="205"/>
      <c r="GT74" s="205"/>
      <c r="GU74" s="205"/>
      <c r="GV74" s="205"/>
      <c r="GW74" s="167"/>
      <c r="GX74" s="205"/>
      <c r="GY74" s="205"/>
      <c r="GZ74" s="205"/>
      <c r="HA74" s="205"/>
      <c r="HB74" s="205"/>
      <c r="HC74" s="205"/>
      <c r="HV74" s="8"/>
      <c r="HW74" s="8"/>
      <c r="HX74" s="8"/>
      <c r="HY74" s="8"/>
      <c r="HZ74" s="8"/>
      <c r="IA74" s="8"/>
      <c r="IB74" s="8"/>
      <c r="IC74" s="8"/>
      <c r="ID74" s="8"/>
      <c r="IE74" s="8"/>
      <c r="IF74" s="8"/>
      <c r="IG74" s="8"/>
      <c r="IH74" s="8"/>
      <c r="II74" s="8"/>
      <c r="IJ74" s="8"/>
      <c r="IK74" s="8"/>
      <c r="IL74" s="8"/>
      <c r="IM74" s="8"/>
      <c r="IN74" s="168"/>
      <c r="IO74" s="8"/>
      <c r="IP74" s="8"/>
      <c r="IQ74" s="8"/>
      <c r="IR74" s="8"/>
      <c r="IS74" s="8"/>
      <c r="IT74" s="8"/>
      <c r="IU74" s="8"/>
      <c r="IV74" s="8"/>
      <c r="IW74" s="8"/>
      <c r="IX74" s="8"/>
      <c r="IY74" s="8"/>
      <c r="IZ74" s="8"/>
    </row>
    <row r="75" spans="1:260" ht="16.5" hidden="1" thickTop="1" thickBot="1">
      <c r="A75" s="50" t="s">
        <v>141</v>
      </c>
      <c r="B75" s="150">
        <f t="shared" ref="B75:AG75" si="66">AVERAGEIFS($B56:$YO56,$B$60:$YO$60,RIGHT(LEFT(B$61,2),1),$B$59:$YO$59,RIGHT(B$61,4))</f>
        <v>42496.666666666664</v>
      </c>
      <c r="C75" s="150">
        <f t="shared" si="66"/>
        <v>43486.333333333336</v>
      </c>
      <c r="D75" s="150">
        <f t="shared" si="66"/>
        <v>41404</v>
      </c>
      <c r="E75" s="150">
        <f t="shared" si="66"/>
        <v>42676.5</v>
      </c>
      <c r="F75" s="150">
        <f t="shared" si="66"/>
        <v>43300.833333333336</v>
      </c>
      <c r="G75" s="150">
        <f t="shared" si="66"/>
        <v>44856.166666666664</v>
      </c>
      <c r="H75" s="150">
        <f t="shared" si="66"/>
        <v>47387.166666666664</v>
      </c>
      <c r="I75" s="150">
        <f t="shared" si="66"/>
        <v>49841.833333333336</v>
      </c>
      <c r="J75" s="150">
        <f t="shared" si="66"/>
        <v>50350.166666666664</v>
      </c>
      <c r="K75" s="150">
        <f t="shared" si="66"/>
        <v>54549.5</v>
      </c>
      <c r="L75" s="150">
        <f t="shared" si="66"/>
        <v>57536.5</v>
      </c>
      <c r="M75" s="150">
        <f t="shared" si="66"/>
        <v>61811.333333333336</v>
      </c>
      <c r="N75" s="150">
        <f t="shared" si="66"/>
        <v>63765.5</v>
      </c>
      <c r="O75" s="150">
        <f t="shared" si="66"/>
        <v>66270.5</v>
      </c>
      <c r="P75" s="150">
        <f t="shared" si="66"/>
        <v>67629.166666666672</v>
      </c>
      <c r="Q75" s="150">
        <f t="shared" si="66"/>
        <v>74444.833333333328</v>
      </c>
      <c r="R75" s="150">
        <f t="shared" si="66"/>
        <v>68615.166666666672</v>
      </c>
      <c r="S75" s="150">
        <f t="shared" si="66"/>
        <v>66581.5</v>
      </c>
      <c r="T75" s="150">
        <f t="shared" si="66"/>
        <v>68031.5</v>
      </c>
      <c r="U75" s="150">
        <f t="shared" si="66"/>
        <v>76134.333333333328</v>
      </c>
      <c r="V75" s="150">
        <f t="shared" si="66"/>
        <v>81195</v>
      </c>
      <c r="W75" s="150">
        <f t="shared" si="66"/>
        <v>90789.333333333328</v>
      </c>
      <c r="X75" s="150">
        <f t="shared" si="66"/>
        <v>96551</v>
      </c>
      <c r="Y75" s="150">
        <f t="shared" si="66"/>
        <v>100641.66666666667</v>
      </c>
      <c r="Z75" s="150">
        <f t="shared" si="66"/>
        <v>102088.5</v>
      </c>
      <c r="AA75" s="150">
        <f t="shared" si="66"/>
        <v>101268.16666666667</v>
      </c>
      <c r="AB75" s="150">
        <f t="shared" si="66"/>
        <v>94849.333333333328</v>
      </c>
      <c r="AC75" s="150">
        <f t="shared" si="66"/>
        <v>95617.666666666672</v>
      </c>
      <c r="AD75" s="150">
        <f t="shared" si="66"/>
        <v>87781.333333333328</v>
      </c>
      <c r="AE75" s="150">
        <f t="shared" si="66"/>
        <v>86549.666666666672</v>
      </c>
      <c r="AF75" s="150">
        <f t="shared" si="66"/>
        <v>83253</v>
      </c>
      <c r="AG75" s="150">
        <f t="shared" si="66"/>
        <v>83906.3</v>
      </c>
      <c r="AH75" s="957">
        <f t="shared" ref="AH75:BB75" si="67">AVERAGEIFS($B56:$YO56,$B$60:$YO$60,RIGHT(LEFT(AH$61,2),1),$B$59:$YO$59,RIGHT(AH$61,4))</f>
        <v>85255.016666666663</v>
      </c>
      <c r="AI75" s="150">
        <f t="shared" si="67"/>
        <v>88343.683333333334</v>
      </c>
      <c r="AJ75" s="150">
        <f t="shared" si="67"/>
        <v>91367.083333333328</v>
      </c>
      <c r="AK75" s="150">
        <f t="shared" si="67"/>
        <v>97150.116666666654</v>
      </c>
      <c r="AL75" s="151">
        <f t="shared" si="67"/>
        <v>99442.316666666666</v>
      </c>
      <c r="AM75" s="151">
        <f t="shared" si="67"/>
        <v>104171.21666666666</v>
      </c>
      <c r="AN75" s="956">
        <f t="shared" si="67"/>
        <v>104074.77995</v>
      </c>
      <c r="AO75" s="151">
        <f t="shared" si="67"/>
        <v>116283.06243333333</v>
      </c>
      <c r="AP75" s="151">
        <f t="shared" si="67"/>
        <v>112171.29904999997</v>
      </c>
      <c r="AQ75" s="151" t="e">
        <f t="shared" si="67"/>
        <v>#DIV/0!</v>
      </c>
      <c r="AR75" s="151" t="e">
        <f t="shared" si="67"/>
        <v>#DIV/0!</v>
      </c>
      <c r="AS75" s="151" t="e">
        <f t="shared" si="67"/>
        <v>#DIV/0!</v>
      </c>
      <c r="AT75" s="151" t="e">
        <f t="shared" si="67"/>
        <v>#DIV/0!</v>
      </c>
      <c r="AU75" s="151" t="e">
        <f t="shared" si="67"/>
        <v>#DIV/0!</v>
      </c>
      <c r="AV75" s="151" t="e">
        <f t="shared" si="67"/>
        <v>#DIV/0!</v>
      </c>
      <c r="AW75" s="151" t="e">
        <f t="shared" si="67"/>
        <v>#DIV/0!</v>
      </c>
      <c r="AX75" s="151" t="e">
        <f t="shared" si="67"/>
        <v>#DIV/0!</v>
      </c>
      <c r="AY75" s="151" t="e">
        <f t="shared" si="67"/>
        <v>#DIV/0!</v>
      </c>
      <c r="AZ75" s="151" t="e">
        <f t="shared" si="67"/>
        <v>#DIV/0!</v>
      </c>
      <c r="BA75" s="151" t="e">
        <f t="shared" si="67"/>
        <v>#DIV/0!</v>
      </c>
      <c r="BB75" s="151" t="e">
        <f t="shared" si="67"/>
        <v>#DIV/0!</v>
      </c>
      <c r="BC75" s="172"/>
      <c r="BD75" s="172"/>
      <c r="BE75" s="172"/>
      <c r="BF75" s="172"/>
      <c r="BG75" s="172"/>
      <c r="BH75" s="172"/>
      <c r="BI75" s="172"/>
      <c r="BJ75" s="172"/>
      <c r="BK75" s="172"/>
      <c r="BL75" s="172"/>
      <c r="BM75" s="172"/>
      <c r="BN75" s="172"/>
      <c r="BO75" s="172"/>
      <c r="BP75" s="172"/>
      <c r="BQ75" s="172"/>
      <c r="BR75" s="172"/>
      <c r="BS75" s="172"/>
      <c r="FY75" s="167"/>
      <c r="GE75" s="167"/>
      <c r="GK75" s="167"/>
      <c r="GL75" s="205"/>
      <c r="GM75" s="205"/>
      <c r="GN75" s="205"/>
      <c r="GO75" s="205"/>
      <c r="GP75" s="205"/>
      <c r="GQ75" s="167"/>
      <c r="GR75" s="205"/>
      <c r="GS75" s="205"/>
      <c r="GT75" s="205"/>
      <c r="GU75" s="205"/>
      <c r="GV75" s="205"/>
      <c r="GW75" s="167"/>
      <c r="GX75" s="205"/>
      <c r="GY75" s="205"/>
      <c r="GZ75" s="205"/>
      <c r="HA75" s="205"/>
      <c r="HB75" s="205"/>
      <c r="HC75" s="205"/>
      <c r="HV75" s="8"/>
      <c r="HW75" s="8"/>
      <c r="HX75" s="8"/>
      <c r="HY75" s="8"/>
      <c r="HZ75" s="8"/>
      <c r="IA75" s="8"/>
      <c r="IB75" s="8"/>
      <c r="IC75" s="8"/>
      <c r="ID75" s="8"/>
      <c r="IE75" s="8"/>
      <c r="IF75" s="8"/>
      <c r="IG75" s="8"/>
      <c r="IH75" s="8"/>
      <c r="II75" s="8"/>
      <c r="IJ75" s="8"/>
      <c r="IK75" s="8"/>
      <c r="IL75" s="8"/>
      <c r="IM75" s="8"/>
      <c r="IN75" s="168"/>
      <c r="IO75" s="8"/>
      <c r="IP75" s="8"/>
      <c r="IQ75" s="8"/>
      <c r="IR75" s="8"/>
      <c r="IS75" s="8"/>
      <c r="IT75" s="8"/>
      <c r="IU75" s="8"/>
      <c r="IV75" s="8"/>
      <c r="IW75" s="8"/>
      <c r="IX75" s="8"/>
      <c r="IY75" s="8"/>
      <c r="IZ75" s="8"/>
    </row>
    <row r="76" spans="1:260" s="168" customFormat="1" hidden="1">
      <c r="B76" s="168">
        <v>1</v>
      </c>
      <c r="C76" s="168">
        <v>2</v>
      </c>
      <c r="D76" s="168">
        <v>1</v>
      </c>
      <c r="E76" s="168">
        <v>2</v>
      </c>
      <c r="F76" s="168">
        <v>1</v>
      </c>
      <c r="G76" s="168">
        <v>2</v>
      </c>
      <c r="H76" s="168">
        <v>1</v>
      </c>
      <c r="I76" s="168">
        <v>2</v>
      </c>
      <c r="J76" s="168">
        <v>1</v>
      </c>
      <c r="K76" s="168">
        <v>2</v>
      </c>
      <c r="L76" s="168">
        <v>1</v>
      </c>
      <c r="M76" s="168">
        <v>2</v>
      </c>
      <c r="N76" s="168">
        <v>1</v>
      </c>
      <c r="O76" s="168">
        <v>2</v>
      </c>
      <c r="P76" s="168">
        <v>1</v>
      </c>
      <c r="Q76" s="168">
        <v>2</v>
      </c>
      <c r="R76" s="168">
        <v>1</v>
      </c>
      <c r="S76" s="168">
        <v>2</v>
      </c>
      <c r="T76" s="168">
        <v>1</v>
      </c>
      <c r="U76" s="168">
        <v>2</v>
      </c>
      <c r="V76" s="168">
        <v>1</v>
      </c>
      <c r="W76" s="168">
        <v>2</v>
      </c>
      <c r="X76" s="168">
        <v>1</v>
      </c>
      <c r="Y76" s="168">
        <v>2</v>
      </c>
      <c r="Z76" s="168">
        <v>1</v>
      </c>
      <c r="AA76" s="168">
        <v>2</v>
      </c>
      <c r="AB76" s="168">
        <v>1</v>
      </c>
      <c r="AC76" s="168">
        <v>2</v>
      </c>
      <c r="AD76" s="168">
        <v>1</v>
      </c>
      <c r="AE76" s="168">
        <v>2</v>
      </c>
      <c r="AF76" s="168">
        <v>1</v>
      </c>
      <c r="AG76" s="168">
        <v>2</v>
      </c>
      <c r="AH76" s="168">
        <v>1</v>
      </c>
      <c r="AI76" s="168">
        <v>2</v>
      </c>
      <c r="AJ76" s="168">
        <v>1</v>
      </c>
      <c r="AK76" s="168">
        <v>2</v>
      </c>
      <c r="AL76" s="168">
        <v>1</v>
      </c>
      <c r="AM76" s="168">
        <v>2</v>
      </c>
      <c r="AN76" s="168">
        <v>1</v>
      </c>
      <c r="AO76" s="168">
        <v>2</v>
      </c>
      <c r="AP76" s="168">
        <v>1</v>
      </c>
      <c r="AQ76" s="168">
        <v>2</v>
      </c>
      <c r="AR76" s="168">
        <v>1</v>
      </c>
      <c r="AS76" s="168">
        <v>2</v>
      </c>
      <c r="AT76" s="168">
        <v>1</v>
      </c>
      <c r="AU76" s="168">
        <v>2</v>
      </c>
      <c r="AV76" s="168">
        <v>1</v>
      </c>
      <c r="AW76" s="168">
        <v>2</v>
      </c>
      <c r="AX76" s="168">
        <v>1</v>
      </c>
      <c r="AY76" s="168">
        <v>2</v>
      </c>
      <c r="AZ76" s="168">
        <v>1</v>
      </c>
      <c r="BA76" s="168">
        <v>2</v>
      </c>
      <c r="BB76" s="168">
        <v>1</v>
      </c>
      <c r="BC76" s="168">
        <v>2</v>
      </c>
      <c r="BD76" s="168">
        <v>1</v>
      </c>
      <c r="BE76" s="168">
        <v>2</v>
      </c>
      <c r="BF76" s="168">
        <v>1</v>
      </c>
      <c r="BG76" s="168">
        <v>2</v>
      </c>
      <c r="BH76" s="168">
        <v>1</v>
      </c>
      <c r="BI76" s="168">
        <v>2</v>
      </c>
      <c r="BJ76" s="168">
        <v>1</v>
      </c>
      <c r="BK76" s="168">
        <v>2</v>
      </c>
      <c r="BL76" s="168">
        <v>1</v>
      </c>
      <c r="BM76" s="168">
        <v>2</v>
      </c>
      <c r="BN76" s="168">
        <v>1</v>
      </c>
      <c r="BO76" s="168">
        <v>2</v>
      </c>
      <c r="BP76" s="168">
        <v>1</v>
      </c>
      <c r="BQ76" s="168">
        <v>2</v>
      </c>
      <c r="BR76" s="168">
        <v>1</v>
      </c>
      <c r="BS76" s="168">
        <v>2</v>
      </c>
      <c r="FY76" s="941"/>
      <c r="GE76" s="941"/>
      <c r="GK76" s="941"/>
      <c r="GQ76" s="941"/>
      <c r="GW76" s="941"/>
    </row>
    <row r="77" spans="1:260" s="954" customFormat="1" ht="18.75" hidden="1">
      <c r="B77" s="954">
        <f t="shared" ref="B77:AG77" si="68">VALUE(RIGHT(B61,4))</f>
        <v>2001</v>
      </c>
      <c r="C77" s="954">
        <f t="shared" si="68"/>
        <v>2001</v>
      </c>
      <c r="D77" s="954">
        <f t="shared" si="68"/>
        <v>2002</v>
      </c>
      <c r="E77" s="954">
        <f t="shared" si="68"/>
        <v>2002</v>
      </c>
      <c r="F77" s="954">
        <f t="shared" si="68"/>
        <v>2003</v>
      </c>
      <c r="G77" s="954">
        <f t="shared" si="68"/>
        <v>2003</v>
      </c>
      <c r="H77" s="954">
        <f t="shared" si="68"/>
        <v>2004</v>
      </c>
      <c r="I77" s="954">
        <f t="shared" si="68"/>
        <v>2004</v>
      </c>
      <c r="J77" s="954">
        <f t="shared" si="68"/>
        <v>2005</v>
      </c>
      <c r="K77" s="954">
        <f t="shared" si="68"/>
        <v>2005</v>
      </c>
      <c r="L77" s="954">
        <f t="shared" si="68"/>
        <v>2006</v>
      </c>
      <c r="M77" s="954">
        <f t="shared" si="68"/>
        <v>2006</v>
      </c>
      <c r="N77" s="954">
        <f t="shared" si="68"/>
        <v>2007</v>
      </c>
      <c r="O77" s="954">
        <f t="shared" si="68"/>
        <v>2007</v>
      </c>
      <c r="P77" s="954">
        <f t="shared" si="68"/>
        <v>2008</v>
      </c>
      <c r="Q77" s="954">
        <f t="shared" si="68"/>
        <v>2008</v>
      </c>
      <c r="R77" s="954">
        <f t="shared" si="68"/>
        <v>2009</v>
      </c>
      <c r="S77" s="954">
        <f t="shared" si="68"/>
        <v>2009</v>
      </c>
      <c r="T77" s="954">
        <f t="shared" si="68"/>
        <v>2010</v>
      </c>
      <c r="U77" s="954">
        <f t="shared" si="68"/>
        <v>2010</v>
      </c>
      <c r="V77" s="954">
        <f t="shared" si="68"/>
        <v>2011</v>
      </c>
      <c r="W77" s="954">
        <f t="shared" si="68"/>
        <v>2011</v>
      </c>
      <c r="X77" s="954">
        <f t="shared" si="68"/>
        <v>2012</v>
      </c>
      <c r="Y77" s="954">
        <f t="shared" si="68"/>
        <v>2012</v>
      </c>
      <c r="Z77" s="954">
        <f t="shared" si="68"/>
        <v>2013</v>
      </c>
      <c r="AA77" s="954">
        <f t="shared" si="68"/>
        <v>2013</v>
      </c>
      <c r="AB77" s="954">
        <f t="shared" si="68"/>
        <v>2014</v>
      </c>
      <c r="AC77" s="954">
        <f t="shared" si="68"/>
        <v>2014</v>
      </c>
      <c r="AD77" s="954">
        <f t="shared" si="68"/>
        <v>2015</v>
      </c>
      <c r="AE77" s="954">
        <f t="shared" si="68"/>
        <v>2015</v>
      </c>
      <c r="AF77" s="954">
        <f t="shared" si="68"/>
        <v>2016</v>
      </c>
      <c r="AG77" s="954">
        <f t="shared" si="68"/>
        <v>2016</v>
      </c>
      <c r="AH77" s="954">
        <f>VALUE(RIGHT(AH61,4))</f>
        <v>2017</v>
      </c>
      <c r="AI77" s="954">
        <f t="shared" ref="AI77:BM77" si="69">VALUE(RIGHT(AI61,4))</f>
        <v>2017</v>
      </c>
      <c r="AJ77" s="954">
        <f t="shared" si="69"/>
        <v>2018</v>
      </c>
      <c r="AK77" s="954">
        <f t="shared" si="69"/>
        <v>2018</v>
      </c>
      <c r="AL77" s="954">
        <f t="shared" si="69"/>
        <v>2019</v>
      </c>
      <c r="AM77" s="954">
        <f t="shared" si="69"/>
        <v>2019</v>
      </c>
      <c r="AN77" s="954">
        <f t="shared" si="69"/>
        <v>2020</v>
      </c>
      <c r="AO77" s="954">
        <f t="shared" si="69"/>
        <v>2020</v>
      </c>
      <c r="AP77" s="954">
        <f t="shared" si="69"/>
        <v>2021</v>
      </c>
      <c r="AQ77" s="954">
        <f t="shared" si="69"/>
        <v>2021</v>
      </c>
      <c r="AR77" s="954">
        <f t="shared" si="69"/>
        <v>2022</v>
      </c>
      <c r="AS77" s="954">
        <f t="shared" si="69"/>
        <v>2022</v>
      </c>
      <c r="AT77" s="954" t="e">
        <f t="shared" si="69"/>
        <v>#VALUE!</v>
      </c>
      <c r="AU77" s="954" t="e">
        <f t="shared" si="69"/>
        <v>#VALUE!</v>
      </c>
      <c r="AV77" s="954" t="e">
        <f t="shared" si="69"/>
        <v>#VALUE!</v>
      </c>
      <c r="AW77" s="954" t="e">
        <f t="shared" si="69"/>
        <v>#VALUE!</v>
      </c>
      <c r="AX77" s="954" t="e">
        <f t="shared" si="69"/>
        <v>#VALUE!</v>
      </c>
      <c r="AY77" s="954" t="e">
        <f t="shared" si="69"/>
        <v>#VALUE!</v>
      </c>
      <c r="AZ77" s="954" t="e">
        <f t="shared" si="69"/>
        <v>#VALUE!</v>
      </c>
      <c r="BA77" s="954" t="e">
        <f t="shared" si="69"/>
        <v>#VALUE!</v>
      </c>
      <c r="BB77" s="954" t="e">
        <f t="shared" si="69"/>
        <v>#VALUE!</v>
      </c>
      <c r="BC77" s="954" t="e">
        <f t="shared" si="69"/>
        <v>#VALUE!</v>
      </c>
      <c r="BD77" s="954" t="e">
        <f t="shared" si="69"/>
        <v>#VALUE!</v>
      </c>
      <c r="BE77" s="954" t="e">
        <f t="shared" si="69"/>
        <v>#VALUE!</v>
      </c>
      <c r="BF77" s="954" t="e">
        <f t="shared" si="69"/>
        <v>#VALUE!</v>
      </c>
      <c r="BG77" s="954" t="e">
        <f t="shared" si="69"/>
        <v>#VALUE!</v>
      </c>
      <c r="BH77" s="954" t="e">
        <f t="shared" si="69"/>
        <v>#VALUE!</v>
      </c>
      <c r="BI77" s="954" t="e">
        <f t="shared" si="69"/>
        <v>#VALUE!</v>
      </c>
      <c r="BJ77" s="954" t="e">
        <f t="shared" si="69"/>
        <v>#VALUE!</v>
      </c>
      <c r="BK77" s="954" t="e">
        <f t="shared" si="69"/>
        <v>#VALUE!</v>
      </c>
      <c r="BL77" s="954" t="e">
        <f t="shared" si="69"/>
        <v>#VALUE!</v>
      </c>
      <c r="BM77" s="954" t="e">
        <f t="shared" si="69"/>
        <v>#VALUE!</v>
      </c>
      <c r="BN77" s="954" t="e">
        <f t="shared" ref="BN77:BS77" si="70">VALUE(RIGHT(BN61,4))</f>
        <v>#VALUE!</v>
      </c>
      <c r="BO77" s="954" t="e">
        <f t="shared" si="70"/>
        <v>#VALUE!</v>
      </c>
      <c r="BP77" s="954" t="e">
        <f t="shared" si="70"/>
        <v>#VALUE!</v>
      </c>
      <c r="BQ77" s="954" t="e">
        <f t="shared" si="70"/>
        <v>#VALUE!</v>
      </c>
      <c r="BR77" s="954" t="e">
        <f t="shared" si="70"/>
        <v>#VALUE!</v>
      </c>
      <c r="BS77" s="954" t="e">
        <f t="shared" si="70"/>
        <v>#VALUE!</v>
      </c>
      <c r="FY77" s="963"/>
      <c r="GE77" s="963"/>
      <c r="GK77" s="963"/>
      <c r="GQ77" s="963"/>
      <c r="GW77" s="963"/>
    </row>
    <row r="78" spans="1:260" hidden="1">
      <c r="FY78" s="167"/>
      <c r="GE78" s="167"/>
      <c r="GK78" s="167"/>
      <c r="GL78" s="205"/>
      <c r="GM78" s="205"/>
      <c r="GN78" s="205"/>
      <c r="GO78" s="205"/>
      <c r="GP78" s="205"/>
      <c r="GQ78" s="167"/>
      <c r="GR78" s="205"/>
      <c r="GS78" s="205"/>
      <c r="GT78" s="205"/>
      <c r="GU78" s="205"/>
      <c r="GV78" s="205"/>
      <c r="GW78" s="167"/>
      <c r="GX78" s="205"/>
      <c r="GY78" s="205"/>
      <c r="GZ78" s="205"/>
      <c r="HA78" s="205"/>
      <c r="HB78" s="205"/>
      <c r="HC78" s="205"/>
      <c r="HV78" s="8"/>
      <c r="HW78" s="8"/>
      <c r="HX78" s="8"/>
      <c r="HY78" s="8"/>
      <c r="HZ78" s="8"/>
      <c r="IA78" s="8"/>
      <c r="IB78" s="8"/>
      <c r="IC78" s="8"/>
      <c r="ID78" s="8"/>
      <c r="IE78" s="8"/>
      <c r="IF78" s="8"/>
      <c r="IG78" s="8"/>
      <c r="IH78" s="8"/>
      <c r="II78" s="8"/>
      <c r="IJ78" s="8"/>
      <c r="IK78" s="8"/>
      <c r="IL78" s="8"/>
      <c r="IM78" s="8"/>
      <c r="IN78" s="168"/>
      <c r="IO78" s="8"/>
      <c r="IP78" s="8"/>
      <c r="IQ78" s="8"/>
      <c r="IR78" s="8"/>
      <c r="IS78" s="8"/>
      <c r="IT78" s="8"/>
      <c r="IU78" s="8"/>
      <c r="IV78" s="8"/>
      <c r="IW78" s="8"/>
      <c r="IX78" s="8"/>
      <c r="IY78" s="8"/>
      <c r="IZ78" s="8"/>
    </row>
    <row r="79" spans="1:260">
      <c r="GK79" s="205"/>
      <c r="GL79" s="205"/>
      <c r="GM79" s="205"/>
      <c r="GN79" s="205"/>
      <c r="GO79" s="205"/>
      <c r="GP79" s="205"/>
      <c r="GQ79" s="205"/>
      <c r="GR79" s="205"/>
      <c r="GS79" s="205"/>
      <c r="GT79" s="205"/>
      <c r="GU79" s="205"/>
      <c r="GV79" s="205"/>
      <c r="GW79" s="205"/>
      <c r="GX79" s="205"/>
      <c r="GY79" s="205"/>
      <c r="GZ79" s="205"/>
      <c r="HA79" s="205"/>
      <c r="HB79" s="205"/>
      <c r="HC79" s="205"/>
      <c r="HV79" s="8"/>
      <c r="HW79" s="8"/>
      <c r="HX79" s="8"/>
      <c r="HY79" s="8"/>
      <c r="HZ79" s="8"/>
      <c r="IA79" s="8"/>
      <c r="IB79" s="8"/>
      <c r="IC79" s="8"/>
      <c r="ID79" s="8"/>
      <c r="IE79" s="8"/>
      <c r="IF79" s="8"/>
      <c r="IG79" s="8"/>
      <c r="IH79" s="8"/>
      <c r="II79" s="8"/>
      <c r="IJ79" s="8"/>
      <c r="IK79" s="8"/>
      <c r="IL79" s="8"/>
      <c r="IM79" s="8"/>
      <c r="IN79" s="168"/>
      <c r="IO79" s="8"/>
      <c r="IP79" s="8"/>
      <c r="IQ79" s="8"/>
      <c r="IR79" s="8"/>
      <c r="IS79" s="8"/>
      <c r="IT79" s="8"/>
      <c r="IU79" s="8"/>
      <c r="IV79" s="8"/>
      <c r="IW79" s="8"/>
      <c r="IX79" s="8"/>
      <c r="IY79" s="8"/>
      <c r="IZ79" s="8"/>
    </row>
    <row r="80" spans="1:260" ht="15.75" thickBot="1">
      <c r="A80" s="269" t="s">
        <v>1068</v>
      </c>
      <c r="GK80" s="205"/>
      <c r="GL80" s="205"/>
      <c r="GM80" s="205"/>
      <c r="GN80" s="205"/>
      <c r="GO80" s="205"/>
      <c r="GP80" s="205"/>
      <c r="GQ80" s="205"/>
      <c r="GR80" s="205"/>
      <c r="GS80" s="205"/>
      <c r="GT80" s="205"/>
      <c r="GU80" s="205"/>
      <c r="GV80" s="205"/>
      <c r="GW80" s="205"/>
      <c r="GX80" s="205"/>
      <c r="GY80" s="205"/>
      <c r="GZ80" s="205"/>
      <c r="HA80" s="205"/>
      <c r="HB80" s="205"/>
      <c r="HC80" s="205"/>
      <c r="IA80" s="722"/>
      <c r="IB80" s="722"/>
      <c r="IC80" s="722"/>
      <c r="ID80" s="722"/>
      <c r="IE80" s="722"/>
      <c r="IF80" s="722"/>
      <c r="IG80" s="722"/>
      <c r="IH80" s="722"/>
      <c r="II80" s="722"/>
      <c r="IJ80" s="8"/>
      <c r="IK80" s="8"/>
      <c r="IL80" s="8"/>
      <c r="IM80" s="8"/>
      <c r="IN80" s="168"/>
      <c r="IO80" s="8"/>
      <c r="IP80" s="8"/>
      <c r="IQ80" s="8"/>
      <c r="IR80" s="8"/>
      <c r="IS80" s="8"/>
      <c r="IT80" s="8"/>
      <c r="IU80" s="8"/>
      <c r="IV80" s="8"/>
      <c r="IW80" s="8"/>
      <c r="IX80" s="8"/>
      <c r="IY80" s="8"/>
      <c r="IZ80" s="8"/>
    </row>
    <row r="81" spans="1:248" ht="15.75" thickBot="1">
      <c r="A81" s="83"/>
      <c r="B81" s="80">
        <v>36892</v>
      </c>
      <c r="C81" s="80">
        <v>36923</v>
      </c>
      <c r="D81" s="80">
        <v>36951</v>
      </c>
      <c r="E81" s="80">
        <v>36982</v>
      </c>
      <c r="F81" s="80">
        <v>37012</v>
      </c>
      <c r="G81" s="80">
        <v>37043</v>
      </c>
      <c r="H81" s="80">
        <v>37073</v>
      </c>
      <c r="I81" s="80">
        <v>37104</v>
      </c>
      <c r="J81" s="80">
        <v>37135</v>
      </c>
      <c r="K81" s="80">
        <v>37165</v>
      </c>
      <c r="L81" s="80">
        <v>37196</v>
      </c>
      <c r="M81" s="80">
        <v>37226</v>
      </c>
      <c r="N81" s="80">
        <v>37257</v>
      </c>
      <c r="O81" s="80">
        <v>37288</v>
      </c>
      <c r="P81" s="80">
        <v>37316</v>
      </c>
      <c r="Q81" s="80">
        <v>37347</v>
      </c>
      <c r="R81" s="80">
        <v>37377</v>
      </c>
      <c r="S81" s="80">
        <v>37408</v>
      </c>
      <c r="T81" s="80">
        <v>37438</v>
      </c>
      <c r="U81" s="80">
        <v>37469</v>
      </c>
      <c r="V81" s="80">
        <v>37500</v>
      </c>
      <c r="W81" s="80">
        <v>37530</v>
      </c>
      <c r="X81" s="80">
        <v>37561</v>
      </c>
      <c r="Y81" s="80">
        <v>37591</v>
      </c>
      <c r="Z81" s="80">
        <v>37622</v>
      </c>
      <c r="AA81" s="80">
        <v>37653</v>
      </c>
      <c r="AB81" s="80">
        <v>37681</v>
      </c>
      <c r="AC81" s="80">
        <v>37712</v>
      </c>
      <c r="AD81" s="80">
        <v>37742</v>
      </c>
      <c r="AE81" s="80">
        <v>37773</v>
      </c>
      <c r="AF81" s="80">
        <v>37803</v>
      </c>
      <c r="AG81" s="80">
        <v>37834</v>
      </c>
      <c r="AH81" s="80">
        <v>37865</v>
      </c>
      <c r="AI81" s="80">
        <v>37895</v>
      </c>
      <c r="AJ81" s="80">
        <v>37926</v>
      </c>
      <c r="AK81" s="80">
        <v>37956</v>
      </c>
      <c r="AL81" s="80">
        <v>37987</v>
      </c>
      <c r="AM81" s="80">
        <v>38018</v>
      </c>
      <c r="AN81" s="80">
        <v>38047</v>
      </c>
      <c r="AO81" s="80">
        <v>38078</v>
      </c>
      <c r="AP81" s="80">
        <v>38108</v>
      </c>
      <c r="AQ81" s="80">
        <v>38139</v>
      </c>
      <c r="AR81" s="80">
        <v>38169</v>
      </c>
      <c r="AS81" s="80">
        <v>38200</v>
      </c>
      <c r="AT81" s="80">
        <v>38231</v>
      </c>
      <c r="AU81" s="80">
        <v>38261</v>
      </c>
      <c r="AV81" s="80">
        <v>38292</v>
      </c>
      <c r="AW81" s="80">
        <v>38322</v>
      </c>
      <c r="AX81" s="80">
        <v>38353</v>
      </c>
      <c r="AY81" s="80">
        <v>38384</v>
      </c>
      <c r="AZ81" s="80">
        <v>38412</v>
      </c>
      <c r="BA81" s="80">
        <v>38443</v>
      </c>
      <c r="BB81" s="80">
        <v>38473</v>
      </c>
      <c r="BC81" s="80">
        <v>38504</v>
      </c>
      <c r="BD81" s="80">
        <v>38534</v>
      </c>
      <c r="BE81" s="80">
        <v>38565</v>
      </c>
      <c r="BF81" s="80">
        <v>38596</v>
      </c>
      <c r="BG81" s="80">
        <v>38626</v>
      </c>
      <c r="BH81" s="80">
        <v>38657</v>
      </c>
      <c r="BI81" s="80">
        <v>38687</v>
      </c>
      <c r="BJ81" s="80">
        <v>38718</v>
      </c>
      <c r="BK81" s="80">
        <v>38749</v>
      </c>
      <c r="BL81" s="80">
        <v>38777</v>
      </c>
      <c r="BM81" s="80">
        <v>38808</v>
      </c>
      <c r="BN81" s="80">
        <v>38838</v>
      </c>
      <c r="BO81" s="80">
        <v>38869</v>
      </c>
      <c r="BP81" s="80">
        <v>38899</v>
      </c>
      <c r="BQ81" s="80">
        <v>38930</v>
      </c>
      <c r="BR81" s="80">
        <v>38961</v>
      </c>
      <c r="BS81" s="80">
        <v>38991</v>
      </c>
      <c r="BT81" s="80">
        <v>39022</v>
      </c>
      <c r="BU81" s="80">
        <v>39052</v>
      </c>
      <c r="BV81" s="80">
        <v>39083</v>
      </c>
      <c r="BW81" s="80">
        <v>39114</v>
      </c>
      <c r="BX81" s="80">
        <v>39142</v>
      </c>
      <c r="BY81" s="80">
        <v>39173</v>
      </c>
      <c r="BZ81" s="80">
        <v>39203</v>
      </c>
      <c r="CA81" s="80">
        <v>39234</v>
      </c>
      <c r="CB81" s="80">
        <v>39264</v>
      </c>
      <c r="CC81" s="80">
        <v>39295</v>
      </c>
      <c r="CD81" s="80">
        <v>39326</v>
      </c>
      <c r="CE81" s="80">
        <v>39356</v>
      </c>
      <c r="CF81" s="169">
        <v>39387</v>
      </c>
      <c r="CG81" s="169">
        <v>39417</v>
      </c>
      <c r="CH81" s="169">
        <v>39448</v>
      </c>
      <c r="CI81" s="169">
        <v>39479</v>
      </c>
      <c r="CJ81" s="169">
        <v>39508</v>
      </c>
      <c r="CK81" s="169">
        <v>39539</v>
      </c>
      <c r="CL81" s="169">
        <v>39569</v>
      </c>
      <c r="CM81" s="169">
        <v>39600</v>
      </c>
      <c r="CN81" s="169">
        <v>39630</v>
      </c>
      <c r="CO81" s="169">
        <v>39661</v>
      </c>
      <c r="CP81" s="169">
        <v>39692</v>
      </c>
      <c r="CQ81" s="169">
        <v>39722</v>
      </c>
      <c r="CR81" s="169">
        <v>39753</v>
      </c>
      <c r="CS81" s="169">
        <v>39783</v>
      </c>
      <c r="CT81" s="169">
        <v>39814</v>
      </c>
      <c r="CU81" s="169">
        <v>39845</v>
      </c>
      <c r="CV81" s="169">
        <v>39873</v>
      </c>
      <c r="CW81" s="169">
        <v>39904</v>
      </c>
      <c r="CX81" s="169">
        <v>39934</v>
      </c>
      <c r="CY81" s="169">
        <v>39965</v>
      </c>
      <c r="CZ81" s="169">
        <v>39995</v>
      </c>
      <c r="DA81" s="169">
        <v>40026</v>
      </c>
      <c r="DB81" s="169">
        <v>40057</v>
      </c>
      <c r="DC81" s="169">
        <v>40087</v>
      </c>
      <c r="DD81" s="169">
        <v>40118</v>
      </c>
      <c r="DE81" s="169">
        <v>40148</v>
      </c>
      <c r="DF81" s="169">
        <v>40179</v>
      </c>
      <c r="DG81" s="169">
        <v>40210</v>
      </c>
      <c r="DH81" s="169">
        <v>40238</v>
      </c>
      <c r="DI81" s="169">
        <v>40269</v>
      </c>
      <c r="DJ81" s="169">
        <v>40299</v>
      </c>
      <c r="DK81" s="169">
        <v>40330</v>
      </c>
      <c r="DL81" s="169">
        <v>40360</v>
      </c>
      <c r="DM81" s="169">
        <v>40391</v>
      </c>
      <c r="DN81" s="169">
        <v>40422</v>
      </c>
      <c r="DO81" s="169">
        <v>40452</v>
      </c>
      <c r="DP81" s="169">
        <v>40483</v>
      </c>
      <c r="DQ81" s="169">
        <v>40513</v>
      </c>
      <c r="DR81" s="169">
        <v>40544</v>
      </c>
      <c r="DS81" s="169">
        <v>40575</v>
      </c>
      <c r="DT81" s="169">
        <v>40603</v>
      </c>
      <c r="DU81" s="169">
        <v>40634</v>
      </c>
      <c r="DV81" s="169">
        <v>40664</v>
      </c>
      <c r="DW81" s="169">
        <v>40695</v>
      </c>
      <c r="DX81" s="169">
        <v>40725</v>
      </c>
      <c r="DY81" s="169">
        <v>40756</v>
      </c>
      <c r="DZ81" s="169">
        <v>40787</v>
      </c>
      <c r="EA81" s="169">
        <v>40817</v>
      </c>
      <c r="EB81" s="169">
        <v>40848</v>
      </c>
      <c r="EC81" s="169">
        <v>40878</v>
      </c>
      <c r="ED81" s="169">
        <v>40909</v>
      </c>
      <c r="EE81" s="169">
        <v>40940</v>
      </c>
      <c r="EF81" s="169">
        <v>40969</v>
      </c>
      <c r="EG81" s="169">
        <v>41000</v>
      </c>
      <c r="EH81" s="169">
        <v>41030</v>
      </c>
      <c r="EI81" s="169">
        <v>41061</v>
      </c>
      <c r="EJ81" s="169">
        <v>41091</v>
      </c>
      <c r="EK81" s="169">
        <v>41122</v>
      </c>
      <c r="EL81" s="169">
        <v>41153</v>
      </c>
      <c r="EM81" s="169">
        <v>41183</v>
      </c>
      <c r="EN81" s="169">
        <v>41214</v>
      </c>
      <c r="EO81" s="169">
        <v>41244</v>
      </c>
      <c r="EP81" s="169">
        <v>41275</v>
      </c>
      <c r="EQ81" s="169">
        <v>41306</v>
      </c>
      <c r="ER81" s="169">
        <v>41334</v>
      </c>
      <c r="ES81" s="169">
        <v>41365</v>
      </c>
      <c r="ET81" s="169">
        <v>41395</v>
      </c>
      <c r="EU81" s="169">
        <v>41426</v>
      </c>
      <c r="EV81" s="169">
        <v>41456</v>
      </c>
      <c r="EW81" s="169">
        <v>41487</v>
      </c>
      <c r="EX81" s="169">
        <v>41518</v>
      </c>
      <c r="EY81" s="169">
        <v>41548</v>
      </c>
      <c r="EZ81" s="169">
        <v>41579</v>
      </c>
      <c r="FA81" s="169">
        <v>41609</v>
      </c>
      <c r="FB81" s="169">
        <v>41640</v>
      </c>
      <c r="FC81" s="169">
        <v>41671</v>
      </c>
      <c r="FD81" s="169">
        <v>41699</v>
      </c>
      <c r="FE81" s="169">
        <v>41730</v>
      </c>
      <c r="FF81" s="169">
        <v>41760</v>
      </c>
      <c r="FG81" s="169">
        <v>41791</v>
      </c>
      <c r="FH81" s="169">
        <v>41821</v>
      </c>
      <c r="FI81" s="169">
        <v>41852</v>
      </c>
      <c r="FJ81" s="169">
        <v>41883</v>
      </c>
      <c r="FK81" s="169">
        <v>41913</v>
      </c>
      <c r="FL81" s="169">
        <v>41944</v>
      </c>
      <c r="FM81" s="169">
        <v>41974</v>
      </c>
      <c r="FN81" s="169">
        <v>42005</v>
      </c>
      <c r="FO81" s="169">
        <v>42036</v>
      </c>
      <c r="FP81" s="169">
        <v>42064</v>
      </c>
      <c r="FQ81" s="169">
        <v>42095</v>
      </c>
      <c r="FR81" s="169">
        <v>42125</v>
      </c>
      <c r="FS81" s="169">
        <v>42156</v>
      </c>
      <c r="FT81" s="169">
        <v>42186</v>
      </c>
      <c r="FU81" s="169">
        <v>42217</v>
      </c>
      <c r="FV81" s="169">
        <v>42248</v>
      </c>
      <c r="FW81" s="169">
        <v>42278</v>
      </c>
      <c r="FX81" s="169">
        <v>42309</v>
      </c>
      <c r="FY81" s="169">
        <v>42339</v>
      </c>
      <c r="FZ81" s="169">
        <v>42370</v>
      </c>
      <c r="GA81" s="169">
        <v>42401</v>
      </c>
      <c r="GB81" s="169">
        <v>42430</v>
      </c>
      <c r="GC81" s="169">
        <v>42461</v>
      </c>
      <c r="GD81" s="169">
        <v>42491</v>
      </c>
      <c r="GE81" s="169">
        <v>42522</v>
      </c>
      <c r="GF81" s="169">
        <v>42552</v>
      </c>
      <c r="GG81" s="169">
        <v>42583</v>
      </c>
      <c r="GH81" s="169">
        <v>42614</v>
      </c>
      <c r="GI81" s="169">
        <v>42644</v>
      </c>
      <c r="GJ81" s="169">
        <v>42675</v>
      </c>
      <c r="GK81" s="169">
        <v>42705</v>
      </c>
      <c r="GL81" s="169">
        <v>42736</v>
      </c>
      <c r="GM81" s="169">
        <v>42767</v>
      </c>
      <c r="GN81" s="169">
        <v>42795</v>
      </c>
      <c r="GO81" s="169">
        <v>42826</v>
      </c>
      <c r="GP81" s="169">
        <v>42856</v>
      </c>
      <c r="GQ81" s="169">
        <v>42887</v>
      </c>
      <c r="GR81" s="169">
        <v>42917</v>
      </c>
      <c r="GS81" s="169">
        <v>42948</v>
      </c>
      <c r="GT81" s="169">
        <v>42979</v>
      </c>
      <c r="GU81" s="169">
        <v>43009</v>
      </c>
      <c r="GV81" s="169">
        <v>43040</v>
      </c>
      <c r="GW81" s="169">
        <v>43070</v>
      </c>
      <c r="GX81" s="169">
        <v>43101</v>
      </c>
      <c r="GY81" s="169">
        <v>43132</v>
      </c>
      <c r="GZ81" s="169">
        <v>43160</v>
      </c>
      <c r="HA81" s="169">
        <v>43191</v>
      </c>
      <c r="HB81" s="169">
        <v>43221</v>
      </c>
      <c r="HC81" s="169">
        <v>43252</v>
      </c>
      <c r="HD81" s="169">
        <v>43282</v>
      </c>
      <c r="HE81" s="169">
        <v>43313</v>
      </c>
      <c r="HF81" s="169">
        <v>43344</v>
      </c>
      <c r="HG81" s="169">
        <v>43374</v>
      </c>
      <c r="HH81" s="169">
        <v>43405</v>
      </c>
      <c r="HI81" s="169">
        <v>43435</v>
      </c>
      <c r="HJ81" s="169">
        <v>43466</v>
      </c>
      <c r="HK81" s="169">
        <v>43497</v>
      </c>
      <c r="HL81" s="169">
        <v>43525</v>
      </c>
      <c r="HM81" s="169">
        <v>43556</v>
      </c>
      <c r="HN81" s="169">
        <v>43586</v>
      </c>
      <c r="HO81" s="169">
        <v>43617</v>
      </c>
      <c r="HP81" s="169">
        <v>43647</v>
      </c>
      <c r="HQ81" s="169">
        <v>43678</v>
      </c>
      <c r="HR81" s="169">
        <v>43709</v>
      </c>
      <c r="HS81" s="169">
        <v>43739</v>
      </c>
      <c r="HT81" s="169">
        <v>43770</v>
      </c>
      <c r="HU81" s="169">
        <v>43800</v>
      </c>
      <c r="HV81" s="169">
        <v>43831</v>
      </c>
      <c r="HW81" s="169">
        <v>43862</v>
      </c>
      <c r="HX81" s="169">
        <v>43891</v>
      </c>
      <c r="HY81" s="169">
        <v>43922</v>
      </c>
      <c r="HZ81" s="169">
        <v>43952</v>
      </c>
      <c r="IA81" s="169">
        <v>43983</v>
      </c>
      <c r="IB81" s="169">
        <v>44013</v>
      </c>
      <c r="IC81" s="169">
        <v>44044</v>
      </c>
      <c r="ID81" s="169">
        <v>44075</v>
      </c>
      <c r="IE81" s="169">
        <v>44105</v>
      </c>
      <c r="IF81" s="169">
        <v>44136</v>
      </c>
      <c r="IG81" s="169">
        <v>44166</v>
      </c>
      <c r="IH81" s="169">
        <v>44197</v>
      </c>
      <c r="II81" s="169">
        <v>44228</v>
      </c>
      <c r="IJ81" s="169">
        <v>44256</v>
      </c>
      <c r="IK81" s="169">
        <v>44287</v>
      </c>
      <c r="IL81" s="169">
        <v>44317</v>
      </c>
      <c r="IM81" s="169">
        <v>44348</v>
      </c>
      <c r="IN81" s="199">
        <v>44378</v>
      </c>
    </row>
    <row r="82" spans="1:248">
      <c r="A82" s="456" t="s">
        <v>1035</v>
      </c>
      <c r="B82" s="284">
        <v>226.2</v>
      </c>
      <c r="C82" s="284">
        <v>324.39999999999998</v>
      </c>
      <c r="D82" s="284">
        <v>319.60000000000002</v>
      </c>
      <c r="E82" s="284">
        <v>400</v>
      </c>
      <c r="F82" s="284">
        <v>376.2</v>
      </c>
      <c r="G82" s="284">
        <v>408.4</v>
      </c>
      <c r="H82" s="284">
        <v>409.7</v>
      </c>
      <c r="I82" s="284">
        <v>383.5</v>
      </c>
      <c r="J82" s="284">
        <v>440.9</v>
      </c>
      <c r="K82" s="284">
        <v>495.3</v>
      </c>
      <c r="L82" s="284">
        <v>464.5</v>
      </c>
      <c r="M82" s="284">
        <v>341</v>
      </c>
      <c r="N82" s="284">
        <v>216.2</v>
      </c>
      <c r="O82" s="284">
        <v>335.7</v>
      </c>
      <c r="P82" s="284">
        <v>287.3</v>
      </c>
      <c r="Q82" s="284">
        <v>292.7</v>
      </c>
      <c r="R82" s="284">
        <v>288.7</v>
      </c>
      <c r="S82" s="284">
        <v>205</v>
      </c>
      <c r="T82" s="284">
        <v>325.3</v>
      </c>
      <c r="U82" s="284">
        <v>324.60000000000002</v>
      </c>
      <c r="V82" s="284">
        <v>306</v>
      </c>
      <c r="W82" s="284">
        <v>392.3</v>
      </c>
      <c r="X82" s="284">
        <v>375.2</v>
      </c>
      <c r="Y82" s="284">
        <v>295.10000000000002</v>
      </c>
      <c r="Z82" s="284">
        <v>215.7</v>
      </c>
      <c r="AA82" s="284">
        <v>329.7</v>
      </c>
      <c r="AB82" s="284">
        <v>328.9</v>
      </c>
      <c r="AC82" s="284">
        <v>314.2</v>
      </c>
      <c r="AD82" s="284">
        <v>380.8</v>
      </c>
      <c r="AE82" s="284">
        <v>353.8</v>
      </c>
      <c r="AF82" s="284">
        <v>365.6</v>
      </c>
      <c r="AG82" s="284">
        <v>368.4</v>
      </c>
      <c r="AH82" s="284">
        <v>379.5</v>
      </c>
      <c r="AI82" s="284">
        <v>303.7</v>
      </c>
      <c r="AJ82" s="284">
        <v>299.2</v>
      </c>
      <c r="AK82" s="284">
        <v>254.8</v>
      </c>
      <c r="AL82" s="284">
        <v>185.3</v>
      </c>
      <c r="AM82" s="284">
        <v>252.5</v>
      </c>
      <c r="AN82" s="284">
        <v>252.8</v>
      </c>
      <c r="AO82" s="284">
        <v>311.89999999999998</v>
      </c>
      <c r="AP82" s="284">
        <v>342.5</v>
      </c>
      <c r="AQ82" s="284">
        <v>359.2</v>
      </c>
      <c r="AR82" s="284">
        <v>361.4</v>
      </c>
      <c r="AS82" s="284">
        <v>378.2</v>
      </c>
      <c r="AT82" s="284">
        <v>375.5</v>
      </c>
      <c r="AU82" s="284">
        <v>361.4</v>
      </c>
      <c r="AV82" s="284">
        <v>408.8</v>
      </c>
      <c r="AW82" s="284">
        <v>282.89999999999998</v>
      </c>
      <c r="AX82" s="284">
        <v>232.9</v>
      </c>
      <c r="AY82" s="284">
        <v>283.39999999999998</v>
      </c>
      <c r="AZ82" s="284">
        <v>328.5</v>
      </c>
      <c r="BA82" s="284">
        <v>337.3</v>
      </c>
      <c r="BB82" s="284">
        <v>411.4</v>
      </c>
      <c r="BC82" s="284">
        <v>307.5</v>
      </c>
      <c r="BD82" s="284">
        <v>385.9</v>
      </c>
      <c r="BE82" s="284">
        <v>374.9</v>
      </c>
      <c r="BF82" s="284">
        <v>380.1</v>
      </c>
      <c r="BG82" s="284">
        <v>365.6</v>
      </c>
      <c r="BH82" s="284">
        <v>367.1</v>
      </c>
      <c r="BI82" s="284">
        <v>316.7</v>
      </c>
      <c r="BJ82" s="284">
        <v>262.10000000000002</v>
      </c>
      <c r="BK82" s="284">
        <v>335.5</v>
      </c>
      <c r="BL82" s="284">
        <v>309.5</v>
      </c>
      <c r="BM82" s="284">
        <v>422.5</v>
      </c>
      <c r="BN82" s="284">
        <v>435.7</v>
      </c>
      <c r="BO82" s="284">
        <v>495</v>
      </c>
      <c r="BP82" s="284">
        <v>467.9</v>
      </c>
      <c r="BQ82" s="284">
        <v>496.3</v>
      </c>
      <c r="BR82" s="284">
        <v>556.1</v>
      </c>
      <c r="BS82" s="284">
        <v>514.1</v>
      </c>
      <c r="BT82" s="284">
        <v>505.1</v>
      </c>
      <c r="BU82" s="284">
        <v>411.3</v>
      </c>
      <c r="BV82" s="284">
        <v>359.1</v>
      </c>
      <c r="BW82" s="284">
        <v>455.1</v>
      </c>
      <c r="BX82" s="284">
        <v>458.5</v>
      </c>
      <c r="BY82" s="284">
        <v>482.3</v>
      </c>
      <c r="BZ82" s="284">
        <v>527.20000000000005</v>
      </c>
      <c r="CA82" s="284">
        <v>544.70000000000005</v>
      </c>
      <c r="CB82" s="284">
        <v>580</v>
      </c>
      <c r="CC82" s="284">
        <v>563.29999999999995</v>
      </c>
      <c r="CD82" s="284">
        <v>663.3</v>
      </c>
      <c r="CE82" s="284">
        <v>681.3</v>
      </c>
      <c r="CF82" s="284">
        <v>713.6</v>
      </c>
      <c r="CG82" s="284">
        <v>565.5</v>
      </c>
      <c r="CH82" s="284">
        <v>538.9</v>
      </c>
      <c r="CI82" s="284">
        <v>809.9</v>
      </c>
      <c r="CJ82" s="284">
        <v>863.8</v>
      </c>
      <c r="CK82" s="284">
        <v>973.7</v>
      </c>
      <c r="CL82" s="284">
        <v>1001.6</v>
      </c>
      <c r="CM82" s="284">
        <v>990.4</v>
      </c>
      <c r="CN82" s="284">
        <v>1215.2</v>
      </c>
      <c r="CO82" s="284">
        <v>1205.3</v>
      </c>
      <c r="CP82" s="284">
        <v>1217</v>
      </c>
      <c r="CQ82" s="284">
        <v>1277</v>
      </c>
      <c r="CR82" s="284">
        <v>1140.8</v>
      </c>
      <c r="CS82" s="284">
        <v>867.4</v>
      </c>
      <c r="CT82" s="284">
        <v>746.9</v>
      </c>
      <c r="CU82" s="284">
        <v>985.9</v>
      </c>
      <c r="CV82" s="284">
        <v>1079.5</v>
      </c>
      <c r="CW82" s="284">
        <v>1051.3</v>
      </c>
      <c r="CX82" s="284">
        <v>1148.7</v>
      </c>
      <c r="CY82" s="284">
        <v>1172.7</v>
      </c>
      <c r="CZ82" s="284">
        <v>1281.5999999999999</v>
      </c>
      <c r="DA82" s="284">
        <v>1262</v>
      </c>
      <c r="DB82" s="284">
        <v>1190.5</v>
      </c>
      <c r="DC82" s="284">
        <v>1239.7</v>
      </c>
      <c r="DD82" s="284">
        <v>1224.5999999999999</v>
      </c>
      <c r="DE82" s="284">
        <v>1069.8</v>
      </c>
      <c r="DF82" s="284">
        <v>1003.4</v>
      </c>
      <c r="DG82" s="284">
        <v>1131.2</v>
      </c>
      <c r="DH82" s="284">
        <v>1304.7</v>
      </c>
      <c r="DI82" s="284">
        <v>1231</v>
      </c>
      <c r="DJ82" s="284">
        <v>1353.8</v>
      </c>
      <c r="DK82" s="284">
        <v>1365.8</v>
      </c>
      <c r="DL82" s="284">
        <v>1447</v>
      </c>
      <c r="DM82" s="284">
        <v>1488.8</v>
      </c>
      <c r="DN82" s="284">
        <v>1400.1</v>
      </c>
      <c r="DO82" s="284">
        <v>1444.3</v>
      </c>
      <c r="DP82" s="284">
        <v>1574.4</v>
      </c>
      <c r="DQ82" s="284">
        <v>1366.8</v>
      </c>
      <c r="DR82" s="284">
        <v>990.7</v>
      </c>
      <c r="DS82" s="284">
        <v>1021</v>
      </c>
      <c r="DT82" s="284">
        <v>1231.9000000000001</v>
      </c>
      <c r="DU82" s="284">
        <v>1209.7</v>
      </c>
      <c r="DV82" s="284">
        <v>1350.2</v>
      </c>
      <c r="DW82" s="284">
        <v>1283.8</v>
      </c>
      <c r="DX82" s="284">
        <v>1345.7</v>
      </c>
      <c r="DY82" s="284">
        <v>1347.1</v>
      </c>
      <c r="DZ82" s="284">
        <v>1340.3</v>
      </c>
      <c r="EA82" s="284">
        <v>1380.4</v>
      </c>
      <c r="EB82" s="284">
        <v>1362.6</v>
      </c>
      <c r="EC82" s="284">
        <v>1036.2</v>
      </c>
      <c r="ED82" s="284">
        <v>1001.1</v>
      </c>
      <c r="EE82" s="284">
        <v>1444.9</v>
      </c>
      <c r="EF82" s="284">
        <v>1544.8</v>
      </c>
      <c r="EG82" s="284">
        <v>1556.2</v>
      </c>
      <c r="EH82" s="284">
        <v>1548.3</v>
      </c>
      <c r="EI82" s="284">
        <v>1502.6</v>
      </c>
      <c r="EJ82" s="284">
        <v>1398.5</v>
      </c>
      <c r="EK82" s="284">
        <v>1338.7</v>
      </c>
      <c r="EL82" s="284">
        <v>1109.5</v>
      </c>
      <c r="EM82" s="284">
        <v>1118</v>
      </c>
      <c r="EN82" s="284">
        <v>1053</v>
      </c>
      <c r="EO82" s="284">
        <v>689.7</v>
      </c>
      <c r="EP82" s="284">
        <v>629</v>
      </c>
      <c r="EQ82" s="284">
        <v>740.3</v>
      </c>
      <c r="ER82" s="284">
        <v>846.3</v>
      </c>
      <c r="ES82" s="284">
        <v>950</v>
      </c>
      <c r="ET82" s="284">
        <v>941.2</v>
      </c>
      <c r="EU82" s="284">
        <v>866</v>
      </c>
      <c r="EV82" s="284">
        <v>983.7</v>
      </c>
      <c r="EW82" s="284">
        <v>892.6</v>
      </c>
      <c r="EX82" s="284">
        <v>899.5</v>
      </c>
      <c r="EY82" s="284">
        <v>957.3</v>
      </c>
      <c r="EZ82" s="284">
        <v>869.4</v>
      </c>
      <c r="FA82" s="284">
        <v>595.20000000000005</v>
      </c>
      <c r="FB82" s="284">
        <v>574.5</v>
      </c>
      <c r="FC82" s="284">
        <v>726.6</v>
      </c>
      <c r="FD82" s="284">
        <v>818.1</v>
      </c>
      <c r="FE82" s="284">
        <v>849</v>
      </c>
      <c r="FF82" s="284">
        <v>923.7</v>
      </c>
      <c r="FG82" s="284">
        <v>888.3</v>
      </c>
      <c r="FH82" s="284">
        <v>853.5</v>
      </c>
      <c r="FI82" s="284">
        <v>790.7</v>
      </c>
      <c r="FJ82" s="284">
        <v>782.9</v>
      </c>
      <c r="FK82" s="284">
        <v>821.6</v>
      </c>
      <c r="FL82" s="284">
        <v>751.2</v>
      </c>
      <c r="FM82" s="284">
        <v>541.4</v>
      </c>
      <c r="FN82" s="284">
        <v>520.5</v>
      </c>
      <c r="FO82" s="284">
        <v>564.70000000000005</v>
      </c>
      <c r="FP82" s="284">
        <v>762.2</v>
      </c>
      <c r="FQ82" s="284">
        <v>803.9</v>
      </c>
      <c r="FR82" s="284">
        <v>816.7</v>
      </c>
      <c r="FS82" s="284">
        <v>758.8</v>
      </c>
      <c r="FT82" s="284">
        <v>779.6</v>
      </c>
      <c r="FU82" s="284">
        <v>729.8</v>
      </c>
      <c r="FV82" s="284">
        <v>749.4</v>
      </c>
      <c r="FW82" s="284">
        <v>716.5</v>
      </c>
      <c r="FX82" s="284">
        <v>675.2</v>
      </c>
      <c r="FY82" s="284">
        <v>491.5</v>
      </c>
      <c r="FZ82" s="284">
        <v>442.1</v>
      </c>
      <c r="GA82" s="284">
        <v>546.4</v>
      </c>
      <c r="GB82" s="284">
        <v>589</v>
      </c>
      <c r="GC82" s="284">
        <v>602.1</v>
      </c>
      <c r="GD82" s="284">
        <v>687</v>
      </c>
      <c r="GE82" s="284">
        <v>622.70000000000005</v>
      </c>
      <c r="GF82" s="284">
        <v>648.6</v>
      </c>
      <c r="GG82" s="284">
        <v>719.8</v>
      </c>
      <c r="GH82" s="284">
        <v>876</v>
      </c>
      <c r="GI82" s="284">
        <v>814.5</v>
      </c>
      <c r="GJ82" s="284">
        <v>789.9</v>
      </c>
      <c r="GK82" s="284">
        <v>562.4</v>
      </c>
      <c r="GL82" s="284">
        <v>543.70000000000005</v>
      </c>
      <c r="GM82" s="284">
        <v>665.2</v>
      </c>
      <c r="GN82" s="284">
        <v>777.8</v>
      </c>
      <c r="GO82" s="284">
        <v>783.8</v>
      </c>
      <c r="GP82" s="284">
        <v>842.8</v>
      </c>
      <c r="GQ82" s="284">
        <v>798.8</v>
      </c>
      <c r="GR82" s="284">
        <v>744.4</v>
      </c>
      <c r="GS82" s="284">
        <v>750.7</v>
      </c>
      <c r="GT82" s="284">
        <v>821.8</v>
      </c>
      <c r="GU82" s="284">
        <v>840.5</v>
      </c>
      <c r="GV82" s="284">
        <v>833.3</v>
      </c>
      <c r="GW82" s="284">
        <v>642.1</v>
      </c>
      <c r="GX82" s="284">
        <v>653.9</v>
      </c>
      <c r="GY82" s="284">
        <v>748.1</v>
      </c>
      <c r="GZ82" s="284">
        <v>932.8</v>
      </c>
      <c r="HA82" s="284">
        <v>1002.3</v>
      </c>
      <c r="HB82" s="284">
        <v>1098.3</v>
      </c>
      <c r="HC82" s="284">
        <v>1058.5999999999999</v>
      </c>
      <c r="HD82" s="284">
        <v>1017.2</v>
      </c>
      <c r="HE82" s="284">
        <v>987.9</v>
      </c>
      <c r="HF82" s="284">
        <v>954.6</v>
      </c>
      <c r="HG82" s="284">
        <v>1032.2</v>
      </c>
      <c r="HH82" s="284">
        <v>991.7</v>
      </c>
      <c r="HI82" s="284">
        <v>689.5</v>
      </c>
      <c r="HJ82" s="284">
        <v>692.3</v>
      </c>
      <c r="HK82" s="284">
        <v>754.8</v>
      </c>
      <c r="HL82" s="284">
        <v>898.7</v>
      </c>
      <c r="HM82" s="284">
        <v>931.2</v>
      </c>
      <c r="HN82" s="284">
        <v>1085</v>
      </c>
      <c r="HO82" s="284">
        <v>1034.8</v>
      </c>
      <c r="HP82" s="284">
        <v>1008.4</v>
      </c>
      <c r="HQ82" s="284">
        <v>1079.5</v>
      </c>
      <c r="HR82" s="284">
        <v>1061.5999999999999</v>
      </c>
      <c r="HS82" s="284">
        <v>1111.7</v>
      </c>
      <c r="HT82" s="284">
        <v>883.1</v>
      </c>
      <c r="HU82" s="284">
        <v>712.6</v>
      </c>
      <c r="HV82" s="284">
        <v>743.28000000000009</v>
      </c>
      <c r="HW82" s="284">
        <v>897.04800000000046</v>
      </c>
      <c r="HX82" s="284">
        <v>1015.9140000000003</v>
      </c>
      <c r="HY82" s="284">
        <v>802.58399999999983</v>
      </c>
      <c r="HZ82" s="284">
        <v>1019.4599999999999</v>
      </c>
      <c r="IA82" s="284">
        <v>1121.7179999999994</v>
      </c>
      <c r="IB82" s="284">
        <v>1452.0060000000001</v>
      </c>
      <c r="IC82" s="284">
        <v>1499.2140000000002</v>
      </c>
      <c r="ID82" s="284">
        <v>1364.9220000000009</v>
      </c>
      <c r="IE82" s="284">
        <v>1395.0959999999998</v>
      </c>
      <c r="IF82" s="284">
        <v>1081.6439999999993</v>
      </c>
      <c r="IG82" s="284">
        <v>862.00800000000004</v>
      </c>
      <c r="IH82" s="284">
        <v>893.76599999999985</v>
      </c>
      <c r="II82" s="284">
        <v>1205.6220000000001</v>
      </c>
      <c r="IJ82" s="284">
        <v>1232.0219999999997</v>
      </c>
      <c r="IK82" s="284">
        <v>1219.5240000000003</v>
      </c>
      <c r="IL82" s="284">
        <v>1211.1059999999995</v>
      </c>
      <c r="IM82" s="850">
        <v>1226.5919999999994</v>
      </c>
      <c r="IN82" s="168"/>
    </row>
    <row r="83" spans="1:248" ht="15.75" thickBot="1">
      <c r="A83" s="456" t="s">
        <v>1069</v>
      </c>
      <c r="B83" s="467">
        <v>83.8</v>
      </c>
      <c r="C83" s="467">
        <v>141.30000000000001</v>
      </c>
      <c r="D83" s="467">
        <v>175.6</v>
      </c>
      <c r="E83" s="467">
        <v>222.5</v>
      </c>
      <c r="F83" s="467">
        <v>240.2</v>
      </c>
      <c r="G83" s="467">
        <v>267.60000000000002</v>
      </c>
      <c r="H83" s="467">
        <v>305</v>
      </c>
      <c r="I83" s="467">
        <v>278.89999999999998</v>
      </c>
      <c r="J83" s="467">
        <v>299.39999999999998</v>
      </c>
      <c r="K83" s="467">
        <v>273.7</v>
      </c>
      <c r="L83" s="467">
        <v>199.9</v>
      </c>
      <c r="M83" s="467">
        <v>174</v>
      </c>
      <c r="N83" s="467">
        <v>107.1</v>
      </c>
      <c r="O83" s="467">
        <v>129.9</v>
      </c>
      <c r="P83" s="467">
        <v>123.4</v>
      </c>
      <c r="Q83" s="467">
        <v>130.1</v>
      </c>
      <c r="R83" s="467">
        <v>144.1</v>
      </c>
      <c r="S83" s="467">
        <v>131.9</v>
      </c>
      <c r="T83" s="467">
        <v>198.9</v>
      </c>
      <c r="U83" s="467">
        <v>201.9</v>
      </c>
      <c r="V83" s="467">
        <v>193.6</v>
      </c>
      <c r="W83" s="467">
        <v>227.5</v>
      </c>
      <c r="X83" s="467">
        <v>209.2</v>
      </c>
      <c r="Y83" s="467">
        <v>128.69999999999999</v>
      </c>
      <c r="Z83" s="467">
        <v>70</v>
      </c>
      <c r="AA83" s="467">
        <v>112.2</v>
      </c>
      <c r="AB83" s="467">
        <v>132.69999999999999</v>
      </c>
      <c r="AC83" s="467">
        <v>135.1</v>
      </c>
      <c r="AD83" s="467">
        <v>178.9</v>
      </c>
      <c r="AE83" s="467">
        <v>220.2</v>
      </c>
      <c r="AF83" s="467">
        <v>212.4</v>
      </c>
      <c r="AG83" s="467">
        <v>195.1</v>
      </c>
      <c r="AH83" s="467">
        <v>173.3</v>
      </c>
      <c r="AI83" s="467">
        <v>166.4</v>
      </c>
      <c r="AJ83" s="467">
        <v>218.3</v>
      </c>
      <c r="AK83" s="467">
        <v>127</v>
      </c>
      <c r="AL83" s="467">
        <v>203.7</v>
      </c>
      <c r="AM83" s="467">
        <v>194.9</v>
      </c>
      <c r="AN83" s="467">
        <v>174.7</v>
      </c>
      <c r="AO83" s="467">
        <v>231.4</v>
      </c>
      <c r="AP83" s="467">
        <v>353.1</v>
      </c>
      <c r="AQ83" s="467">
        <v>376.6</v>
      </c>
      <c r="AR83" s="467">
        <v>371.8</v>
      </c>
      <c r="AS83" s="467">
        <v>441.8</v>
      </c>
      <c r="AT83" s="467">
        <v>542.70000000000005</v>
      </c>
      <c r="AU83" s="467">
        <v>508.8</v>
      </c>
      <c r="AV83" s="467">
        <v>550.20000000000005</v>
      </c>
      <c r="AW83" s="467">
        <v>357.3</v>
      </c>
      <c r="AX83" s="467">
        <v>334.6</v>
      </c>
      <c r="AY83" s="467">
        <v>395.2</v>
      </c>
      <c r="AZ83" s="467">
        <v>503.3</v>
      </c>
      <c r="BA83" s="467">
        <v>459.9</v>
      </c>
      <c r="BB83" s="467">
        <v>506.6</v>
      </c>
      <c r="BC83" s="467">
        <v>448.8</v>
      </c>
      <c r="BD83" s="467">
        <v>532</v>
      </c>
      <c r="BE83" s="467">
        <v>520.6</v>
      </c>
      <c r="BF83" s="467">
        <v>588</v>
      </c>
      <c r="BG83" s="467">
        <v>541.20000000000005</v>
      </c>
      <c r="BH83" s="467">
        <v>550.1</v>
      </c>
      <c r="BI83" s="467">
        <v>332.5</v>
      </c>
      <c r="BJ83" s="467">
        <v>294.5</v>
      </c>
      <c r="BK83" s="467">
        <v>337.4</v>
      </c>
      <c r="BL83" s="467">
        <v>411.8</v>
      </c>
      <c r="BM83" s="467">
        <v>365.2</v>
      </c>
      <c r="BN83" s="467">
        <v>474.2</v>
      </c>
      <c r="BO83" s="467">
        <v>608.29999999999995</v>
      </c>
      <c r="BP83" s="467">
        <v>699</v>
      </c>
      <c r="BQ83" s="467">
        <v>624.5</v>
      </c>
      <c r="BR83" s="467">
        <v>738.4</v>
      </c>
      <c r="BS83" s="467">
        <v>866.8</v>
      </c>
      <c r="BT83" s="467">
        <v>819.8</v>
      </c>
      <c r="BU83" s="467">
        <v>450.1</v>
      </c>
      <c r="BV83" s="467">
        <v>356.9</v>
      </c>
      <c r="BW83" s="467">
        <v>526.79999999999995</v>
      </c>
      <c r="BX83" s="467">
        <v>628.70000000000005</v>
      </c>
      <c r="BY83" s="467">
        <v>710.2</v>
      </c>
      <c r="BZ83" s="467">
        <v>1069.8</v>
      </c>
      <c r="CA83" s="467">
        <v>1231.3</v>
      </c>
      <c r="CB83" s="467">
        <v>1071.5999999999999</v>
      </c>
      <c r="CC83" s="467">
        <v>1159.4000000000001</v>
      </c>
      <c r="CD83" s="467">
        <v>1305.9000000000001</v>
      </c>
      <c r="CE83" s="467">
        <v>1414</v>
      </c>
      <c r="CF83" s="467">
        <v>1481.2</v>
      </c>
      <c r="CG83" s="467">
        <v>1053.5999999999999</v>
      </c>
      <c r="CH83" s="467">
        <v>817.5</v>
      </c>
      <c r="CI83" s="467">
        <v>1120.7</v>
      </c>
      <c r="CJ83" s="467">
        <v>1350.6</v>
      </c>
      <c r="CK83" s="467">
        <v>1444.7</v>
      </c>
      <c r="CL83" s="467">
        <v>1413.1</v>
      </c>
      <c r="CM83" s="467">
        <v>1648.6</v>
      </c>
      <c r="CN83" s="467">
        <v>1799.6</v>
      </c>
      <c r="CO83" s="467">
        <v>1998.8</v>
      </c>
      <c r="CP83" s="467">
        <v>1905.9</v>
      </c>
      <c r="CQ83" s="467">
        <v>1933.1</v>
      </c>
      <c r="CR83" s="467">
        <v>1769.5</v>
      </c>
      <c r="CS83" s="467">
        <v>1380.3</v>
      </c>
      <c r="CT83" s="467">
        <v>528.5</v>
      </c>
      <c r="CU83" s="467">
        <v>656.2</v>
      </c>
      <c r="CV83" s="467">
        <v>757.5</v>
      </c>
      <c r="CW83" s="467">
        <v>914.6</v>
      </c>
      <c r="CX83" s="467">
        <v>1110</v>
      </c>
      <c r="CY83" s="467">
        <v>1157.3</v>
      </c>
      <c r="CZ83" s="467">
        <v>1392.2</v>
      </c>
      <c r="DA83" s="467">
        <v>1404.4</v>
      </c>
      <c r="DB83" s="467">
        <v>1603.5</v>
      </c>
      <c r="DC83" s="467">
        <v>1848.5</v>
      </c>
      <c r="DD83" s="467">
        <v>1879.4</v>
      </c>
      <c r="DE83" s="467">
        <v>1389.6</v>
      </c>
      <c r="DF83" s="467">
        <v>969.6</v>
      </c>
      <c r="DG83" s="467">
        <v>1383.6</v>
      </c>
      <c r="DH83" s="467">
        <v>1635.6</v>
      </c>
      <c r="DI83" s="467">
        <v>1931.9</v>
      </c>
      <c r="DJ83" s="467">
        <v>2041.6</v>
      </c>
      <c r="DK83" s="467">
        <v>2133</v>
      </c>
      <c r="DL83" s="467">
        <v>2222.6999999999998</v>
      </c>
      <c r="DM83" s="467">
        <v>2160.5</v>
      </c>
      <c r="DN83" s="467">
        <v>2220.6</v>
      </c>
      <c r="DO83" s="467">
        <v>2280.1</v>
      </c>
      <c r="DP83" s="467">
        <v>2403.4</v>
      </c>
      <c r="DQ83" s="467">
        <v>1580.6</v>
      </c>
      <c r="DR83" s="467">
        <v>1244.0999999999999</v>
      </c>
      <c r="DS83" s="467">
        <v>1511.6</v>
      </c>
      <c r="DT83" s="467">
        <v>2073.9</v>
      </c>
      <c r="DU83" s="467">
        <v>2391.9</v>
      </c>
      <c r="DV83" s="467">
        <v>2559.6999999999998</v>
      </c>
      <c r="DW83" s="467">
        <v>2738.6</v>
      </c>
      <c r="DX83" s="467">
        <v>2629</v>
      </c>
      <c r="DY83" s="467">
        <v>2797.7</v>
      </c>
      <c r="DZ83" s="467">
        <v>2864.6</v>
      </c>
      <c r="EA83" s="467">
        <v>3064.9</v>
      </c>
      <c r="EB83" s="467">
        <v>3164.1</v>
      </c>
      <c r="EC83" s="467">
        <v>1996.1</v>
      </c>
      <c r="ED83" s="467">
        <v>1301.7</v>
      </c>
      <c r="EE83" s="467">
        <v>2539.8000000000002</v>
      </c>
      <c r="EF83" s="467">
        <v>2533.1999999999998</v>
      </c>
      <c r="EG83" s="467">
        <v>2659.9</v>
      </c>
      <c r="EH83" s="467">
        <v>2849.6</v>
      </c>
      <c r="EI83" s="467">
        <v>2636.1</v>
      </c>
      <c r="EJ83" s="467">
        <v>2626.7</v>
      </c>
      <c r="EK83" s="467">
        <v>2586.3000000000002</v>
      </c>
      <c r="EL83" s="467">
        <v>2308.3000000000002</v>
      </c>
      <c r="EM83" s="467">
        <v>2075.9</v>
      </c>
      <c r="EN83" s="467">
        <v>1984.7</v>
      </c>
      <c r="EO83" s="467">
        <v>1189</v>
      </c>
      <c r="EP83" s="467">
        <v>731.4</v>
      </c>
      <c r="EQ83" s="467">
        <v>1290.5999999999999</v>
      </c>
      <c r="ER83" s="467">
        <v>1389.7</v>
      </c>
      <c r="ES83" s="467">
        <v>1636</v>
      </c>
      <c r="ET83" s="467">
        <v>1718.8</v>
      </c>
      <c r="EU83" s="467">
        <v>1655.5</v>
      </c>
      <c r="EV83" s="467">
        <v>1581.8</v>
      </c>
      <c r="EW83" s="467">
        <v>1722.8</v>
      </c>
      <c r="EX83" s="467">
        <v>1940.8</v>
      </c>
      <c r="EY83" s="467">
        <v>1906.8</v>
      </c>
      <c r="EZ83" s="467">
        <v>1966.7</v>
      </c>
      <c r="FA83" s="467">
        <v>1125.5</v>
      </c>
      <c r="FB83" s="467">
        <v>705.4</v>
      </c>
      <c r="FC83" s="467">
        <v>1102.5999999999999</v>
      </c>
      <c r="FD83" s="467">
        <v>1425.4</v>
      </c>
      <c r="FE83" s="467">
        <v>1615.4</v>
      </c>
      <c r="FF83" s="467">
        <v>1819.4</v>
      </c>
      <c r="FG83" s="467">
        <v>1771.3</v>
      </c>
      <c r="FH83" s="467">
        <v>1668.7</v>
      </c>
      <c r="FI83" s="467">
        <v>1567.6</v>
      </c>
      <c r="FJ83" s="467">
        <v>1673.2</v>
      </c>
      <c r="FK83" s="467">
        <v>1716.9</v>
      </c>
      <c r="FL83" s="467">
        <v>1740.2</v>
      </c>
      <c r="FM83" s="467">
        <v>878.5</v>
      </c>
      <c r="FN83" s="467">
        <v>498</v>
      </c>
      <c r="FO83" s="467">
        <v>869.4</v>
      </c>
      <c r="FP83" s="467">
        <v>1256.5</v>
      </c>
      <c r="FQ83" s="467">
        <v>1033.5999999999999</v>
      </c>
      <c r="FR83" s="467">
        <v>1133.9000000000001</v>
      </c>
      <c r="FS83" s="467">
        <v>1344.4</v>
      </c>
      <c r="FT83" s="467">
        <v>1420.7</v>
      </c>
      <c r="FU83" s="467">
        <v>1490.2</v>
      </c>
      <c r="FV83" s="467">
        <v>1518.4</v>
      </c>
      <c r="FW83" s="467">
        <v>1478.5</v>
      </c>
      <c r="FX83" s="467">
        <v>1506.2</v>
      </c>
      <c r="FY83" s="467">
        <v>967.6</v>
      </c>
      <c r="FZ83" s="467">
        <v>466.7</v>
      </c>
      <c r="GA83" s="467">
        <v>999.4</v>
      </c>
      <c r="GB83" s="467">
        <v>1293.5</v>
      </c>
      <c r="GC83" s="467">
        <v>1408.4</v>
      </c>
      <c r="GD83" s="467">
        <v>1417.1</v>
      </c>
      <c r="GE83" s="467">
        <v>1283.0999999999999</v>
      </c>
      <c r="GF83" s="467">
        <v>1241.4000000000001</v>
      </c>
      <c r="GG83" s="467">
        <v>1549.8</v>
      </c>
      <c r="GH83" s="467">
        <v>1530</v>
      </c>
      <c r="GI83" s="467">
        <v>1603.6</v>
      </c>
      <c r="GJ83" s="467">
        <v>1671.3</v>
      </c>
      <c r="GK83" s="467">
        <v>866</v>
      </c>
      <c r="GL83" s="467">
        <v>422.2</v>
      </c>
      <c r="GM83" s="467">
        <v>956.2</v>
      </c>
      <c r="GN83" s="467">
        <v>1253.5999999999999</v>
      </c>
      <c r="GO83" s="467">
        <v>1448.4</v>
      </c>
      <c r="GP83" s="467">
        <v>1761.9</v>
      </c>
      <c r="GQ83" s="467">
        <v>1653.1</v>
      </c>
      <c r="GR83" s="467">
        <v>1669.1</v>
      </c>
      <c r="GS83" s="467">
        <v>1639.1</v>
      </c>
      <c r="GT83" s="467">
        <v>1749.3</v>
      </c>
      <c r="GU83" s="467">
        <v>1797.1</v>
      </c>
      <c r="GV83" s="467">
        <v>1857.4</v>
      </c>
      <c r="GW83" s="467">
        <v>1101.3</v>
      </c>
      <c r="GX83" s="467">
        <v>675.7</v>
      </c>
      <c r="GY83" s="467">
        <v>1383.3</v>
      </c>
      <c r="GZ83" s="467">
        <v>1736</v>
      </c>
      <c r="HA83" s="467">
        <v>1997.2</v>
      </c>
      <c r="HB83" s="467">
        <v>2129.6999999999998</v>
      </c>
      <c r="HC83" s="467">
        <v>1961.5</v>
      </c>
      <c r="HD83" s="467">
        <v>1861.4</v>
      </c>
      <c r="HE83" s="467">
        <v>1924</v>
      </c>
      <c r="HF83" s="467">
        <v>1926.5</v>
      </c>
      <c r="HG83" s="467">
        <v>2138.4</v>
      </c>
      <c r="HH83" s="467">
        <v>2021.8</v>
      </c>
      <c r="HI83" s="467">
        <v>1201.8</v>
      </c>
      <c r="HJ83" s="467">
        <v>953.8</v>
      </c>
      <c r="HK83" s="467">
        <v>1532</v>
      </c>
      <c r="HL83" s="467">
        <v>2062.3000000000002</v>
      </c>
      <c r="HM83" s="467">
        <v>2347.4</v>
      </c>
      <c r="HN83" s="467">
        <v>2593.5</v>
      </c>
      <c r="HO83" s="467">
        <v>2671.6</v>
      </c>
      <c r="HP83" s="467">
        <v>2684.7</v>
      </c>
      <c r="HQ83" s="467">
        <v>2828.1</v>
      </c>
      <c r="HR83" s="467">
        <v>2769</v>
      </c>
      <c r="HS83" s="467">
        <v>2771.7</v>
      </c>
      <c r="HT83" s="467">
        <v>2156.3000000000002</v>
      </c>
      <c r="HU83" s="467">
        <v>1607.2</v>
      </c>
      <c r="HV83" s="285">
        <v>1292.7959000000001</v>
      </c>
      <c r="HW83" s="285">
        <v>2181.3477999999991</v>
      </c>
      <c r="HX83" s="285">
        <v>2648.1716999999994</v>
      </c>
      <c r="HY83" s="285">
        <v>2065.1758000000004</v>
      </c>
      <c r="HZ83" s="285">
        <v>2311.5117000000005</v>
      </c>
      <c r="IA83" s="285">
        <v>2550.593699999999</v>
      </c>
      <c r="IB83" s="285">
        <v>3629.6997000000006</v>
      </c>
      <c r="IC83" s="285">
        <v>3548.9636999999998</v>
      </c>
      <c r="ID83" s="285">
        <v>3402.3536999999997</v>
      </c>
      <c r="IE83" s="285">
        <v>3275.3396999999995</v>
      </c>
      <c r="IF83" s="285">
        <v>2298.2997999999993</v>
      </c>
      <c r="IG83" s="285">
        <v>1704.4078999999999</v>
      </c>
      <c r="IH83" s="285">
        <v>2048.147899999999</v>
      </c>
      <c r="II83" s="285">
        <v>3159.1077</v>
      </c>
      <c r="IJ83" s="285">
        <v>3286.5476999999983</v>
      </c>
      <c r="IK83" s="285">
        <v>3107.6877000000004</v>
      </c>
      <c r="IL83" s="285">
        <v>3069.4796999999999</v>
      </c>
      <c r="IM83" s="851">
        <v>2960.0097000000005</v>
      </c>
      <c r="IN83" s="168"/>
    </row>
    <row r="84" spans="1:248" ht="16.5" thickTop="1" thickBot="1">
      <c r="A84" s="468" t="s">
        <v>97</v>
      </c>
      <c r="B84" s="623">
        <v>310</v>
      </c>
      <c r="C84" s="623">
        <v>466</v>
      </c>
      <c r="D84" s="623">
        <v>495</v>
      </c>
      <c r="E84" s="623">
        <v>623</v>
      </c>
      <c r="F84" s="623">
        <v>616</v>
      </c>
      <c r="G84" s="623">
        <v>676</v>
      </c>
      <c r="H84" s="623">
        <v>715</v>
      </c>
      <c r="I84" s="623">
        <v>662</v>
      </c>
      <c r="J84" s="623">
        <v>740</v>
      </c>
      <c r="K84" s="623">
        <v>769</v>
      </c>
      <c r="L84" s="623">
        <v>664</v>
      </c>
      <c r="M84" s="623">
        <v>515</v>
      </c>
      <c r="N84" s="623">
        <v>323</v>
      </c>
      <c r="O84" s="623">
        <v>466</v>
      </c>
      <c r="P84" s="623">
        <v>411</v>
      </c>
      <c r="Q84" s="623">
        <v>423</v>
      </c>
      <c r="R84" s="623">
        <v>433</v>
      </c>
      <c r="S84" s="623">
        <v>337</v>
      </c>
      <c r="T84" s="623">
        <v>524</v>
      </c>
      <c r="U84" s="623">
        <v>527</v>
      </c>
      <c r="V84" s="623">
        <v>500</v>
      </c>
      <c r="W84" s="623">
        <v>620</v>
      </c>
      <c r="X84" s="623">
        <v>584</v>
      </c>
      <c r="Y84" s="623">
        <v>424</v>
      </c>
      <c r="Z84" s="623">
        <v>286</v>
      </c>
      <c r="AA84" s="623">
        <v>442</v>
      </c>
      <c r="AB84" s="623">
        <v>462</v>
      </c>
      <c r="AC84" s="623">
        <v>449</v>
      </c>
      <c r="AD84" s="623">
        <v>560</v>
      </c>
      <c r="AE84" s="623">
        <v>574</v>
      </c>
      <c r="AF84" s="623">
        <v>578</v>
      </c>
      <c r="AG84" s="623">
        <v>564</v>
      </c>
      <c r="AH84" s="623">
        <v>553</v>
      </c>
      <c r="AI84" s="623">
        <v>470</v>
      </c>
      <c r="AJ84" s="623">
        <v>518</v>
      </c>
      <c r="AK84" s="623">
        <v>382</v>
      </c>
      <c r="AL84" s="623">
        <v>389</v>
      </c>
      <c r="AM84" s="623">
        <v>447</v>
      </c>
      <c r="AN84" s="623">
        <v>428</v>
      </c>
      <c r="AO84" s="623">
        <v>543</v>
      </c>
      <c r="AP84" s="623">
        <v>696</v>
      </c>
      <c r="AQ84" s="623">
        <v>736</v>
      </c>
      <c r="AR84" s="623">
        <v>733</v>
      </c>
      <c r="AS84" s="623">
        <v>820</v>
      </c>
      <c r="AT84" s="623">
        <v>918</v>
      </c>
      <c r="AU84" s="623">
        <v>870</v>
      </c>
      <c r="AV84" s="623">
        <v>959</v>
      </c>
      <c r="AW84" s="623">
        <v>640</v>
      </c>
      <c r="AX84" s="623">
        <v>568</v>
      </c>
      <c r="AY84" s="623">
        <v>679</v>
      </c>
      <c r="AZ84" s="623">
        <v>832</v>
      </c>
      <c r="BA84" s="623">
        <v>797</v>
      </c>
      <c r="BB84" s="623">
        <v>918</v>
      </c>
      <c r="BC84" s="623">
        <v>756</v>
      </c>
      <c r="BD84" s="623">
        <v>918</v>
      </c>
      <c r="BE84" s="623">
        <v>896</v>
      </c>
      <c r="BF84" s="623">
        <v>968</v>
      </c>
      <c r="BG84" s="623">
        <v>907</v>
      </c>
      <c r="BH84" s="623">
        <v>917</v>
      </c>
      <c r="BI84" s="623">
        <v>649</v>
      </c>
      <c r="BJ84" s="623">
        <v>557</v>
      </c>
      <c r="BK84" s="623">
        <v>673</v>
      </c>
      <c r="BL84" s="623">
        <v>721</v>
      </c>
      <c r="BM84" s="623">
        <v>788</v>
      </c>
      <c r="BN84" s="623">
        <v>910</v>
      </c>
      <c r="BO84" s="623">
        <v>1103</v>
      </c>
      <c r="BP84" s="623">
        <v>1167</v>
      </c>
      <c r="BQ84" s="623">
        <v>1121</v>
      </c>
      <c r="BR84" s="623">
        <v>1295</v>
      </c>
      <c r="BS84" s="623">
        <v>1381</v>
      </c>
      <c r="BT84" s="623">
        <v>1325</v>
      </c>
      <c r="BU84" s="623">
        <v>861</v>
      </c>
      <c r="BV84" s="623">
        <v>716</v>
      </c>
      <c r="BW84" s="623">
        <v>982</v>
      </c>
      <c r="BX84" s="623">
        <v>1087</v>
      </c>
      <c r="BY84" s="623">
        <v>1193</v>
      </c>
      <c r="BZ84" s="623">
        <v>1597</v>
      </c>
      <c r="CA84" s="623">
        <v>1776</v>
      </c>
      <c r="CB84" s="623">
        <v>1652</v>
      </c>
      <c r="CC84" s="623">
        <v>1723</v>
      </c>
      <c r="CD84" s="623">
        <v>1969</v>
      </c>
      <c r="CE84" s="623">
        <v>2095</v>
      </c>
      <c r="CF84" s="623">
        <v>2195</v>
      </c>
      <c r="CG84" s="623">
        <v>1619</v>
      </c>
      <c r="CH84" s="623">
        <v>1356</v>
      </c>
      <c r="CI84" s="623">
        <v>1931</v>
      </c>
      <c r="CJ84" s="623">
        <v>2214</v>
      </c>
      <c r="CK84" s="623">
        <v>2418</v>
      </c>
      <c r="CL84" s="623">
        <v>2415</v>
      </c>
      <c r="CM84" s="623">
        <v>2639</v>
      </c>
      <c r="CN84" s="623">
        <v>3015</v>
      </c>
      <c r="CO84" s="623">
        <v>3204</v>
      </c>
      <c r="CP84" s="623">
        <v>3123</v>
      </c>
      <c r="CQ84" s="623">
        <v>3210</v>
      </c>
      <c r="CR84" s="623">
        <v>2910</v>
      </c>
      <c r="CS84" s="623">
        <v>2248</v>
      </c>
      <c r="CT84" s="623">
        <v>1275</v>
      </c>
      <c r="CU84" s="623">
        <v>1642</v>
      </c>
      <c r="CV84" s="623">
        <v>1837</v>
      </c>
      <c r="CW84" s="623">
        <v>1966</v>
      </c>
      <c r="CX84" s="623">
        <v>2259</v>
      </c>
      <c r="CY84" s="623">
        <v>2330</v>
      </c>
      <c r="CZ84" s="623">
        <v>2674</v>
      </c>
      <c r="DA84" s="623">
        <v>2666</v>
      </c>
      <c r="DB84" s="623">
        <v>2794</v>
      </c>
      <c r="DC84" s="623">
        <v>3088</v>
      </c>
      <c r="DD84" s="623">
        <v>3104</v>
      </c>
      <c r="DE84" s="623">
        <v>2459</v>
      </c>
      <c r="DF84" s="623">
        <v>1973</v>
      </c>
      <c r="DG84" s="623">
        <v>2515</v>
      </c>
      <c r="DH84" s="623">
        <v>2940</v>
      </c>
      <c r="DI84" s="623">
        <v>3163</v>
      </c>
      <c r="DJ84" s="623">
        <v>3395</v>
      </c>
      <c r="DK84" s="623">
        <v>3499</v>
      </c>
      <c r="DL84" s="623">
        <v>3670</v>
      </c>
      <c r="DM84" s="623">
        <v>3649</v>
      </c>
      <c r="DN84" s="623">
        <v>3621</v>
      </c>
      <c r="DO84" s="623">
        <v>3724</v>
      </c>
      <c r="DP84" s="623">
        <v>3978</v>
      </c>
      <c r="DQ84" s="623">
        <v>2947</v>
      </c>
      <c r="DR84" s="623">
        <v>2235</v>
      </c>
      <c r="DS84" s="623">
        <v>2533</v>
      </c>
      <c r="DT84" s="623">
        <v>3306</v>
      </c>
      <c r="DU84" s="623">
        <v>3602</v>
      </c>
      <c r="DV84" s="623">
        <v>3910</v>
      </c>
      <c r="DW84" s="623">
        <v>4022</v>
      </c>
      <c r="DX84" s="623">
        <v>3975</v>
      </c>
      <c r="DY84" s="623">
        <v>4145</v>
      </c>
      <c r="DZ84" s="623">
        <v>4205</v>
      </c>
      <c r="EA84" s="623">
        <v>4445</v>
      </c>
      <c r="EB84" s="623">
        <v>4527</v>
      </c>
      <c r="EC84" s="623">
        <v>3032</v>
      </c>
      <c r="ED84" s="623">
        <v>2303</v>
      </c>
      <c r="EE84" s="623">
        <v>3985</v>
      </c>
      <c r="EF84" s="623">
        <v>4078</v>
      </c>
      <c r="EG84" s="623">
        <v>4216</v>
      </c>
      <c r="EH84" s="623">
        <v>4398</v>
      </c>
      <c r="EI84" s="623">
        <v>4139</v>
      </c>
      <c r="EJ84" s="623">
        <v>4025</v>
      </c>
      <c r="EK84" s="623">
        <v>3925</v>
      </c>
      <c r="EL84" s="623">
        <v>3418</v>
      </c>
      <c r="EM84" s="623">
        <v>3194</v>
      </c>
      <c r="EN84" s="623">
        <v>3038</v>
      </c>
      <c r="EO84" s="623">
        <v>1879</v>
      </c>
      <c r="EP84" s="623">
        <v>1360</v>
      </c>
      <c r="EQ84" s="623">
        <v>2031</v>
      </c>
      <c r="ER84" s="623">
        <v>2236</v>
      </c>
      <c r="ES84" s="623">
        <v>2586</v>
      </c>
      <c r="ET84" s="623">
        <v>2660</v>
      </c>
      <c r="EU84" s="623">
        <v>2522</v>
      </c>
      <c r="EV84" s="623">
        <v>2566</v>
      </c>
      <c r="EW84" s="623">
        <v>2615</v>
      </c>
      <c r="EX84" s="623">
        <v>2840</v>
      </c>
      <c r="EY84" s="623">
        <v>2864</v>
      </c>
      <c r="EZ84" s="623">
        <v>2836</v>
      </c>
      <c r="FA84" s="623">
        <v>1721</v>
      </c>
      <c r="FB84" s="623">
        <v>1280</v>
      </c>
      <c r="FC84" s="623">
        <v>1829</v>
      </c>
      <c r="FD84" s="623">
        <v>2244</v>
      </c>
      <c r="FE84" s="623">
        <v>2464</v>
      </c>
      <c r="FF84" s="623">
        <v>2743</v>
      </c>
      <c r="FG84" s="623">
        <v>2660</v>
      </c>
      <c r="FH84" s="623">
        <v>2522</v>
      </c>
      <c r="FI84" s="623">
        <v>2358</v>
      </c>
      <c r="FJ84" s="623">
        <v>2456</v>
      </c>
      <c r="FK84" s="623">
        <v>2539</v>
      </c>
      <c r="FL84" s="623">
        <v>2491</v>
      </c>
      <c r="FM84" s="623">
        <v>1420</v>
      </c>
      <c r="FN84" s="623">
        <v>1019</v>
      </c>
      <c r="FO84" s="623">
        <v>1434</v>
      </c>
      <c r="FP84" s="623">
        <v>2019</v>
      </c>
      <c r="FQ84" s="623">
        <v>1838</v>
      </c>
      <c r="FR84" s="623">
        <v>1951</v>
      </c>
      <c r="FS84" s="623">
        <v>2103</v>
      </c>
      <c r="FT84" s="623">
        <v>2200</v>
      </c>
      <c r="FU84" s="623">
        <v>2220</v>
      </c>
      <c r="FV84" s="623">
        <v>2268</v>
      </c>
      <c r="FW84" s="623">
        <v>2195</v>
      </c>
      <c r="FX84" s="623">
        <v>2181</v>
      </c>
      <c r="FY84" s="623">
        <v>1459</v>
      </c>
      <c r="FZ84" s="623">
        <v>909</v>
      </c>
      <c r="GA84" s="623">
        <v>1546</v>
      </c>
      <c r="GB84" s="623">
        <v>1883</v>
      </c>
      <c r="GC84" s="623">
        <v>2011</v>
      </c>
      <c r="GD84" s="623">
        <v>2104</v>
      </c>
      <c r="GE84" s="623">
        <v>1906</v>
      </c>
      <c r="GF84" s="623">
        <v>1890</v>
      </c>
      <c r="GG84" s="623">
        <v>2269.6</v>
      </c>
      <c r="GH84" s="623">
        <v>2406</v>
      </c>
      <c r="GI84" s="623">
        <v>2418.1</v>
      </c>
      <c r="GJ84" s="623">
        <v>2461.1999999999998</v>
      </c>
      <c r="GK84" s="623">
        <v>1428.4</v>
      </c>
      <c r="GL84" s="623">
        <v>965.90000000000009</v>
      </c>
      <c r="GM84" s="623">
        <v>1621.4</v>
      </c>
      <c r="GN84" s="623">
        <v>2031.3999999999999</v>
      </c>
      <c r="GO84" s="623">
        <v>2232.1999999999998</v>
      </c>
      <c r="GP84" s="623">
        <v>2604.6999999999998</v>
      </c>
      <c r="GQ84" s="623">
        <v>2451.8999999999996</v>
      </c>
      <c r="GR84" s="623">
        <v>2413.5</v>
      </c>
      <c r="GS84" s="623">
        <v>2389.8000000000002</v>
      </c>
      <c r="GT84" s="623">
        <v>2571.1</v>
      </c>
      <c r="GU84" s="623">
        <v>2637.6</v>
      </c>
      <c r="GV84" s="623">
        <v>2690.7</v>
      </c>
      <c r="GW84" s="623">
        <v>1743.4</v>
      </c>
      <c r="GX84" s="623">
        <v>1329.6</v>
      </c>
      <c r="GY84" s="623">
        <v>2131.4</v>
      </c>
      <c r="GZ84" s="623">
        <v>2668.8</v>
      </c>
      <c r="HA84" s="623">
        <v>2999.5</v>
      </c>
      <c r="HB84" s="623">
        <v>3228</v>
      </c>
      <c r="HC84" s="623">
        <v>3020.1</v>
      </c>
      <c r="HD84" s="623">
        <v>2878.6000000000004</v>
      </c>
      <c r="HE84" s="623">
        <v>2911.9</v>
      </c>
      <c r="HF84" s="623">
        <v>2881.1</v>
      </c>
      <c r="HG84" s="623">
        <v>3170.6000000000004</v>
      </c>
      <c r="HH84" s="623">
        <v>3013.5</v>
      </c>
      <c r="HI84" s="623">
        <v>1891.3</v>
      </c>
      <c r="HJ84" s="623">
        <v>1646.1</v>
      </c>
      <c r="HK84" s="623">
        <v>2286.8000000000002</v>
      </c>
      <c r="HL84" s="623">
        <v>2961</v>
      </c>
      <c r="HM84" s="623">
        <v>3278.6000000000004</v>
      </c>
      <c r="HN84" s="623">
        <v>3678.5</v>
      </c>
      <c r="HO84" s="623">
        <v>3706.3999999999996</v>
      </c>
      <c r="HP84" s="623">
        <v>3693.1</v>
      </c>
      <c r="HQ84" s="623">
        <v>3907.6</v>
      </c>
      <c r="HR84" s="623">
        <v>3830.6</v>
      </c>
      <c r="HS84" s="623">
        <v>3883.3999999999996</v>
      </c>
      <c r="HT84" s="623">
        <v>3039.4</v>
      </c>
      <c r="HU84" s="623">
        <v>2319.8000000000002</v>
      </c>
      <c r="HV84" s="469">
        <f>SUM(HV82:HV83)</f>
        <v>2036.0759000000003</v>
      </c>
      <c r="HW84" s="469">
        <f t="shared" ref="HW84:HZ84" si="71">SUM(HW82:HW83)</f>
        <v>3078.3957999999993</v>
      </c>
      <c r="HX84" s="469">
        <f t="shared" si="71"/>
        <v>3664.0856999999996</v>
      </c>
      <c r="HY84" s="469">
        <f t="shared" si="71"/>
        <v>2867.7598000000003</v>
      </c>
      <c r="HZ84" s="469">
        <f t="shared" si="71"/>
        <v>3330.9717000000005</v>
      </c>
      <c r="IA84" s="853">
        <v>3672.3116999999984</v>
      </c>
      <c r="IB84" s="853">
        <v>5081.7057000000004</v>
      </c>
      <c r="IC84" s="853">
        <v>5048.1777000000002</v>
      </c>
      <c r="ID84" s="853">
        <v>4767.2757000000001</v>
      </c>
      <c r="IE84" s="853">
        <v>4670.4356999999991</v>
      </c>
      <c r="IF84" s="853">
        <v>3379.9437999999986</v>
      </c>
      <c r="IG84" s="853">
        <v>2566.4159</v>
      </c>
      <c r="IH84" s="853">
        <v>2941.9138999999986</v>
      </c>
      <c r="II84" s="853">
        <v>4364.7296999999999</v>
      </c>
      <c r="IJ84" s="853">
        <v>4518.5696999999982</v>
      </c>
      <c r="IK84" s="853">
        <v>4327.2117000000007</v>
      </c>
      <c r="IL84" s="853">
        <v>4280.5856999999996</v>
      </c>
      <c r="IM84" s="854">
        <v>4186.6017000000002</v>
      </c>
      <c r="IN84" s="168"/>
    </row>
    <row r="85" spans="1:248">
      <c r="GK85" s="205"/>
      <c r="GL85" s="205"/>
      <c r="GM85" s="205"/>
      <c r="GN85" s="205"/>
      <c r="GO85" s="205"/>
      <c r="GP85" s="205"/>
      <c r="GQ85" s="205"/>
      <c r="GR85" s="205"/>
      <c r="GS85" s="205"/>
      <c r="GT85" s="205"/>
      <c r="GU85" s="205"/>
      <c r="GV85" s="205"/>
      <c r="GW85" s="205"/>
      <c r="GX85" s="205"/>
      <c r="GY85" s="205"/>
      <c r="GZ85" s="205"/>
      <c r="HA85" s="205"/>
      <c r="HB85" s="205"/>
      <c r="HC85" s="205"/>
      <c r="HI85" s="181"/>
      <c r="IA85" s="722"/>
      <c r="IB85" s="722"/>
      <c r="IC85" s="722"/>
      <c r="ID85" s="722"/>
      <c r="IE85" s="722"/>
      <c r="IF85" s="722"/>
      <c r="IG85" s="722"/>
      <c r="IH85" s="722"/>
      <c r="II85" s="722"/>
      <c r="IJ85" s="722"/>
      <c r="IK85" s="722"/>
      <c r="IL85" s="722"/>
      <c r="IM85" s="722"/>
      <c r="IN85" s="168"/>
    </row>
    <row r="86" spans="1:248" s="298" customFormat="1">
      <c r="HI86" s="181"/>
      <c r="IA86" s="722"/>
      <c r="IB86" s="722"/>
      <c r="IC86" s="722"/>
      <c r="ID86" s="722"/>
      <c r="IE86" s="722"/>
      <c r="IF86" s="722"/>
      <c r="IG86" s="722"/>
      <c r="IH86" s="722"/>
      <c r="II86" s="722"/>
      <c r="IJ86" s="722"/>
      <c r="IK86" s="722"/>
      <c r="IL86" s="722"/>
      <c r="IM86" s="722"/>
      <c r="IN86" s="168"/>
    </row>
    <row r="87" spans="1:248" ht="15.75" thickBot="1">
      <c r="A87" s="134" t="s">
        <v>1165</v>
      </c>
      <c r="GK87" s="205"/>
      <c r="GL87" s="205"/>
      <c r="GM87" s="205"/>
      <c r="GN87" s="205"/>
      <c r="GO87" s="205"/>
      <c r="GP87" s="205"/>
      <c r="GQ87" s="205"/>
      <c r="GR87" s="205"/>
      <c r="GS87" s="205"/>
      <c r="GT87" s="205"/>
      <c r="GU87" s="205"/>
      <c r="GV87" s="205"/>
      <c r="GW87" s="205"/>
      <c r="GX87" s="205"/>
      <c r="GY87" s="205"/>
      <c r="GZ87" s="205"/>
      <c r="HA87" s="205"/>
      <c r="HB87" s="205"/>
      <c r="HC87" s="205"/>
      <c r="IA87" s="722"/>
      <c r="IB87" s="722"/>
      <c r="IC87" s="722"/>
      <c r="ID87" s="722"/>
      <c r="IE87" s="722"/>
      <c r="IF87" s="722"/>
      <c r="IG87" s="722"/>
      <c r="IH87" s="722"/>
      <c r="II87" s="722"/>
      <c r="IJ87" s="722"/>
      <c r="IK87" s="722"/>
      <c r="IL87" s="722"/>
      <c r="IM87" s="722"/>
      <c r="IN87" s="168"/>
    </row>
    <row r="88" spans="1:248" ht="15.75" thickBot="1">
      <c r="A88" s="2" t="s">
        <v>95</v>
      </c>
      <c r="B88" s="80">
        <v>36892</v>
      </c>
      <c r="C88" s="80">
        <v>36923</v>
      </c>
      <c r="D88" s="80">
        <v>36951</v>
      </c>
      <c r="E88" s="80">
        <v>36982</v>
      </c>
      <c r="F88" s="80">
        <v>37012</v>
      </c>
      <c r="G88" s="80">
        <v>37043</v>
      </c>
      <c r="H88" s="80">
        <v>37073</v>
      </c>
      <c r="I88" s="80">
        <v>37104</v>
      </c>
      <c r="J88" s="80">
        <v>37135</v>
      </c>
      <c r="K88" s="80">
        <v>37165</v>
      </c>
      <c r="L88" s="80">
        <v>37196</v>
      </c>
      <c r="M88" s="80">
        <v>37226</v>
      </c>
      <c r="N88" s="80">
        <v>37257</v>
      </c>
      <c r="O88" s="80">
        <v>37288</v>
      </c>
      <c r="P88" s="80">
        <v>37316</v>
      </c>
      <c r="Q88" s="80">
        <v>37347</v>
      </c>
      <c r="R88" s="80">
        <v>37377</v>
      </c>
      <c r="S88" s="80">
        <v>37408</v>
      </c>
      <c r="T88" s="80">
        <v>37438</v>
      </c>
      <c r="U88" s="80">
        <v>37469</v>
      </c>
      <c r="V88" s="80">
        <v>37500</v>
      </c>
      <c r="W88" s="80">
        <v>37530</v>
      </c>
      <c r="X88" s="80">
        <v>37561</v>
      </c>
      <c r="Y88" s="80">
        <v>37591</v>
      </c>
      <c r="Z88" s="80">
        <v>37622</v>
      </c>
      <c r="AA88" s="80">
        <v>37653</v>
      </c>
      <c r="AB88" s="80">
        <v>37681</v>
      </c>
      <c r="AC88" s="80">
        <v>37712</v>
      </c>
      <c r="AD88" s="80">
        <v>37742</v>
      </c>
      <c r="AE88" s="80">
        <v>37773</v>
      </c>
      <c r="AF88" s="80">
        <v>37803</v>
      </c>
      <c r="AG88" s="80">
        <v>37834</v>
      </c>
      <c r="AH88" s="80">
        <v>37865</v>
      </c>
      <c r="AI88" s="80">
        <v>37895</v>
      </c>
      <c r="AJ88" s="80">
        <v>37926</v>
      </c>
      <c r="AK88" s="80">
        <v>37956</v>
      </c>
      <c r="AL88" s="80">
        <v>37987</v>
      </c>
      <c r="AM88" s="80">
        <v>38018</v>
      </c>
      <c r="AN88" s="80">
        <v>38047</v>
      </c>
      <c r="AO88" s="80">
        <v>38078</v>
      </c>
      <c r="AP88" s="80">
        <v>38108</v>
      </c>
      <c r="AQ88" s="80">
        <v>38139</v>
      </c>
      <c r="AR88" s="80">
        <v>38169</v>
      </c>
      <c r="AS88" s="80">
        <v>38200</v>
      </c>
      <c r="AT88" s="80">
        <v>38231</v>
      </c>
      <c r="AU88" s="80">
        <v>38261</v>
      </c>
      <c r="AV88" s="80">
        <v>38292</v>
      </c>
      <c r="AW88" s="80">
        <v>38322</v>
      </c>
      <c r="AX88" s="80">
        <v>38353</v>
      </c>
      <c r="AY88" s="80">
        <v>38384</v>
      </c>
      <c r="AZ88" s="80">
        <v>38412</v>
      </c>
      <c r="BA88" s="80">
        <v>38443</v>
      </c>
      <c r="BB88" s="80">
        <v>38473</v>
      </c>
      <c r="BC88" s="80">
        <v>38504</v>
      </c>
      <c r="BD88" s="80">
        <v>38534</v>
      </c>
      <c r="BE88" s="80">
        <v>38565</v>
      </c>
      <c r="BF88" s="80">
        <v>38596</v>
      </c>
      <c r="BG88" s="80">
        <v>38626</v>
      </c>
      <c r="BH88" s="80">
        <v>38657</v>
      </c>
      <c r="BI88" s="80">
        <v>38687</v>
      </c>
      <c r="BJ88" s="80">
        <v>38718</v>
      </c>
      <c r="BK88" s="80">
        <v>38749</v>
      </c>
      <c r="BL88" s="80">
        <v>38777</v>
      </c>
      <c r="BM88" s="80">
        <v>38808</v>
      </c>
      <c r="BN88" s="80">
        <v>38838</v>
      </c>
      <c r="BO88" s="80">
        <v>38869</v>
      </c>
      <c r="BP88" s="80">
        <v>38899</v>
      </c>
      <c r="BQ88" s="80">
        <v>38930</v>
      </c>
      <c r="BR88" s="80">
        <v>38961</v>
      </c>
      <c r="BS88" s="80">
        <v>38991</v>
      </c>
      <c r="BT88" s="80">
        <v>39022</v>
      </c>
      <c r="BU88" s="80">
        <v>39052</v>
      </c>
      <c r="BV88" s="80">
        <v>39083</v>
      </c>
      <c r="BW88" s="80">
        <v>39114</v>
      </c>
      <c r="BX88" s="80">
        <v>39142</v>
      </c>
      <c r="BY88" s="80">
        <v>39173</v>
      </c>
      <c r="BZ88" s="80">
        <v>39203</v>
      </c>
      <c r="CA88" s="80">
        <v>39234</v>
      </c>
      <c r="CB88" s="80">
        <v>39264</v>
      </c>
      <c r="CC88" s="80">
        <v>39295</v>
      </c>
      <c r="CD88" s="80">
        <v>39326</v>
      </c>
      <c r="CE88" s="80">
        <v>39356</v>
      </c>
      <c r="CF88" s="169">
        <v>39387</v>
      </c>
      <c r="CG88" s="169">
        <v>39417</v>
      </c>
      <c r="CH88" s="169">
        <v>39448</v>
      </c>
      <c r="CI88" s="169">
        <v>39479</v>
      </c>
      <c r="CJ88" s="169">
        <v>39508</v>
      </c>
      <c r="CK88" s="169">
        <v>39539</v>
      </c>
      <c r="CL88" s="169">
        <v>39569</v>
      </c>
      <c r="CM88" s="169">
        <v>39600</v>
      </c>
      <c r="CN88" s="169">
        <v>39630</v>
      </c>
      <c r="CO88" s="169">
        <v>39661</v>
      </c>
      <c r="CP88" s="169">
        <v>39692</v>
      </c>
      <c r="CQ88" s="169">
        <v>39722</v>
      </c>
      <c r="CR88" s="169">
        <v>39753</v>
      </c>
      <c r="CS88" s="169">
        <v>39783</v>
      </c>
      <c r="CT88" s="169">
        <v>39814</v>
      </c>
      <c r="CU88" s="169">
        <v>39845</v>
      </c>
      <c r="CV88" s="169">
        <v>39873</v>
      </c>
      <c r="CW88" s="169">
        <v>39904</v>
      </c>
      <c r="CX88" s="169">
        <v>39934</v>
      </c>
      <c r="CY88" s="169">
        <v>39965</v>
      </c>
      <c r="CZ88" s="169">
        <v>39995</v>
      </c>
      <c r="DA88" s="169">
        <v>40026</v>
      </c>
      <c r="DB88" s="169">
        <v>40057</v>
      </c>
      <c r="DC88" s="169">
        <v>40087</v>
      </c>
      <c r="DD88" s="169">
        <v>40118</v>
      </c>
      <c r="DE88" s="169">
        <v>40148</v>
      </c>
      <c r="DF88" s="169">
        <v>40179</v>
      </c>
      <c r="DG88" s="169">
        <v>40210</v>
      </c>
      <c r="DH88" s="169">
        <v>40238</v>
      </c>
      <c r="DI88" s="169">
        <v>40269</v>
      </c>
      <c r="DJ88" s="169">
        <v>40299</v>
      </c>
      <c r="DK88" s="169">
        <v>40330</v>
      </c>
      <c r="DL88" s="169">
        <v>40360</v>
      </c>
      <c r="DM88" s="169">
        <v>40391</v>
      </c>
      <c r="DN88" s="169">
        <v>40422</v>
      </c>
      <c r="DO88" s="169">
        <v>40452</v>
      </c>
      <c r="DP88" s="169">
        <v>40483</v>
      </c>
      <c r="DQ88" s="169">
        <v>40513</v>
      </c>
      <c r="DR88" s="169">
        <v>40544</v>
      </c>
      <c r="DS88" s="169">
        <v>40575</v>
      </c>
      <c r="DT88" s="169">
        <v>40603</v>
      </c>
      <c r="DU88" s="169">
        <v>40634</v>
      </c>
      <c r="DV88" s="169">
        <v>40664</v>
      </c>
      <c r="DW88" s="169">
        <v>40695</v>
      </c>
      <c r="DX88" s="169">
        <v>40725</v>
      </c>
      <c r="DY88" s="169">
        <v>40756</v>
      </c>
      <c r="DZ88" s="169">
        <v>40787</v>
      </c>
      <c r="EA88" s="169">
        <v>40817</v>
      </c>
      <c r="EB88" s="169">
        <v>40848</v>
      </c>
      <c r="EC88" s="169">
        <v>40878</v>
      </c>
      <c r="ED88" s="169">
        <v>40909</v>
      </c>
      <c r="EE88" s="169">
        <v>40940</v>
      </c>
      <c r="EF88" s="169">
        <v>40969</v>
      </c>
      <c r="EG88" s="169">
        <v>41000</v>
      </c>
      <c r="EH88" s="169">
        <v>41030</v>
      </c>
      <c r="EI88" s="169">
        <v>41061</v>
      </c>
      <c r="EJ88" s="169">
        <v>41091</v>
      </c>
      <c r="EK88" s="169">
        <v>41122</v>
      </c>
      <c r="EL88" s="169">
        <v>41153</v>
      </c>
      <c r="EM88" s="169">
        <v>41183</v>
      </c>
      <c r="EN88" s="169">
        <v>41214</v>
      </c>
      <c r="EO88" s="169">
        <v>41244</v>
      </c>
      <c r="EP88" s="169">
        <v>41275</v>
      </c>
      <c r="EQ88" s="169">
        <v>41306</v>
      </c>
      <c r="ER88" s="169">
        <v>41334</v>
      </c>
      <c r="ES88" s="169">
        <v>41365</v>
      </c>
      <c r="ET88" s="169">
        <v>41395</v>
      </c>
      <c r="EU88" s="169">
        <v>41426</v>
      </c>
      <c r="EV88" s="169">
        <v>41456</v>
      </c>
      <c r="EW88" s="169">
        <v>41487</v>
      </c>
      <c r="EX88" s="169">
        <v>41518</v>
      </c>
      <c r="EY88" s="169">
        <v>41548</v>
      </c>
      <c r="EZ88" s="169">
        <v>41579</v>
      </c>
      <c r="FA88" s="169">
        <v>41609</v>
      </c>
      <c r="FB88" s="169">
        <v>41640</v>
      </c>
      <c r="FC88" s="169">
        <v>41671</v>
      </c>
      <c r="FD88" s="169">
        <v>41699</v>
      </c>
      <c r="FE88" s="169">
        <v>41730</v>
      </c>
      <c r="FF88" s="169">
        <v>41760</v>
      </c>
      <c r="FG88" s="169">
        <v>41791</v>
      </c>
      <c r="FH88" s="169">
        <v>41821</v>
      </c>
      <c r="FI88" s="169">
        <v>41852</v>
      </c>
      <c r="FJ88" s="169">
        <v>41883</v>
      </c>
      <c r="FK88" s="169">
        <v>41913</v>
      </c>
      <c r="FL88" s="169">
        <v>41944</v>
      </c>
      <c r="FM88" s="169">
        <v>41974</v>
      </c>
      <c r="FN88" s="169">
        <v>42005</v>
      </c>
      <c r="FO88" s="169">
        <v>42036</v>
      </c>
      <c r="FP88" s="169">
        <v>42064</v>
      </c>
      <c r="FQ88" s="169">
        <v>42095</v>
      </c>
      <c r="FR88" s="169">
        <v>42125</v>
      </c>
      <c r="FS88" s="169">
        <v>42156</v>
      </c>
      <c r="FT88" s="169">
        <v>42186</v>
      </c>
      <c r="FU88" s="169">
        <v>42217</v>
      </c>
      <c r="FV88" s="169">
        <v>42248</v>
      </c>
      <c r="FW88" s="169">
        <v>42278</v>
      </c>
      <c r="FX88" s="169">
        <v>42309</v>
      </c>
      <c r="FY88" s="169">
        <v>42339</v>
      </c>
      <c r="FZ88" s="169">
        <v>42370</v>
      </c>
      <c r="GA88" s="169">
        <v>42401</v>
      </c>
      <c r="GB88" s="169">
        <v>42430</v>
      </c>
      <c r="GC88" s="169">
        <v>42461</v>
      </c>
      <c r="GD88" s="169">
        <v>42491</v>
      </c>
      <c r="GE88" s="169">
        <v>42522</v>
      </c>
      <c r="GF88" s="169">
        <v>42552</v>
      </c>
      <c r="GG88" s="169">
        <v>42583</v>
      </c>
      <c r="GH88" s="169">
        <v>42614</v>
      </c>
      <c r="GI88" s="169">
        <v>42644</v>
      </c>
      <c r="GJ88" s="169">
        <v>42675</v>
      </c>
      <c r="GK88" s="169">
        <v>42705</v>
      </c>
      <c r="GL88" s="169">
        <v>42736</v>
      </c>
      <c r="GM88" s="169">
        <v>42767</v>
      </c>
      <c r="GN88" s="169">
        <v>42795</v>
      </c>
      <c r="GO88" s="169">
        <v>42826</v>
      </c>
      <c r="GP88" s="169">
        <v>42856</v>
      </c>
      <c r="GQ88" s="169">
        <v>42887</v>
      </c>
      <c r="GR88" s="169">
        <v>42917</v>
      </c>
      <c r="GS88" s="169">
        <v>42948</v>
      </c>
      <c r="GT88" s="169">
        <v>42979</v>
      </c>
      <c r="GU88" s="169">
        <v>43009</v>
      </c>
      <c r="GV88" s="169">
        <v>43040</v>
      </c>
      <c r="GW88" s="169">
        <v>43070</v>
      </c>
      <c r="GX88" s="169">
        <v>43101</v>
      </c>
      <c r="GY88" s="169">
        <v>43132</v>
      </c>
      <c r="GZ88" s="169">
        <v>43160</v>
      </c>
      <c r="HA88" s="169">
        <v>43191</v>
      </c>
      <c r="HB88" s="169">
        <v>43221</v>
      </c>
      <c r="HC88" s="169">
        <v>43252</v>
      </c>
      <c r="HD88" s="169">
        <v>43282</v>
      </c>
      <c r="HE88" s="169">
        <v>43313</v>
      </c>
      <c r="HF88" s="169">
        <v>43344</v>
      </c>
      <c r="HG88" s="169">
        <v>43374</v>
      </c>
      <c r="HH88" s="169">
        <v>43405</v>
      </c>
      <c r="HI88" s="169">
        <v>43435</v>
      </c>
      <c r="HJ88" s="169">
        <v>43466</v>
      </c>
      <c r="HK88" s="169">
        <v>43497</v>
      </c>
      <c r="HL88" s="169">
        <v>43525</v>
      </c>
      <c r="HM88" s="169">
        <v>43556</v>
      </c>
      <c r="HN88" s="169">
        <v>43586</v>
      </c>
      <c r="HO88" s="169">
        <v>43617</v>
      </c>
      <c r="HP88" s="169">
        <v>43647</v>
      </c>
      <c r="HQ88" s="169">
        <v>43678</v>
      </c>
      <c r="HR88" s="169">
        <v>43709</v>
      </c>
      <c r="HS88" s="169">
        <v>43739</v>
      </c>
      <c r="HT88" s="169">
        <v>43770</v>
      </c>
      <c r="HU88" s="169">
        <v>43800</v>
      </c>
      <c r="HV88" s="169">
        <v>43831</v>
      </c>
      <c r="HW88" s="169">
        <v>43862</v>
      </c>
      <c r="HX88" s="169">
        <v>43891</v>
      </c>
      <c r="HY88" s="169">
        <v>43922</v>
      </c>
      <c r="HZ88" s="169">
        <v>43952</v>
      </c>
      <c r="IA88" s="169">
        <v>43983</v>
      </c>
      <c r="IB88" s="169">
        <v>44013</v>
      </c>
      <c r="IC88" s="169">
        <v>44044</v>
      </c>
      <c r="ID88" s="169">
        <v>44075</v>
      </c>
      <c r="IE88" s="169">
        <v>44105</v>
      </c>
      <c r="IF88" s="169">
        <v>44136</v>
      </c>
      <c r="IG88" s="169">
        <v>44166</v>
      </c>
      <c r="IH88" s="169">
        <v>44197</v>
      </c>
      <c r="II88" s="169">
        <v>44228</v>
      </c>
      <c r="IJ88" s="169">
        <v>44256</v>
      </c>
      <c r="IK88" s="169">
        <v>44287</v>
      </c>
      <c r="IL88" s="169">
        <v>44317</v>
      </c>
      <c r="IM88" s="169">
        <v>44348</v>
      </c>
      <c r="IN88" s="199">
        <v>44378</v>
      </c>
    </row>
    <row r="89" spans="1:248">
      <c r="A89" s="81" t="s">
        <v>1030</v>
      </c>
      <c r="B89" s="284">
        <v>4598</v>
      </c>
      <c r="C89" s="284">
        <v>4640</v>
      </c>
      <c r="D89" s="284">
        <v>4621</v>
      </c>
      <c r="E89" s="284">
        <v>4668</v>
      </c>
      <c r="F89" s="284">
        <v>4512</v>
      </c>
      <c r="G89" s="284">
        <v>4571</v>
      </c>
      <c r="H89" s="284">
        <v>4634</v>
      </c>
      <c r="I89" s="284">
        <v>4618</v>
      </c>
      <c r="J89" s="284">
        <v>4556</v>
      </c>
      <c r="K89" s="284">
        <v>4584</v>
      </c>
      <c r="L89" s="284">
        <v>4564</v>
      </c>
      <c r="M89" s="284">
        <v>4812</v>
      </c>
      <c r="N89" s="284">
        <v>4658</v>
      </c>
      <c r="O89" s="284">
        <v>4644</v>
      </c>
      <c r="P89" s="284">
        <v>4656</v>
      </c>
      <c r="Q89" s="284">
        <v>4646</v>
      </c>
      <c r="R89" s="284">
        <v>4699</v>
      </c>
      <c r="S89" s="284">
        <v>4665</v>
      </c>
      <c r="T89" s="284">
        <v>4723</v>
      </c>
      <c r="U89" s="284">
        <v>4709</v>
      </c>
      <c r="V89" s="284">
        <v>4611</v>
      </c>
      <c r="W89" s="284">
        <v>4709</v>
      </c>
      <c r="X89" s="284">
        <v>4619</v>
      </c>
      <c r="Y89" s="284">
        <v>4651</v>
      </c>
      <c r="Z89" s="284">
        <v>4658</v>
      </c>
      <c r="AA89" s="284">
        <v>4644</v>
      </c>
      <c r="AB89" s="284">
        <v>4581</v>
      </c>
      <c r="AC89" s="284">
        <v>4616</v>
      </c>
      <c r="AD89" s="284">
        <v>4558</v>
      </c>
      <c r="AE89" s="284">
        <v>4620</v>
      </c>
      <c r="AF89" s="284">
        <v>4550</v>
      </c>
      <c r="AG89" s="284">
        <v>4761</v>
      </c>
      <c r="AH89" s="284">
        <v>4659</v>
      </c>
      <c r="AI89" s="284">
        <v>4586</v>
      </c>
      <c r="AJ89" s="284">
        <v>4551</v>
      </c>
      <c r="AK89" s="284">
        <v>4551</v>
      </c>
      <c r="AL89" s="284">
        <v>4372</v>
      </c>
      <c r="AM89" s="284">
        <v>4425</v>
      </c>
      <c r="AN89" s="284">
        <v>4470</v>
      </c>
      <c r="AO89" s="284">
        <v>4549</v>
      </c>
      <c r="AP89" s="284">
        <v>4622</v>
      </c>
      <c r="AQ89" s="284">
        <v>4615</v>
      </c>
      <c r="AR89" s="284">
        <v>4616</v>
      </c>
      <c r="AS89" s="284">
        <v>4866</v>
      </c>
      <c r="AT89" s="284">
        <v>4654</v>
      </c>
      <c r="AU89" s="284">
        <v>4587</v>
      </c>
      <c r="AV89" s="284">
        <v>4678</v>
      </c>
      <c r="AW89" s="284">
        <v>4708</v>
      </c>
      <c r="AX89" s="284">
        <v>4721</v>
      </c>
      <c r="AY89" s="284">
        <v>4750</v>
      </c>
      <c r="AZ89" s="284">
        <v>4745</v>
      </c>
      <c r="BA89" s="284">
        <v>4813</v>
      </c>
      <c r="BB89" s="284">
        <v>4889</v>
      </c>
      <c r="BC89" s="284">
        <v>4949</v>
      </c>
      <c r="BD89" s="284">
        <v>4989</v>
      </c>
      <c r="BE89" s="284">
        <v>5013</v>
      </c>
      <c r="BF89" s="284">
        <v>5015</v>
      </c>
      <c r="BG89" s="284">
        <v>4994</v>
      </c>
      <c r="BH89" s="284">
        <v>4986</v>
      </c>
      <c r="BI89" s="284">
        <v>5025</v>
      </c>
      <c r="BJ89" s="284">
        <v>5021</v>
      </c>
      <c r="BK89" s="284">
        <v>5028</v>
      </c>
      <c r="BL89" s="284">
        <v>5047</v>
      </c>
      <c r="BM89" s="284">
        <v>4988</v>
      </c>
      <c r="BN89" s="284">
        <v>5198</v>
      </c>
      <c r="BO89" s="284">
        <v>5188</v>
      </c>
      <c r="BP89" s="284">
        <v>5331</v>
      </c>
      <c r="BQ89" s="284">
        <v>5313</v>
      </c>
      <c r="BR89" s="284">
        <v>5229</v>
      </c>
      <c r="BS89" s="284">
        <v>5241</v>
      </c>
      <c r="BT89" s="284">
        <v>5236</v>
      </c>
      <c r="BU89" s="284">
        <v>5191</v>
      </c>
      <c r="BV89" s="284">
        <v>5150</v>
      </c>
      <c r="BW89" s="284">
        <v>5258</v>
      </c>
      <c r="BX89" s="284">
        <v>5252</v>
      </c>
      <c r="BY89" s="284">
        <v>5257</v>
      </c>
      <c r="BZ89" s="284">
        <v>5319</v>
      </c>
      <c r="CA89" s="284">
        <v>5233</v>
      </c>
      <c r="CB89" s="284">
        <v>5274</v>
      </c>
      <c r="CC89" s="284">
        <v>5346</v>
      </c>
      <c r="CD89" s="284">
        <v>5388</v>
      </c>
      <c r="CE89" s="284">
        <v>5429</v>
      </c>
      <c r="CF89" s="284">
        <v>5410</v>
      </c>
      <c r="CG89" s="284">
        <v>5424</v>
      </c>
      <c r="CH89" s="284">
        <v>5447</v>
      </c>
      <c r="CI89" s="284">
        <v>5454</v>
      </c>
      <c r="CJ89" s="284">
        <v>5126</v>
      </c>
      <c r="CK89" s="284">
        <v>5223</v>
      </c>
      <c r="CL89" s="284">
        <v>5223</v>
      </c>
      <c r="CM89" s="284">
        <v>5160</v>
      </c>
      <c r="CN89" s="284">
        <v>5259</v>
      </c>
      <c r="CO89" s="284">
        <v>5205</v>
      </c>
      <c r="CP89" s="284">
        <v>5210</v>
      </c>
      <c r="CQ89" s="284">
        <v>5245</v>
      </c>
      <c r="CR89" s="284">
        <v>5179</v>
      </c>
      <c r="CS89" s="284">
        <v>5146</v>
      </c>
      <c r="CT89" s="284">
        <v>5139</v>
      </c>
      <c r="CU89" s="284">
        <v>5177</v>
      </c>
      <c r="CV89" s="284">
        <v>5166</v>
      </c>
      <c r="CW89" s="284">
        <v>5068</v>
      </c>
      <c r="CX89" s="284">
        <v>5182</v>
      </c>
      <c r="CY89" s="284">
        <v>5167</v>
      </c>
      <c r="CZ89" s="284">
        <v>5235</v>
      </c>
      <c r="DA89" s="284">
        <v>5186</v>
      </c>
      <c r="DB89" s="284">
        <v>5214</v>
      </c>
      <c r="DC89" s="284">
        <v>5208</v>
      </c>
      <c r="DD89" s="284">
        <v>5241</v>
      </c>
      <c r="DE89" s="284">
        <v>5131</v>
      </c>
      <c r="DF89" s="284">
        <v>5113</v>
      </c>
      <c r="DG89" s="284">
        <v>5252</v>
      </c>
      <c r="DH89" s="284">
        <v>5258</v>
      </c>
      <c r="DI89" s="284">
        <v>5100</v>
      </c>
      <c r="DJ89" s="284">
        <v>5938</v>
      </c>
      <c r="DK89" s="284">
        <v>5174</v>
      </c>
      <c r="DL89" s="284">
        <v>5154</v>
      </c>
      <c r="DM89" s="284">
        <v>5137</v>
      </c>
      <c r="DN89" s="284">
        <v>5121</v>
      </c>
      <c r="DO89" s="284">
        <v>5174</v>
      </c>
      <c r="DP89" s="284">
        <v>5332</v>
      </c>
      <c r="DQ89" s="284">
        <v>5202</v>
      </c>
      <c r="DR89" s="284">
        <v>5189</v>
      </c>
      <c r="DS89" s="284">
        <v>5426</v>
      </c>
      <c r="DT89" s="284">
        <v>5420</v>
      </c>
      <c r="DU89" s="284">
        <v>5334</v>
      </c>
      <c r="DV89" s="284">
        <v>5503</v>
      </c>
      <c r="DW89" s="284">
        <v>5365</v>
      </c>
      <c r="DX89" s="284">
        <v>5355</v>
      </c>
      <c r="DY89" s="284">
        <v>5446</v>
      </c>
      <c r="DZ89" s="284">
        <v>5470</v>
      </c>
      <c r="EA89" s="284">
        <v>5548</v>
      </c>
      <c r="EB89" s="284">
        <v>5553</v>
      </c>
      <c r="EC89" s="284">
        <v>5669</v>
      </c>
      <c r="ED89" s="284">
        <v>5612</v>
      </c>
      <c r="EE89" s="284">
        <v>5598</v>
      </c>
      <c r="EF89" s="284">
        <v>5864</v>
      </c>
      <c r="EG89" s="284">
        <v>5402</v>
      </c>
      <c r="EH89" s="284">
        <v>5435</v>
      </c>
      <c r="EI89" s="284">
        <v>5218</v>
      </c>
      <c r="EJ89" s="284">
        <v>5192</v>
      </c>
      <c r="EK89" s="284">
        <v>5214</v>
      </c>
      <c r="EL89" s="284">
        <v>5108</v>
      </c>
      <c r="EM89" s="284">
        <v>5112</v>
      </c>
      <c r="EN89" s="284">
        <v>5154</v>
      </c>
      <c r="EO89" s="284">
        <v>5110</v>
      </c>
      <c r="EP89" s="284">
        <v>5143</v>
      </c>
      <c r="EQ89" s="284">
        <v>5220</v>
      </c>
      <c r="ER89" s="284">
        <v>5182</v>
      </c>
      <c r="ES89" s="284">
        <v>5279</v>
      </c>
      <c r="ET89" s="284">
        <v>5231</v>
      </c>
      <c r="EU89" s="284">
        <v>5198</v>
      </c>
      <c r="EV89" s="284">
        <v>5344</v>
      </c>
      <c r="EW89" s="284">
        <v>5186</v>
      </c>
      <c r="EX89" s="284">
        <v>5200</v>
      </c>
      <c r="EY89" s="284">
        <v>5405</v>
      </c>
      <c r="EZ89" s="284">
        <v>5243</v>
      </c>
      <c r="FA89" s="284">
        <v>5124</v>
      </c>
      <c r="FB89" s="284">
        <v>5135</v>
      </c>
      <c r="FC89" s="284">
        <v>5309</v>
      </c>
      <c r="FD89" s="284">
        <v>5139</v>
      </c>
      <c r="FE89" s="284">
        <v>5157</v>
      </c>
      <c r="FF89" s="284">
        <v>5248</v>
      </c>
      <c r="FG89" s="284">
        <v>5205</v>
      </c>
      <c r="FH89" s="284">
        <v>5225</v>
      </c>
      <c r="FI89" s="284">
        <v>5137</v>
      </c>
      <c r="FJ89" s="284">
        <v>5209</v>
      </c>
      <c r="FK89" s="284">
        <v>5262</v>
      </c>
      <c r="FL89" s="284">
        <v>5177</v>
      </c>
      <c r="FM89" s="284">
        <v>5196</v>
      </c>
      <c r="FN89" s="284">
        <v>5056</v>
      </c>
      <c r="FO89" s="284">
        <v>5230</v>
      </c>
      <c r="FP89" s="284">
        <v>5207</v>
      </c>
      <c r="FQ89" s="284">
        <v>5041</v>
      </c>
      <c r="FR89" s="284">
        <v>5143</v>
      </c>
      <c r="FS89" s="284">
        <v>5045</v>
      </c>
      <c r="FT89" s="284">
        <v>5149</v>
      </c>
      <c r="FU89" s="284">
        <v>5075</v>
      </c>
      <c r="FV89" s="284">
        <v>5599</v>
      </c>
      <c r="FW89" s="284">
        <v>5077</v>
      </c>
      <c r="FX89" s="284">
        <v>5361</v>
      </c>
      <c r="FY89" s="284">
        <v>4965</v>
      </c>
      <c r="FZ89" s="284">
        <v>4899</v>
      </c>
      <c r="GA89" s="284">
        <v>5184</v>
      </c>
      <c r="GB89" s="284">
        <v>4695</v>
      </c>
      <c r="GC89" s="284">
        <v>4771</v>
      </c>
      <c r="GD89" s="284">
        <v>4848</v>
      </c>
      <c r="GE89" s="284">
        <v>4833</v>
      </c>
      <c r="GF89" s="284">
        <v>4906</v>
      </c>
      <c r="GG89" s="284">
        <v>5010</v>
      </c>
      <c r="GH89" s="284">
        <v>4406</v>
      </c>
      <c r="GI89" s="284">
        <v>4774</v>
      </c>
      <c r="GJ89" s="284">
        <v>4839</v>
      </c>
      <c r="GK89" s="284">
        <v>4669</v>
      </c>
      <c r="GL89" s="284">
        <v>4728</v>
      </c>
      <c r="GM89" s="284">
        <v>4967</v>
      </c>
      <c r="GN89" s="284">
        <v>4844</v>
      </c>
      <c r="GO89" s="284">
        <v>4594</v>
      </c>
      <c r="GP89" s="284">
        <v>4841</v>
      </c>
      <c r="GQ89" s="284">
        <v>4739</v>
      </c>
      <c r="GR89" s="284">
        <v>4699</v>
      </c>
      <c r="GS89" s="284">
        <v>4810</v>
      </c>
      <c r="GT89" s="284">
        <v>4687</v>
      </c>
      <c r="GU89" s="284">
        <v>4745</v>
      </c>
      <c r="GV89" s="284">
        <v>4754</v>
      </c>
      <c r="GW89" s="284">
        <v>4618</v>
      </c>
      <c r="GX89" s="284">
        <v>4792</v>
      </c>
      <c r="GY89" s="284">
        <v>4936</v>
      </c>
      <c r="GZ89" s="284">
        <v>4806</v>
      </c>
      <c r="HA89" s="284">
        <v>4720</v>
      </c>
      <c r="HB89" s="284">
        <v>4852</v>
      </c>
      <c r="HC89" s="284">
        <v>4845</v>
      </c>
      <c r="HD89" s="284">
        <v>4850</v>
      </c>
      <c r="HE89" s="284">
        <v>4511</v>
      </c>
      <c r="HF89" s="284">
        <v>4712</v>
      </c>
      <c r="HG89" s="284">
        <v>4831</v>
      </c>
      <c r="HH89" s="284">
        <v>4930</v>
      </c>
      <c r="HI89" s="284">
        <v>4746</v>
      </c>
      <c r="HJ89" s="284">
        <v>4824</v>
      </c>
      <c r="HK89" s="284">
        <v>4950</v>
      </c>
      <c r="HL89" s="284">
        <v>5005</v>
      </c>
      <c r="HM89" s="284">
        <v>4849</v>
      </c>
      <c r="HN89" s="284">
        <v>4972</v>
      </c>
      <c r="HO89" s="284">
        <v>4865</v>
      </c>
      <c r="HP89" s="284">
        <v>4819</v>
      </c>
      <c r="HQ89" s="284">
        <v>4823</v>
      </c>
      <c r="HR89" s="284">
        <v>4872</v>
      </c>
      <c r="HS89" s="284">
        <v>4933</v>
      </c>
      <c r="HT89" s="284">
        <v>4903</v>
      </c>
      <c r="HU89" s="284">
        <v>4810</v>
      </c>
      <c r="HV89" s="284">
        <v>5443</v>
      </c>
      <c r="HW89" s="284">
        <v>5684</v>
      </c>
      <c r="HX89" s="284">
        <v>5392</v>
      </c>
      <c r="HY89" s="284">
        <v>4709</v>
      </c>
      <c r="HZ89" s="284">
        <v>4966</v>
      </c>
      <c r="IA89" s="284">
        <v>5241</v>
      </c>
      <c r="IB89" s="284">
        <v>5573</v>
      </c>
      <c r="IC89" s="284">
        <v>5522</v>
      </c>
      <c r="ID89" s="284">
        <v>5382</v>
      </c>
      <c r="IE89" s="284">
        <v>5693</v>
      </c>
      <c r="IF89" s="284">
        <v>5429</v>
      </c>
      <c r="IG89" s="284">
        <v>5287</v>
      </c>
      <c r="IH89" s="284">
        <v>5419</v>
      </c>
      <c r="II89" s="284">
        <v>5490</v>
      </c>
      <c r="IJ89" s="284">
        <v>5442</v>
      </c>
      <c r="IK89" s="284">
        <v>5470</v>
      </c>
      <c r="IL89" s="284">
        <v>5342</v>
      </c>
      <c r="IM89" s="850">
        <v>5347</v>
      </c>
      <c r="IN89" s="168"/>
    </row>
    <row r="90" spans="1:248">
      <c r="A90" s="81" t="s">
        <v>189</v>
      </c>
      <c r="B90" s="285">
        <v>536</v>
      </c>
      <c r="C90" s="285">
        <v>532</v>
      </c>
      <c r="D90" s="285">
        <v>526</v>
      </c>
      <c r="E90" s="285">
        <v>527</v>
      </c>
      <c r="F90" s="285">
        <v>530</v>
      </c>
      <c r="G90" s="285">
        <v>533</v>
      </c>
      <c r="H90" s="285">
        <v>535</v>
      </c>
      <c r="I90" s="285">
        <v>542</v>
      </c>
      <c r="J90" s="285">
        <v>541</v>
      </c>
      <c r="K90" s="285">
        <v>543</v>
      </c>
      <c r="L90" s="285">
        <v>558</v>
      </c>
      <c r="M90" s="285">
        <v>532</v>
      </c>
      <c r="N90" s="285">
        <v>532</v>
      </c>
      <c r="O90" s="285">
        <v>536</v>
      </c>
      <c r="P90" s="285">
        <v>543</v>
      </c>
      <c r="Q90" s="285">
        <v>545</v>
      </c>
      <c r="R90" s="285">
        <v>536</v>
      </c>
      <c r="S90" s="285">
        <v>537</v>
      </c>
      <c r="T90" s="285">
        <v>538</v>
      </c>
      <c r="U90" s="285">
        <v>430</v>
      </c>
      <c r="V90" s="285">
        <v>519</v>
      </c>
      <c r="W90" s="285">
        <v>535</v>
      </c>
      <c r="X90" s="285">
        <v>535</v>
      </c>
      <c r="Y90" s="285">
        <v>563</v>
      </c>
      <c r="Z90" s="285">
        <v>523</v>
      </c>
      <c r="AA90" s="285">
        <v>510</v>
      </c>
      <c r="AB90" s="285">
        <v>511</v>
      </c>
      <c r="AC90" s="285">
        <v>508</v>
      </c>
      <c r="AD90" s="285">
        <v>501</v>
      </c>
      <c r="AE90" s="285">
        <v>500</v>
      </c>
      <c r="AF90" s="285">
        <v>496</v>
      </c>
      <c r="AG90" s="285">
        <v>479</v>
      </c>
      <c r="AH90" s="285">
        <v>488</v>
      </c>
      <c r="AI90" s="285">
        <v>482</v>
      </c>
      <c r="AJ90" s="285">
        <v>259</v>
      </c>
      <c r="AK90" s="285">
        <v>264</v>
      </c>
      <c r="AL90" s="285">
        <v>274</v>
      </c>
      <c r="AM90" s="285">
        <v>280</v>
      </c>
      <c r="AN90" s="285">
        <v>268</v>
      </c>
      <c r="AO90" s="285">
        <v>297</v>
      </c>
      <c r="AP90" s="285">
        <v>325</v>
      </c>
      <c r="AQ90" s="285">
        <v>334</v>
      </c>
      <c r="AR90" s="285">
        <v>322</v>
      </c>
      <c r="AS90" s="285">
        <v>352</v>
      </c>
      <c r="AT90" s="285">
        <v>371</v>
      </c>
      <c r="AU90" s="285">
        <v>315</v>
      </c>
      <c r="AV90" s="285">
        <v>397</v>
      </c>
      <c r="AW90" s="285">
        <v>409</v>
      </c>
      <c r="AX90" s="285">
        <v>406</v>
      </c>
      <c r="AY90" s="285">
        <v>548</v>
      </c>
      <c r="AZ90" s="285">
        <v>427</v>
      </c>
      <c r="BA90" s="285">
        <v>455</v>
      </c>
      <c r="BB90" s="285">
        <v>447</v>
      </c>
      <c r="BC90" s="285">
        <v>453</v>
      </c>
      <c r="BD90" s="285">
        <v>489</v>
      </c>
      <c r="BE90" s="285">
        <v>500</v>
      </c>
      <c r="BF90" s="285">
        <v>666</v>
      </c>
      <c r="BG90" s="285">
        <v>644</v>
      </c>
      <c r="BH90" s="285">
        <v>631</v>
      </c>
      <c r="BI90" s="285">
        <v>690</v>
      </c>
      <c r="BJ90" s="285">
        <v>612</v>
      </c>
      <c r="BK90" s="285">
        <v>667</v>
      </c>
      <c r="BL90" s="285">
        <v>722</v>
      </c>
      <c r="BM90" s="285">
        <v>687</v>
      </c>
      <c r="BN90" s="285">
        <v>855</v>
      </c>
      <c r="BO90" s="285">
        <v>638</v>
      </c>
      <c r="BP90" s="285">
        <v>639</v>
      </c>
      <c r="BQ90" s="285">
        <v>655</v>
      </c>
      <c r="BR90" s="285">
        <v>666</v>
      </c>
      <c r="BS90" s="285">
        <v>662</v>
      </c>
      <c r="BT90" s="285">
        <v>659</v>
      </c>
      <c r="BU90" s="285">
        <v>617</v>
      </c>
      <c r="BV90" s="285">
        <v>706</v>
      </c>
      <c r="BW90" s="285">
        <v>739</v>
      </c>
      <c r="BX90" s="285">
        <v>759</v>
      </c>
      <c r="BY90" s="285">
        <v>853</v>
      </c>
      <c r="BZ90" s="285">
        <v>971</v>
      </c>
      <c r="CA90" s="285">
        <v>1019</v>
      </c>
      <c r="CB90" s="285">
        <v>1030</v>
      </c>
      <c r="CC90" s="285">
        <v>1076</v>
      </c>
      <c r="CD90" s="285">
        <v>929</v>
      </c>
      <c r="CE90" s="285">
        <v>932</v>
      </c>
      <c r="CF90" s="285">
        <v>997</v>
      </c>
      <c r="CG90" s="285">
        <v>1013</v>
      </c>
      <c r="CH90" s="285">
        <v>1022</v>
      </c>
      <c r="CI90" s="285">
        <v>1010</v>
      </c>
      <c r="CJ90" s="285">
        <v>1005</v>
      </c>
      <c r="CK90" s="285">
        <v>1046</v>
      </c>
      <c r="CL90" s="285">
        <v>1003</v>
      </c>
      <c r="CM90" s="285">
        <v>1058</v>
      </c>
      <c r="CN90" s="285">
        <v>1027</v>
      </c>
      <c r="CO90" s="285">
        <v>946</v>
      </c>
      <c r="CP90" s="285">
        <v>1044</v>
      </c>
      <c r="CQ90" s="285">
        <v>1052</v>
      </c>
      <c r="CR90" s="285">
        <v>1038</v>
      </c>
      <c r="CS90" s="285">
        <v>1070</v>
      </c>
      <c r="CT90" s="285">
        <v>968</v>
      </c>
      <c r="CU90" s="285">
        <v>904</v>
      </c>
      <c r="CV90" s="285">
        <v>813</v>
      </c>
      <c r="CW90" s="285">
        <v>851</v>
      </c>
      <c r="CX90" s="285">
        <v>792</v>
      </c>
      <c r="CY90" s="285">
        <v>795</v>
      </c>
      <c r="CZ90" s="285">
        <v>837</v>
      </c>
      <c r="DA90" s="285">
        <v>793</v>
      </c>
      <c r="DB90" s="285">
        <v>814</v>
      </c>
      <c r="DC90" s="285">
        <v>822</v>
      </c>
      <c r="DD90" s="285">
        <v>812</v>
      </c>
      <c r="DE90" s="285">
        <v>859</v>
      </c>
      <c r="DF90" s="285">
        <v>805</v>
      </c>
      <c r="DG90" s="285">
        <v>822</v>
      </c>
      <c r="DH90" s="285">
        <v>822</v>
      </c>
      <c r="DI90" s="285">
        <v>844</v>
      </c>
      <c r="DJ90" s="285">
        <v>836</v>
      </c>
      <c r="DK90" s="285">
        <v>896</v>
      </c>
      <c r="DL90" s="285">
        <v>890</v>
      </c>
      <c r="DM90" s="285">
        <v>891</v>
      </c>
      <c r="DN90" s="285">
        <v>908</v>
      </c>
      <c r="DO90" s="285">
        <v>886</v>
      </c>
      <c r="DP90" s="285">
        <v>935</v>
      </c>
      <c r="DQ90" s="285">
        <v>1036</v>
      </c>
      <c r="DR90" s="285">
        <v>1000</v>
      </c>
      <c r="DS90" s="285">
        <v>1059</v>
      </c>
      <c r="DT90" s="285">
        <v>1048</v>
      </c>
      <c r="DU90" s="285">
        <v>872</v>
      </c>
      <c r="DV90" s="285">
        <v>1047</v>
      </c>
      <c r="DW90" s="285">
        <v>1074</v>
      </c>
      <c r="DX90" s="285">
        <v>1121</v>
      </c>
      <c r="DY90" s="285">
        <v>1145</v>
      </c>
      <c r="DZ90" s="285">
        <v>1167</v>
      </c>
      <c r="EA90" s="285">
        <v>1129</v>
      </c>
      <c r="EB90" s="285">
        <v>1137</v>
      </c>
      <c r="EC90" s="285">
        <v>1145</v>
      </c>
      <c r="ED90" s="285">
        <v>1178</v>
      </c>
      <c r="EE90" s="285">
        <v>1229</v>
      </c>
      <c r="EF90" s="285">
        <v>1210</v>
      </c>
      <c r="EG90" s="285">
        <v>1199</v>
      </c>
      <c r="EH90" s="285">
        <v>1309</v>
      </c>
      <c r="EI90" s="285">
        <v>1192</v>
      </c>
      <c r="EJ90" s="285">
        <v>1282</v>
      </c>
      <c r="EK90" s="285">
        <v>1322</v>
      </c>
      <c r="EL90" s="285">
        <v>1303</v>
      </c>
      <c r="EM90" s="285">
        <v>1303</v>
      </c>
      <c r="EN90" s="285">
        <v>1308</v>
      </c>
      <c r="EO90" s="285">
        <v>1374</v>
      </c>
      <c r="EP90" s="285">
        <v>1225</v>
      </c>
      <c r="EQ90" s="285">
        <v>1253</v>
      </c>
      <c r="ER90" s="285">
        <v>1276</v>
      </c>
      <c r="ES90" s="285">
        <v>1300</v>
      </c>
      <c r="ET90" s="285">
        <v>1220</v>
      </c>
      <c r="EU90" s="285">
        <v>1258</v>
      </c>
      <c r="EV90" s="285">
        <v>1256</v>
      </c>
      <c r="EW90" s="285">
        <v>1287</v>
      </c>
      <c r="EX90" s="285">
        <v>1216</v>
      </c>
      <c r="EY90" s="285">
        <v>1220</v>
      </c>
      <c r="EZ90" s="285">
        <v>1241</v>
      </c>
      <c r="FA90" s="285">
        <v>1229</v>
      </c>
      <c r="FB90" s="285">
        <v>1227</v>
      </c>
      <c r="FC90" s="285">
        <v>1216</v>
      </c>
      <c r="FD90" s="285">
        <v>1220</v>
      </c>
      <c r="FE90" s="285">
        <v>921</v>
      </c>
      <c r="FF90" s="285">
        <v>966</v>
      </c>
      <c r="FG90" s="285">
        <v>935</v>
      </c>
      <c r="FH90" s="285">
        <v>1019</v>
      </c>
      <c r="FI90" s="285">
        <v>1080</v>
      </c>
      <c r="FJ90" s="285">
        <v>1097</v>
      </c>
      <c r="FK90" s="285">
        <v>1041</v>
      </c>
      <c r="FL90" s="285">
        <v>1030</v>
      </c>
      <c r="FM90" s="285">
        <v>1021</v>
      </c>
      <c r="FN90" s="285">
        <v>1012</v>
      </c>
      <c r="FO90" s="285">
        <v>994</v>
      </c>
      <c r="FP90" s="285">
        <v>959</v>
      </c>
      <c r="FQ90" s="285">
        <v>1005</v>
      </c>
      <c r="FR90" s="285">
        <v>962</v>
      </c>
      <c r="FS90" s="285">
        <v>1085</v>
      </c>
      <c r="FT90" s="285">
        <v>989</v>
      </c>
      <c r="FU90" s="285">
        <v>980</v>
      </c>
      <c r="FV90" s="285">
        <v>961</v>
      </c>
      <c r="FW90" s="285">
        <v>966</v>
      </c>
      <c r="FX90" s="285">
        <v>1015</v>
      </c>
      <c r="FY90" s="285">
        <v>973</v>
      </c>
      <c r="FZ90" s="285">
        <v>960</v>
      </c>
      <c r="GA90" s="285">
        <v>895</v>
      </c>
      <c r="GB90" s="285">
        <v>875</v>
      </c>
      <c r="GC90" s="285">
        <v>812</v>
      </c>
      <c r="GD90" s="285">
        <v>842</v>
      </c>
      <c r="GE90" s="285">
        <v>854</v>
      </c>
      <c r="GF90" s="285">
        <v>858</v>
      </c>
      <c r="GG90" s="285">
        <v>851</v>
      </c>
      <c r="GH90" s="285">
        <v>1002</v>
      </c>
      <c r="GI90" s="285">
        <v>804</v>
      </c>
      <c r="GJ90" s="285">
        <v>797</v>
      </c>
      <c r="GK90" s="285">
        <v>807</v>
      </c>
      <c r="GL90" s="285">
        <v>776</v>
      </c>
      <c r="GM90" s="285">
        <v>801</v>
      </c>
      <c r="GN90" s="285">
        <v>748</v>
      </c>
      <c r="GO90" s="285">
        <v>671</v>
      </c>
      <c r="GP90" s="285">
        <v>714</v>
      </c>
      <c r="GQ90" s="285">
        <v>639</v>
      </c>
      <c r="GR90" s="285">
        <v>730</v>
      </c>
      <c r="GS90" s="285">
        <v>727</v>
      </c>
      <c r="GT90" s="285">
        <v>753</v>
      </c>
      <c r="GU90" s="285">
        <v>769</v>
      </c>
      <c r="GV90" s="285">
        <v>803</v>
      </c>
      <c r="GW90" s="285">
        <v>819</v>
      </c>
      <c r="GX90" s="285">
        <v>798</v>
      </c>
      <c r="GY90" s="285">
        <v>799</v>
      </c>
      <c r="GZ90" s="285">
        <v>802</v>
      </c>
      <c r="HA90" s="285">
        <v>799</v>
      </c>
      <c r="HB90" s="285">
        <v>824</v>
      </c>
      <c r="HC90" s="285">
        <v>814</v>
      </c>
      <c r="HD90" s="285">
        <v>813</v>
      </c>
      <c r="HE90" s="285">
        <v>831</v>
      </c>
      <c r="HF90" s="285">
        <v>855</v>
      </c>
      <c r="HG90" s="285">
        <v>862</v>
      </c>
      <c r="HH90" s="285">
        <v>732</v>
      </c>
      <c r="HI90" s="285">
        <v>880</v>
      </c>
      <c r="HJ90" s="285">
        <v>925</v>
      </c>
      <c r="HK90" s="285">
        <v>926</v>
      </c>
      <c r="HL90" s="285">
        <v>881</v>
      </c>
      <c r="HM90" s="285">
        <v>766</v>
      </c>
      <c r="HN90" s="285">
        <v>844</v>
      </c>
      <c r="HO90" s="285">
        <v>821</v>
      </c>
      <c r="HP90" s="286">
        <v>935</v>
      </c>
      <c r="HQ90" s="286">
        <v>1196</v>
      </c>
      <c r="HR90" s="286">
        <v>1048</v>
      </c>
      <c r="HS90" s="286">
        <v>1139</v>
      </c>
      <c r="HT90" s="286">
        <v>1177</v>
      </c>
      <c r="HU90" s="286">
        <v>1014</v>
      </c>
      <c r="HV90" s="545">
        <v>934</v>
      </c>
      <c r="HW90" s="545">
        <v>639</v>
      </c>
      <c r="HX90" s="545">
        <v>642</v>
      </c>
      <c r="HY90" s="545">
        <v>612</v>
      </c>
      <c r="HZ90" s="545">
        <v>599</v>
      </c>
      <c r="IA90" s="545">
        <v>609</v>
      </c>
      <c r="IB90" s="545">
        <v>673</v>
      </c>
      <c r="IC90" s="545">
        <v>661</v>
      </c>
      <c r="ID90" s="545">
        <v>716</v>
      </c>
      <c r="IE90" s="545">
        <v>637</v>
      </c>
      <c r="IF90" s="545">
        <v>615</v>
      </c>
      <c r="IG90" s="285">
        <v>582</v>
      </c>
      <c r="IH90" s="545">
        <v>595</v>
      </c>
      <c r="II90" s="545">
        <v>643</v>
      </c>
      <c r="IJ90" s="545">
        <v>632</v>
      </c>
      <c r="IK90" s="545">
        <v>645</v>
      </c>
      <c r="IL90" s="545">
        <v>626</v>
      </c>
      <c r="IM90" s="851">
        <v>634</v>
      </c>
      <c r="IN90" s="168"/>
    </row>
    <row r="91" spans="1:248">
      <c r="A91" s="81" t="s">
        <v>146</v>
      </c>
      <c r="B91" s="284">
        <v>642</v>
      </c>
      <c r="C91" s="284">
        <v>639</v>
      </c>
      <c r="D91" s="284">
        <v>637</v>
      </c>
      <c r="E91" s="284">
        <v>633</v>
      </c>
      <c r="F91" s="284">
        <v>633</v>
      </c>
      <c r="G91" s="284">
        <v>633</v>
      </c>
      <c r="H91" s="284">
        <v>619</v>
      </c>
      <c r="I91" s="284">
        <v>619</v>
      </c>
      <c r="J91" s="284">
        <v>618</v>
      </c>
      <c r="K91" s="284">
        <v>617</v>
      </c>
      <c r="L91" s="284">
        <v>620</v>
      </c>
      <c r="M91" s="284">
        <v>618</v>
      </c>
      <c r="N91" s="284">
        <v>621</v>
      </c>
      <c r="O91" s="284">
        <v>618</v>
      </c>
      <c r="P91" s="284">
        <v>625</v>
      </c>
      <c r="Q91" s="284">
        <v>625</v>
      </c>
      <c r="R91" s="284">
        <v>626</v>
      </c>
      <c r="S91" s="284">
        <v>627</v>
      </c>
      <c r="T91" s="284">
        <v>624</v>
      </c>
      <c r="U91" s="284">
        <v>617</v>
      </c>
      <c r="V91" s="284">
        <v>609</v>
      </c>
      <c r="W91" s="284">
        <v>589</v>
      </c>
      <c r="X91" s="284">
        <v>591</v>
      </c>
      <c r="Y91" s="284">
        <v>594</v>
      </c>
      <c r="Z91" s="284">
        <v>596</v>
      </c>
      <c r="AA91" s="284">
        <v>594</v>
      </c>
      <c r="AB91" s="284">
        <v>599</v>
      </c>
      <c r="AC91" s="284">
        <v>599</v>
      </c>
      <c r="AD91" s="284">
        <v>598</v>
      </c>
      <c r="AE91" s="284">
        <v>597</v>
      </c>
      <c r="AF91" s="284">
        <v>598</v>
      </c>
      <c r="AG91" s="284">
        <v>595</v>
      </c>
      <c r="AH91" s="284">
        <v>596</v>
      </c>
      <c r="AI91" s="284">
        <v>595</v>
      </c>
      <c r="AJ91" s="284">
        <v>590</v>
      </c>
      <c r="AK91" s="284">
        <v>591</v>
      </c>
      <c r="AL91" s="284">
        <v>589</v>
      </c>
      <c r="AM91" s="284">
        <v>588</v>
      </c>
      <c r="AN91" s="284">
        <v>587</v>
      </c>
      <c r="AO91" s="284">
        <v>587</v>
      </c>
      <c r="AP91" s="284">
        <v>581</v>
      </c>
      <c r="AQ91" s="284">
        <v>580</v>
      </c>
      <c r="AR91" s="284">
        <v>579</v>
      </c>
      <c r="AS91" s="284">
        <v>583</v>
      </c>
      <c r="AT91" s="284">
        <v>587</v>
      </c>
      <c r="AU91" s="284">
        <v>586</v>
      </c>
      <c r="AV91" s="284">
        <v>612</v>
      </c>
      <c r="AW91" s="284">
        <v>627</v>
      </c>
      <c r="AX91" s="284">
        <v>634</v>
      </c>
      <c r="AY91" s="284">
        <v>629</v>
      </c>
      <c r="AZ91" s="284">
        <v>630</v>
      </c>
      <c r="BA91" s="284">
        <v>631</v>
      </c>
      <c r="BB91" s="284">
        <v>640</v>
      </c>
      <c r="BC91" s="284">
        <v>640</v>
      </c>
      <c r="BD91" s="284">
        <v>643</v>
      </c>
      <c r="BE91" s="284">
        <v>652</v>
      </c>
      <c r="BF91" s="284">
        <v>659</v>
      </c>
      <c r="BG91" s="284">
        <v>665</v>
      </c>
      <c r="BH91" s="284">
        <v>681</v>
      </c>
      <c r="BI91" s="284">
        <v>699</v>
      </c>
      <c r="BJ91" s="284">
        <v>717</v>
      </c>
      <c r="BK91" s="284">
        <v>728</v>
      </c>
      <c r="BL91" s="284">
        <v>724</v>
      </c>
      <c r="BM91" s="284">
        <v>728</v>
      </c>
      <c r="BN91" s="284">
        <v>730</v>
      </c>
      <c r="BO91" s="284">
        <v>718</v>
      </c>
      <c r="BP91" s="284">
        <v>710</v>
      </c>
      <c r="BQ91" s="284">
        <v>711</v>
      </c>
      <c r="BR91" s="284">
        <v>715</v>
      </c>
      <c r="BS91" s="284">
        <v>714</v>
      </c>
      <c r="BT91" s="284">
        <v>718</v>
      </c>
      <c r="BU91" s="284">
        <v>712</v>
      </c>
      <c r="BV91" s="284">
        <v>724</v>
      </c>
      <c r="BW91" s="284">
        <v>713</v>
      </c>
      <c r="BX91" s="284">
        <v>697</v>
      </c>
      <c r="BY91" s="284">
        <v>669</v>
      </c>
      <c r="BZ91" s="284">
        <v>665</v>
      </c>
      <c r="CA91" s="284">
        <v>667</v>
      </c>
      <c r="CB91" s="284">
        <v>669</v>
      </c>
      <c r="CC91" s="284">
        <v>663</v>
      </c>
      <c r="CD91" s="284">
        <v>665</v>
      </c>
      <c r="CE91" s="284">
        <v>673</v>
      </c>
      <c r="CF91" s="284">
        <v>682</v>
      </c>
      <c r="CG91" s="284">
        <v>673</v>
      </c>
      <c r="CH91" s="284">
        <v>690</v>
      </c>
      <c r="CI91" s="284">
        <v>691</v>
      </c>
      <c r="CJ91" s="284">
        <v>719</v>
      </c>
      <c r="CK91" s="284">
        <v>724</v>
      </c>
      <c r="CL91" s="284">
        <v>727</v>
      </c>
      <c r="CM91" s="284">
        <v>727</v>
      </c>
      <c r="CN91" s="284">
        <v>724</v>
      </c>
      <c r="CO91" s="284">
        <v>717</v>
      </c>
      <c r="CP91" s="284">
        <v>735</v>
      </c>
      <c r="CQ91" s="284">
        <v>770</v>
      </c>
      <c r="CR91" s="284">
        <v>771</v>
      </c>
      <c r="CS91" s="284">
        <v>779</v>
      </c>
      <c r="CT91" s="284">
        <v>781</v>
      </c>
      <c r="CU91" s="284">
        <v>790</v>
      </c>
      <c r="CV91" s="284">
        <v>783</v>
      </c>
      <c r="CW91" s="284">
        <v>809</v>
      </c>
      <c r="CX91" s="284">
        <v>791</v>
      </c>
      <c r="CY91" s="284">
        <v>791</v>
      </c>
      <c r="CZ91" s="284">
        <v>767</v>
      </c>
      <c r="DA91" s="284">
        <v>763</v>
      </c>
      <c r="DB91" s="284">
        <v>757</v>
      </c>
      <c r="DC91" s="284">
        <v>769</v>
      </c>
      <c r="DD91" s="284">
        <v>772</v>
      </c>
      <c r="DE91" s="284">
        <v>783</v>
      </c>
      <c r="DF91" s="284">
        <v>791</v>
      </c>
      <c r="DG91" s="284">
        <v>786</v>
      </c>
      <c r="DH91" s="284">
        <v>777</v>
      </c>
      <c r="DI91" s="284">
        <v>767</v>
      </c>
      <c r="DJ91" s="284">
        <v>764</v>
      </c>
      <c r="DK91" s="284">
        <v>757</v>
      </c>
      <c r="DL91" s="284">
        <v>755</v>
      </c>
      <c r="DM91" s="284">
        <v>743</v>
      </c>
      <c r="DN91" s="284">
        <v>739</v>
      </c>
      <c r="DO91" s="284">
        <v>743</v>
      </c>
      <c r="DP91" s="284">
        <v>747</v>
      </c>
      <c r="DQ91" s="284">
        <v>746</v>
      </c>
      <c r="DR91" s="284">
        <v>740</v>
      </c>
      <c r="DS91" s="284">
        <v>740</v>
      </c>
      <c r="DT91" s="284">
        <v>736</v>
      </c>
      <c r="DU91" s="284">
        <v>736</v>
      </c>
      <c r="DV91" s="284">
        <v>732</v>
      </c>
      <c r="DW91" s="284">
        <v>735</v>
      </c>
      <c r="DX91" s="284">
        <v>578</v>
      </c>
      <c r="DY91" s="284">
        <v>582</v>
      </c>
      <c r="DZ91" s="284">
        <v>602</v>
      </c>
      <c r="EA91" s="284">
        <v>604</v>
      </c>
      <c r="EB91" s="284">
        <v>625</v>
      </c>
      <c r="EC91" s="284">
        <v>624</v>
      </c>
      <c r="ED91" s="284">
        <v>629</v>
      </c>
      <c r="EE91" s="284">
        <v>658</v>
      </c>
      <c r="EF91" s="284">
        <v>377</v>
      </c>
      <c r="EG91" s="284">
        <v>351</v>
      </c>
      <c r="EH91" s="284">
        <v>390</v>
      </c>
      <c r="EI91" s="284">
        <v>382</v>
      </c>
      <c r="EJ91" s="284">
        <v>364</v>
      </c>
      <c r="EK91" s="284">
        <v>378</v>
      </c>
      <c r="EL91" s="284">
        <v>381</v>
      </c>
      <c r="EM91" s="284">
        <v>373</v>
      </c>
      <c r="EN91" s="284">
        <v>384</v>
      </c>
      <c r="EO91" s="284">
        <v>385</v>
      </c>
      <c r="EP91" s="284">
        <v>374</v>
      </c>
      <c r="EQ91" s="284">
        <v>410</v>
      </c>
      <c r="ER91" s="284">
        <v>379</v>
      </c>
      <c r="ES91" s="284">
        <v>365</v>
      </c>
      <c r="ET91" s="284">
        <v>382</v>
      </c>
      <c r="EU91" s="284">
        <v>370</v>
      </c>
      <c r="EV91" s="284">
        <v>363</v>
      </c>
      <c r="EW91" s="284">
        <v>363</v>
      </c>
      <c r="EX91" s="284">
        <v>353</v>
      </c>
      <c r="EY91" s="284">
        <v>334</v>
      </c>
      <c r="EZ91" s="284">
        <v>363</v>
      </c>
      <c r="FA91" s="284">
        <v>601</v>
      </c>
      <c r="FB91" s="284">
        <v>565</v>
      </c>
      <c r="FC91" s="284">
        <v>603</v>
      </c>
      <c r="FD91" s="284">
        <v>592</v>
      </c>
      <c r="FE91" s="284">
        <v>225</v>
      </c>
      <c r="FF91" s="284">
        <v>234</v>
      </c>
      <c r="FG91" s="284">
        <v>228</v>
      </c>
      <c r="FH91" s="284">
        <v>237</v>
      </c>
      <c r="FI91" s="284">
        <v>229</v>
      </c>
      <c r="FJ91" s="284">
        <v>237</v>
      </c>
      <c r="FK91" s="284">
        <v>212</v>
      </c>
      <c r="FL91" s="284">
        <v>226</v>
      </c>
      <c r="FM91" s="284">
        <v>558</v>
      </c>
      <c r="FN91" s="284">
        <v>543</v>
      </c>
      <c r="FO91" s="284">
        <v>562</v>
      </c>
      <c r="FP91" s="284">
        <v>560</v>
      </c>
      <c r="FQ91" s="284">
        <v>540</v>
      </c>
      <c r="FR91" s="284">
        <v>562</v>
      </c>
      <c r="FS91" s="284">
        <v>613</v>
      </c>
      <c r="FT91" s="284">
        <v>567</v>
      </c>
      <c r="FU91" s="284">
        <v>579</v>
      </c>
      <c r="FV91" s="284">
        <v>581</v>
      </c>
      <c r="FW91" s="284">
        <v>586</v>
      </c>
      <c r="FX91" s="284">
        <v>577</v>
      </c>
      <c r="FY91" s="284">
        <v>604</v>
      </c>
      <c r="FZ91" s="284">
        <v>578</v>
      </c>
      <c r="GA91" s="284">
        <v>595</v>
      </c>
      <c r="GB91" s="284">
        <v>579</v>
      </c>
      <c r="GC91" s="284">
        <v>762</v>
      </c>
      <c r="GD91" s="284">
        <v>539</v>
      </c>
      <c r="GE91" s="284">
        <v>549</v>
      </c>
      <c r="GF91" s="284">
        <v>486</v>
      </c>
      <c r="GG91" s="284">
        <v>499</v>
      </c>
      <c r="GH91" s="284">
        <v>499</v>
      </c>
      <c r="GI91" s="284">
        <v>481</v>
      </c>
      <c r="GJ91" s="284">
        <v>481</v>
      </c>
      <c r="GK91" s="284">
        <v>469</v>
      </c>
      <c r="GL91" s="284">
        <v>471</v>
      </c>
      <c r="GM91" s="284">
        <v>475</v>
      </c>
      <c r="GN91" s="284">
        <v>469</v>
      </c>
      <c r="GO91" s="284">
        <v>454</v>
      </c>
      <c r="GP91" s="284">
        <v>443</v>
      </c>
      <c r="GQ91" s="284">
        <v>434</v>
      </c>
      <c r="GR91" s="284">
        <v>406</v>
      </c>
      <c r="GS91" s="284">
        <v>412</v>
      </c>
      <c r="GT91" s="284">
        <v>403</v>
      </c>
      <c r="GU91" s="284">
        <v>408</v>
      </c>
      <c r="GV91" s="284">
        <v>390</v>
      </c>
      <c r="GW91" s="284">
        <v>404</v>
      </c>
      <c r="GX91" s="284">
        <v>389</v>
      </c>
      <c r="GY91" s="284">
        <v>576</v>
      </c>
      <c r="GZ91" s="284">
        <v>446</v>
      </c>
      <c r="HA91" s="284">
        <v>439</v>
      </c>
      <c r="HB91" s="284">
        <v>452</v>
      </c>
      <c r="HC91" s="284">
        <v>432</v>
      </c>
      <c r="HD91" s="284">
        <v>432</v>
      </c>
      <c r="HE91" s="284">
        <v>421</v>
      </c>
      <c r="HF91" s="284">
        <v>430</v>
      </c>
      <c r="HG91" s="284">
        <v>425</v>
      </c>
      <c r="HH91" s="284">
        <v>430</v>
      </c>
      <c r="HI91" s="284">
        <v>415</v>
      </c>
      <c r="HJ91" s="284">
        <v>419</v>
      </c>
      <c r="HK91" s="284">
        <v>426</v>
      </c>
      <c r="HL91" s="284">
        <v>420</v>
      </c>
      <c r="HM91" s="284">
        <v>426</v>
      </c>
      <c r="HN91" s="284">
        <v>413</v>
      </c>
      <c r="HO91" s="284">
        <v>425</v>
      </c>
      <c r="HP91" s="284">
        <v>398</v>
      </c>
      <c r="HQ91" s="284">
        <v>418</v>
      </c>
      <c r="HR91" s="284">
        <v>402</v>
      </c>
      <c r="HS91" s="284">
        <v>397</v>
      </c>
      <c r="HT91" s="284">
        <v>400</v>
      </c>
      <c r="HU91" s="284">
        <v>406</v>
      </c>
      <c r="HV91" s="284">
        <v>405</v>
      </c>
      <c r="HW91" s="284">
        <v>417</v>
      </c>
      <c r="HX91" s="284">
        <v>414</v>
      </c>
      <c r="HY91" s="284">
        <v>388</v>
      </c>
      <c r="HZ91" s="284">
        <v>404</v>
      </c>
      <c r="IA91" s="284">
        <v>420</v>
      </c>
      <c r="IB91" s="284">
        <v>427</v>
      </c>
      <c r="IC91" s="284">
        <v>440</v>
      </c>
      <c r="ID91" s="284">
        <v>432</v>
      </c>
      <c r="IE91" s="284">
        <v>444</v>
      </c>
      <c r="IF91" s="284">
        <v>410</v>
      </c>
      <c r="IG91" s="284">
        <v>436</v>
      </c>
      <c r="IH91" s="284">
        <v>371</v>
      </c>
      <c r="II91" s="284">
        <v>422</v>
      </c>
      <c r="IJ91" s="284">
        <v>414</v>
      </c>
      <c r="IK91" s="284">
        <v>416</v>
      </c>
      <c r="IL91" s="284">
        <v>406</v>
      </c>
      <c r="IM91" s="850">
        <v>414</v>
      </c>
      <c r="IN91" s="168"/>
    </row>
    <row r="92" spans="1:248">
      <c r="A92" s="81" t="s">
        <v>148</v>
      </c>
      <c r="B92" s="285">
        <v>441</v>
      </c>
      <c r="C92" s="285">
        <v>457</v>
      </c>
      <c r="D92" s="285">
        <v>459</v>
      </c>
      <c r="E92" s="285">
        <v>432</v>
      </c>
      <c r="F92" s="285">
        <v>466</v>
      </c>
      <c r="G92" s="285">
        <v>459</v>
      </c>
      <c r="H92" s="285">
        <v>441</v>
      </c>
      <c r="I92" s="285">
        <v>454</v>
      </c>
      <c r="J92" s="285">
        <v>492</v>
      </c>
      <c r="K92" s="285">
        <v>430</v>
      </c>
      <c r="L92" s="285">
        <v>485</v>
      </c>
      <c r="M92" s="285">
        <v>411</v>
      </c>
      <c r="N92" s="285">
        <v>468</v>
      </c>
      <c r="O92" s="285">
        <v>424</v>
      </c>
      <c r="P92" s="285">
        <v>412</v>
      </c>
      <c r="Q92" s="285">
        <v>199</v>
      </c>
      <c r="R92" s="285">
        <v>199</v>
      </c>
      <c r="S92" s="285">
        <v>190</v>
      </c>
      <c r="T92" s="285">
        <v>198</v>
      </c>
      <c r="U92" s="285">
        <v>187</v>
      </c>
      <c r="V92" s="285">
        <v>201</v>
      </c>
      <c r="W92" s="285">
        <v>208</v>
      </c>
      <c r="X92" s="285">
        <v>201</v>
      </c>
      <c r="Y92" s="285">
        <v>201</v>
      </c>
      <c r="Z92" s="285">
        <v>202</v>
      </c>
      <c r="AA92" s="285">
        <v>205</v>
      </c>
      <c r="AB92" s="285">
        <v>214</v>
      </c>
      <c r="AC92" s="285">
        <v>197</v>
      </c>
      <c r="AD92" s="285">
        <v>201</v>
      </c>
      <c r="AE92" s="285">
        <v>185</v>
      </c>
      <c r="AF92" s="285">
        <v>182</v>
      </c>
      <c r="AG92" s="285">
        <v>195</v>
      </c>
      <c r="AH92" s="285">
        <v>199</v>
      </c>
      <c r="AI92" s="285">
        <v>185</v>
      </c>
      <c r="AJ92" s="285">
        <v>190</v>
      </c>
      <c r="AK92" s="285">
        <v>183</v>
      </c>
      <c r="AL92" s="285">
        <v>191</v>
      </c>
      <c r="AM92" s="285">
        <v>174</v>
      </c>
      <c r="AN92" s="285">
        <v>196</v>
      </c>
      <c r="AO92" s="285">
        <v>191</v>
      </c>
      <c r="AP92" s="285">
        <v>194</v>
      </c>
      <c r="AQ92" s="285">
        <v>201</v>
      </c>
      <c r="AR92" s="285">
        <v>206</v>
      </c>
      <c r="AS92" s="285">
        <v>214</v>
      </c>
      <c r="AT92" s="285">
        <v>202</v>
      </c>
      <c r="AU92" s="285">
        <v>209</v>
      </c>
      <c r="AV92" s="285">
        <v>207</v>
      </c>
      <c r="AW92" s="285">
        <v>210</v>
      </c>
      <c r="AX92" s="285">
        <v>204</v>
      </c>
      <c r="AY92" s="285">
        <v>210</v>
      </c>
      <c r="AZ92" s="285">
        <v>207</v>
      </c>
      <c r="BA92" s="285">
        <v>203</v>
      </c>
      <c r="BB92" s="285">
        <v>206</v>
      </c>
      <c r="BC92" s="285">
        <v>211</v>
      </c>
      <c r="BD92" s="285">
        <v>203</v>
      </c>
      <c r="BE92" s="285">
        <v>212</v>
      </c>
      <c r="BF92" s="285">
        <v>218</v>
      </c>
      <c r="BG92" s="285">
        <v>228</v>
      </c>
      <c r="BH92" s="285">
        <v>223</v>
      </c>
      <c r="BI92" s="285">
        <v>232</v>
      </c>
      <c r="BJ92" s="285">
        <v>237</v>
      </c>
      <c r="BK92" s="285">
        <v>248</v>
      </c>
      <c r="BL92" s="285">
        <v>237</v>
      </c>
      <c r="BM92" s="285">
        <v>232</v>
      </c>
      <c r="BN92" s="285">
        <v>269</v>
      </c>
      <c r="BO92" s="285">
        <v>264</v>
      </c>
      <c r="BP92" s="285">
        <v>266</v>
      </c>
      <c r="BQ92" s="285">
        <v>264</v>
      </c>
      <c r="BR92" s="285">
        <v>267</v>
      </c>
      <c r="BS92" s="285">
        <v>266</v>
      </c>
      <c r="BT92" s="285">
        <v>282</v>
      </c>
      <c r="BU92" s="285">
        <v>273</v>
      </c>
      <c r="BV92" s="285">
        <v>276</v>
      </c>
      <c r="BW92" s="285">
        <v>268</v>
      </c>
      <c r="BX92" s="285">
        <v>279</v>
      </c>
      <c r="BY92" s="285">
        <v>278</v>
      </c>
      <c r="BZ92" s="285">
        <v>287</v>
      </c>
      <c r="CA92" s="285">
        <v>289</v>
      </c>
      <c r="CB92" s="285">
        <v>310</v>
      </c>
      <c r="CC92" s="285">
        <v>310</v>
      </c>
      <c r="CD92" s="285">
        <v>313</v>
      </c>
      <c r="CE92" s="285">
        <v>329</v>
      </c>
      <c r="CF92" s="285">
        <v>328</v>
      </c>
      <c r="CG92" s="285">
        <v>316</v>
      </c>
      <c r="CH92" s="285">
        <v>313</v>
      </c>
      <c r="CI92" s="285">
        <v>333</v>
      </c>
      <c r="CJ92" s="285">
        <v>341</v>
      </c>
      <c r="CK92" s="285">
        <v>315</v>
      </c>
      <c r="CL92" s="285">
        <v>320</v>
      </c>
      <c r="CM92" s="285">
        <v>321</v>
      </c>
      <c r="CN92" s="285">
        <v>313</v>
      </c>
      <c r="CO92" s="285">
        <v>311</v>
      </c>
      <c r="CP92" s="285">
        <v>311</v>
      </c>
      <c r="CQ92" s="285">
        <v>315</v>
      </c>
      <c r="CR92" s="285">
        <v>326</v>
      </c>
      <c r="CS92" s="285">
        <v>322</v>
      </c>
      <c r="CT92" s="285">
        <v>320</v>
      </c>
      <c r="CU92" s="285">
        <v>321</v>
      </c>
      <c r="CV92" s="285">
        <v>310</v>
      </c>
      <c r="CW92" s="285">
        <v>297</v>
      </c>
      <c r="CX92" s="285">
        <v>310</v>
      </c>
      <c r="CY92" s="285">
        <v>312</v>
      </c>
      <c r="CZ92" s="285">
        <v>311</v>
      </c>
      <c r="DA92" s="285">
        <v>306</v>
      </c>
      <c r="DB92" s="285">
        <v>303</v>
      </c>
      <c r="DC92" s="285">
        <v>295</v>
      </c>
      <c r="DD92" s="285">
        <v>291</v>
      </c>
      <c r="DE92" s="285">
        <v>285</v>
      </c>
      <c r="DF92" s="285">
        <v>319</v>
      </c>
      <c r="DG92" s="285">
        <v>324</v>
      </c>
      <c r="DH92" s="285">
        <v>334</v>
      </c>
      <c r="DI92" s="285">
        <v>314</v>
      </c>
      <c r="DJ92" s="285">
        <v>327</v>
      </c>
      <c r="DK92" s="285">
        <v>327</v>
      </c>
      <c r="DL92" s="285">
        <v>339</v>
      </c>
      <c r="DM92" s="285">
        <v>356</v>
      </c>
      <c r="DN92" s="285">
        <v>329</v>
      </c>
      <c r="DO92" s="285">
        <v>360</v>
      </c>
      <c r="DP92" s="285">
        <v>353</v>
      </c>
      <c r="DQ92" s="285">
        <v>333</v>
      </c>
      <c r="DR92" s="285">
        <v>342</v>
      </c>
      <c r="DS92" s="285">
        <v>367</v>
      </c>
      <c r="DT92" s="285">
        <v>364</v>
      </c>
      <c r="DU92" s="285">
        <v>360</v>
      </c>
      <c r="DV92" s="285">
        <v>376</v>
      </c>
      <c r="DW92" s="285">
        <v>411</v>
      </c>
      <c r="DX92" s="285">
        <v>403</v>
      </c>
      <c r="DY92" s="285">
        <v>433</v>
      </c>
      <c r="DZ92" s="285">
        <v>424</v>
      </c>
      <c r="EA92" s="285">
        <v>447</v>
      </c>
      <c r="EB92" s="285">
        <v>466</v>
      </c>
      <c r="EC92" s="285">
        <v>466</v>
      </c>
      <c r="ED92" s="285">
        <v>474</v>
      </c>
      <c r="EE92" s="285">
        <v>471</v>
      </c>
      <c r="EF92" s="285">
        <v>469</v>
      </c>
      <c r="EG92" s="285">
        <v>474</v>
      </c>
      <c r="EH92" s="285">
        <v>469</v>
      </c>
      <c r="EI92" s="285">
        <v>471</v>
      </c>
      <c r="EJ92" s="285">
        <v>464</v>
      </c>
      <c r="EK92" s="285">
        <v>473</v>
      </c>
      <c r="EL92" s="285">
        <v>475</v>
      </c>
      <c r="EM92" s="285">
        <v>513</v>
      </c>
      <c r="EN92" s="285">
        <v>482</v>
      </c>
      <c r="EO92" s="285">
        <v>473</v>
      </c>
      <c r="EP92" s="285">
        <v>474</v>
      </c>
      <c r="EQ92" s="285">
        <v>466</v>
      </c>
      <c r="ER92" s="285">
        <v>474</v>
      </c>
      <c r="ES92" s="285">
        <v>482</v>
      </c>
      <c r="ET92" s="285">
        <v>485</v>
      </c>
      <c r="EU92" s="285">
        <v>471</v>
      </c>
      <c r="EV92" s="285">
        <v>483</v>
      </c>
      <c r="EW92" s="285">
        <v>480</v>
      </c>
      <c r="EX92" s="285">
        <v>481</v>
      </c>
      <c r="EY92" s="285">
        <v>505</v>
      </c>
      <c r="EZ92" s="285">
        <v>501</v>
      </c>
      <c r="FA92" s="285">
        <v>462</v>
      </c>
      <c r="FB92" s="285">
        <v>512</v>
      </c>
      <c r="FC92" s="285">
        <v>496</v>
      </c>
      <c r="FD92" s="285">
        <v>498</v>
      </c>
      <c r="FE92" s="285">
        <v>524</v>
      </c>
      <c r="FF92" s="285">
        <v>553</v>
      </c>
      <c r="FG92" s="285">
        <v>553</v>
      </c>
      <c r="FH92" s="285">
        <v>596</v>
      </c>
      <c r="FI92" s="285">
        <v>590</v>
      </c>
      <c r="FJ92" s="285">
        <v>623</v>
      </c>
      <c r="FK92" s="285">
        <v>607</v>
      </c>
      <c r="FL92" s="285">
        <v>599</v>
      </c>
      <c r="FM92" s="285">
        <v>676</v>
      </c>
      <c r="FN92" s="285">
        <v>563</v>
      </c>
      <c r="FO92" s="285">
        <v>574</v>
      </c>
      <c r="FP92" s="285">
        <v>576</v>
      </c>
      <c r="FQ92" s="285">
        <v>599</v>
      </c>
      <c r="FR92" s="285">
        <v>590</v>
      </c>
      <c r="FS92" s="285">
        <v>554</v>
      </c>
      <c r="FT92" s="285">
        <v>580</v>
      </c>
      <c r="FU92" s="285">
        <v>599</v>
      </c>
      <c r="FV92" s="285">
        <v>570</v>
      </c>
      <c r="FW92" s="285">
        <v>571</v>
      </c>
      <c r="FX92" s="285">
        <v>663</v>
      </c>
      <c r="FY92" s="285">
        <v>590</v>
      </c>
      <c r="FZ92" s="285">
        <v>571</v>
      </c>
      <c r="GA92" s="285">
        <v>607</v>
      </c>
      <c r="GB92" s="285">
        <v>605</v>
      </c>
      <c r="GC92" s="285">
        <v>596</v>
      </c>
      <c r="GD92" s="285">
        <v>596</v>
      </c>
      <c r="GE92" s="285">
        <v>585</v>
      </c>
      <c r="GF92" s="285">
        <v>564</v>
      </c>
      <c r="GG92" s="285">
        <v>667</v>
      </c>
      <c r="GH92" s="285">
        <v>656</v>
      </c>
      <c r="GI92" s="285">
        <v>678</v>
      </c>
      <c r="GJ92" s="285">
        <v>674</v>
      </c>
      <c r="GK92" s="285">
        <v>657</v>
      </c>
      <c r="GL92" s="285">
        <v>617</v>
      </c>
      <c r="GM92" s="285">
        <v>666</v>
      </c>
      <c r="GN92" s="285">
        <v>708</v>
      </c>
      <c r="GO92" s="285">
        <v>637</v>
      </c>
      <c r="GP92" s="285">
        <v>703</v>
      </c>
      <c r="GQ92" s="285">
        <v>669</v>
      </c>
      <c r="GR92" s="285">
        <v>701</v>
      </c>
      <c r="GS92" s="285">
        <v>696</v>
      </c>
      <c r="GT92" s="285">
        <v>720</v>
      </c>
      <c r="GU92" s="285">
        <v>719</v>
      </c>
      <c r="GV92" s="285">
        <v>752</v>
      </c>
      <c r="GW92" s="285">
        <v>676</v>
      </c>
      <c r="GX92" s="285">
        <v>657</v>
      </c>
      <c r="GY92" s="285">
        <v>678</v>
      </c>
      <c r="GZ92" s="285">
        <v>669</v>
      </c>
      <c r="HA92" s="285">
        <v>683</v>
      </c>
      <c r="HB92" s="285">
        <v>697</v>
      </c>
      <c r="HC92" s="285">
        <v>666</v>
      </c>
      <c r="HD92" s="285">
        <v>683</v>
      </c>
      <c r="HE92" s="285">
        <v>700</v>
      </c>
      <c r="HF92" s="285">
        <v>664</v>
      </c>
      <c r="HG92" s="285">
        <v>703</v>
      </c>
      <c r="HH92" s="285">
        <v>687</v>
      </c>
      <c r="HI92" s="285">
        <v>645</v>
      </c>
      <c r="HJ92" s="285">
        <v>675</v>
      </c>
      <c r="HK92" s="285">
        <v>657</v>
      </c>
      <c r="HL92" s="285">
        <v>714</v>
      </c>
      <c r="HM92" s="285">
        <v>658</v>
      </c>
      <c r="HN92" s="285">
        <v>736</v>
      </c>
      <c r="HO92" s="285">
        <v>712</v>
      </c>
      <c r="HP92" s="286">
        <v>742</v>
      </c>
      <c r="HQ92" s="286">
        <v>741</v>
      </c>
      <c r="HR92" s="286">
        <v>749</v>
      </c>
      <c r="HS92" s="286">
        <v>708</v>
      </c>
      <c r="HT92" s="286">
        <v>708</v>
      </c>
      <c r="HU92" s="286">
        <v>655</v>
      </c>
      <c r="HV92" s="545">
        <v>652</v>
      </c>
      <c r="HW92" s="545">
        <v>753</v>
      </c>
      <c r="HX92" s="545">
        <v>726</v>
      </c>
      <c r="HY92" s="545">
        <v>653</v>
      </c>
      <c r="HZ92" s="545">
        <v>657</v>
      </c>
      <c r="IA92" s="545">
        <v>626</v>
      </c>
      <c r="IB92" s="545">
        <v>705</v>
      </c>
      <c r="IC92" s="545">
        <v>703</v>
      </c>
      <c r="ID92" s="545">
        <v>720</v>
      </c>
      <c r="IE92" s="545">
        <v>681</v>
      </c>
      <c r="IF92" s="545">
        <v>610</v>
      </c>
      <c r="IG92" s="285">
        <v>618</v>
      </c>
      <c r="IH92" s="545">
        <v>658</v>
      </c>
      <c r="II92" s="545">
        <v>639</v>
      </c>
      <c r="IJ92" s="545">
        <v>674</v>
      </c>
      <c r="IK92" s="545">
        <v>647</v>
      </c>
      <c r="IL92" s="545">
        <v>649</v>
      </c>
      <c r="IM92" s="851">
        <v>668</v>
      </c>
      <c r="IN92" s="168"/>
    </row>
    <row r="93" spans="1:248">
      <c r="A93" s="81" t="s">
        <v>1031</v>
      </c>
      <c r="B93" s="284">
        <v>554</v>
      </c>
      <c r="C93" s="284">
        <v>553</v>
      </c>
      <c r="D93" s="284">
        <v>556</v>
      </c>
      <c r="E93" s="284">
        <v>557</v>
      </c>
      <c r="F93" s="284">
        <v>554</v>
      </c>
      <c r="G93" s="284">
        <v>553</v>
      </c>
      <c r="H93" s="284">
        <v>553</v>
      </c>
      <c r="I93" s="284">
        <v>578</v>
      </c>
      <c r="J93" s="284">
        <v>557</v>
      </c>
      <c r="K93" s="284">
        <v>629</v>
      </c>
      <c r="L93" s="284">
        <v>575</v>
      </c>
      <c r="M93" s="284">
        <v>577</v>
      </c>
      <c r="N93" s="284">
        <v>580</v>
      </c>
      <c r="O93" s="284">
        <v>584</v>
      </c>
      <c r="P93" s="284">
        <v>620</v>
      </c>
      <c r="Q93" s="284">
        <v>640</v>
      </c>
      <c r="R93" s="284">
        <v>652</v>
      </c>
      <c r="S93" s="284">
        <v>598</v>
      </c>
      <c r="T93" s="284">
        <v>550</v>
      </c>
      <c r="U93" s="284">
        <v>558</v>
      </c>
      <c r="V93" s="284">
        <v>636</v>
      </c>
      <c r="W93" s="284">
        <v>624</v>
      </c>
      <c r="X93" s="284">
        <v>642</v>
      </c>
      <c r="Y93" s="284">
        <v>646</v>
      </c>
      <c r="Z93" s="284">
        <v>641</v>
      </c>
      <c r="AA93" s="284">
        <v>636</v>
      </c>
      <c r="AB93" s="284">
        <v>608</v>
      </c>
      <c r="AC93" s="284">
        <v>605</v>
      </c>
      <c r="AD93" s="284">
        <v>744</v>
      </c>
      <c r="AE93" s="284">
        <v>567</v>
      </c>
      <c r="AF93" s="284">
        <v>540</v>
      </c>
      <c r="AG93" s="284">
        <v>545</v>
      </c>
      <c r="AH93" s="284">
        <v>566</v>
      </c>
      <c r="AI93" s="284">
        <v>602</v>
      </c>
      <c r="AJ93" s="284">
        <v>614</v>
      </c>
      <c r="AK93" s="284">
        <v>641</v>
      </c>
      <c r="AL93" s="284">
        <v>622</v>
      </c>
      <c r="AM93" s="284">
        <v>646</v>
      </c>
      <c r="AN93" s="284">
        <v>654</v>
      </c>
      <c r="AO93" s="284">
        <v>649</v>
      </c>
      <c r="AP93" s="284">
        <v>650</v>
      </c>
      <c r="AQ93" s="284">
        <v>850</v>
      </c>
      <c r="AR93" s="284">
        <v>867</v>
      </c>
      <c r="AS93" s="284">
        <v>886</v>
      </c>
      <c r="AT93" s="284">
        <v>879</v>
      </c>
      <c r="AU93" s="284">
        <v>685</v>
      </c>
      <c r="AV93" s="284">
        <v>698</v>
      </c>
      <c r="AW93" s="284">
        <v>691</v>
      </c>
      <c r="AX93" s="284">
        <v>736</v>
      </c>
      <c r="AY93" s="284">
        <v>775</v>
      </c>
      <c r="AZ93" s="284">
        <v>800</v>
      </c>
      <c r="BA93" s="284">
        <v>840</v>
      </c>
      <c r="BB93" s="284">
        <v>897</v>
      </c>
      <c r="BC93" s="284">
        <v>901</v>
      </c>
      <c r="BD93" s="284">
        <v>881</v>
      </c>
      <c r="BE93" s="284">
        <v>771</v>
      </c>
      <c r="BF93" s="284">
        <v>867</v>
      </c>
      <c r="BG93" s="284">
        <v>811</v>
      </c>
      <c r="BH93" s="284">
        <v>848</v>
      </c>
      <c r="BI93" s="284">
        <v>838</v>
      </c>
      <c r="BJ93" s="284">
        <v>836</v>
      </c>
      <c r="BK93" s="284">
        <v>822</v>
      </c>
      <c r="BL93" s="284">
        <v>854</v>
      </c>
      <c r="BM93" s="284">
        <v>816</v>
      </c>
      <c r="BN93" s="284">
        <v>863</v>
      </c>
      <c r="BO93" s="284">
        <v>841</v>
      </c>
      <c r="BP93" s="284">
        <v>869</v>
      </c>
      <c r="BQ93" s="284">
        <v>880</v>
      </c>
      <c r="BR93" s="284">
        <v>839</v>
      </c>
      <c r="BS93" s="284">
        <v>885</v>
      </c>
      <c r="BT93" s="284">
        <v>928</v>
      </c>
      <c r="BU93" s="284">
        <v>815</v>
      </c>
      <c r="BV93" s="284">
        <v>788</v>
      </c>
      <c r="BW93" s="284">
        <v>788</v>
      </c>
      <c r="BX93" s="284">
        <v>898</v>
      </c>
      <c r="BY93" s="284">
        <v>913</v>
      </c>
      <c r="BZ93" s="284">
        <v>898</v>
      </c>
      <c r="CA93" s="284">
        <v>797</v>
      </c>
      <c r="CB93" s="284">
        <v>974</v>
      </c>
      <c r="CC93" s="284">
        <v>952</v>
      </c>
      <c r="CD93" s="284">
        <v>978</v>
      </c>
      <c r="CE93" s="284">
        <v>934</v>
      </c>
      <c r="CF93" s="284">
        <v>930</v>
      </c>
      <c r="CG93" s="284">
        <v>1057</v>
      </c>
      <c r="CH93" s="284">
        <v>1000</v>
      </c>
      <c r="CI93" s="284">
        <v>973</v>
      </c>
      <c r="CJ93" s="284">
        <v>944</v>
      </c>
      <c r="CK93" s="284">
        <v>947</v>
      </c>
      <c r="CL93" s="284">
        <v>947</v>
      </c>
      <c r="CM93" s="284">
        <v>978</v>
      </c>
      <c r="CN93" s="284">
        <v>982</v>
      </c>
      <c r="CO93" s="284">
        <v>951</v>
      </c>
      <c r="CP93" s="284">
        <v>963</v>
      </c>
      <c r="CQ93" s="284">
        <v>956</v>
      </c>
      <c r="CR93" s="284">
        <v>950</v>
      </c>
      <c r="CS93" s="284">
        <v>926</v>
      </c>
      <c r="CT93" s="284">
        <v>899</v>
      </c>
      <c r="CU93" s="284">
        <v>776</v>
      </c>
      <c r="CV93" s="284">
        <v>742</v>
      </c>
      <c r="CW93" s="284">
        <v>743</v>
      </c>
      <c r="CX93" s="284">
        <v>768</v>
      </c>
      <c r="CY93" s="284">
        <v>753</v>
      </c>
      <c r="CZ93" s="284">
        <v>758</v>
      </c>
      <c r="DA93" s="284">
        <v>773</v>
      </c>
      <c r="DB93" s="284">
        <v>742</v>
      </c>
      <c r="DC93" s="284">
        <v>746</v>
      </c>
      <c r="DD93" s="284">
        <v>749</v>
      </c>
      <c r="DE93" s="284">
        <v>696</v>
      </c>
      <c r="DF93" s="284">
        <v>687</v>
      </c>
      <c r="DG93" s="284">
        <v>692</v>
      </c>
      <c r="DH93" s="284">
        <v>698</v>
      </c>
      <c r="DI93" s="284">
        <v>677</v>
      </c>
      <c r="DJ93" s="284">
        <v>700</v>
      </c>
      <c r="DK93" s="284">
        <v>702</v>
      </c>
      <c r="DL93" s="284">
        <v>652</v>
      </c>
      <c r="DM93" s="284">
        <v>654</v>
      </c>
      <c r="DN93" s="284">
        <v>661</v>
      </c>
      <c r="DO93" s="284">
        <v>697</v>
      </c>
      <c r="DP93" s="284">
        <v>708</v>
      </c>
      <c r="DQ93" s="284">
        <v>714</v>
      </c>
      <c r="DR93" s="284">
        <v>660</v>
      </c>
      <c r="DS93" s="284">
        <v>671</v>
      </c>
      <c r="DT93" s="284">
        <v>665</v>
      </c>
      <c r="DU93" s="284">
        <v>675</v>
      </c>
      <c r="DV93" s="284">
        <v>656</v>
      </c>
      <c r="DW93" s="284">
        <v>650</v>
      </c>
      <c r="DX93" s="284">
        <v>658</v>
      </c>
      <c r="DY93" s="284">
        <v>679</v>
      </c>
      <c r="DZ93" s="284">
        <v>680</v>
      </c>
      <c r="EA93" s="284">
        <v>703</v>
      </c>
      <c r="EB93" s="284">
        <v>716</v>
      </c>
      <c r="EC93" s="284">
        <v>710</v>
      </c>
      <c r="ED93" s="284">
        <v>716</v>
      </c>
      <c r="EE93" s="284">
        <v>735</v>
      </c>
      <c r="EF93" s="284">
        <v>722</v>
      </c>
      <c r="EG93" s="284">
        <v>732</v>
      </c>
      <c r="EH93" s="284">
        <v>740</v>
      </c>
      <c r="EI93" s="284">
        <v>719</v>
      </c>
      <c r="EJ93" s="284">
        <v>741</v>
      </c>
      <c r="EK93" s="284">
        <v>732</v>
      </c>
      <c r="EL93" s="284">
        <v>738</v>
      </c>
      <c r="EM93" s="284">
        <v>769</v>
      </c>
      <c r="EN93" s="284">
        <v>769</v>
      </c>
      <c r="EO93" s="284">
        <v>762</v>
      </c>
      <c r="EP93" s="284">
        <v>776</v>
      </c>
      <c r="EQ93" s="284">
        <v>803</v>
      </c>
      <c r="ER93" s="284">
        <v>801</v>
      </c>
      <c r="ES93" s="284">
        <v>809</v>
      </c>
      <c r="ET93" s="284">
        <v>785</v>
      </c>
      <c r="EU93" s="284">
        <v>781</v>
      </c>
      <c r="EV93" s="284">
        <v>752</v>
      </c>
      <c r="EW93" s="284">
        <v>735</v>
      </c>
      <c r="EX93" s="284">
        <v>680</v>
      </c>
      <c r="EY93" s="284">
        <v>689</v>
      </c>
      <c r="EZ93" s="284">
        <v>696</v>
      </c>
      <c r="FA93" s="284">
        <v>699</v>
      </c>
      <c r="FB93" s="284">
        <v>683</v>
      </c>
      <c r="FC93" s="284">
        <v>675</v>
      </c>
      <c r="FD93" s="284">
        <v>693</v>
      </c>
      <c r="FE93" s="284">
        <v>646</v>
      </c>
      <c r="FF93" s="284">
        <v>696</v>
      </c>
      <c r="FG93" s="284">
        <v>566</v>
      </c>
      <c r="FH93" s="284">
        <v>642</v>
      </c>
      <c r="FI93" s="284">
        <v>658</v>
      </c>
      <c r="FJ93" s="284">
        <v>789</v>
      </c>
      <c r="FK93" s="284">
        <v>777</v>
      </c>
      <c r="FL93" s="284">
        <v>801</v>
      </c>
      <c r="FM93" s="284">
        <v>800</v>
      </c>
      <c r="FN93" s="284">
        <v>677</v>
      </c>
      <c r="FO93" s="284">
        <v>678</v>
      </c>
      <c r="FP93" s="284">
        <v>762</v>
      </c>
      <c r="FQ93" s="284">
        <v>761</v>
      </c>
      <c r="FR93" s="284">
        <v>639</v>
      </c>
      <c r="FS93" s="284">
        <v>633</v>
      </c>
      <c r="FT93" s="284">
        <v>626</v>
      </c>
      <c r="FU93" s="284">
        <v>606</v>
      </c>
      <c r="FV93" s="284">
        <v>589</v>
      </c>
      <c r="FW93" s="284">
        <v>490</v>
      </c>
      <c r="FX93" s="284">
        <v>535</v>
      </c>
      <c r="FY93" s="284">
        <v>488</v>
      </c>
      <c r="FZ93" s="284">
        <v>461</v>
      </c>
      <c r="GA93" s="284">
        <v>477</v>
      </c>
      <c r="GB93" s="284">
        <v>482</v>
      </c>
      <c r="GC93" s="284">
        <v>480</v>
      </c>
      <c r="GD93" s="284">
        <v>501</v>
      </c>
      <c r="GE93" s="284">
        <v>461</v>
      </c>
      <c r="GF93" s="284">
        <v>425</v>
      </c>
      <c r="GG93" s="284">
        <v>397</v>
      </c>
      <c r="GH93" s="284">
        <v>381</v>
      </c>
      <c r="GI93" s="284">
        <v>380</v>
      </c>
      <c r="GJ93" s="284">
        <v>370</v>
      </c>
      <c r="GK93" s="284">
        <v>366</v>
      </c>
      <c r="GL93" s="284">
        <v>362</v>
      </c>
      <c r="GM93" s="284">
        <v>362</v>
      </c>
      <c r="GN93" s="284">
        <v>362</v>
      </c>
      <c r="GO93" s="284">
        <v>355</v>
      </c>
      <c r="GP93" s="284">
        <v>374</v>
      </c>
      <c r="GQ93" s="284">
        <v>376</v>
      </c>
      <c r="GR93" s="284">
        <v>387</v>
      </c>
      <c r="GS93" s="284">
        <v>386</v>
      </c>
      <c r="GT93" s="284">
        <v>400</v>
      </c>
      <c r="GU93" s="284">
        <v>401</v>
      </c>
      <c r="GV93" s="284">
        <v>397</v>
      </c>
      <c r="GW93" s="284">
        <v>389</v>
      </c>
      <c r="GX93" s="284">
        <v>378</v>
      </c>
      <c r="GY93" s="284">
        <v>367</v>
      </c>
      <c r="GZ93" s="284">
        <v>368</v>
      </c>
      <c r="HA93" s="284">
        <v>386</v>
      </c>
      <c r="HB93" s="284">
        <v>376</v>
      </c>
      <c r="HC93" s="284">
        <v>381</v>
      </c>
      <c r="HD93" s="284">
        <v>371</v>
      </c>
      <c r="HE93" s="284">
        <v>383</v>
      </c>
      <c r="HF93" s="284">
        <v>365</v>
      </c>
      <c r="HG93" s="284">
        <v>340</v>
      </c>
      <c r="HH93" s="284">
        <v>376</v>
      </c>
      <c r="HI93" s="284">
        <v>369</v>
      </c>
      <c r="HJ93" s="284">
        <v>371</v>
      </c>
      <c r="HK93" s="284">
        <v>369</v>
      </c>
      <c r="HL93" s="284">
        <v>363</v>
      </c>
      <c r="HM93" s="284">
        <v>386</v>
      </c>
      <c r="HN93" s="284">
        <v>360</v>
      </c>
      <c r="HO93" s="284">
        <v>354</v>
      </c>
      <c r="HP93" s="284">
        <v>433</v>
      </c>
      <c r="HQ93" s="284">
        <v>359</v>
      </c>
      <c r="HR93" s="284">
        <v>343</v>
      </c>
      <c r="HS93" s="284">
        <v>340</v>
      </c>
      <c r="HT93" s="284">
        <v>351</v>
      </c>
      <c r="HU93" s="284">
        <v>339</v>
      </c>
      <c r="HV93" s="284">
        <v>316</v>
      </c>
      <c r="HW93" s="284">
        <v>316</v>
      </c>
      <c r="HX93" s="284">
        <v>219</v>
      </c>
      <c r="HY93" s="284">
        <v>170</v>
      </c>
      <c r="HZ93" s="284">
        <v>252</v>
      </c>
      <c r="IA93" s="284">
        <v>282</v>
      </c>
      <c r="IB93" s="284">
        <v>75</v>
      </c>
      <c r="IC93" s="284">
        <v>75</v>
      </c>
      <c r="ID93" s="284">
        <v>68</v>
      </c>
      <c r="IE93" s="284">
        <v>100</v>
      </c>
      <c r="IF93" s="284">
        <v>98</v>
      </c>
      <c r="IG93" s="284">
        <v>117</v>
      </c>
      <c r="IH93" s="284">
        <v>204</v>
      </c>
      <c r="II93" s="284">
        <v>240</v>
      </c>
      <c r="IJ93" s="284">
        <v>238</v>
      </c>
      <c r="IK93" s="284">
        <v>248</v>
      </c>
      <c r="IL93" s="284">
        <v>259</v>
      </c>
      <c r="IM93" s="850">
        <v>266</v>
      </c>
      <c r="IN93" s="168"/>
    </row>
    <row r="94" spans="1:248">
      <c r="A94" s="81" t="s">
        <v>8</v>
      </c>
      <c r="B94" s="285">
        <v>3803</v>
      </c>
      <c r="C94" s="285">
        <v>3920</v>
      </c>
      <c r="D94" s="285">
        <v>3950</v>
      </c>
      <c r="E94" s="285">
        <v>3963</v>
      </c>
      <c r="F94" s="285">
        <v>4175</v>
      </c>
      <c r="G94" s="285">
        <v>3880</v>
      </c>
      <c r="H94" s="285">
        <v>4286</v>
      </c>
      <c r="I94" s="285">
        <v>3906</v>
      </c>
      <c r="J94" s="285">
        <v>3969</v>
      </c>
      <c r="K94" s="285">
        <v>4063</v>
      </c>
      <c r="L94" s="285">
        <v>4038</v>
      </c>
      <c r="M94" s="285">
        <v>3724</v>
      </c>
      <c r="N94" s="285">
        <v>3814</v>
      </c>
      <c r="O94" s="285">
        <v>3494</v>
      </c>
      <c r="P94" s="285">
        <v>3810</v>
      </c>
      <c r="Q94" s="285">
        <v>3772</v>
      </c>
      <c r="R94" s="285">
        <v>3831</v>
      </c>
      <c r="S94" s="285">
        <v>3893</v>
      </c>
      <c r="T94" s="285">
        <v>4201</v>
      </c>
      <c r="U94" s="285">
        <v>3678</v>
      </c>
      <c r="V94" s="285">
        <v>3865</v>
      </c>
      <c r="W94" s="285">
        <v>3943</v>
      </c>
      <c r="X94" s="285">
        <v>3822</v>
      </c>
      <c r="Y94" s="285">
        <v>3790</v>
      </c>
      <c r="Z94" s="285">
        <v>4040</v>
      </c>
      <c r="AA94" s="285">
        <v>4073</v>
      </c>
      <c r="AB94" s="285">
        <v>3984</v>
      </c>
      <c r="AC94" s="285">
        <v>4060</v>
      </c>
      <c r="AD94" s="285">
        <v>4067</v>
      </c>
      <c r="AE94" s="285">
        <v>4214</v>
      </c>
      <c r="AF94" s="285">
        <v>4258</v>
      </c>
      <c r="AG94" s="285">
        <v>4308</v>
      </c>
      <c r="AH94" s="285">
        <v>4326</v>
      </c>
      <c r="AI94" s="285">
        <v>4373</v>
      </c>
      <c r="AJ94" s="285">
        <v>4283</v>
      </c>
      <c r="AK94" s="285">
        <v>4264</v>
      </c>
      <c r="AL94" s="285">
        <v>4221</v>
      </c>
      <c r="AM94" s="285">
        <v>4267</v>
      </c>
      <c r="AN94" s="285">
        <v>4251</v>
      </c>
      <c r="AO94" s="285">
        <v>4144</v>
      </c>
      <c r="AP94" s="285">
        <v>4197</v>
      </c>
      <c r="AQ94" s="285">
        <v>4149</v>
      </c>
      <c r="AR94" s="285">
        <v>4200</v>
      </c>
      <c r="AS94" s="285">
        <v>4173</v>
      </c>
      <c r="AT94" s="285">
        <v>4155</v>
      </c>
      <c r="AU94" s="285">
        <v>4084</v>
      </c>
      <c r="AV94" s="285">
        <v>4220</v>
      </c>
      <c r="AW94" s="285">
        <v>4126</v>
      </c>
      <c r="AX94" s="285">
        <v>4107</v>
      </c>
      <c r="AY94" s="285">
        <v>4161</v>
      </c>
      <c r="AZ94" s="285">
        <v>4194</v>
      </c>
      <c r="BA94" s="285">
        <v>4109</v>
      </c>
      <c r="BB94" s="285">
        <v>4275</v>
      </c>
      <c r="BC94" s="285">
        <v>4228</v>
      </c>
      <c r="BD94" s="285">
        <v>4431</v>
      </c>
      <c r="BE94" s="285">
        <v>4169</v>
      </c>
      <c r="BF94" s="285">
        <v>4093</v>
      </c>
      <c r="BG94" s="285">
        <v>4147</v>
      </c>
      <c r="BH94" s="285">
        <v>4149</v>
      </c>
      <c r="BI94" s="285">
        <v>4100</v>
      </c>
      <c r="BJ94" s="285">
        <v>4117</v>
      </c>
      <c r="BK94" s="285">
        <v>4363</v>
      </c>
      <c r="BL94" s="285">
        <v>4233</v>
      </c>
      <c r="BM94" s="285">
        <v>4187</v>
      </c>
      <c r="BN94" s="285">
        <v>4343</v>
      </c>
      <c r="BO94" s="285">
        <v>4534</v>
      </c>
      <c r="BP94" s="285">
        <v>4460</v>
      </c>
      <c r="BQ94" s="285">
        <v>4985</v>
      </c>
      <c r="BR94" s="285">
        <v>4800</v>
      </c>
      <c r="BS94" s="285">
        <v>4887</v>
      </c>
      <c r="BT94" s="285">
        <v>4900</v>
      </c>
      <c r="BU94" s="285">
        <v>4549</v>
      </c>
      <c r="BV94" s="285">
        <v>4959</v>
      </c>
      <c r="BW94" s="285">
        <v>4742</v>
      </c>
      <c r="BX94" s="285">
        <v>4762</v>
      </c>
      <c r="BY94" s="285">
        <v>4758</v>
      </c>
      <c r="BZ94" s="285">
        <v>4842</v>
      </c>
      <c r="CA94" s="285">
        <v>4852</v>
      </c>
      <c r="CB94" s="285">
        <v>4889</v>
      </c>
      <c r="CC94" s="285">
        <v>4923</v>
      </c>
      <c r="CD94" s="285">
        <v>4851</v>
      </c>
      <c r="CE94" s="285">
        <v>4970</v>
      </c>
      <c r="CF94" s="285">
        <v>4974</v>
      </c>
      <c r="CG94" s="285">
        <v>4973</v>
      </c>
      <c r="CH94" s="285">
        <v>5030</v>
      </c>
      <c r="CI94" s="285">
        <v>5147</v>
      </c>
      <c r="CJ94" s="285">
        <v>4814</v>
      </c>
      <c r="CK94" s="285">
        <v>5007</v>
      </c>
      <c r="CL94" s="285">
        <v>4968</v>
      </c>
      <c r="CM94" s="285">
        <v>5125</v>
      </c>
      <c r="CN94" s="285">
        <v>5056</v>
      </c>
      <c r="CO94" s="285">
        <v>4957</v>
      </c>
      <c r="CP94" s="285">
        <v>4803</v>
      </c>
      <c r="CQ94" s="285">
        <v>4876</v>
      </c>
      <c r="CR94" s="285">
        <v>4930</v>
      </c>
      <c r="CS94" s="285">
        <v>4989</v>
      </c>
      <c r="CT94" s="285">
        <v>5242</v>
      </c>
      <c r="CU94" s="285">
        <v>5145</v>
      </c>
      <c r="CV94" s="285">
        <v>5542</v>
      </c>
      <c r="CW94" s="285">
        <v>5600</v>
      </c>
      <c r="CX94" s="285">
        <v>5694</v>
      </c>
      <c r="CY94" s="285">
        <v>5783</v>
      </c>
      <c r="CZ94" s="285">
        <v>6105</v>
      </c>
      <c r="DA94" s="285">
        <v>5990</v>
      </c>
      <c r="DB94" s="285">
        <v>5991</v>
      </c>
      <c r="DC94" s="285">
        <v>6032</v>
      </c>
      <c r="DD94" s="285">
        <v>5852</v>
      </c>
      <c r="DE94" s="285">
        <v>5880</v>
      </c>
      <c r="DF94" s="285">
        <v>6035</v>
      </c>
      <c r="DG94" s="285">
        <v>6329</v>
      </c>
      <c r="DH94" s="285">
        <v>6240</v>
      </c>
      <c r="DI94" s="285">
        <v>6184</v>
      </c>
      <c r="DJ94" s="285">
        <v>6163</v>
      </c>
      <c r="DK94" s="285">
        <v>6511</v>
      </c>
      <c r="DL94" s="285">
        <v>6839</v>
      </c>
      <c r="DM94" s="285">
        <v>6627</v>
      </c>
      <c r="DN94" s="285">
        <v>6665</v>
      </c>
      <c r="DO94" s="285">
        <v>6936</v>
      </c>
      <c r="DP94" s="285">
        <v>6916</v>
      </c>
      <c r="DQ94" s="285">
        <v>7178</v>
      </c>
      <c r="DR94" s="285">
        <v>7169</v>
      </c>
      <c r="DS94" s="285">
        <v>7312</v>
      </c>
      <c r="DT94" s="285">
        <v>7283</v>
      </c>
      <c r="DU94" s="285">
        <v>7294</v>
      </c>
      <c r="DV94" s="285">
        <v>7448</v>
      </c>
      <c r="DW94" s="285">
        <v>7428</v>
      </c>
      <c r="DX94" s="285">
        <v>7798</v>
      </c>
      <c r="DY94" s="285">
        <v>8011</v>
      </c>
      <c r="DZ94" s="285">
        <v>8035</v>
      </c>
      <c r="EA94" s="285">
        <v>7915</v>
      </c>
      <c r="EB94" s="285">
        <v>8403</v>
      </c>
      <c r="EC94" s="285">
        <v>8362</v>
      </c>
      <c r="ED94" s="285">
        <v>8265</v>
      </c>
      <c r="EE94" s="285">
        <v>8610</v>
      </c>
      <c r="EF94" s="285">
        <v>8411</v>
      </c>
      <c r="EG94" s="285">
        <v>8635</v>
      </c>
      <c r="EH94" s="285">
        <v>8511</v>
      </c>
      <c r="EI94" s="285">
        <v>8591</v>
      </c>
      <c r="EJ94" s="285">
        <v>8628</v>
      </c>
      <c r="EK94" s="285">
        <v>8615</v>
      </c>
      <c r="EL94" s="285">
        <v>8612</v>
      </c>
      <c r="EM94" s="285">
        <v>8819</v>
      </c>
      <c r="EN94" s="285">
        <v>8950</v>
      </c>
      <c r="EO94" s="285">
        <v>8488</v>
      </c>
      <c r="EP94" s="285">
        <v>8931</v>
      </c>
      <c r="EQ94" s="285">
        <v>8768</v>
      </c>
      <c r="ER94" s="285">
        <v>8807</v>
      </c>
      <c r="ES94" s="285">
        <v>8836</v>
      </c>
      <c r="ET94" s="285">
        <v>8556</v>
      </c>
      <c r="EU94" s="285">
        <v>8258</v>
      </c>
      <c r="EV94" s="285">
        <v>8193</v>
      </c>
      <c r="EW94" s="285">
        <v>7772</v>
      </c>
      <c r="EX94" s="285">
        <v>7617</v>
      </c>
      <c r="EY94" s="285">
        <v>7706</v>
      </c>
      <c r="EZ94" s="285">
        <v>8244</v>
      </c>
      <c r="FA94" s="285">
        <v>7472</v>
      </c>
      <c r="FB94" s="285">
        <v>7245</v>
      </c>
      <c r="FC94" s="285">
        <v>7234</v>
      </c>
      <c r="FD94" s="285">
        <v>7154</v>
      </c>
      <c r="FE94" s="285">
        <v>7135</v>
      </c>
      <c r="FF94" s="285">
        <v>7235</v>
      </c>
      <c r="FG94" s="285">
        <v>7196</v>
      </c>
      <c r="FH94" s="285">
        <v>7413</v>
      </c>
      <c r="FI94" s="285">
        <v>7120</v>
      </c>
      <c r="FJ94" s="285">
        <v>7225</v>
      </c>
      <c r="FK94" s="285">
        <v>7313</v>
      </c>
      <c r="FL94" s="285">
        <v>7379</v>
      </c>
      <c r="FM94" s="285">
        <v>7345</v>
      </c>
      <c r="FN94" s="285">
        <v>7391</v>
      </c>
      <c r="FO94" s="285">
        <v>7352</v>
      </c>
      <c r="FP94" s="285">
        <v>7423</v>
      </c>
      <c r="FQ94" s="285">
        <v>7537</v>
      </c>
      <c r="FR94" s="285">
        <v>7655</v>
      </c>
      <c r="FS94" s="285">
        <v>7692</v>
      </c>
      <c r="FT94" s="285">
        <v>7765</v>
      </c>
      <c r="FU94" s="285">
        <v>7838</v>
      </c>
      <c r="FV94" s="285">
        <v>7939</v>
      </c>
      <c r="FW94" s="285">
        <v>7846</v>
      </c>
      <c r="FX94" s="285">
        <v>7966</v>
      </c>
      <c r="FY94" s="285">
        <v>8076</v>
      </c>
      <c r="FZ94" s="285">
        <v>7952</v>
      </c>
      <c r="GA94" s="285">
        <v>8200</v>
      </c>
      <c r="GB94" s="285">
        <v>8016</v>
      </c>
      <c r="GC94" s="285">
        <v>7982</v>
      </c>
      <c r="GD94" s="285">
        <v>8232</v>
      </c>
      <c r="GE94" s="285">
        <v>8039</v>
      </c>
      <c r="GF94" s="285">
        <v>7489</v>
      </c>
      <c r="GG94" s="285">
        <v>7834</v>
      </c>
      <c r="GH94" s="285">
        <v>7994</v>
      </c>
      <c r="GI94" s="285">
        <v>7873</v>
      </c>
      <c r="GJ94" s="285">
        <v>8167</v>
      </c>
      <c r="GK94" s="285">
        <v>8417</v>
      </c>
      <c r="GL94" s="285">
        <v>8263</v>
      </c>
      <c r="GM94" s="285">
        <v>8405</v>
      </c>
      <c r="GN94" s="285">
        <v>8445</v>
      </c>
      <c r="GO94" s="285">
        <v>8287</v>
      </c>
      <c r="GP94" s="285">
        <v>8350</v>
      </c>
      <c r="GQ94" s="285">
        <v>8346</v>
      </c>
      <c r="GR94" s="285">
        <v>8598</v>
      </c>
      <c r="GS94" s="285">
        <v>8607</v>
      </c>
      <c r="GT94" s="285">
        <v>8624</v>
      </c>
      <c r="GU94" s="285">
        <v>8720</v>
      </c>
      <c r="GV94" s="285">
        <v>8990</v>
      </c>
      <c r="GW94" s="285">
        <v>8894</v>
      </c>
      <c r="GX94" s="285">
        <v>9384</v>
      </c>
      <c r="GY94" s="285">
        <v>9415</v>
      </c>
      <c r="GZ94" s="285">
        <v>9416</v>
      </c>
      <c r="HA94" s="285">
        <v>9627</v>
      </c>
      <c r="HB94" s="285">
        <v>9670</v>
      </c>
      <c r="HC94" s="285">
        <v>9791</v>
      </c>
      <c r="HD94" s="285">
        <v>9666</v>
      </c>
      <c r="HE94" s="285">
        <v>9767</v>
      </c>
      <c r="HF94" s="285">
        <v>9751</v>
      </c>
      <c r="HG94" s="285">
        <v>9770</v>
      </c>
      <c r="HH94" s="285">
        <v>9784</v>
      </c>
      <c r="HI94" s="285">
        <v>9804</v>
      </c>
      <c r="HJ94" s="285">
        <v>9860</v>
      </c>
      <c r="HK94" s="285">
        <v>10058</v>
      </c>
      <c r="HL94" s="285">
        <v>9867</v>
      </c>
      <c r="HM94" s="285">
        <v>9957</v>
      </c>
      <c r="HN94" s="285">
        <v>10052</v>
      </c>
      <c r="HO94" s="285">
        <v>9962</v>
      </c>
      <c r="HP94" s="286">
        <v>10153</v>
      </c>
      <c r="HQ94" s="286">
        <v>10006</v>
      </c>
      <c r="HR94" s="286">
        <v>9893</v>
      </c>
      <c r="HS94" s="286">
        <v>10154</v>
      </c>
      <c r="HT94" s="286">
        <v>10251</v>
      </c>
      <c r="HU94" s="286">
        <v>10093</v>
      </c>
      <c r="HV94" s="545">
        <v>10253</v>
      </c>
      <c r="HW94" s="545">
        <v>10480</v>
      </c>
      <c r="HX94" s="545">
        <v>10169</v>
      </c>
      <c r="HY94" s="545">
        <v>9709</v>
      </c>
      <c r="HZ94" s="545">
        <v>10013</v>
      </c>
      <c r="IA94" s="545">
        <v>10214</v>
      </c>
      <c r="IB94" s="545">
        <v>11086</v>
      </c>
      <c r="IC94" s="545">
        <v>11102</v>
      </c>
      <c r="ID94" s="545">
        <v>10932</v>
      </c>
      <c r="IE94" s="545">
        <v>11092</v>
      </c>
      <c r="IF94" s="545">
        <v>10877</v>
      </c>
      <c r="IG94" s="285">
        <v>10909</v>
      </c>
      <c r="IH94" s="545">
        <v>10727</v>
      </c>
      <c r="II94" s="545">
        <v>10722</v>
      </c>
      <c r="IJ94" s="545">
        <v>10543</v>
      </c>
      <c r="IK94" s="545">
        <v>10559</v>
      </c>
      <c r="IL94" s="545">
        <v>10339</v>
      </c>
      <c r="IM94" s="851">
        <v>10370</v>
      </c>
      <c r="IN94" s="168"/>
    </row>
    <row r="95" spans="1:248">
      <c r="A95" s="81" t="s">
        <v>142</v>
      </c>
      <c r="B95" s="284">
        <v>5358</v>
      </c>
      <c r="C95" s="284">
        <v>5161</v>
      </c>
      <c r="D95" s="284">
        <v>5182</v>
      </c>
      <c r="E95" s="284">
        <v>5042</v>
      </c>
      <c r="F95" s="284">
        <v>5149</v>
      </c>
      <c r="G95" s="284">
        <v>5156</v>
      </c>
      <c r="H95" s="284">
        <v>5211</v>
      </c>
      <c r="I95" s="284">
        <v>5290</v>
      </c>
      <c r="J95" s="284">
        <v>4769</v>
      </c>
      <c r="K95" s="284">
        <v>4807</v>
      </c>
      <c r="L95" s="284">
        <v>4771</v>
      </c>
      <c r="M95" s="284">
        <v>4794</v>
      </c>
      <c r="N95" s="284">
        <v>4778</v>
      </c>
      <c r="O95" s="284">
        <v>4710</v>
      </c>
      <c r="P95" s="284">
        <v>5023</v>
      </c>
      <c r="Q95" s="284">
        <v>4759</v>
      </c>
      <c r="R95" s="284">
        <v>4710</v>
      </c>
      <c r="S95" s="284">
        <v>4960</v>
      </c>
      <c r="T95" s="284">
        <v>4631</v>
      </c>
      <c r="U95" s="284">
        <v>4657</v>
      </c>
      <c r="V95" s="284">
        <v>4961</v>
      </c>
      <c r="W95" s="284">
        <v>4991</v>
      </c>
      <c r="X95" s="284">
        <v>4795</v>
      </c>
      <c r="Y95" s="284">
        <v>4805</v>
      </c>
      <c r="Z95" s="284">
        <v>4658</v>
      </c>
      <c r="AA95" s="284">
        <v>5022</v>
      </c>
      <c r="AB95" s="284">
        <v>5102</v>
      </c>
      <c r="AC95" s="284">
        <v>5100</v>
      </c>
      <c r="AD95" s="284">
        <v>5137</v>
      </c>
      <c r="AE95" s="284">
        <v>5178</v>
      </c>
      <c r="AF95" s="284">
        <v>5129</v>
      </c>
      <c r="AG95" s="284">
        <v>5105</v>
      </c>
      <c r="AH95" s="284">
        <v>5122</v>
      </c>
      <c r="AI95" s="284">
        <v>5172</v>
      </c>
      <c r="AJ95" s="284">
        <v>5397</v>
      </c>
      <c r="AK95" s="284">
        <v>5392</v>
      </c>
      <c r="AL95" s="284">
        <v>5604</v>
      </c>
      <c r="AM95" s="284">
        <v>5592</v>
      </c>
      <c r="AN95" s="284">
        <v>5649</v>
      </c>
      <c r="AO95" s="284">
        <v>5540</v>
      </c>
      <c r="AP95" s="284">
        <v>5612</v>
      </c>
      <c r="AQ95" s="284">
        <v>5511</v>
      </c>
      <c r="AR95" s="284">
        <v>5670</v>
      </c>
      <c r="AS95" s="284">
        <v>5714</v>
      </c>
      <c r="AT95" s="284">
        <v>5832</v>
      </c>
      <c r="AU95" s="284">
        <v>5894</v>
      </c>
      <c r="AV95" s="284">
        <v>5991</v>
      </c>
      <c r="AW95" s="284">
        <v>5923</v>
      </c>
      <c r="AX95" s="284">
        <v>6054</v>
      </c>
      <c r="AY95" s="284">
        <v>6069</v>
      </c>
      <c r="AZ95" s="284">
        <v>6046</v>
      </c>
      <c r="BA95" s="284">
        <v>5663</v>
      </c>
      <c r="BB95" s="284">
        <v>5883</v>
      </c>
      <c r="BC95" s="284">
        <v>5980</v>
      </c>
      <c r="BD95" s="284">
        <v>6102</v>
      </c>
      <c r="BE95" s="284">
        <v>6169</v>
      </c>
      <c r="BF95" s="284">
        <v>6198</v>
      </c>
      <c r="BG95" s="284">
        <v>6311</v>
      </c>
      <c r="BH95" s="284">
        <v>6268</v>
      </c>
      <c r="BI95" s="284">
        <v>6390</v>
      </c>
      <c r="BJ95" s="284">
        <v>6239</v>
      </c>
      <c r="BK95" s="284">
        <v>6295</v>
      </c>
      <c r="BL95" s="284">
        <v>6249</v>
      </c>
      <c r="BM95" s="284">
        <v>6257</v>
      </c>
      <c r="BN95" s="284">
        <v>6496</v>
      </c>
      <c r="BO95" s="284">
        <v>6665</v>
      </c>
      <c r="BP95" s="284">
        <v>6611</v>
      </c>
      <c r="BQ95" s="284">
        <v>6564</v>
      </c>
      <c r="BR95" s="284">
        <v>6238</v>
      </c>
      <c r="BS95" s="284">
        <v>6211</v>
      </c>
      <c r="BT95" s="284">
        <v>6588</v>
      </c>
      <c r="BU95" s="284">
        <v>6327</v>
      </c>
      <c r="BV95" s="284">
        <v>6244</v>
      </c>
      <c r="BW95" s="284">
        <v>6651</v>
      </c>
      <c r="BX95" s="284">
        <v>6615</v>
      </c>
      <c r="BY95" s="284">
        <v>6630</v>
      </c>
      <c r="BZ95" s="284">
        <v>6762</v>
      </c>
      <c r="CA95" s="284">
        <v>6665</v>
      </c>
      <c r="CB95" s="284">
        <v>6768</v>
      </c>
      <c r="CC95" s="284">
        <v>7049</v>
      </c>
      <c r="CD95" s="284">
        <v>7013</v>
      </c>
      <c r="CE95" s="284">
        <v>7135</v>
      </c>
      <c r="CF95" s="284">
        <v>7558</v>
      </c>
      <c r="CG95" s="284">
        <v>7629</v>
      </c>
      <c r="CH95" s="284">
        <v>8078</v>
      </c>
      <c r="CI95" s="284">
        <v>8055</v>
      </c>
      <c r="CJ95" s="284">
        <v>8353</v>
      </c>
      <c r="CK95" s="284">
        <v>8554</v>
      </c>
      <c r="CL95" s="284">
        <v>8744</v>
      </c>
      <c r="CM95" s="284">
        <v>9273</v>
      </c>
      <c r="CN95" s="284">
        <v>9542</v>
      </c>
      <c r="CO95" s="284">
        <v>9720</v>
      </c>
      <c r="CP95" s="284">
        <v>10419</v>
      </c>
      <c r="CQ95" s="284">
        <v>10537</v>
      </c>
      <c r="CR95" s="284">
        <v>10482</v>
      </c>
      <c r="CS95" s="284">
        <v>10577</v>
      </c>
      <c r="CT95" s="284">
        <v>10825</v>
      </c>
      <c r="CU95" s="284">
        <v>10771</v>
      </c>
      <c r="CV95" s="284">
        <v>10607</v>
      </c>
      <c r="CW95" s="284">
        <v>10717</v>
      </c>
      <c r="CX95" s="284">
        <v>11002</v>
      </c>
      <c r="CY95" s="284">
        <v>10871</v>
      </c>
      <c r="CZ95" s="284">
        <v>11013</v>
      </c>
      <c r="DA95" s="284">
        <v>10990</v>
      </c>
      <c r="DB95" s="284">
        <v>11509</v>
      </c>
      <c r="DC95" s="284">
        <v>11422</v>
      </c>
      <c r="DD95" s="284">
        <v>11775</v>
      </c>
      <c r="DE95" s="284">
        <v>11822</v>
      </c>
      <c r="DF95" s="284">
        <v>11553</v>
      </c>
      <c r="DG95" s="284">
        <v>11876</v>
      </c>
      <c r="DH95" s="284">
        <v>12142</v>
      </c>
      <c r="DI95" s="284">
        <v>12199</v>
      </c>
      <c r="DJ95" s="284">
        <v>12217</v>
      </c>
      <c r="DK95" s="284">
        <v>12619</v>
      </c>
      <c r="DL95" s="284">
        <v>12663</v>
      </c>
      <c r="DM95" s="284">
        <v>13396</v>
      </c>
      <c r="DN95" s="284">
        <v>13460</v>
      </c>
      <c r="DO95" s="284">
        <v>13538</v>
      </c>
      <c r="DP95" s="284">
        <v>13764</v>
      </c>
      <c r="DQ95" s="284">
        <v>12936</v>
      </c>
      <c r="DR95" s="284">
        <v>12951</v>
      </c>
      <c r="DS95" s="284">
        <v>13125</v>
      </c>
      <c r="DT95" s="284">
        <v>13890</v>
      </c>
      <c r="DU95" s="284">
        <v>13456</v>
      </c>
      <c r="DV95" s="284">
        <v>13840</v>
      </c>
      <c r="DW95" s="284">
        <v>14132</v>
      </c>
      <c r="DX95" s="284">
        <v>14658</v>
      </c>
      <c r="DY95" s="284">
        <v>17303</v>
      </c>
      <c r="DZ95" s="284">
        <v>15082</v>
      </c>
      <c r="EA95" s="284">
        <v>15825</v>
      </c>
      <c r="EB95" s="284">
        <v>15775</v>
      </c>
      <c r="EC95" s="284">
        <v>16428</v>
      </c>
      <c r="ED95" s="284">
        <v>14722</v>
      </c>
      <c r="EE95" s="284">
        <v>15043</v>
      </c>
      <c r="EF95" s="284">
        <v>16377</v>
      </c>
      <c r="EG95" s="284">
        <v>16786</v>
      </c>
      <c r="EH95" s="284">
        <v>17400</v>
      </c>
      <c r="EI95" s="284">
        <v>17812</v>
      </c>
      <c r="EJ95" s="284">
        <v>18296</v>
      </c>
      <c r="EK95" s="284">
        <v>20095</v>
      </c>
      <c r="EL95" s="284">
        <v>19726</v>
      </c>
      <c r="EM95" s="284">
        <v>19925</v>
      </c>
      <c r="EN95" s="284">
        <v>19814</v>
      </c>
      <c r="EO95" s="284">
        <v>20046</v>
      </c>
      <c r="EP95" s="284">
        <v>20415</v>
      </c>
      <c r="EQ95" s="284">
        <v>20540</v>
      </c>
      <c r="ER95" s="284">
        <v>20873</v>
      </c>
      <c r="ES95" s="284">
        <v>21539</v>
      </c>
      <c r="ET95" s="284">
        <v>21795</v>
      </c>
      <c r="EU95" s="284">
        <v>22102</v>
      </c>
      <c r="EV95" s="284">
        <v>22451</v>
      </c>
      <c r="EW95" s="284">
        <v>22427</v>
      </c>
      <c r="EX95" s="284">
        <v>22494</v>
      </c>
      <c r="EY95" s="284">
        <v>23144</v>
      </c>
      <c r="EZ95" s="284">
        <v>23677</v>
      </c>
      <c r="FA95" s="284">
        <v>23026</v>
      </c>
      <c r="FB95" s="284">
        <v>23778</v>
      </c>
      <c r="FC95" s="284">
        <v>24261</v>
      </c>
      <c r="FD95" s="284">
        <v>23139</v>
      </c>
      <c r="FE95" s="284">
        <v>23819</v>
      </c>
      <c r="FF95" s="284">
        <v>23585</v>
      </c>
      <c r="FG95" s="284">
        <v>24120</v>
      </c>
      <c r="FH95" s="284">
        <v>24310</v>
      </c>
      <c r="FI95" s="284">
        <v>22878</v>
      </c>
      <c r="FJ95" s="284">
        <v>23145</v>
      </c>
      <c r="FK95" s="284">
        <v>23782</v>
      </c>
      <c r="FL95" s="284">
        <v>23694</v>
      </c>
      <c r="FM95" s="284">
        <v>23276</v>
      </c>
      <c r="FN95" s="284">
        <v>22811</v>
      </c>
      <c r="FO95" s="284">
        <v>23381</v>
      </c>
      <c r="FP95" s="284">
        <v>23514</v>
      </c>
      <c r="FQ95" s="284">
        <v>23146</v>
      </c>
      <c r="FR95" s="284">
        <v>22316</v>
      </c>
      <c r="FS95" s="284">
        <v>20714</v>
      </c>
      <c r="FT95" s="284">
        <v>21790</v>
      </c>
      <c r="FU95" s="284">
        <v>21442</v>
      </c>
      <c r="FV95" s="284">
        <v>21796</v>
      </c>
      <c r="FW95" s="284">
        <v>21394</v>
      </c>
      <c r="FX95" s="284">
        <v>21957</v>
      </c>
      <c r="FY95" s="284">
        <v>21611</v>
      </c>
      <c r="FZ95" s="284">
        <v>21334</v>
      </c>
      <c r="GA95" s="284">
        <v>21981</v>
      </c>
      <c r="GB95" s="284">
        <v>21776</v>
      </c>
      <c r="GC95" s="284">
        <v>21336</v>
      </c>
      <c r="GD95" s="284">
        <v>21425</v>
      </c>
      <c r="GE95" s="284">
        <v>21336</v>
      </c>
      <c r="GF95" s="284">
        <v>21333</v>
      </c>
      <c r="GG95" s="284">
        <v>21636</v>
      </c>
      <c r="GH95" s="284">
        <v>21266</v>
      </c>
      <c r="GI95" s="284">
        <v>21988</v>
      </c>
      <c r="GJ95" s="284">
        <v>22233</v>
      </c>
      <c r="GK95" s="284">
        <v>21622</v>
      </c>
      <c r="GL95" s="284">
        <v>21671</v>
      </c>
      <c r="GM95" s="284">
        <v>21981</v>
      </c>
      <c r="GN95" s="284">
        <v>21936</v>
      </c>
      <c r="GO95" s="284">
        <v>21520</v>
      </c>
      <c r="GP95" s="284">
        <v>22214</v>
      </c>
      <c r="GQ95" s="284">
        <v>21579</v>
      </c>
      <c r="GR95" s="284">
        <v>21716</v>
      </c>
      <c r="GS95" s="284">
        <v>21978</v>
      </c>
      <c r="GT95" s="284">
        <v>21546</v>
      </c>
      <c r="GU95" s="284">
        <v>21656</v>
      </c>
      <c r="GV95" s="284">
        <v>21954</v>
      </c>
      <c r="GW95" s="284">
        <v>21147</v>
      </c>
      <c r="GX95" s="284">
        <v>20789</v>
      </c>
      <c r="GY95" s="284">
        <v>21088</v>
      </c>
      <c r="GZ95" s="284">
        <v>21200</v>
      </c>
      <c r="HA95" s="284">
        <v>21192</v>
      </c>
      <c r="HB95" s="284">
        <v>21373</v>
      </c>
      <c r="HC95" s="284">
        <v>20915</v>
      </c>
      <c r="HD95" s="284">
        <v>21428</v>
      </c>
      <c r="HE95" s="284">
        <v>22253</v>
      </c>
      <c r="HF95" s="284">
        <v>21218</v>
      </c>
      <c r="HG95" s="284">
        <v>21748</v>
      </c>
      <c r="HH95" s="284">
        <v>21981</v>
      </c>
      <c r="HI95" s="284">
        <v>21394</v>
      </c>
      <c r="HJ95" s="284">
        <v>23003</v>
      </c>
      <c r="HK95" s="284">
        <v>22810</v>
      </c>
      <c r="HL95" s="284">
        <v>23014</v>
      </c>
      <c r="HM95" s="284">
        <v>22573</v>
      </c>
      <c r="HN95" s="284">
        <v>23702</v>
      </c>
      <c r="HO95" s="284">
        <v>23601</v>
      </c>
      <c r="HP95" s="284">
        <v>24559</v>
      </c>
      <c r="HQ95" s="284">
        <v>24700</v>
      </c>
      <c r="HR95" s="284">
        <v>24639</v>
      </c>
      <c r="HS95" s="284">
        <v>25431</v>
      </c>
      <c r="HT95" s="284">
        <v>25193</v>
      </c>
      <c r="HU95" s="284">
        <v>24992</v>
      </c>
      <c r="HV95" s="284">
        <v>24877</v>
      </c>
      <c r="HW95" s="284">
        <v>25301</v>
      </c>
      <c r="HX95" s="284">
        <v>24852</v>
      </c>
      <c r="HY95" s="284">
        <v>22283</v>
      </c>
      <c r="HZ95" s="284">
        <v>23229</v>
      </c>
      <c r="IA95" s="284">
        <v>22314</v>
      </c>
      <c r="IB95" s="284">
        <v>29267</v>
      </c>
      <c r="IC95" s="284">
        <v>28305</v>
      </c>
      <c r="ID95" s="284">
        <v>27158</v>
      </c>
      <c r="IE95" s="284">
        <v>28918</v>
      </c>
      <c r="IF95" s="284">
        <v>26955</v>
      </c>
      <c r="IG95" s="284">
        <v>26744</v>
      </c>
      <c r="IH95" s="284">
        <v>27227</v>
      </c>
      <c r="II95" s="284">
        <v>28142</v>
      </c>
      <c r="IJ95" s="284">
        <v>27144</v>
      </c>
      <c r="IK95" s="284">
        <v>27177</v>
      </c>
      <c r="IL95" s="284">
        <v>26707</v>
      </c>
      <c r="IM95" s="850">
        <v>25830</v>
      </c>
      <c r="IN95" s="168"/>
    </row>
    <row r="96" spans="1:248">
      <c r="A96" s="81" t="s">
        <v>1203</v>
      </c>
      <c r="B96" s="285">
        <v>185</v>
      </c>
      <c r="C96" s="285">
        <v>187</v>
      </c>
      <c r="D96" s="285">
        <v>198</v>
      </c>
      <c r="E96" s="285">
        <v>195</v>
      </c>
      <c r="F96" s="285">
        <v>193</v>
      </c>
      <c r="G96" s="285">
        <v>204</v>
      </c>
      <c r="H96" s="285">
        <v>221</v>
      </c>
      <c r="I96" s="285">
        <v>236</v>
      </c>
      <c r="J96" s="285">
        <v>242</v>
      </c>
      <c r="K96" s="285">
        <v>258</v>
      </c>
      <c r="L96" s="285">
        <v>254</v>
      </c>
      <c r="M96" s="285">
        <v>262</v>
      </c>
      <c r="N96" s="285">
        <v>258</v>
      </c>
      <c r="O96" s="285">
        <v>280</v>
      </c>
      <c r="P96" s="285">
        <v>259</v>
      </c>
      <c r="Q96" s="285">
        <v>263</v>
      </c>
      <c r="R96" s="285">
        <v>298</v>
      </c>
      <c r="S96" s="285">
        <v>304</v>
      </c>
      <c r="T96" s="285">
        <v>302</v>
      </c>
      <c r="U96" s="285">
        <v>298</v>
      </c>
      <c r="V96" s="285">
        <v>287</v>
      </c>
      <c r="W96" s="285">
        <v>287</v>
      </c>
      <c r="X96" s="285">
        <v>280</v>
      </c>
      <c r="Y96" s="285">
        <v>255</v>
      </c>
      <c r="Z96" s="285">
        <v>254</v>
      </c>
      <c r="AA96" s="285">
        <v>212</v>
      </c>
      <c r="AB96" s="285">
        <v>202</v>
      </c>
      <c r="AC96" s="285">
        <v>223</v>
      </c>
      <c r="AD96" s="285">
        <v>236</v>
      </c>
      <c r="AE96" s="285">
        <v>243</v>
      </c>
      <c r="AF96" s="285">
        <v>220</v>
      </c>
      <c r="AG96" s="285">
        <v>218</v>
      </c>
      <c r="AH96" s="285">
        <v>220</v>
      </c>
      <c r="AI96" s="285">
        <v>218</v>
      </c>
      <c r="AJ96" s="285">
        <v>228</v>
      </c>
      <c r="AK96" s="285">
        <v>235</v>
      </c>
      <c r="AL96" s="285">
        <v>229</v>
      </c>
      <c r="AM96" s="285">
        <v>232</v>
      </c>
      <c r="AN96" s="285">
        <v>236</v>
      </c>
      <c r="AO96" s="285">
        <v>232</v>
      </c>
      <c r="AP96" s="285">
        <v>231</v>
      </c>
      <c r="AQ96" s="285">
        <v>225</v>
      </c>
      <c r="AR96" s="285">
        <v>242</v>
      </c>
      <c r="AS96" s="285">
        <v>237</v>
      </c>
      <c r="AT96" s="285">
        <v>239</v>
      </c>
      <c r="AU96" s="285">
        <v>238</v>
      </c>
      <c r="AV96" s="285">
        <v>247</v>
      </c>
      <c r="AW96" s="285">
        <v>245</v>
      </c>
      <c r="AX96" s="285">
        <v>254</v>
      </c>
      <c r="AY96" s="285">
        <v>255</v>
      </c>
      <c r="AZ96" s="285">
        <v>253</v>
      </c>
      <c r="BA96" s="285">
        <v>255</v>
      </c>
      <c r="BB96" s="285">
        <v>250</v>
      </c>
      <c r="BC96" s="285">
        <v>266</v>
      </c>
      <c r="BD96" s="285">
        <v>267</v>
      </c>
      <c r="BE96" s="285">
        <v>270</v>
      </c>
      <c r="BF96" s="285">
        <v>256</v>
      </c>
      <c r="BG96" s="285">
        <v>255</v>
      </c>
      <c r="BH96" s="285">
        <v>252</v>
      </c>
      <c r="BI96" s="285">
        <v>242</v>
      </c>
      <c r="BJ96" s="285">
        <v>244</v>
      </c>
      <c r="BK96" s="285">
        <v>237</v>
      </c>
      <c r="BL96" s="285">
        <v>237</v>
      </c>
      <c r="BM96" s="285">
        <v>237</v>
      </c>
      <c r="BN96" s="285">
        <v>230</v>
      </c>
      <c r="BO96" s="285">
        <v>238</v>
      </c>
      <c r="BP96" s="285">
        <v>228</v>
      </c>
      <c r="BQ96" s="285">
        <v>234</v>
      </c>
      <c r="BR96" s="285">
        <v>224</v>
      </c>
      <c r="BS96" s="285">
        <v>226</v>
      </c>
      <c r="BT96" s="285">
        <v>229</v>
      </c>
      <c r="BU96" s="285">
        <v>219</v>
      </c>
      <c r="BV96" s="285">
        <v>213</v>
      </c>
      <c r="BW96" s="285">
        <v>220</v>
      </c>
      <c r="BX96" s="285">
        <v>215</v>
      </c>
      <c r="BY96" s="285">
        <v>219</v>
      </c>
      <c r="BZ96" s="285">
        <v>217</v>
      </c>
      <c r="CA96" s="285">
        <v>218</v>
      </c>
      <c r="CB96" s="285">
        <v>208</v>
      </c>
      <c r="CC96" s="285">
        <v>230</v>
      </c>
      <c r="CD96" s="285">
        <v>231</v>
      </c>
      <c r="CE96" s="285">
        <v>236</v>
      </c>
      <c r="CF96" s="285">
        <v>239</v>
      </c>
      <c r="CG96" s="285">
        <v>239</v>
      </c>
      <c r="CH96" s="285">
        <v>239</v>
      </c>
      <c r="CI96" s="285">
        <v>243</v>
      </c>
      <c r="CJ96" s="285">
        <v>243</v>
      </c>
      <c r="CK96" s="285">
        <v>248</v>
      </c>
      <c r="CL96" s="285">
        <v>256</v>
      </c>
      <c r="CM96" s="285">
        <v>255</v>
      </c>
      <c r="CN96" s="285">
        <v>257</v>
      </c>
      <c r="CO96" s="285">
        <v>265</v>
      </c>
      <c r="CP96" s="285">
        <v>267</v>
      </c>
      <c r="CQ96" s="285">
        <v>268</v>
      </c>
      <c r="CR96" s="285">
        <v>268</v>
      </c>
      <c r="CS96" s="285">
        <v>202</v>
      </c>
      <c r="CT96" s="285">
        <v>191</v>
      </c>
      <c r="CU96" s="285">
        <v>188</v>
      </c>
      <c r="CV96" s="285">
        <v>188</v>
      </c>
      <c r="CW96" s="285">
        <v>190</v>
      </c>
      <c r="CX96" s="285">
        <v>183</v>
      </c>
      <c r="CY96" s="285">
        <v>172</v>
      </c>
      <c r="CZ96" s="285">
        <v>151</v>
      </c>
      <c r="DA96" s="285">
        <v>149</v>
      </c>
      <c r="DB96" s="285">
        <v>147</v>
      </c>
      <c r="DC96" s="285">
        <v>151</v>
      </c>
      <c r="DD96" s="285">
        <v>159</v>
      </c>
      <c r="DE96" s="285">
        <v>165</v>
      </c>
      <c r="DF96" s="285">
        <v>172</v>
      </c>
      <c r="DG96" s="285">
        <v>182</v>
      </c>
      <c r="DH96" s="285">
        <v>183</v>
      </c>
      <c r="DI96" s="285">
        <v>188</v>
      </c>
      <c r="DJ96" s="285">
        <v>218</v>
      </c>
      <c r="DK96" s="285">
        <v>235</v>
      </c>
      <c r="DL96" s="285">
        <v>231</v>
      </c>
      <c r="DM96" s="285">
        <v>230</v>
      </c>
      <c r="DN96" s="285">
        <v>233</v>
      </c>
      <c r="DO96" s="285">
        <v>230</v>
      </c>
      <c r="DP96" s="285">
        <v>228</v>
      </c>
      <c r="DQ96" s="285">
        <v>237</v>
      </c>
      <c r="DR96" s="285">
        <v>255</v>
      </c>
      <c r="DS96" s="285">
        <v>260</v>
      </c>
      <c r="DT96" s="285">
        <v>269</v>
      </c>
      <c r="DU96" s="285">
        <v>289</v>
      </c>
      <c r="DV96" s="285">
        <v>301</v>
      </c>
      <c r="DW96" s="285">
        <v>306</v>
      </c>
      <c r="DX96" s="285">
        <v>292</v>
      </c>
      <c r="DY96" s="285">
        <v>290</v>
      </c>
      <c r="DZ96" s="285">
        <v>278</v>
      </c>
      <c r="EA96" s="285">
        <v>288</v>
      </c>
      <c r="EB96" s="285">
        <v>302</v>
      </c>
      <c r="EC96" s="285">
        <v>302</v>
      </c>
      <c r="ED96" s="285">
        <v>314</v>
      </c>
      <c r="EE96" s="285">
        <v>308</v>
      </c>
      <c r="EF96" s="285">
        <v>311</v>
      </c>
      <c r="EG96" s="285">
        <v>297</v>
      </c>
      <c r="EH96" s="285">
        <v>292</v>
      </c>
      <c r="EI96" s="285">
        <v>284</v>
      </c>
      <c r="EJ96" s="285">
        <v>295</v>
      </c>
      <c r="EK96" s="285">
        <v>289</v>
      </c>
      <c r="EL96" s="285">
        <v>303</v>
      </c>
      <c r="EM96" s="285">
        <v>298</v>
      </c>
      <c r="EN96" s="285">
        <v>301</v>
      </c>
      <c r="EO96" s="285">
        <v>304</v>
      </c>
      <c r="EP96" s="285">
        <v>300</v>
      </c>
      <c r="EQ96" s="285">
        <v>306</v>
      </c>
      <c r="ER96" s="285">
        <v>301</v>
      </c>
      <c r="ES96" s="285">
        <v>297</v>
      </c>
      <c r="ET96" s="285">
        <v>248</v>
      </c>
      <c r="EU96" s="285">
        <v>244</v>
      </c>
      <c r="EV96" s="285">
        <v>236</v>
      </c>
      <c r="EW96" s="285">
        <v>235</v>
      </c>
      <c r="EX96" s="285">
        <v>227</v>
      </c>
      <c r="EY96" s="285">
        <v>228</v>
      </c>
      <c r="EZ96" s="285">
        <v>226</v>
      </c>
      <c r="FA96" s="285">
        <v>227</v>
      </c>
      <c r="FB96" s="285">
        <v>233</v>
      </c>
      <c r="FC96" s="285">
        <v>231</v>
      </c>
      <c r="FD96" s="285">
        <v>227</v>
      </c>
      <c r="FE96" s="285">
        <v>233</v>
      </c>
      <c r="FF96" s="285">
        <v>248</v>
      </c>
      <c r="FG96" s="285">
        <v>241</v>
      </c>
      <c r="FH96" s="285">
        <v>245</v>
      </c>
      <c r="FI96" s="285">
        <v>248</v>
      </c>
      <c r="FJ96" s="285">
        <v>239</v>
      </c>
      <c r="FK96" s="285">
        <v>250</v>
      </c>
      <c r="FL96" s="285">
        <v>238</v>
      </c>
      <c r="FM96" s="285">
        <v>239</v>
      </c>
      <c r="FN96" s="285">
        <v>250</v>
      </c>
      <c r="FO96" s="285">
        <v>254</v>
      </c>
      <c r="FP96" s="285">
        <v>246</v>
      </c>
      <c r="FQ96" s="285">
        <v>245</v>
      </c>
      <c r="FR96" s="285">
        <v>248</v>
      </c>
      <c r="FS96" s="285">
        <v>246</v>
      </c>
      <c r="FT96" s="285">
        <v>241</v>
      </c>
      <c r="FU96" s="285">
        <v>247</v>
      </c>
      <c r="FV96" s="285">
        <v>243</v>
      </c>
      <c r="FW96" s="285">
        <v>240</v>
      </c>
      <c r="FX96" s="285">
        <v>241</v>
      </c>
      <c r="FY96" s="285">
        <v>249</v>
      </c>
      <c r="FZ96" s="285">
        <v>227</v>
      </c>
      <c r="GA96" s="285">
        <v>265</v>
      </c>
      <c r="GB96" s="285">
        <v>286</v>
      </c>
      <c r="GC96" s="285">
        <v>293</v>
      </c>
      <c r="GD96" s="285">
        <v>324</v>
      </c>
      <c r="GE96" s="285">
        <v>310</v>
      </c>
      <c r="GF96" s="285">
        <v>240</v>
      </c>
      <c r="GG96" s="285">
        <v>253</v>
      </c>
      <c r="GH96" s="285">
        <v>241</v>
      </c>
      <c r="GI96" s="285">
        <v>252</v>
      </c>
      <c r="GJ96" s="285">
        <v>303</v>
      </c>
      <c r="GK96" s="285">
        <v>300</v>
      </c>
      <c r="GL96" s="285">
        <v>336</v>
      </c>
      <c r="GM96" s="285">
        <v>368</v>
      </c>
      <c r="GN96" s="285">
        <v>412</v>
      </c>
      <c r="GO96" s="285">
        <v>484</v>
      </c>
      <c r="GP96" s="285">
        <v>509</v>
      </c>
      <c r="GQ96" s="285">
        <v>503</v>
      </c>
      <c r="GR96" s="285">
        <v>541</v>
      </c>
      <c r="GS96" s="285">
        <v>518</v>
      </c>
      <c r="GT96" s="285">
        <v>534</v>
      </c>
      <c r="GU96" s="285">
        <v>525</v>
      </c>
      <c r="GV96" s="285">
        <v>649</v>
      </c>
      <c r="GW96" s="285">
        <v>630</v>
      </c>
      <c r="GX96" s="285">
        <v>711</v>
      </c>
      <c r="GY96" s="285">
        <v>657</v>
      </c>
      <c r="GZ96" s="285">
        <v>649</v>
      </c>
      <c r="HA96" s="285">
        <v>714</v>
      </c>
      <c r="HB96" s="285">
        <v>806</v>
      </c>
      <c r="HC96" s="285">
        <v>829</v>
      </c>
      <c r="HD96" s="285">
        <v>838</v>
      </c>
      <c r="HE96" s="285">
        <v>930</v>
      </c>
      <c r="HF96" s="285">
        <v>970</v>
      </c>
      <c r="HG96" s="285">
        <v>1085</v>
      </c>
      <c r="HH96" s="285">
        <v>1071</v>
      </c>
      <c r="HI96" s="285">
        <v>992</v>
      </c>
      <c r="HJ96" s="285">
        <v>981</v>
      </c>
      <c r="HK96" s="285">
        <v>1297</v>
      </c>
      <c r="HL96" s="285">
        <v>1229</v>
      </c>
      <c r="HM96" s="285">
        <v>1244</v>
      </c>
      <c r="HN96" s="285">
        <v>1296</v>
      </c>
      <c r="HO96" s="285">
        <v>1299</v>
      </c>
      <c r="HP96" s="286">
        <v>1341</v>
      </c>
      <c r="HQ96" s="286">
        <v>1259</v>
      </c>
      <c r="HR96" s="286">
        <v>1334</v>
      </c>
      <c r="HS96" s="286">
        <v>1313</v>
      </c>
      <c r="HT96" s="286">
        <v>931</v>
      </c>
      <c r="HU96" s="286">
        <v>901</v>
      </c>
      <c r="HV96" s="545">
        <v>825</v>
      </c>
      <c r="HW96" s="545">
        <v>852</v>
      </c>
      <c r="HX96" s="545">
        <v>802</v>
      </c>
      <c r="HY96" s="545">
        <v>790</v>
      </c>
      <c r="HZ96" s="545">
        <v>815</v>
      </c>
      <c r="IA96" s="545">
        <v>804</v>
      </c>
      <c r="IB96" s="545">
        <v>802</v>
      </c>
      <c r="IC96" s="545">
        <v>824</v>
      </c>
      <c r="ID96" s="545">
        <v>788</v>
      </c>
      <c r="IE96" s="545">
        <v>826</v>
      </c>
      <c r="IF96" s="545">
        <v>701</v>
      </c>
      <c r="IG96" s="285">
        <v>691</v>
      </c>
      <c r="IH96" s="545">
        <v>680</v>
      </c>
      <c r="II96" s="545">
        <v>1284</v>
      </c>
      <c r="IJ96" s="545">
        <v>764</v>
      </c>
      <c r="IK96" s="545">
        <v>682</v>
      </c>
      <c r="IL96" s="545">
        <v>697</v>
      </c>
      <c r="IM96" s="851">
        <v>697</v>
      </c>
      <c r="IN96" s="168"/>
    </row>
    <row r="97" spans="1:248">
      <c r="A97" s="81" t="s">
        <v>192</v>
      </c>
      <c r="B97" s="284">
        <v>1521</v>
      </c>
      <c r="C97" s="284">
        <v>1528</v>
      </c>
      <c r="D97" s="284">
        <v>1547</v>
      </c>
      <c r="E97" s="284">
        <v>1536</v>
      </c>
      <c r="F97" s="284">
        <v>1596</v>
      </c>
      <c r="G97" s="284">
        <v>1547</v>
      </c>
      <c r="H97" s="284">
        <v>1530</v>
      </c>
      <c r="I97" s="284">
        <v>1462</v>
      </c>
      <c r="J97" s="284">
        <v>1505</v>
      </c>
      <c r="K97" s="284">
        <v>1285</v>
      </c>
      <c r="L97" s="284">
        <v>1254</v>
      </c>
      <c r="M97" s="284">
        <v>1248</v>
      </c>
      <c r="N97" s="284">
        <v>1237</v>
      </c>
      <c r="O97" s="284">
        <v>1312</v>
      </c>
      <c r="P97" s="284">
        <v>1192</v>
      </c>
      <c r="Q97" s="284">
        <v>1331</v>
      </c>
      <c r="R97" s="284">
        <v>1190</v>
      </c>
      <c r="S97" s="284">
        <v>1176</v>
      </c>
      <c r="T97" s="284">
        <v>1181</v>
      </c>
      <c r="U97" s="284">
        <v>1186</v>
      </c>
      <c r="V97" s="284">
        <v>1182</v>
      </c>
      <c r="W97" s="284">
        <v>1162</v>
      </c>
      <c r="X97" s="284">
        <v>1195</v>
      </c>
      <c r="Y97" s="284">
        <v>1181</v>
      </c>
      <c r="Z97" s="284">
        <v>1178</v>
      </c>
      <c r="AA97" s="284">
        <v>1189</v>
      </c>
      <c r="AB97" s="284">
        <v>1139</v>
      </c>
      <c r="AC97" s="284">
        <v>1135</v>
      </c>
      <c r="AD97" s="284">
        <v>1068</v>
      </c>
      <c r="AE97" s="284">
        <v>1111</v>
      </c>
      <c r="AF97" s="284">
        <v>1106</v>
      </c>
      <c r="AG97" s="284">
        <v>1098</v>
      </c>
      <c r="AH97" s="284">
        <v>1054</v>
      </c>
      <c r="AI97" s="284">
        <v>1154</v>
      </c>
      <c r="AJ97" s="284">
        <v>1115</v>
      </c>
      <c r="AK97" s="284">
        <v>1103</v>
      </c>
      <c r="AL97" s="284">
        <v>1134</v>
      </c>
      <c r="AM97" s="284">
        <v>1149</v>
      </c>
      <c r="AN97" s="284">
        <v>1093</v>
      </c>
      <c r="AO97" s="284">
        <v>1071</v>
      </c>
      <c r="AP97" s="284">
        <v>1062</v>
      </c>
      <c r="AQ97" s="284">
        <v>991</v>
      </c>
      <c r="AR97" s="284">
        <v>1056</v>
      </c>
      <c r="AS97" s="284">
        <v>1011</v>
      </c>
      <c r="AT97" s="284">
        <v>1023</v>
      </c>
      <c r="AU97" s="284">
        <v>1025</v>
      </c>
      <c r="AV97" s="284">
        <v>1040</v>
      </c>
      <c r="AW97" s="284">
        <v>1104</v>
      </c>
      <c r="AX97" s="284">
        <v>1040</v>
      </c>
      <c r="AY97" s="284">
        <v>1032</v>
      </c>
      <c r="AZ97" s="284">
        <v>1129</v>
      </c>
      <c r="BA97" s="284">
        <v>1099</v>
      </c>
      <c r="BB97" s="284">
        <v>1190</v>
      </c>
      <c r="BC97" s="284">
        <v>1200</v>
      </c>
      <c r="BD97" s="284">
        <v>1190</v>
      </c>
      <c r="BE97" s="284">
        <v>1086</v>
      </c>
      <c r="BF97" s="284">
        <v>1197</v>
      </c>
      <c r="BG97" s="284">
        <v>1202</v>
      </c>
      <c r="BH97" s="284">
        <v>1221</v>
      </c>
      <c r="BI97" s="284">
        <v>1229</v>
      </c>
      <c r="BJ97" s="284">
        <v>1279</v>
      </c>
      <c r="BK97" s="284">
        <v>1297</v>
      </c>
      <c r="BL97" s="284">
        <v>1299</v>
      </c>
      <c r="BM97" s="284">
        <v>1279</v>
      </c>
      <c r="BN97" s="284">
        <v>1297</v>
      </c>
      <c r="BO97" s="284">
        <v>1299</v>
      </c>
      <c r="BP97" s="284">
        <v>1295</v>
      </c>
      <c r="BQ97" s="284">
        <v>1302</v>
      </c>
      <c r="BR97" s="284">
        <v>1305</v>
      </c>
      <c r="BS97" s="284">
        <v>1306</v>
      </c>
      <c r="BT97" s="284">
        <v>1330</v>
      </c>
      <c r="BU97" s="284">
        <v>1337</v>
      </c>
      <c r="BV97" s="284">
        <v>1364</v>
      </c>
      <c r="BW97" s="284">
        <v>1364</v>
      </c>
      <c r="BX97" s="284">
        <v>1358</v>
      </c>
      <c r="BY97" s="284">
        <v>1364</v>
      </c>
      <c r="BZ97" s="284">
        <v>1357</v>
      </c>
      <c r="CA97" s="284">
        <v>1356</v>
      </c>
      <c r="CB97" s="284">
        <v>1356</v>
      </c>
      <c r="CC97" s="284">
        <v>1354</v>
      </c>
      <c r="CD97" s="284">
        <v>1352</v>
      </c>
      <c r="CE97" s="284">
        <v>1340</v>
      </c>
      <c r="CF97" s="284">
        <v>1344</v>
      </c>
      <c r="CG97" s="284">
        <v>1342</v>
      </c>
      <c r="CH97" s="284">
        <v>1340</v>
      </c>
      <c r="CI97" s="284">
        <v>1330</v>
      </c>
      <c r="CJ97" s="284">
        <v>1421</v>
      </c>
      <c r="CK97" s="284">
        <v>1317</v>
      </c>
      <c r="CL97" s="284">
        <v>1307</v>
      </c>
      <c r="CM97" s="284">
        <v>1302</v>
      </c>
      <c r="CN97" s="284">
        <v>1303</v>
      </c>
      <c r="CO97" s="284">
        <v>1300</v>
      </c>
      <c r="CP97" s="284">
        <v>1303</v>
      </c>
      <c r="CQ97" s="284">
        <v>1319</v>
      </c>
      <c r="CR97" s="284">
        <v>1269</v>
      </c>
      <c r="CS97" s="284">
        <v>1277</v>
      </c>
      <c r="CT97" s="284">
        <v>1235</v>
      </c>
      <c r="CU97" s="284">
        <v>1268</v>
      </c>
      <c r="CV97" s="284">
        <v>1250</v>
      </c>
      <c r="CW97" s="284">
        <v>1230</v>
      </c>
      <c r="CX97" s="284">
        <v>1149</v>
      </c>
      <c r="CY97" s="284">
        <v>1075</v>
      </c>
      <c r="CZ97" s="284">
        <v>1050</v>
      </c>
      <c r="DA97" s="284">
        <v>1031</v>
      </c>
      <c r="DB97" s="284">
        <v>996</v>
      </c>
      <c r="DC97" s="284">
        <v>989</v>
      </c>
      <c r="DD97" s="284">
        <v>981</v>
      </c>
      <c r="DE97" s="284">
        <v>932</v>
      </c>
      <c r="DF97" s="284">
        <v>921</v>
      </c>
      <c r="DG97" s="284">
        <v>924</v>
      </c>
      <c r="DH97" s="284">
        <v>927</v>
      </c>
      <c r="DI97" s="284">
        <v>929</v>
      </c>
      <c r="DJ97" s="284">
        <v>916</v>
      </c>
      <c r="DK97" s="284">
        <v>903</v>
      </c>
      <c r="DL97" s="284">
        <v>861</v>
      </c>
      <c r="DM97" s="284">
        <v>887</v>
      </c>
      <c r="DN97" s="284">
        <v>882</v>
      </c>
      <c r="DO97" s="284">
        <v>884</v>
      </c>
      <c r="DP97" s="284">
        <v>907</v>
      </c>
      <c r="DQ97" s="284">
        <v>908</v>
      </c>
      <c r="DR97" s="284">
        <v>908</v>
      </c>
      <c r="DS97" s="284">
        <v>902</v>
      </c>
      <c r="DT97" s="284">
        <v>901</v>
      </c>
      <c r="DU97" s="284">
        <v>892</v>
      </c>
      <c r="DV97" s="284">
        <v>905</v>
      </c>
      <c r="DW97" s="284">
        <v>913</v>
      </c>
      <c r="DX97" s="284">
        <v>917</v>
      </c>
      <c r="DY97" s="284">
        <v>913</v>
      </c>
      <c r="DZ97" s="284">
        <v>927</v>
      </c>
      <c r="EA97" s="284">
        <v>972</v>
      </c>
      <c r="EB97" s="284">
        <v>968</v>
      </c>
      <c r="EC97" s="284">
        <v>981</v>
      </c>
      <c r="ED97" s="284">
        <v>993</v>
      </c>
      <c r="EE97" s="284">
        <v>999</v>
      </c>
      <c r="EF97" s="284">
        <v>995</v>
      </c>
      <c r="EG97" s="284">
        <v>968</v>
      </c>
      <c r="EH97" s="284">
        <v>1016</v>
      </c>
      <c r="EI97" s="284">
        <v>978</v>
      </c>
      <c r="EJ97" s="284">
        <v>1023</v>
      </c>
      <c r="EK97" s="284">
        <v>1024</v>
      </c>
      <c r="EL97" s="284">
        <v>987</v>
      </c>
      <c r="EM97" s="284">
        <v>982</v>
      </c>
      <c r="EN97" s="284">
        <v>985</v>
      </c>
      <c r="EO97" s="284">
        <v>972</v>
      </c>
      <c r="EP97" s="284">
        <v>1014</v>
      </c>
      <c r="EQ97" s="284">
        <v>1010</v>
      </c>
      <c r="ER97" s="284">
        <v>953</v>
      </c>
      <c r="ES97" s="284">
        <v>981</v>
      </c>
      <c r="ET97" s="284">
        <v>874</v>
      </c>
      <c r="EU97" s="284">
        <v>874</v>
      </c>
      <c r="EV97" s="284">
        <v>867</v>
      </c>
      <c r="EW97" s="284">
        <v>859</v>
      </c>
      <c r="EX97" s="284">
        <v>846</v>
      </c>
      <c r="EY97" s="284">
        <v>855</v>
      </c>
      <c r="EZ97" s="284">
        <v>846</v>
      </c>
      <c r="FA97" s="284">
        <v>853</v>
      </c>
      <c r="FB97" s="284">
        <v>824</v>
      </c>
      <c r="FC97" s="284">
        <v>801</v>
      </c>
      <c r="FD97" s="284">
        <v>822</v>
      </c>
      <c r="FE97" s="284">
        <v>825</v>
      </c>
      <c r="FF97" s="284">
        <v>839</v>
      </c>
      <c r="FG97" s="284">
        <v>845</v>
      </c>
      <c r="FH97" s="284">
        <v>834</v>
      </c>
      <c r="FI97" s="284">
        <v>810</v>
      </c>
      <c r="FJ97" s="284">
        <v>806</v>
      </c>
      <c r="FK97" s="284">
        <v>824</v>
      </c>
      <c r="FL97" s="284">
        <v>822</v>
      </c>
      <c r="FM97" s="284">
        <v>818</v>
      </c>
      <c r="FN97" s="284">
        <v>837</v>
      </c>
      <c r="FO97" s="284">
        <v>902</v>
      </c>
      <c r="FP97" s="284">
        <v>750</v>
      </c>
      <c r="FQ97" s="284">
        <v>973</v>
      </c>
      <c r="FR97" s="284">
        <v>772</v>
      </c>
      <c r="FS97" s="284">
        <v>773</v>
      </c>
      <c r="FT97" s="284">
        <v>836</v>
      </c>
      <c r="FU97" s="284">
        <v>793</v>
      </c>
      <c r="FV97" s="284">
        <v>819</v>
      </c>
      <c r="FW97" s="284">
        <v>815</v>
      </c>
      <c r="FX97" s="284">
        <v>821</v>
      </c>
      <c r="FY97" s="284">
        <v>801</v>
      </c>
      <c r="FZ97" s="284">
        <v>779</v>
      </c>
      <c r="GA97" s="284">
        <v>813</v>
      </c>
      <c r="GB97" s="284">
        <v>799</v>
      </c>
      <c r="GC97" s="284">
        <v>840</v>
      </c>
      <c r="GD97" s="284">
        <v>810</v>
      </c>
      <c r="GE97" s="284">
        <v>791</v>
      </c>
      <c r="GF97" s="284">
        <v>845</v>
      </c>
      <c r="GG97" s="284">
        <v>778</v>
      </c>
      <c r="GH97" s="284">
        <v>806</v>
      </c>
      <c r="GI97" s="284">
        <v>799</v>
      </c>
      <c r="GJ97" s="284">
        <v>809</v>
      </c>
      <c r="GK97" s="284">
        <v>797</v>
      </c>
      <c r="GL97" s="284">
        <v>759</v>
      </c>
      <c r="GM97" s="284">
        <v>812</v>
      </c>
      <c r="GN97" s="284">
        <v>797</v>
      </c>
      <c r="GO97" s="284">
        <v>775</v>
      </c>
      <c r="GP97" s="284">
        <v>752</v>
      </c>
      <c r="GQ97" s="284">
        <v>782</v>
      </c>
      <c r="GR97" s="284">
        <v>779</v>
      </c>
      <c r="GS97" s="284">
        <v>771</v>
      </c>
      <c r="GT97" s="284">
        <v>757</v>
      </c>
      <c r="GU97" s="284">
        <v>694</v>
      </c>
      <c r="GV97" s="284">
        <v>792</v>
      </c>
      <c r="GW97" s="284">
        <v>779</v>
      </c>
      <c r="GX97" s="284">
        <v>747</v>
      </c>
      <c r="GY97" s="284">
        <v>777</v>
      </c>
      <c r="GZ97" s="284">
        <v>760</v>
      </c>
      <c r="HA97" s="284">
        <v>732</v>
      </c>
      <c r="HB97" s="284">
        <v>776</v>
      </c>
      <c r="HC97" s="284">
        <v>785</v>
      </c>
      <c r="HD97" s="284">
        <v>794</v>
      </c>
      <c r="HE97" s="284">
        <v>838</v>
      </c>
      <c r="HF97" s="284">
        <v>821</v>
      </c>
      <c r="HG97" s="284">
        <v>954</v>
      </c>
      <c r="HH97" s="284">
        <v>941</v>
      </c>
      <c r="HI97" s="284">
        <v>916</v>
      </c>
      <c r="HJ97" s="284">
        <v>922</v>
      </c>
      <c r="HK97" s="284">
        <v>969</v>
      </c>
      <c r="HL97" s="284">
        <v>873</v>
      </c>
      <c r="HM97" s="284">
        <v>961</v>
      </c>
      <c r="HN97" s="284">
        <v>924</v>
      </c>
      <c r="HO97" s="284">
        <v>995</v>
      </c>
      <c r="HP97" s="284">
        <v>1026</v>
      </c>
      <c r="HQ97" s="284">
        <v>969</v>
      </c>
      <c r="HR97" s="284">
        <v>976</v>
      </c>
      <c r="HS97" s="284">
        <v>994</v>
      </c>
      <c r="HT97" s="284">
        <v>999</v>
      </c>
      <c r="HU97" s="284">
        <v>984</v>
      </c>
      <c r="HV97" s="284">
        <v>1020</v>
      </c>
      <c r="HW97" s="284">
        <v>1046</v>
      </c>
      <c r="HX97" s="284">
        <v>1037</v>
      </c>
      <c r="HY97" s="284">
        <v>969</v>
      </c>
      <c r="HZ97" s="284">
        <v>966</v>
      </c>
      <c r="IA97" s="284">
        <v>1020</v>
      </c>
      <c r="IB97" s="284">
        <v>1034</v>
      </c>
      <c r="IC97" s="284">
        <v>1105</v>
      </c>
      <c r="ID97" s="284">
        <v>1031</v>
      </c>
      <c r="IE97" s="284">
        <v>1027</v>
      </c>
      <c r="IF97" s="284">
        <v>966</v>
      </c>
      <c r="IG97" s="284">
        <v>988</v>
      </c>
      <c r="IH97" s="284">
        <v>1011</v>
      </c>
      <c r="II97" s="284">
        <v>1073</v>
      </c>
      <c r="IJ97" s="284">
        <v>1028</v>
      </c>
      <c r="IK97" s="284">
        <v>1054</v>
      </c>
      <c r="IL97" s="284">
        <v>1040</v>
      </c>
      <c r="IM97" s="850">
        <v>1034</v>
      </c>
      <c r="IN97" s="168"/>
    </row>
    <row r="98" spans="1:248">
      <c r="A98" s="81" t="s">
        <v>144</v>
      </c>
      <c r="B98" s="285">
        <v>1893</v>
      </c>
      <c r="C98" s="285">
        <v>1991</v>
      </c>
      <c r="D98" s="285">
        <v>3007</v>
      </c>
      <c r="E98" s="285">
        <v>1972</v>
      </c>
      <c r="F98" s="285">
        <v>1934</v>
      </c>
      <c r="G98" s="285">
        <v>1879</v>
      </c>
      <c r="H98" s="285">
        <v>2015</v>
      </c>
      <c r="I98" s="285">
        <v>1946</v>
      </c>
      <c r="J98" s="285">
        <v>1836</v>
      </c>
      <c r="K98" s="285">
        <v>1897</v>
      </c>
      <c r="L98" s="285">
        <v>2100</v>
      </c>
      <c r="M98" s="285">
        <v>1897</v>
      </c>
      <c r="N98" s="285">
        <v>1875</v>
      </c>
      <c r="O98" s="285">
        <v>1947</v>
      </c>
      <c r="P98" s="285">
        <v>1890</v>
      </c>
      <c r="Q98" s="285">
        <v>1817</v>
      </c>
      <c r="R98" s="285">
        <v>1838</v>
      </c>
      <c r="S98" s="285">
        <v>1777</v>
      </c>
      <c r="T98" s="285">
        <v>1909</v>
      </c>
      <c r="U98" s="285">
        <v>1791</v>
      </c>
      <c r="V98" s="285">
        <v>1658</v>
      </c>
      <c r="W98" s="285">
        <v>1729</v>
      </c>
      <c r="X98" s="285">
        <v>1801</v>
      </c>
      <c r="Y98" s="285">
        <v>1821</v>
      </c>
      <c r="Z98" s="285">
        <v>1821</v>
      </c>
      <c r="AA98" s="285">
        <v>1838</v>
      </c>
      <c r="AB98" s="285">
        <v>1827</v>
      </c>
      <c r="AC98" s="285">
        <v>1914</v>
      </c>
      <c r="AD98" s="285">
        <v>1919</v>
      </c>
      <c r="AE98" s="285">
        <v>1968</v>
      </c>
      <c r="AF98" s="285">
        <v>2214</v>
      </c>
      <c r="AG98" s="285">
        <v>1879</v>
      </c>
      <c r="AH98" s="285">
        <v>1849</v>
      </c>
      <c r="AI98" s="285">
        <v>1859</v>
      </c>
      <c r="AJ98" s="285">
        <v>2234</v>
      </c>
      <c r="AK98" s="285">
        <v>1838</v>
      </c>
      <c r="AL98" s="285">
        <v>1803</v>
      </c>
      <c r="AM98" s="285">
        <v>1960</v>
      </c>
      <c r="AN98" s="285">
        <v>1998</v>
      </c>
      <c r="AO98" s="285">
        <v>2014</v>
      </c>
      <c r="AP98" s="285">
        <v>2067</v>
      </c>
      <c r="AQ98" s="285">
        <v>2111</v>
      </c>
      <c r="AR98" s="285">
        <v>2069</v>
      </c>
      <c r="AS98" s="285">
        <v>2363</v>
      </c>
      <c r="AT98" s="285">
        <v>2389</v>
      </c>
      <c r="AU98" s="285">
        <v>2418</v>
      </c>
      <c r="AV98" s="285">
        <v>2484</v>
      </c>
      <c r="AW98" s="285">
        <v>2512</v>
      </c>
      <c r="AX98" s="285">
        <v>2567</v>
      </c>
      <c r="AY98" s="285">
        <v>2630</v>
      </c>
      <c r="AZ98" s="285">
        <v>2582</v>
      </c>
      <c r="BA98" s="285">
        <v>2642</v>
      </c>
      <c r="BB98" s="285">
        <v>2769</v>
      </c>
      <c r="BC98" s="285">
        <v>2866</v>
      </c>
      <c r="BD98" s="285">
        <v>2978</v>
      </c>
      <c r="BE98" s="285">
        <v>2980</v>
      </c>
      <c r="BF98" s="285">
        <v>2937</v>
      </c>
      <c r="BG98" s="285">
        <v>2991</v>
      </c>
      <c r="BH98" s="285">
        <v>3099</v>
      </c>
      <c r="BI98" s="285">
        <v>2994</v>
      </c>
      <c r="BJ98" s="285">
        <v>3096</v>
      </c>
      <c r="BK98" s="285">
        <v>3236</v>
      </c>
      <c r="BL98" s="285">
        <v>3172</v>
      </c>
      <c r="BM98" s="285">
        <v>3256</v>
      </c>
      <c r="BN98" s="285">
        <v>3253</v>
      </c>
      <c r="BO98" s="285">
        <v>3243</v>
      </c>
      <c r="BP98" s="285">
        <v>3219</v>
      </c>
      <c r="BQ98" s="285">
        <v>3294</v>
      </c>
      <c r="BR98" s="285">
        <v>3390</v>
      </c>
      <c r="BS98" s="285">
        <v>3508</v>
      </c>
      <c r="BT98" s="285">
        <v>3682</v>
      </c>
      <c r="BU98" s="285">
        <v>3562</v>
      </c>
      <c r="BV98" s="285">
        <v>3715</v>
      </c>
      <c r="BW98" s="285">
        <v>3848</v>
      </c>
      <c r="BX98" s="285">
        <v>3984</v>
      </c>
      <c r="BY98" s="285">
        <v>3931</v>
      </c>
      <c r="BZ98" s="285">
        <v>4139</v>
      </c>
      <c r="CA98" s="285">
        <v>4384</v>
      </c>
      <c r="CB98" s="285">
        <v>4293</v>
      </c>
      <c r="CC98" s="285">
        <v>4306</v>
      </c>
      <c r="CD98" s="285">
        <v>4409</v>
      </c>
      <c r="CE98" s="285">
        <v>4507</v>
      </c>
      <c r="CF98" s="285">
        <v>4679</v>
      </c>
      <c r="CG98" s="285">
        <v>4856</v>
      </c>
      <c r="CH98" s="285">
        <v>4953</v>
      </c>
      <c r="CI98" s="285">
        <v>5030</v>
      </c>
      <c r="CJ98" s="285">
        <v>5045</v>
      </c>
      <c r="CK98" s="285">
        <v>5044</v>
      </c>
      <c r="CL98" s="285">
        <v>5176</v>
      </c>
      <c r="CM98" s="285">
        <v>5105</v>
      </c>
      <c r="CN98" s="285">
        <v>5102</v>
      </c>
      <c r="CO98" s="285">
        <v>4972</v>
      </c>
      <c r="CP98" s="285">
        <v>5079</v>
      </c>
      <c r="CQ98" s="285">
        <v>5112</v>
      </c>
      <c r="CR98" s="285">
        <v>5174</v>
      </c>
      <c r="CS98" s="285">
        <v>4994</v>
      </c>
      <c r="CT98" s="285">
        <v>4995</v>
      </c>
      <c r="CU98" s="285">
        <v>4621</v>
      </c>
      <c r="CV98" s="285">
        <v>4229</v>
      </c>
      <c r="CW98" s="285">
        <v>3795</v>
      </c>
      <c r="CX98" s="285">
        <v>3760</v>
      </c>
      <c r="CY98" s="285">
        <v>3895</v>
      </c>
      <c r="CZ98" s="285">
        <v>4162</v>
      </c>
      <c r="DA98" s="285">
        <v>4037</v>
      </c>
      <c r="DB98" s="285">
        <v>4002</v>
      </c>
      <c r="DC98" s="285">
        <v>3913</v>
      </c>
      <c r="DD98" s="285">
        <v>3996</v>
      </c>
      <c r="DE98" s="285">
        <v>3981</v>
      </c>
      <c r="DF98" s="285">
        <v>3969</v>
      </c>
      <c r="DG98" s="285">
        <v>3891</v>
      </c>
      <c r="DH98" s="285">
        <v>4037</v>
      </c>
      <c r="DI98" s="285">
        <v>3570</v>
      </c>
      <c r="DJ98" s="285">
        <v>3588</v>
      </c>
      <c r="DK98" s="285">
        <v>3970</v>
      </c>
      <c r="DL98" s="285">
        <v>3665</v>
      </c>
      <c r="DM98" s="285">
        <v>3657</v>
      </c>
      <c r="DN98" s="285">
        <v>3741</v>
      </c>
      <c r="DO98" s="285">
        <v>3681</v>
      </c>
      <c r="DP98" s="285">
        <v>3822</v>
      </c>
      <c r="DQ98" s="285">
        <v>3720</v>
      </c>
      <c r="DR98" s="285">
        <v>3833</v>
      </c>
      <c r="DS98" s="285">
        <v>3812</v>
      </c>
      <c r="DT98" s="285">
        <v>3971</v>
      </c>
      <c r="DU98" s="285">
        <v>3977</v>
      </c>
      <c r="DV98" s="285">
        <v>4138</v>
      </c>
      <c r="DW98" s="285">
        <v>4092</v>
      </c>
      <c r="DX98" s="285">
        <v>4110</v>
      </c>
      <c r="DY98" s="285">
        <v>4171</v>
      </c>
      <c r="DZ98" s="285">
        <v>4248</v>
      </c>
      <c r="EA98" s="285">
        <v>4255</v>
      </c>
      <c r="EB98" s="285">
        <v>4184</v>
      </c>
      <c r="EC98" s="285">
        <v>4151</v>
      </c>
      <c r="ED98" s="285">
        <v>4167</v>
      </c>
      <c r="EE98" s="285">
        <v>4182</v>
      </c>
      <c r="EF98" s="285">
        <v>4287</v>
      </c>
      <c r="EG98" s="285">
        <v>4031</v>
      </c>
      <c r="EH98" s="285">
        <v>4075</v>
      </c>
      <c r="EI98" s="285">
        <v>4131</v>
      </c>
      <c r="EJ98" s="285">
        <v>4193</v>
      </c>
      <c r="EK98" s="285">
        <v>4224</v>
      </c>
      <c r="EL98" s="285">
        <v>4256</v>
      </c>
      <c r="EM98" s="285">
        <v>4203</v>
      </c>
      <c r="EN98" s="285">
        <v>4216</v>
      </c>
      <c r="EO98" s="285">
        <v>4055</v>
      </c>
      <c r="EP98" s="285">
        <v>4008</v>
      </c>
      <c r="EQ98" s="285">
        <v>4163</v>
      </c>
      <c r="ER98" s="285">
        <v>4064</v>
      </c>
      <c r="ES98" s="285">
        <v>4032</v>
      </c>
      <c r="ET98" s="285">
        <v>4039</v>
      </c>
      <c r="EU98" s="285">
        <v>4057</v>
      </c>
      <c r="EV98" s="285">
        <v>3914</v>
      </c>
      <c r="EW98" s="285">
        <v>3829</v>
      </c>
      <c r="EX98" s="285">
        <v>3843</v>
      </c>
      <c r="EY98" s="285">
        <v>3805</v>
      </c>
      <c r="EZ98" s="285">
        <v>3724</v>
      </c>
      <c r="FA98" s="285">
        <v>3631</v>
      </c>
      <c r="FB98" s="285">
        <v>3533</v>
      </c>
      <c r="FC98" s="285">
        <v>3437</v>
      </c>
      <c r="FD98" s="285">
        <v>3486</v>
      </c>
      <c r="FE98" s="285">
        <v>3335</v>
      </c>
      <c r="FF98" s="285">
        <v>3434</v>
      </c>
      <c r="FG98" s="285">
        <v>3259</v>
      </c>
      <c r="FH98" s="285">
        <v>3310</v>
      </c>
      <c r="FI98" s="285">
        <v>3170</v>
      </c>
      <c r="FJ98" s="285">
        <v>3135</v>
      </c>
      <c r="FK98" s="285">
        <v>3259</v>
      </c>
      <c r="FL98" s="285">
        <v>3137</v>
      </c>
      <c r="FM98" s="285">
        <v>3094</v>
      </c>
      <c r="FN98" s="285">
        <v>3082</v>
      </c>
      <c r="FO98" s="285">
        <v>3099</v>
      </c>
      <c r="FP98" s="285">
        <v>3082</v>
      </c>
      <c r="FQ98" s="285">
        <v>3054</v>
      </c>
      <c r="FR98" s="285">
        <v>3103</v>
      </c>
      <c r="FS98" s="285">
        <v>3104</v>
      </c>
      <c r="FT98" s="285">
        <v>3073</v>
      </c>
      <c r="FU98" s="285">
        <v>2887</v>
      </c>
      <c r="FV98" s="285">
        <v>2784</v>
      </c>
      <c r="FW98" s="285">
        <v>2858</v>
      </c>
      <c r="FX98" s="285">
        <v>2664</v>
      </c>
      <c r="FY98" s="285">
        <v>2575</v>
      </c>
      <c r="FZ98" s="285">
        <v>2502</v>
      </c>
      <c r="GA98" s="285">
        <v>2465</v>
      </c>
      <c r="GB98" s="285">
        <v>2441</v>
      </c>
      <c r="GC98" s="285">
        <v>2345</v>
      </c>
      <c r="GD98" s="285">
        <v>2425</v>
      </c>
      <c r="GE98" s="285">
        <v>2290</v>
      </c>
      <c r="GF98" s="285">
        <v>2229</v>
      </c>
      <c r="GG98" s="285">
        <v>2386</v>
      </c>
      <c r="GH98" s="285">
        <v>2315</v>
      </c>
      <c r="GI98" s="285">
        <v>2321</v>
      </c>
      <c r="GJ98" s="285">
        <v>2402</v>
      </c>
      <c r="GK98" s="285">
        <v>2324</v>
      </c>
      <c r="GL98" s="285">
        <v>2367</v>
      </c>
      <c r="GM98" s="285">
        <v>2341</v>
      </c>
      <c r="GN98" s="285">
        <v>2523</v>
      </c>
      <c r="GO98" s="285">
        <v>2297</v>
      </c>
      <c r="GP98" s="285">
        <v>2568</v>
      </c>
      <c r="GQ98" s="285">
        <v>2440</v>
      </c>
      <c r="GR98" s="285">
        <v>2364</v>
      </c>
      <c r="GS98" s="285">
        <v>2430</v>
      </c>
      <c r="GT98" s="285">
        <v>2295</v>
      </c>
      <c r="GU98" s="285">
        <v>2373</v>
      </c>
      <c r="GV98" s="285">
        <v>2198</v>
      </c>
      <c r="GW98" s="285">
        <v>2102</v>
      </c>
      <c r="GX98" s="285">
        <v>2194</v>
      </c>
      <c r="GY98" s="285">
        <v>2119</v>
      </c>
      <c r="GZ98" s="285">
        <v>2221</v>
      </c>
      <c r="HA98" s="285">
        <v>2157</v>
      </c>
      <c r="HB98" s="285">
        <v>2323</v>
      </c>
      <c r="HC98" s="285">
        <v>2191</v>
      </c>
      <c r="HD98" s="285">
        <v>2192</v>
      </c>
      <c r="HE98" s="285">
        <v>2246</v>
      </c>
      <c r="HF98" s="285">
        <v>2210</v>
      </c>
      <c r="HG98" s="285">
        <v>2313</v>
      </c>
      <c r="HH98" s="285">
        <v>2348</v>
      </c>
      <c r="HI98" s="285">
        <v>2259</v>
      </c>
      <c r="HJ98" s="285">
        <v>2385</v>
      </c>
      <c r="HK98" s="285">
        <v>2373</v>
      </c>
      <c r="HL98" s="285">
        <v>2450</v>
      </c>
      <c r="HM98" s="285">
        <v>2323</v>
      </c>
      <c r="HN98" s="285">
        <v>2425</v>
      </c>
      <c r="HO98" s="285">
        <v>2597</v>
      </c>
      <c r="HP98" s="286">
        <v>2764</v>
      </c>
      <c r="HQ98" s="286">
        <v>2764</v>
      </c>
      <c r="HR98" s="286">
        <v>2761</v>
      </c>
      <c r="HS98" s="286">
        <v>2783</v>
      </c>
      <c r="HT98" s="286">
        <v>2972</v>
      </c>
      <c r="HU98" s="286">
        <v>2872</v>
      </c>
      <c r="HV98" s="545">
        <v>3007</v>
      </c>
      <c r="HW98" s="545">
        <v>3125</v>
      </c>
      <c r="HX98" s="545">
        <v>3228</v>
      </c>
      <c r="HY98" s="545">
        <v>3066</v>
      </c>
      <c r="HZ98" s="545">
        <v>3171</v>
      </c>
      <c r="IA98" s="545">
        <v>3183</v>
      </c>
      <c r="IB98" s="545">
        <v>3194</v>
      </c>
      <c r="IC98" s="545">
        <v>3164</v>
      </c>
      <c r="ID98" s="545">
        <v>3072</v>
      </c>
      <c r="IE98" s="545">
        <v>3247</v>
      </c>
      <c r="IF98" s="545">
        <v>3036</v>
      </c>
      <c r="IG98" s="285">
        <v>3099</v>
      </c>
      <c r="IH98" s="545">
        <v>3103</v>
      </c>
      <c r="II98" s="545">
        <v>3184</v>
      </c>
      <c r="IJ98" s="545">
        <v>3220</v>
      </c>
      <c r="IK98" s="545">
        <v>3133</v>
      </c>
      <c r="IL98" s="545">
        <v>3236</v>
      </c>
      <c r="IM98" s="851">
        <v>3277</v>
      </c>
      <c r="IN98" s="168"/>
    </row>
    <row r="99" spans="1:248">
      <c r="A99" s="81" t="s">
        <v>147</v>
      </c>
      <c r="B99" s="284">
        <v>432</v>
      </c>
      <c r="C99" s="284">
        <v>441</v>
      </c>
      <c r="D99" s="284">
        <v>449</v>
      </c>
      <c r="E99" s="284">
        <v>456</v>
      </c>
      <c r="F99" s="284">
        <v>438</v>
      </c>
      <c r="G99" s="284">
        <v>442</v>
      </c>
      <c r="H99" s="284">
        <v>422</v>
      </c>
      <c r="I99" s="284">
        <v>468</v>
      </c>
      <c r="J99" s="284">
        <v>418</v>
      </c>
      <c r="K99" s="284">
        <v>423</v>
      </c>
      <c r="L99" s="284">
        <v>461</v>
      </c>
      <c r="M99" s="284">
        <v>467</v>
      </c>
      <c r="N99" s="284">
        <v>420</v>
      </c>
      <c r="O99" s="284">
        <v>429</v>
      </c>
      <c r="P99" s="284">
        <v>398</v>
      </c>
      <c r="Q99" s="284">
        <v>396</v>
      </c>
      <c r="R99" s="284">
        <v>405</v>
      </c>
      <c r="S99" s="284">
        <v>394</v>
      </c>
      <c r="T99" s="284">
        <v>407</v>
      </c>
      <c r="U99" s="284">
        <v>407</v>
      </c>
      <c r="V99" s="284">
        <v>412</v>
      </c>
      <c r="W99" s="284">
        <v>416</v>
      </c>
      <c r="X99" s="284">
        <v>408</v>
      </c>
      <c r="Y99" s="284">
        <v>413</v>
      </c>
      <c r="Z99" s="284">
        <v>430</v>
      </c>
      <c r="AA99" s="284">
        <v>422</v>
      </c>
      <c r="AB99" s="284">
        <v>422</v>
      </c>
      <c r="AC99" s="284">
        <v>420</v>
      </c>
      <c r="AD99" s="284">
        <v>420</v>
      </c>
      <c r="AE99" s="284">
        <v>417</v>
      </c>
      <c r="AF99" s="284">
        <v>414</v>
      </c>
      <c r="AG99" s="284">
        <v>416</v>
      </c>
      <c r="AH99" s="284">
        <v>423</v>
      </c>
      <c r="AI99" s="284">
        <v>418</v>
      </c>
      <c r="AJ99" s="284">
        <v>415</v>
      </c>
      <c r="AK99" s="284">
        <v>416</v>
      </c>
      <c r="AL99" s="284">
        <v>410</v>
      </c>
      <c r="AM99" s="284">
        <v>417</v>
      </c>
      <c r="AN99" s="284">
        <v>411</v>
      </c>
      <c r="AO99" s="284">
        <v>415</v>
      </c>
      <c r="AP99" s="284">
        <v>412</v>
      </c>
      <c r="AQ99" s="284">
        <v>424</v>
      </c>
      <c r="AR99" s="284">
        <v>428</v>
      </c>
      <c r="AS99" s="284">
        <v>400</v>
      </c>
      <c r="AT99" s="284">
        <v>421</v>
      </c>
      <c r="AU99" s="284">
        <v>438</v>
      </c>
      <c r="AV99" s="284">
        <v>425</v>
      </c>
      <c r="AW99" s="284">
        <v>424</v>
      </c>
      <c r="AX99" s="284">
        <v>440</v>
      </c>
      <c r="AY99" s="284">
        <v>435</v>
      </c>
      <c r="AZ99" s="284">
        <v>389</v>
      </c>
      <c r="BA99" s="284">
        <v>393</v>
      </c>
      <c r="BB99" s="284">
        <v>392</v>
      </c>
      <c r="BC99" s="284">
        <v>410</v>
      </c>
      <c r="BD99" s="284">
        <v>406</v>
      </c>
      <c r="BE99" s="284">
        <v>404</v>
      </c>
      <c r="BF99" s="284">
        <v>418</v>
      </c>
      <c r="BG99" s="284">
        <v>422</v>
      </c>
      <c r="BH99" s="284">
        <v>435</v>
      </c>
      <c r="BI99" s="284">
        <v>446</v>
      </c>
      <c r="BJ99" s="284">
        <v>433</v>
      </c>
      <c r="BK99" s="284">
        <v>429</v>
      </c>
      <c r="BL99" s="284">
        <v>424</v>
      </c>
      <c r="BM99" s="284">
        <v>428</v>
      </c>
      <c r="BN99" s="284">
        <v>437</v>
      </c>
      <c r="BO99" s="284">
        <v>450</v>
      </c>
      <c r="BP99" s="284">
        <v>441</v>
      </c>
      <c r="BQ99" s="284">
        <v>451</v>
      </c>
      <c r="BR99" s="284">
        <v>451</v>
      </c>
      <c r="BS99" s="284">
        <v>451</v>
      </c>
      <c r="BT99" s="284">
        <v>454</v>
      </c>
      <c r="BU99" s="284">
        <v>447</v>
      </c>
      <c r="BV99" s="284">
        <v>455</v>
      </c>
      <c r="BW99" s="284">
        <v>500</v>
      </c>
      <c r="BX99" s="284">
        <v>466</v>
      </c>
      <c r="BY99" s="284">
        <v>467</v>
      </c>
      <c r="BZ99" s="284">
        <v>464</v>
      </c>
      <c r="CA99" s="284">
        <v>463</v>
      </c>
      <c r="CB99" s="284">
        <v>457</v>
      </c>
      <c r="CC99" s="284">
        <v>469</v>
      </c>
      <c r="CD99" s="284">
        <v>469</v>
      </c>
      <c r="CE99" s="284">
        <v>478</v>
      </c>
      <c r="CF99" s="284">
        <v>481</v>
      </c>
      <c r="CG99" s="284">
        <v>468</v>
      </c>
      <c r="CH99" s="284">
        <v>449</v>
      </c>
      <c r="CI99" s="284">
        <v>451</v>
      </c>
      <c r="CJ99" s="284">
        <v>456</v>
      </c>
      <c r="CK99" s="284">
        <v>448</v>
      </c>
      <c r="CL99" s="284">
        <v>440</v>
      </c>
      <c r="CM99" s="284">
        <v>450</v>
      </c>
      <c r="CN99" s="284">
        <v>458</v>
      </c>
      <c r="CO99" s="284">
        <v>461</v>
      </c>
      <c r="CP99" s="284">
        <v>460</v>
      </c>
      <c r="CQ99" s="284">
        <v>483</v>
      </c>
      <c r="CR99" s="284">
        <v>502</v>
      </c>
      <c r="CS99" s="284">
        <v>488</v>
      </c>
      <c r="CT99" s="284">
        <v>476</v>
      </c>
      <c r="CU99" s="284">
        <v>480</v>
      </c>
      <c r="CV99" s="284">
        <v>482</v>
      </c>
      <c r="CW99" s="284">
        <v>488</v>
      </c>
      <c r="CX99" s="284">
        <v>487</v>
      </c>
      <c r="CY99" s="284">
        <v>493</v>
      </c>
      <c r="CZ99" s="284">
        <v>489</v>
      </c>
      <c r="DA99" s="284">
        <v>489</v>
      </c>
      <c r="DB99" s="284">
        <v>491</v>
      </c>
      <c r="DC99" s="284">
        <v>496</v>
      </c>
      <c r="DD99" s="284">
        <v>505</v>
      </c>
      <c r="DE99" s="284">
        <v>499</v>
      </c>
      <c r="DF99" s="284">
        <v>494</v>
      </c>
      <c r="DG99" s="284">
        <v>492</v>
      </c>
      <c r="DH99" s="284">
        <v>497</v>
      </c>
      <c r="DI99" s="284">
        <v>497</v>
      </c>
      <c r="DJ99" s="284">
        <v>497</v>
      </c>
      <c r="DK99" s="284">
        <v>501</v>
      </c>
      <c r="DL99" s="284">
        <v>494</v>
      </c>
      <c r="DM99" s="284">
        <v>497</v>
      </c>
      <c r="DN99" s="284">
        <v>499</v>
      </c>
      <c r="DO99" s="284">
        <v>510</v>
      </c>
      <c r="DP99" s="284">
        <v>509</v>
      </c>
      <c r="DQ99" s="284">
        <v>506</v>
      </c>
      <c r="DR99" s="284">
        <v>503</v>
      </c>
      <c r="DS99" s="284">
        <v>498</v>
      </c>
      <c r="DT99" s="284">
        <v>507</v>
      </c>
      <c r="DU99" s="284">
        <v>518</v>
      </c>
      <c r="DV99" s="284">
        <v>528</v>
      </c>
      <c r="DW99" s="284">
        <v>543</v>
      </c>
      <c r="DX99" s="284">
        <v>555</v>
      </c>
      <c r="DY99" s="284">
        <v>561</v>
      </c>
      <c r="DZ99" s="284">
        <v>560</v>
      </c>
      <c r="EA99" s="284">
        <v>552</v>
      </c>
      <c r="EB99" s="284">
        <v>561</v>
      </c>
      <c r="EC99" s="284">
        <v>574</v>
      </c>
      <c r="ED99" s="284">
        <v>583</v>
      </c>
      <c r="EE99" s="284">
        <v>582</v>
      </c>
      <c r="EF99" s="284">
        <v>566</v>
      </c>
      <c r="EG99" s="284">
        <v>593</v>
      </c>
      <c r="EH99" s="284">
        <v>598</v>
      </c>
      <c r="EI99" s="284">
        <v>618</v>
      </c>
      <c r="EJ99" s="284">
        <v>610</v>
      </c>
      <c r="EK99" s="284">
        <v>591</v>
      </c>
      <c r="EL99" s="284">
        <v>620</v>
      </c>
      <c r="EM99" s="284">
        <v>584</v>
      </c>
      <c r="EN99" s="284">
        <v>580</v>
      </c>
      <c r="EO99" s="284">
        <v>565</v>
      </c>
      <c r="EP99" s="284">
        <v>566</v>
      </c>
      <c r="EQ99" s="284">
        <v>584</v>
      </c>
      <c r="ER99" s="284">
        <v>562</v>
      </c>
      <c r="ES99" s="284">
        <v>568</v>
      </c>
      <c r="ET99" s="284">
        <v>567</v>
      </c>
      <c r="EU99" s="284">
        <v>571</v>
      </c>
      <c r="EV99" s="284">
        <v>579</v>
      </c>
      <c r="EW99" s="284">
        <v>572</v>
      </c>
      <c r="EX99" s="284">
        <v>574</v>
      </c>
      <c r="EY99" s="284">
        <v>566</v>
      </c>
      <c r="EZ99" s="284">
        <v>585</v>
      </c>
      <c r="FA99" s="284">
        <v>580</v>
      </c>
      <c r="FB99" s="284">
        <v>575</v>
      </c>
      <c r="FC99" s="284">
        <v>579</v>
      </c>
      <c r="FD99" s="284">
        <v>587</v>
      </c>
      <c r="FE99" s="284">
        <v>600</v>
      </c>
      <c r="FF99" s="284">
        <v>600</v>
      </c>
      <c r="FG99" s="284">
        <v>589</v>
      </c>
      <c r="FH99" s="284">
        <v>583</v>
      </c>
      <c r="FI99" s="284">
        <v>588</v>
      </c>
      <c r="FJ99" s="284">
        <v>584</v>
      </c>
      <c r="FK99" s="284">
        <v>619</v>
      </c>
      <c r="FL99" s="284">
        <v>562</v>
      </c>
      <c r="FM99" s="284">
        <v>543</v>
      </c>
      <c r="FN99" s="284">
        <v>544</v>
      </c>
      <c r="FO99" s="284">
        <v>552</v>
      </c>
      <c r="FP99" s="284">
        <v>511</v>
      </c>
      <c r="FQ99" s="284">
        <v>563</v>
      </c>
      <c r="FR99" s="284">
        <v>528</v>
      </c>
      <c r="FS99" s="284">
        <v>529</v>
      </c>
      <c r="FT99" s="284">
        <v>513</v>
      </c>
      <c r="FU99" s="284">
        <v>514</v>
      </c>
      <c r="FV99" s="284">
        <v>508</v>
      </c>
      <c r="FW99" s="284">
        <v>514</v>
      </c>
      <c r="FX99" s="284">
        <v>513</v>
      </c>
      <c r="FY99" s="284">
        <v>494</v>
      </c>
      <c r="FZ99" s="284">
        <v>475</v>
      </c>
      <c r="GA99" s="284">
        <v>501</v>
      </c>
      <c r="GB99" s="284">
        <v>470</v>
      </c>
      <c r="GC99" s="284">
        <v>466</v>
      </c>
      <c r="GD99" s="284">
        <v>467</v>
      </c>
      <c r="GE99" s="284">
        <v>439</v>
      </c>
      <c r="GF99" s="284">
        <v>467</v>
      </c>
      <c r="GG99" s="284">
        <v>460</v>
      </c>
      <c r="GH99" s="284">
        <v>466</v>
      </c>
      <c r="GI99" s="284">
        <v>425</v>
      </c>
      <c r="GJ99" s="284">
        <v>407</v>
      </c>
      <c r="GK99" s="284">
        <v>376</v>
      </c>
      <c r="GL99" s="284">
        <v>356</v>
      </c>
      <c r="GM99" s="284">
        <v>362</v>
      </c>
      <c r="GN99" s="284">
        <v>370</v>
      </c>
      <c r="GO99" s="284">
        <v>360</v>
      </c>
      <c r="GP99" s="284">
        <v>399</v>
      </c>
      <c r="GQ99" s="284">
        <v>359</v>
      </c>
      <c r="GR99" s="284">
        <v>377</v>
      </c>
      <c r="GS99" s="284">
        <v>373</v>
      </c>
      <c r="GT99" s="284">
        <v>377</v>
      </c>
      <c r="GU99" s="284">
        <v>384</v>
      </c>
      <c r="GV99" s="284">
        <v>393</v>
      </c>
      <c r="GW99" s="284">
        <v>390</v>
      </c>
      <c r="GX99" s="284">
        <v>372</v>
      </c>
      <c r="GY99" s="284">
        <v>380</v>
      </c>
      <c r="GZ99" s="284">
        <v>411</v>
      </c>
      <c r="HA99" s="284">
        <v>396</v>
      </c>
      <c r="HB99" s="284">
        <v>404</v>
      </c>
      <c r="HC99" s="284">
        <v>399</v>
      </c>
      <c r="HD99" s="284">
        <v>370</v>
      </c>
      <c r="HE99" s="284">
        <v>473</v>
      </c>
      <c r="HF99" s="284">
        <v>406</v>
      </c>
      <c r="HG99" s="284">
        <v>604</v>
      </c>
      <c r="HH99" s="284">
        <v>495</v>
      </c>
      <c r="HI99" s="284">
        <v>400</v>
      </c>
      <c r="HJ99" s="284">
        <v>536</v>
      </c>
      <c r="HK99" s="284">
        <v>388</v>
      </c>
      <c r="HL99" s="284">
        <v>427</v>
      </c>
      <c r="HM99" s="284">
        <v>541</v>
      </c>
      <c r="HN99" s="284">
        <v>581</v>
      </c>
      <c r="HO99" s="284">
        <v>490</v>
      </c>
      <c r="HP99" s="284">
        <v>546</v>
      </c>
      <c r="HQ99" s="284">
        <v>555</v>
      </c>
      <c r="HR99" s="284">
        <v>429</v>
      </c>
      <c r="HS99" s="284">
        <v>479</v>
      </c>
      <c r="HT99" s="284">
        <v>453</v>
      </c>
      <c r="HU99" s="284">
        <v>396</v>
      </c>
      <c r="HV99" s="284">
        <v>419</v>
      </c>
      <c r="HW99" s="284">
        <v>399</v>
      </c>
      <c r="HX99" s="284">
        <v>422</v>
      </c>
      <c r="HY99" s="284">
        <v>404</v>
      </c>
      <c r="HZ99" s="284">
        <v>403</v>
      </c>
      <c r="IA99" s="284">
        <v>416</v>
      </c>
      <c r="IB99" s="284">
        <v>461</v>
      </c>
      <c r="IC99" s="284">
        <v>447</v>
      </c>
      <c r="ID99" s="284">
        <v>392</v>
      </c>
      <c r="IE99" s="284">
        <v>427</v>
      </c>
      <c r="IF99" s="284">
        <v>407</v>
      </c>
      <c r="IG99" s="284">
        <v>440</v>
      </c>
      <c r="IH99" s="284">
        <v>418</v>
      </c>
      <c r="II99" s="284">
        <v>439</v>
      </c>
      <c r="IJ99" s="284">
        <v>422</v>
      </c>
      <c r="IK99" s="284">
        <v>435</v>
      </c>
      <c r="IL99" s="284">
        <v>450</v>
      </c>
      <c r="IM99" s="850">
        <v>419</v>
      </c>
      <c r="IN99" s="168"/>
    </row>
    <row r="100" spans="1:248" ht="15.75" thickBot="1">
      <c r="A100" s="82" t="s">
        <v>48</v>
      </c>
      <c r="B100" s="285">
        <v>885</v>
      </c>
      <c r="C100" s="285">
        <v>941</v>
      </c>
      <c r="D100" s="285">
        <v>938</v>
      </c>
      <c r="E100" s="285">
        <v>935</v>
      </c>
      <c r="F100" s="285">
        <v>935</v>
      </c>
      <c r="G100" s="285">
        <v>934</v>
      </c>
      <c r="H100" s="285">
        <v>952</v>
      </c>
      <c r="I100" s="285">
        <v>954</v>
      </c>
      <c r="J100" s="285">
        <v>938</v>
      </c>
      <c r="K100" s="285">
        <v>929</v>
      </c>
      <c r="L100" s="285">
        <v>932</v>
      </c>
      <c r="M100" s="285">
        <v>914</v>
      </c>
      <c r="N100" s="285">
        <v>886</v>
      </c>
      <c r="O100" s="285">
        <v>910</v>
      </c>
      <c r="P100" s="285">
        <v>917</v>
      </c>
      <c r="Q100" s="285">
        <v>895</v>
      </c>
      <c r="R100" s="285">
        <v>811</v>
      </c>
      <c r="S100" s="285">
        <v>908</v>
      </c>
      <c r="T100" s="285">
        <v>946</v>
      </c>
      <c r="U100" s="285">
        <v>1094</v>
      </c>
      <c r="V100" s="285">
        <v>961</v>
      </c>
      <c r="W100" s="285">
        <v>956</v>
      </c>
      <c r="X100" s="285">
        <v>1066</v>
      </c>
      <c r="Y100" s="285">
        <v>914</v>
      </c>
      <c r="Z100" s="285">
        <v>869</v>
      </c>
      <c r="AA100" s="285">
        <v>874</v>
      </c>
      <c r="AB100" s="285">
        <v>892</v>
      </c>
      <c r="AC100" s="285">
        <v>907</v>
      </c>
      <c r="AD100" s="285">
        <v>882</v>
      </c>
      <c r="AE100" s="285">
        <v>879</v>
      </c>
      <c r="AF100" s="285">
        <v>873</v>
      </c>
      <c r="AG100" s="285">
        <v>895</v>
      </c>
      <c r="AH100" s="285">
        <v>900</v>
      </c>
      <c r="AI100" s="285">
        <v>903</v>
      </c>
      <c r="AJ100" s="285">
        <v>926</v>
      </c>
      <c r="AK100" s="285">
        <v>915</v>
      </c>
      <c r="AL100" s="285">
        <v>917</v>
      </c>
      <c r="AM100" s="285">
        <v>926</v>
      </c>
      <c r="AN100" s="285">
        <v>934</v>
      </c>
      <c r="AO100" s="285">
        <v>963</v>
      </c>
      <c r="AP100" s="285">
        <v>975</v>
      </c>
      <c r="AQ100" s="285">
        <v>978</v>
      </c>
      <c r="AR100" s="285">
        <v>970</v>
      </c>
      <c r="AS100" s="285">
        <v>975</v>
      </c>
      <c r="AT100" s="285">
        <v>958</v>
      </c>
      <c r="AU100" s="285">
        <v>996</v>
      </c>
      <c r="AV100" s="285">
        <v>996</v>
      </c>
      <c r="AW100" s="285">
        <v>983</v>
      </c>
      <c r="AX100" s="285">
        <v>999</v>
      </c>
      <c r="AY100" s="285">
        <v>1023</v>
      </c>
      <c r="AZ100" s="285">
        <v>1007</v>
      </c>
      <c r="BA100" s="285">
        <v>1008</v>
      </c>
      <c r="BB100" s="285">
        <v>1010</v>
      </c>
      <c r="BC100" s="285">
        <v>975</v>
      </c>
      <c r="BD100" s="285">
        <v>1033</v>
      </c>
      <c r="BE100" s="285">
        <v>1014</v>
      </c>
      <c r="BF100" s="285">
        <v>1064</v>
      </c>
      <c r="BG100" s="285">
        <v>1309</v>
      </c>
      <c r="BH100" s="285">
        <v>1089</v>
      </c>
      <c r="BI100" s="285">
        <v>1082</v>
      </c>
      <c r="BJ100" s="285">
        <v>1040</v>
      </c>
      <c r="BK100" s="285">
        <v>1072</v>
      </c>
      <c r="BL100" s="285">
        <v>1081</v>
      </c>
      <c r="BM100" s="285">
        <v>1074</v>
      </c>
      <c r="BN100" s="285">
        <v>1071</v>
      </c>
      <c r="BO100" s="285">
        <v>1072</v>
      </c>
      <c r="BP100" s="285">
        <v>1076</v>
      </c>
      <c r="BQ100" s="285">
        <v>1055</v>
      </c>
      <c r="BR100" s="285">
        <v>1062</v>
      </c>
      <c r="BS100" s="285">
        <v>1073</v>
      </c>
      <c r="BT100" s="285">
        <v>1074</v>
      </c>
      <c r="BU100" s="285">
        <v>1074</v>
      </c>
      <c r="BV100" s="285">
        <v>1050</v>
      </c>
      <c r="BW100" s="285">
        <v>1077</v>
      </c>
      <c r="BX100" s="285">
        <v>1082</v>
      </c>
      <c r="BY100" s="285">
        <v>1080</v>
      </c>
      <c r="BZ100" s="285">
        <v>1085</v>
      </c>
      <c r="CA100" s="285">
        <v>1067</v>
      </c>
      <c r="CB100" s="285">
        <v>1108</v>
      </c>
      <c r="CC100" s="285">
        <v>1114</v>
      </c>
      <c r="CD100" s="285">
        <v>1087</v>
      </c>
      <c r="CE100" s="285">
        <v>1111</v>
      </c>
      <c r="CF100" s="285">
        <v>1116</v>
      </c>
      <c r="CG100" s="285">
        <v>1086</v>
      </c>
      <c r="CH100" s="285">
        <v>1167</v>
      </c>
      <c r="CI100" s="285">
        <v>1191</v>
      </c>
      <c r="CJ100" s="285">
        <v>1187</v>
      </c>
      <c r="CK100" s="285">
        <v>1252</v>
      </c>
      <c r="CL100" s="285">
        <v>1275</v>
      </c>
      <c r="CM100" s="285">
        <v>1249</v>
      </c>
      <c r="CN100" s="285">
        <v>1316</v>
      </c>
      <c r="CO100" s="285">
        <v>1352</v>
      </c>
      <c r="CP100" s="285">
        <v>1317</v>
      </c>
      <c r="CQ100" s="285">
        <v>1302</v>
      </c>
      <c r="CR100" s="285">
        <v>1307</v>
      </c>
      <c r="CS100" s="285">
        <v>1259</v>
      </c>
      <c r="CT100" s="285">
        <v>1154</v>
      </c>
      <c r="CU100" s="285">
        <v>1213</v>
      </c>
      <c r="CV100" s="285">
        <v>1250</v>
      </c>
      <c r="CW100" s="285">
        <v>1228</v>
      </c>
      <c r="CX100" s="285">
        <v>1242</v>
      </c>
      <c r="CY100" s="285">
        <v>1232</v>
      </c>
      <c r="CZ100" s="285">
        <v>1286</v>
      </c>
      <c r="DA100" s="285">
        <v>1301</v>
      </c>
      <c r="DB100" s="285">
        <v>1285</v>
      </c>
      <c r="DC100" s="285">
        <v>1306</v>
      </c>
      <c r="DD100" s="285">
        <v>1314</v>
      </c>
      <c r="DE100" s="285">
        <v>1294</v>
      </c>
      <c r="DF100" s="285">
        <v>1267</v>
      </c>
      <c r="DG100" s="285">
        <v>1271</v>
      </c>
      <c r="DH100" s="285">
        <v>1302</v>
      </c>
      <c r="DI100" s="285">
        <v>1336</v>
      </c>
      <c r="DJ100" s="285">
        <v>1366</v>
      </c>
      <c r="DK100" s="285">
        <v>1323</v>
      </c>
      <c r="DL100" s="285">
        <v>1383</v>
      </c>
      <c r="DM100" s="285">
        <v>1418</v>
      </c>
      <c r="DN100" s="285">
        <v>1426</v>
      </c>
      <c r="DO100" s="285">
        <v>1432</v>
      </c>
      <c r="DP100" s="285">
        <v>1456</v>
      </c>
      <c r="DQ100" s="285">
        <v>1457</v>
      </c>
      <c r="DR100" s="285">
        <v>1447</v>
      </c>
      <c r="DS100" s="285">
        <v>1492</v>
      </c>
      <c r="DT100" s="285">
        <v>1532</v>
      </c>
      <c r="DU100" s="285">
        <v>1488</v>
      </c>
      <c r="DV100" s="285">
        <v>1517</v>
      </c>
      <c r="DW100" s="285">
        <v>1576</v>
      </c>
      <c r="DX100" s="285">
        <v>1636</v>
      </c>
      <c r="DY100" s="285">
        <v>1673</v>
      </c>
      <c r="DZ100" s="285">
        <v>1657</v>
      </c>
      <c r="EA100" s="285">
        <v>1748</v>
      </c>
      <c r="EB100" s="285">
        <v>1740</v>
      </c>
      <c r="EC100" s="285">
        <v>1713</v>
      </c>
      <c r="ED100" s="285">
        <v>1729</v>
      </c>
      <c r="EE100" s="285">
        <v>1728</v>
      </c>
      <c r="EF100" s="285">
        <v>1793</v>
      </c>
      <c r="EG100" s="285">
        <v>1793</v>
      </c>
      <c r="EH100" s="285">
        <v>1801</v>
      </c>
      <c r="EI100" s="285">
        <v>1779</v>
      </c>
      <c r="EJ100" s="285">
        <v>1820</v>
      </c>
      <c r="EK100" s="285">
        <v>1870</v>
      </c>
      <c r="EL100" s="285">
        <v>1798</v>
      </c>
      <c r="EM100" s="285">
        <v>1798</v>
      </c>
      <c r="EN100" s="285">
        <v>1788</v>
      </c>
      <c r="EO100" s="285">
        <v>1672</v>
      </c>
      <c r="EP100" s="285">
        <v>1675</v>
      </c>
      <c r="EQ100" s="285">
        <v>1642</v>
      </c>
      <c r="ER100" s="285">
        <v>1686</v>
      </c>
      <c r="ES100" s="285">
        <v>1594</v>
      </c>
      <c r="ET100" s="285">
        <v>1726</v>
      </c>
      <c r="EU100" s="285">
        <v>1697</v>
      </c>
      <c r="EV100" s="285">
        <v>1718</v>
      </c>
      <c r="EW100" s="285">
        <v>1730</v>
      </c>
      <c r="EX100" s="285">
        <v>1720</v>
      </c>
      <c r="EY100" s="285">
        <v>1734</v>
      </c>
      <c r="EZ100" s="285">
        <v>1729</v>
      </c>
      <c r="FA100" s="285">
        <v>1712</v>
      </c>
      <c r="FB100" s="285">
        <v>1743</v>
      </c>
      <c r="FC100" s="285">
        <v>1711</v>
      </c>
      <c r="FD100" s="285">
        <v>1681</v>
      </c>
      <c r="FE100" s="285">
        <v>1635</v>
      </c>
      <c r="FF100" s="285">
        <v>1654</v>
      </c>
      <c r="FG100" s="285">
        <v>1724</v>
      </c>
      <c r="FH100" s="285">
        <v>1672</v>
      </c>
      <c r="FI100" s="285">
        <v>1624</v>
      </c>
      <c r="FJ100" s="285">
        <v>1695</v>
      </c>
      <c r="FK100" s="285">
        <v>1716</v>
      </c>
      <c r="FL100" s="285">
        <v>1601</v>
      </c>
      <c r="FM100" s="285">
        <v>1547</v>
      </c>
      <c r="FN100" s="285">
        <v>1492</v>
      </c>
      <c r="FO100" s="285">
        <v>1524</v>
      </c>
      <c r="FP100" s="285">
        <v>1502</v>
      </c>
      <c r="FQ100" s="285">
        <v>1506</v>
      </c>
      <c r="FR100" s="285">
        <v>1522</v>
      </c>
      <c r="FS100" s="285">
        <v>1716</v>
      </c>
      <c r="FT100" s="285">
        <v>1491</v>
      </c>
      <c r="FU100" s="285">
        <v>1491</v>
      </c>
      <c r="FV100" s="285">
        <v>1496</v>
      </c>
      <c r="FW100" s="285">
        <v>1521</v>
      </c>
      <c r="FX100" s="285">
        <v>1550</v>
      </c>
      <c r="FY100" s="285">
        <v>1488</v>
      </c>
      <c r="FZ100" s="285">
        <v>1463</v>
      </c>
      <c r="GA100" s="285">
        <v>1389</v>
      </c>
      <c r="GB100" s="285">
        <v>1236</v>
      </c>
      <c r="GC100" s="285">
        <v>1203</v>
      </c>
      <c r="GD100" s="285">
        <v>1187</v>
      </c>
      <c r="GE100" s="285">
        <v>1235</v>
      </c>
      <c r="GF100" s="285">
        <v>1192</v>
      </c>
      <c r="GG100" s="285">
        <v>1200</v>
      </c>
      <c r="GH100" s="285">
        <v>1205</v>
      </c>
      <c r="GI100" s="285">
        <v>1210</v>
      </c>
      <c r="GJ100" s="285">
        <v>1246</v>
      </c>
      <c r="GK100" s="285">
        <v>1258</v>
      </c>
      <c r="GL100" s="285">
        <v>1275</v>
      </c>
      <c r="GM100" s="285">
        <v>1296</v>
      </c>
      <c r="GN100" s="285">
        <v>1320</v>
      </c>
      <c r="GO100" s="285">
        <v>1301</v>
      </c>
      <c r="GP100" s="285">
        <v>1330</v>
      </c>
      <c r="GQ100" s="285">
        <v>1329</v>
      </c>
      <c r="GR100" s="285">
        <v>1344</v>
      </c>
      <c r="GS100" s="285">
        <v>1469</v>
      </c>
      <c r="GT100" s="285">
        <v>1423</v>
      </c>
      <c r="GU100" s="285">
        <v>1405</v>
      </c>
      <c r="GV100" s="285">
        <v>1460</v>
      </c>
      <c r="GW100" s="285">
        <v>1433</v>
      </c>
      <c r="GX100" s="285">
        <v>1494</v>
      </c>
      <c r="GY100" s="285">
        <v>1453</v>
      </c>
      <c r="GZ100" s="285">
        <v>1494</v>
      </c>
      <c r="HA100" s="285">
        <v>1505</v>
      </c>
      <c r="HB100" s="285">
        <v>1502</v>
      </c>
      <c r="HC100" s="285">
        <v>1481</v>
      </c>
      <c r="HD100" s="285">
        <v>1501</v>
      </c>
      <c r="HE100" s="285">
        <v>1541</v>
      </c>
      <c r="HF100" s="285">
        <v>1760</v>
      </c>
      <c r="HG100" s="285">
        <v>1518</v>
      </c>
      <c r="HH100" s="285">
        <v>1594</v>
      </c>
      <c r="HI100" s="285">
        <v>1519</v>
      </c>
      <c r="HJ100" s="285">
        <v>1493</v>
      </c>
      <c r="HK100" s="285">
        <v>1568</v>
      </c>
      <c r="HL100" s="285">
        <v>1584</v>
      </c>
      <c r="HM100" s="285">
        <v>1569</v>
      </c>
      <c r="HN100" s="285">
        <v>1588</v>
      </c>
      <c r="HO100" s="285">
        <v>1539</v>
      </c>
      <c r="HP100" s="286">
        <v>1529</v>
      </c>
      <c r="HQ100" s="286">
        <v>1443</v>
      </c>
      <c r="HR100" s="286">
        <v>1485</v>
      </c>
      <c r="HS100" s="286">
        <v>1453</v>
      </c>
      <c r="HT100" s="286">
        <v>1448</v>
      </c>
      <c r="HU100" s="286">
        <v>1464</v>
      </c>
      <c r="HV100" s="545">
        <v>1442</v>
      </c>
      <c r="HW100" s="545">
        <v>1531</v>
      </c>
      <c r="HX100" s="545">
        <v>1479</v>
      </c>
      <c r="HY100" s="545">
        <v>1389</v>
      </c>
      <c r="HZ100" s="545">
        <v>1453</v>
      </c>
      <c r="IA100" s="545">
        <v>1471</v>
      </c>
      <c r="IB100" s="545">
        <v>1626</v>
      </c>
      <c r="IC100" s="545">
        <v>1622</v>
      </c>
      <c r="ID100" s="545">
        <v>1578</v>
      </c>
      <c r="IE100" s="545">
        <v>1576</v>
      </c>
      <c r="IF100" s="545">
        <v>1488</v>
      </c>
      <c r="IG100" s="285">
        <v>1476</v>
      </c>
      <c r="IH100" s="545">
        <v>1461</v>
      </c>
      <c r="II100" s="545">
        <v>1513</v>
      </c>
      <c r="IJ100" s="545">
        <v>1730</v>
      </c>
      <c r="IK100" s="545">
        <v>1517</v>
      </c>
      <c r="IL100" s="545">
        <v>1517</v>
      </c>
      <c r="IM100" s="851">
        <v>1535</v>
      </c>
      <c r="IN100" s="168"/>
    </row>
    <row r="101" spans="1:248" ht="16.5" thickTop="1" thickBot="1">
      <c r="A101" s="50" t="s">
        <v>97</v>
      </c>
      <c r="B101" s="287">
        <v>20848</v>
      </c>
      <c r="C101" s="267">
        <v>20990</v>
      </c>
      <c r="D101" s="267">
        <v>22070</v>
      </c>
      <c r="E101" s="267">
        <v>20916</v>
      </c>
      <c r="F101" s="267">
        <v>21115</v>
      </c>
      <c r="G101" s="267">
        <v>20791</v>
      </c>
      <c r="H101" s="267">
        <v>21419</v>
      </c>
      <c r="I101" s="267">
        <v>21073</v>
      </c>
      <c r="J101" s="267">
        <v>20441</v>
      </c>
      <c r="K101" s="267">
        <v>20465</v>
      </c>
      <c r="L101" s="267">
        <v>20612</v>
      </c>
      <c r="M101" s="267">
        <v>20256</v>
      </c>
      <c r="N101" s="267">
        <v>20127</v>
      </c>
      <c r="O101" s="267">
        <v>19888</v>
      </c>
      <c r="P101" s="267">
        <v>20345</v>
      </c>
      <c r="Q101" s="267">
        <v>19888</v>
      </c>
      <c r="R101" s="267">
        <v>19795</v>
      </c>
      <c r="S101" s="267">
        <v>20029</v>
      </c>
      <c r="T101" s="267">
        <v>20210</v>
      </c>
      <c r="U101" s="267">
        <v>19612</v>
      </c>
      <c r="V101" s="267">
        <v>19902</v>
      </c>
      <c r="W101" s="267">
        <v>20149</v>
      </c>
      <c r="X101" s="267">
        <v>19955</v>
      </c>
      <c r="Y101" s="267">
        <v>19834</v>
      </c>
      <c r="Z101" s="267">
        <v>19870</v>
      </c>
      <c r="AA101" s="267">
        <v>20219</v>
      </c>
      <c r="AB101" s="267">
        <v>20081</v>
      </c>
      <c r="AC101" s="267">
        <v>20284</v>
      </c>
      <c r="AD101" s="267">
        <v>20331</v>
      </c>
      <c r="AE101" s="267">
        <v>20479</v>
      </c>
      <c r="AF101" s="267">
        <v>20580</v>
      </c>
      <c r="AG101" s="267">
        <v>20494</v>
      </c>
      <c r="AH101" s="267">
        <v>20402</v>
      </c>
      <c r="AI101" s="267">
        <v>20547</v>
      </c>
      <c r="AJ101" s="267">
        <v>20802</v>
      </c>
      <c r="AK101" s="267">
        <v>20393</v>
      </c>
      <c r="AL101" s="267">
        <v>20366</v>
      </c>
      <c r="AM101" s="267">
        <v>20656</v>
      </c>
      <c r="AN101" s="267">
        <v>20747</v>
      </c>
      <c r="AO101" s="267">
        <v>20652</v>
      </c>
      <c r="AP101" s="267">
        <v>20928</v>
      </c>
      <c r="AQ101" s="267">
        <v>20969</v>
      </c>
      <c r="AR101" s="267">
        <v>21225</v>
      </c>
      <c r="AS101" s="267">
        <v>21774</v>
      </c>
      <c r="AT101" s="267">
        <v>21710</v>
      </c>
      <c r="AU101" s="267">
        <v>21475</v>
      </c>
      <c r="AV101" s="267">
        <v>21995</v>
      </c>
      <c r="AW101" s="267">
        <v>21962</v>
      </c>
      <c r="AX101" s="267">
        <v>22162</v>
      </c>
      <c r="AY101" s="267">
        <v>22517</v>
      </c>
      <c r="AZ101" s="267">
        <v>22409</v>
      </c>
      <c r="BA101" s="267">
        <v>22111</v>
      </c>
      <c r="BB101" s="267">
        <v>22848</v>
      </c>
      <c r="BC101" s="267">
        <v>23079</v>
      </c>
      <c r="BD101" s="267">
        <v>23612</v>
      </c>
      <c r="BE101" s="267">
        <v>23240</v>
      </c>
      <c r="BF101" s="267">
        <v>23588</v>
      </c>
      <c r="BG101" s="267">
        <v>23979</v>
      </c>
      <c r="BH101" s="267">
        <v>23882</v>
      </c>
      <c r="BI101" s="267">
        <v>23967</v>
      </c>
      <c r="BJ101" s="267">
        <v>23871</v>
      </c>
      <c r="BK101" s="267">
        <v>24422</v>
      </c>
      <c r="BL101" s="267">
        <v>24279</v>
      </c>
      <c r="BM101" s="267">
        <v>24169</v>
      </c>
      <c r="BN101" s="267">
        <v>25042</v>
      </c>
      <c r="BO101" s="267">
        <v>25150</v>
      </c>
      <c r="BP101" s="267">
        <v>25145</v>
      </c>
      <c r="BQ101" s="267">
        <v>25708</v>
      </c>
      <c r="BR101" s="267">
        <v>25186</v>
      </c>
      <c r="BS101" s="267">
        <v>25430</v>
      </c>
      <c r="BT101" s="267">
        <v>26080</v>
      </c>
      <c r="BU101" s="267">
        <v>25123</v>
      </c>
      <c r="BV101" s="267">
        <v>25644</v>
      </c>
      <c r="BW101" s="267">
        <v>26168</v>
      </c>
      <c r="BX101" s="267">
        <v>26367</v>
      </c>
      <c r="BY101" s="267">
        <v>26419</v>
      </c>
      <c r="BZ101" s="267">
        <v>27006</v>
      </c>
      <c r="CA101" s="267">
        <v>27010</v>
      </c>
      <c r="CB101" s="267">
        <v>27336</v>
      </c>
      <c r="CC101" s="267">
        <v>27792</v>
      </c>
      <c r="CD101" s="267">
        <v>27685</v>
      </c>
      <c r="CE101" s="267">
        <v>28074</v>
      </c>
      <c r="CF101" s="267">
        <v>28738</v>
      </c>
      <c r="CG101" s="267">
        <v>29076</v>
      </c>
      <c r="CH101" s="267">
        <v>29728</v>
      </c>
      <c r="CI101" s="267">
        <v>29908</v>
      </c>
      <c r="CJ101" s="267">
        <v>29654</v>
      </c>
      <c r="CK101" s="267">
        <v>30125</v>
      </c>
      <c r="CL101" s="267">
        <v>30386</v>
      </c>
      <c r="CM101" s="267">
        <v>31003</v>
      </c>
      <c r="CN101" s="267">
        <v>31339</v>
      </c>
      <c r="CO101" s="267">
        <v>31157</v>
      </c>
      <c r="CP101" s="267">
        <v>31911</v>
      </c>
      <c r="CQ101" s="267">
        <v>32235</v>
      </c>
      <c r="CR101" s="267">
        <v>32196</v>
      </c>
      <c r="CS101" s="267">
        <v>32029</v>
      </c>
      <c r="CT101" s="267">
        <v>32225</v>
      </c>
      <c r="CU101" s="267">
        <v>31654</v>
      </c>
      <c r="CV101" s="267">
        <v>31362</v>
      </c>
      <c r="CW101" s="267">
        <v>31016</v>
      </c>
      <c r="CX101" s="267">
        <v>31360</v>
      </c>
      <c r="CY101" s="267">
        <v>31339</v>
      </c>
      <c r="CZ101" s="267">
        <v>32164</v>
      </c>
      <c r="DA101" s="267">
        <v>31808</v>
      </c>
      <c r="DB101" s="267">
        <v>32251</v>
      </c>
      <c r="DC101" s="267">
        <v>32149</v>
      </c>
      <c r="DD101" s="267">
        <v>32447</v>
      </c>
      <c r="DE101" s="267">
        <v>32327</v>
      </c>
      <c r="DF101" s="267">
        <v>32126</v>
      </c>
      <c r="DG101" s="267">
        <v>32841</v>
      </c>
      <c r="DH101" s="267">
        <v>33217</v>
      </c>
      <c r="DI101" s="267">
        <v>32605</v>
      </c>
      <c r="DJ101" s="267">
        <v>33530</v>
      </c>
      <c r="DK101" s="267">
        <v>33918</v>
      </c>
      <c r="DL101" s="267">
        <v>33926</v>
      </c>
      <c r="DM101" s="267">
        <v>34493</v>
      </c>
      <c r="DN101" s="267">
        <v>34664</v>
      </c>
      <c r="DO101" s="267">
        <v>35071</v>
      </c>
      <c r="DP101" s="267">
        <v>35677</v>
      </c>
      <c r="DQ101" s="267">
        <v>34973</v>
      </c>
      <c r="DR101" s="267">
        <v>34997</v>
      </c>
      <c r="DS101" s="267">
        <v>35664</v>
      </c>
      <c r="DT101" s="267">
        <v>36586</v>
      </c>
      <c r="DU101" s="267">
        <v>35891</v>
      </c>
      <c r="DV101" s="267">
        <v>36991</v>
      </c>
      <c r="DW101" s="267">
        <v>37225</v>
      </c>
      <c r="DX101" s="267">
        <v>38081</v>
      </c>
      <c r="DY101" s="267">
        <v>41207</v>
      </c>
      <c r="DZ101" s="267">
        <v>39130</v>
      </c>
      <c r="EA101" s="267">
        <v>39986</v>
      </c>
      <c r="EB101" s="267">
        <v>40430</v>
      </c>
      <c r="EC101" s="267">
        <v>41125</v>
      </c>
      <c r="ED101" s="267">
        <v>39382</v>
      </c>
      <c r="EE101" s="267">
        <v>40143</v>
      </c>
      <c r="EF101" s="267">
        <v>41382</v>
      </c>
      <c r="EG101" s="267">
        <v>41261</v>
      </c>
      <c r="EH101" s="267">
        <v>42036</v>
      </c>
      <c r="EI101" s="267">
        <v>42175</v>
      </c>
      <c r="EJ101" s="267">
        <v>42908</v>
      </c>
      <c r="EK101" s="267">
        <v>44827</v>
      </c>
      <c r="EL101" s="267">
        <v>44307</v>
      </c>
      <c r="EM101" s="267">
        <v>44679</v>
      </c>
      <c r="EN101" s="267">
        <v>44731</v>
      </c>
      <c r="EO101" s="267">
        <v>44206</v>
      </c>
      <c r="EP101" s="267">
        <v>44901</v>
      </c>
      <c r="EQ101" s="267">
        <v>45165</v>
      </c>
      <c r="ER101" s="267">
        <v>45358</v>
      </c>
      <c r="ES101" s="267">
        <v>46082</v>
      </c>
      <c r="ET101" s="267">
        <v>45908</v>
      </c>
      <c r="EU101" s="267">
        <v>45881</v>
      </c>
      <c r="EV101" s="267">
        <v>46156</v>
      </c>
      <c r="EW101" s="267">
        <v>45475</v>
      </c>
      <c r="EX101" s="267">
        <v>45251</v>
      </c>
      <c r="EY101" s="267">
        <v>46191</v>
      </c>
      <c r="EZ101" s="267">
        <v>47075</v>
      </c>
      <c r="FA101" s="267">
        <v>45616</v>
      </c>
      <c r="FB101" s="267">
        <v>46053</v>
      </c>
      <c r="FC101" s="267">
        <v>46553</v>
      </c>
      <c r="FD101" s="267">
        <v>45238</v>
      </c>
      <c r="FE101" s="267">
        <v>45055</v>
      </c>
      <c r="FF101" s="267">
        <v>45292</v>
      </c>
      <c r="FG101" s="267">
        <v>45461</v>
      </c>
      <c r="FH101" s="267">
        <v>46086</v>
      </c>
      <c r="FI101" s="267">
        <v>44132</v>
      </c>
      <c r="FJ101" s="267">
        <v>44784</v>
      </c>
      <c r="FK101" s="267">
        <v>45662</v>
      </c>
      <c r="FL101" s="267">
        <v>45266</v>
      </c>
      <c r="FM101" s="267">
        <v>45113</v>
      </c>
      <c r="FN101" s="267">
        <v>44258</v>
      </c>
      <c r="FO101" s="267">
        <v>45102</v>
      </c>
      <c r="FP101" s="267">
        <v>45092</v>
      </c>
      <c r="FQ101" s="267">
        <v>44970</v>
      </c>
      <c r="FR101" s="267">
        <v>44040</v>
      </c>
      <c r="FS101" s="267">
        <v>42704</v>
      </c>
      <c r="FT101" s="267">
        <v>43620</v>
      </c>
      <c r="FU101" s="267">
        <v>43051</v>
      </c>
      <c r="FV101" s="267">
        <v>43885</v>
      </c>
      <c r="FW101" s="267">
        <v>42878</v>
      </c>
      <c r="FX101" s="267">
        <v>43863</v>
      </c>
      <c r="FY101" s="267">
        <v>42914</v>
      </c>
      <c r="FZ101" s="267">
        <v>42201</v>
      </c>
      <c r="GA101" s="267">
        <v>43372</v>
      </c>
      <c r="GB101" s="267">
        <v>42260</v>
      </c>
      <c r="GC101" s="267">
        <v>41886</v>
      </c>
      <c r="GD101" s="267">
        <v>42196</v>
      </c>
      <c r="GE101" s="267">
        <v>41722</v>
      </c>
      <c r="GF101" s="267">
        <v>41034</v>
      </c>
      <c r="GG101" s="267">
        <v>41971</v>
      </c>
      <c r="GH101" s="267">
        <v>41237</v>
      </c>
      <c r="GI101" s="267">
        <v>41985</v>
      </c>
      <c r="GJ101" s="267">
        <v>42728</v>
      </c>
      <c r="GK101" s="267">
        <v>42062</v>
      </c>
      <c r="GL101" s="267">
        <v>41981</v>
      </c>
      <c r="GM101" s="267">
        <v>42836</v>
      </c>
      <c r="GN101" s="267">
        <v>42934</v>
      </c>
      <c r="GO101" s="267">
        <v>41735</v>
      </c>
      <c r="GP101" s="267">
        <v>43197</v>
      </c>
      <c r="GQ101" s="267">
        <v>42195</v>
      </c>
      <c r="GR101" s="267">
        <v>42642</v>
      </c>
      <c r="GS101" s="267">
        <v>43177</v>
      </c>
      <c r="GT101" s="267">
        <v>42519</v>
      </c>
      <c r="GU101" s="267">
        <v>42799</v>
      </c>
      <c r="GV101" s="267">
        <v>43532</v>
      </c>
      <c r="GW101" s="267">
        <v>42281</v>
      </c>
      <c r="GX101" s="267">
        <v>42705</v>
      </c>
      <c r="GY101" s="267">
        <v>43245</v>
      </c>
      <c r="GZ101" s="267">
        <v>43242</v>
      </c>
      <c r="HA101" s="267">
        <v>43350</v>
      </c>
      <c r="HB101" s="267">
        <v>44055</v>
      </c>
      <c r="HC101" s="267">
        <v>43529</v>
      </c>
      <c r="HD101" s="267">
        <v>43938</v>
      </c>
      <c r="HE101" s="267">
        <v>44894</v>
      </c>
      <c r="HF101" s="267">
        <v>44162</v>
      </c>
      <c r="HG101" s="267">
        <v>45153</v>
      </c>
      <c r="HH101" s="267">
        <v>45369</v>
      </c>
      <c r="HI101" s="267">
        <v>44339</v>
      </c>
      <c r="HJ101" s="267">
        <v>46394</v>
      </c>
      <c r="HK101" s="267">
        <v>46791</v>
      </c>
      <c r="HL101" s="267">
        <v>46827</v>
      </c>
      <c r="HM101" s="267">
        <v>46253</v>
      </c>
      <c r="HN101" s="267">
        <v>47893</v>
      </c>
      <c r="HO101" s="267">
        <v>47660</v>
      </c>
      <c r="HP101" s="267">
        <v>49245</v>
      </c>
      <c r="HQ101" s="267">
        <v>49233</v>
      </c>
      <c r="HR101" s="267">
        <v>48931</v>
      </c>
      <c r="HS101" s="267">
        <v>50124</v>
      </c>
      <c r="HT101" s="267">
        <v>49786</v>
      </c>
      <c r="HU101" s="469">
        <v>48926</v>
      </c>
      <c r="HV101" s="469">
        <v>49593</v>
      </c>
      <c r="HW101" s="469">
        <v>50543</v>
      </c>
      <c r="HX101" s="469">
        <v>49382</v>
      </c>
      <c r="HY101" s="469">
        <v>45142</v>
      </c>
      <c r="HZ101" s="469">
        <v>46928</v>
      </c>
      <c r="IA101" s="853">
        <v>46600</v>
      </c>
      <c r="IB101" s="853">
        <v>54923</v>
      </c>
      <c r="IC101" s="853">
        <v>53970</v>
      </c>
      <c r="ID101" s="853">
        <v>52269</v>
      </c>
      <c r="IE101" s="853">
        <v>54668</v>
      </c>
      <c r="IF101" s="853">
        <v>51592</v>
      </c>
      <c r="IG101" s="853">
        <v>51387</v>
      </c>
      <c r="IH101" s="853">
        <v>51874</v>
      </c>
      <c r="II101" s="853">
        <v>53791</v>
      </c>
      <c r="IJ101" s="853">
        <v>52251</v>
      </c>
      <c r="IK101" s="853">
        <v>51983</v>
      </c>
      <c r="IL101" s="853">
        <v>51268</v>
      </c>
      <c r="IM101" s="854">
        <v>50491</v>
      </c>
      <c r="IN101" s="168"/>
    </row>
    <row r="102" spans="1:248">
      <c r="GK102" s="167"/>
      <c r="GL102" s="205"/>
      <c r="GM102" s="205"/>
      <c r="GN102" s="205"/>
      <c r="GO102" s="205"/>
      <c r="GP102" s="205"/>
      <c r="GQ102" s="205"/>
      <c r="GR102" s="205"/>
      <c r="GS102" s="205"/>
      <c r="GT102" s="205"/>
      <c r="GU102" s="205"/>
      <c r="GV102" s="205"/>
      <c r="GW102" s="205"/>
      <c r="GX102" s="205"/>
      <c r="GY102" s="205"/>
      <c r="GZ102" s="205"/>
      <c r="HA102" s="205"/>
      <c r="HB102" s="205"/>
      <c r="HC102" s="167"/>
      <c r="IA102" s="722"/>
      <c r="IB102" s="722"/>
      <c r="IC102" s="722"/>
      <c r="ID102" s="722"/>
      <c r="IE102" s="722"/>
      <c r="IF102" s="722"/>
      <c r="IG102" s="722"/>
      <c r="IH102" s="722"/>
      <c r="II102" s="722"/>
      <c r="IJ102" s="722"/>
      <c r="IK102" s="722"/>
      <c r="IL102" s="722"/>
      <c r="IM102" s="722"/>
      <c r="IN102" s="168"/>
    </row>
    <row r="103" spans="1:248">
      <c r="GK103" s="205"/>
      <c r="GL103" s="205"/>
      <c r="GM103" s="205"/>
      <c r="GN103" s="205"/>
      <c r="GO103" s="205"/>
      <c r="GP103" s="205"/>
      <c r="GQ103" s="205"/>
      <c r="GR103" s="205"/>
      <c r="GS103" s="205"/>
      <c r="GT103" s="205"/>
      <c r="GU103" s="205"/>
      <c r="GV103" s="205"/>
      <c r="GW103" s="205"/>
      <c r="GX103" s="205"/>
      <c r="GY103" s="205"/>
      <c r="GZ103" s="205"/>
      <c r="HA103" s="205"/>
      <c r="HB103" s="205"/>
      <c r="HC103" s="205"/>
      <c r="IA103" s="722"/>
      <c r="IB103" s="722"/>
      <c r="IC103" s="722"/>
      <c r="ID103" s="722"/>
      <c r="IE103" s="722"/>
      <c r="IF103" s="722"/>
      <c r="IG103" s="722"/>
      <c r="IH103" s="722"/>
      <c r="II103" s="722"/>
      <c r="IJ103" s="722"/>
      <c r="IK103" s="722"/>
      <c r="IL103" s="722"/>
      <c r="IM103" s="722"/>
      <c r="IN103" s="168"/>
    </row>
    <row r="104" spans="1:248" ht="15.75" thickBot="1">
      <c r="A104" s="134" t="s">
        <v>1166</v>
      </c>
      <c r="GK104" s="205"/>
      <c r="GL104" s="205"/>
      <c r="GM104" s="205"/>
      <c r="GN104" s="205"/>
      <c r="GO104" s="205"/>
      <c r="GP104" s="205"/>
      <c r="GQ104" s="205"/>
      <c r="GR104" s="205"/>
      <c r="GS104" s="205"/>
      <c r="GT104" s="205"/>
      <c r="GU104" s="205"/>
      <c r="GV104" s="205"/>
      <c r="GW104" s="205"/>
      <c r="GX104" s="205"/>
      <c r="GY104" s="205"/>
      <c r="GZ104" s="205"/>
      <c r="HA104" s="205"/>
      <c r="HB104" s="205"/>
      <c r="HC104" s="205"/>
      <c r="IA104" s="722"/>
      <c r="IB104" s="722"/>
      <c r="IC104" s="722"/>
      <c r="ID104" s="722"/>
      <c r="IE104" s="722"/>
      <c r="IF104" s="722"/>
      <c r="IG104" s="722"/>
      <c r="IH104" s="722"/>
      <c r="II104" s="722"/>
      <c r="IJ104" s="722"/>
      <c r="IK104" s="722"/>
      <c r="IL104" s="722"/>
      <c r="IM104" s="722"/>
      <c r="IN104" s="168"/>
    </row>
    <row r="105" spans="1:248" ht="15.75" thickBot="1">
      <c r="A105" s="2" t="s">
        <v>95</v>
      </c>
      <c r="B105" s="80">
        <v>36892</v>
      </c>
      <c r="C105" s="80">
        <v>36923</v>
      </c>
      <c r="D105" s="80">
        <v>36951</v>
      </c>
      <c r="E105" s="80">
        <v>36982</v>
      </c>
      <c r="F105" s="80">
        <v>37012</v>
      </c>
      <c r="G105" s="80">
        <v>37043</v>
      </c>
      <c r="H105" s="80">
        <v>37073</v>
      </c>
      <c r="I105" s="80">
        <v>37104</v>
      </c>
      <c r="J105" s="80">
        <v>37135</v>
      </c>
      <c r="K105" s="80">
        <v>37165</v>
      </c>
      <c r="L105" s="80">
        <v>37196</v>
      </c>
      <c r="M105" s="80">
        <v>37226</v>
      </c>
      <c r="N105" s="80">
        <v>37257</v>
      </c>
      <c r="O105" s="80">
        <v>37288</v>
      </c>
      <c r="P105" s="80">
        <v>37316</v>
      </c>
      <c r="Q105" s="80">
        <v>37347</v>
      </c>
      <c r="R105" s="80">
        <v>37377</v>
      </c>
      <c r="S105" s="80">
        <v>37408</v>
      </c>
      <c r="T105" s="80">
        <v>37438</v>
      </c>
      <c r="U105" s="80">
        <v>37469</v>
      </c>
      <c r="V105" s="80">
        <v>37500</v>
      </c>
      <c r="W105" s="80">
        <v>37530</v>
      </c>
      <c r="X105" s="80">
        <v>37561</v>
      </c>
      <c r="Y105" s="80">
        <v>37591</v>
      </c>
      <c r="Z105" s="80">
        <v>37622</v>
      </c>
      <c r="AA105" s="80">
        <v>37653</v>
      </c>
      <c r="AB105" s="80">
        <v>37681</v>
      </c>
      <c r="AC105" s="80">
        <v>37712</v>
      </c>
      <c r="AD105" s="80">
        <v>37742</v>
      </c>
      <c r="AE105" s="80">
        <v>37773</v>
      </c>
      <c r="AF105" s="80">
        <v>37803</v>
      </c>
      <c r="AG105" s="80">
        <v>37834</v>
      </c>
      <c r="AH105" s="80">
        <v>37865</v>
      </c>
      <c r="AI105" s="80">
        <v>37895</v>
      </c>
      <c r="AJ105" s="80">
        <v>37926</v>
      </c>
      <c r="AK105" s="80">
        <v>37956</v>
      </c>
      <c r="AL105" s="80">
        <v>37987</v>
      </c>
      <c r="AM105" s="80">
        <v>38018</v>
      </c>
      <c r="AN105" s="80">
        <v>38047</v>
      </c>
      <c r="AO105" s="80">
        <v>38078</v>
      </c>
      <c r="AP105" s="80">
        <v>38108</v>
      </c>
      <c r="AQ105" s="80">
        <v>38139</v>
      </c>
      <c r="AR105" s="80">
        <v>38169</v>
      </c>
      <c r="AS105" s="80">
        <v>38200</v>
      </c>
      <c r="AT105" s="80">
        <v>38231</v>
      </c>
      <c r="AU105" s="80">
        <v>38261</v>
      </c>
      <c r="AV105" s="80">
        <v>38292</v>
      </c>
      <c r="AW105" s="80">
        <v>38322</v>
      </c>
      <c r="AX105" s="80">
        <v>38353</v>
      </c>
      <c r="AY105" s="80">
        <v>38384</v>
      </c>
      <c r="AZ105" s="80">
        <v>38412</v>
      </c>
      <c r="BA105" s="80">
        <v>38443</v>
      </c>
      <c r="BB105" s="80">
        <v>38473</v>
      </c>
      <c r="BC105" s="80">
        <v>38504</v>
      </c>
      <c r="BD105" s="80">
        <v>38534</v>
      </c>
      <c r="BE105" s="80">
        <v>38565</v>
      </c>
      <c r="BF105" s="80">
        <v>38596</v>
      </c>
      <c r="BG105" s="80">
        <v>38626</v>
      </c>
      <c r="BH105" s="80">
        <v>38657</v>
      </c>
      <c r="BI105" s="80">
        <v>38687</v>
      </c>
      <c r="BJ105" s="80">
        <v>38718</v>
      </c>
      <c r="BK105" s="80">
        <v>38749</v>
      </c>
      <c r="BL105" s="80">
        <v>38777</v>
      </c>
      <c r="BM105" s="80">
        <v>38808</v>
      </c>
      <c r="BN105" s="80">
        <v>38838</v>
      </c>
      <c r="BO105" s="80">
        <v>38869</v>
      </c>
      <c r="BP105" s="80">
        <v>38899</v>
      </c>
      <c r="BQ105" s="80">
        <v>38930</v>
      </c>
      <c r="BR105" s="80">
        <v>38961</v>
      </c>
      <c r="BS105" s="80">
        <v>38991</v>
      </c>
      <c r="BT105" s="80">
        <v>39022</v>
      </c>
      <c r="BU105" s="80">
        <v>39052</v>
      </c>
      <c r="BV105" s="80">
        <v>39083</v>
      </c>
      <c r="BW105" s="80">
        <v>39114</v>
      </c>
      <c r="BX105" s="80">
        <v>39142</v>
      </c>
      <c r="BY105" s="80">
        <v>39173</v>
      </c>
      <c r="BZ105" s="80">
        <v>39203</v>
      </c>
      <c r="CA105" s="80">
        <v>39234</v>
      </c>
      <c r="CB105" s="80">
        <v>39264</v>
      </c>
      <c r="CC105" s="80">
        <v>39295</v>
      </c>
      <c r="CD105" s="80">
        <v>39326</v>
      </c>
      <c r="CE105" s="80">
        <v>39356</v>
      </c>
      <c r="CF105" s="169">
        <v>39387</v>
      </c>
      <c r="CG105" s="169">
        <v>39417</v>
      </c>
      <c r="CH105" s="169">
        <v>39448</v>
      </c>
      <c r="CI105" s="169">
        <v>39479</v>
      </c>
      <c r="CJ105" s="169">
        <v>39508</v>
      </c>
      <c r="CK105" s="169">
        <v>39539</v>
      </c>
      <c r="CL105" s="169">
        <v>39569</v>
      </c>
      <c r="CM105" s="169">
        <v>39600</v>
      </c>
      <c r="CN105" s="169">
        <v>39630</v>
      </c>
      <c r="CO105" s="169">
        <v>39661</v>
      </c>
      <c r="CP105" s="169">
        <v>39692</v>
      </c>
      <c r="CQ105" s="169">
        <v>39722</v>
      </c>
      <c r="CR105" s="169">
        <v>39753</v>
      </c>
      <c r="CS105" s="169">
        <v>39783</v>
      </c>
      <c r="CT105" s="169">
        <v>39814</v>
      </c>
      <c r="CU105" s="169">
        <v>39845</v>
      </c>
      <c r="CV105" s="169">
        <v>39873</v>
      </c>
      <c r="CW105" s="169">
        <v>39904</v>
      </c>
      <c r="CX105" s="169">
        <v>39934</v>
      </c>
      <c r="CY105" s="169">
        <v>39965</v>
      </c>
      <c r="CZ105" s="169">
        <v>39995</v>
      </c>
      <c r="DA105" s="169">
        <v>40026</v>
      </c>
      <c r="DB105" s="169">
        <v>40057</v>
      </c>
      <c r="DC105" s="169">
        <v>40087</v>
      </c>
      <c r="DD105" s="169">
        <v>40118</v>
      </c>
      <c r="DE105" s="169">
        <v>40148</v>
      </c>
      <c r="DF105" s="169">
        <v>40179</v>
      </c>
      <c r="DG105" s="169">
        <v>40210</v>
      </c>
      <c r="DH105" s="169">
        <v>40238</v>
      </c>
      <c r="DI105" s="169">
        <v>40269</v>
      </c>
      <c r="DJ105" s="169">
        <v>40299</v>
      </c>
      <c r="DK105" s="169">
        <v>40330</v>
      </c>
      <c r="DL105" s="169">
        <v>40360</v>
      </c>
      <c r="DM105" s="169">
        <v>40391</v>
      </c>
      <c r="DN105" s="169">
        <v>40422</v>
      </c>
      <c r="DO105" s="169">
        <v>40452</v>
      </c>
      <c r="DP105" s="169">
        <v>40483</v>
      </c>
      <c r="DQ105" s="169">
        <v>40513</v>
      </c>
      <c r="DR105" s="169">
        <v>40544</v>
      </c>
      <c r="DS105" s="169">
        <v>40575</v>
      </c>
      <c r="DT105" s="169">
        <v>40603</v>
      </c>
      <c r="DU105" s="169">
        <v>40634</v>
      </c>
      <c r="DV105" s="169">
        <v>40664</v>
      </c>
      <c r="DW105" s="169">
        <v>40695</v>
      </c>
      <c r="DX105" s="169">
        <v>40725</v>
      </c>
      <c r="DY105" s="169">
        <v>40756</v>
      </c>
      <c r="DZ105" s="169">
        <v>40787</v>
      </c>
      <c r="EA105" s="169">
        <v>40817</v>
      </c>
      <c r="EB105" s="169">
        <v>40848</v>
      </c>
      <c r="EC105" s="169">
        <v>40878</v>
      </c>
      <c r="ED105" s="169">
        <v>40909</v>
      </c>
      <c r="EE105" s="169">
        <v>40940</v>
      </c>
      <c r="EF105" s="169">
        <v>40969</v>
      </c>
      <c r="EG105" s="169">
        <v>41000</v>
      </c>
      <c r="EH105" s="169">
        <v>41030</v>
      </c>
      <c r="EI105" s="169">
        <v>41061</v>
      </c>
      <c r="EJ105" s="169">
        <v>41091</v>
      </c>
      <c r="EK105" s="169">
        <v>41122</v>
      </c>
      <c r="EL105" s="169">
        <v>41153</v>
      </c>
      <c r="EM105" s="169">
        <v>41183</v>
      </c>
      <c r="EN105" s="169">
        <v>41214</v>
      </c>
      <c r="EO105" s="169">
        <v>41244</v>
      </c>
      <c r="EP105" s="169">
        <v>41275</v>
      </c>
      <c r="EQ105" s="169">
        <v>41306</v>
      </c>
      <c r="ER105" s="169">
        <v>41334</v>
      </c>
      <c r="ES105" s="169">
        <v>41365</v>
      </c>
      <c r="ET105" s="169">
        <v>41395</v>
      </c>
      <c r="EU105" s="169">
        <v>41426</v>
      </c>
      <c r="EV105" s="169">
        <v>41456</v>
      </c>
      <c r="EW105" s="169">
        <v>41487</v>
      </c>
      <c r="EX105" s="169">
        <v>41518</v>
      </c>
      <c r="EY105" s="169">
        <v>41548</v>
      </c>
      <c r="EZ105" s="169">
        <v>41579</v>
      </c>
      <c r="FA105" s="169">
        <v>41609</v>
      </c>
      <c r="FB105" s="169">
        <v>41640</v>
      </c>
      <c r="FC105" s="169">
        <v>41671</v>
      </c>
      <c r="FD105" s="169">
        <v>41699</v>
      </c>
      <c r="FE105" s="169">
        <v>41730</v>
      </c>
      <c r="FF105" s="169">
        <v>41760</v>
      </c>
      <c r="FG105" s="169">
        <v>41791</v>
      </c>
      <c r="FH105" s="169">
        <v>41821</v>
      </c>
      <c r="FI105" s="169">
        <v>41852</v>
      </c>
      <c r="FJ105" s="169">
        <v>41883</v>
      </c>
      <c r="FK105" s="169">
        <v>41913</v>
      </c>
      <c r="FL105" s="169">
        <v>41944</v>
      </c>
      <c r="FM105" s="169">
        <v>41974</v>
      </c>
      <c r="FN105" s="169">
        <v>42005</v>
      </c>
      <c r="FO105" s="169">
        <v>42036</v>
      </c>
      <c r="FP105" s="169">
        <v>42064</v>
      </c>
      <c r="FQ105" s="169">
        <v>42095</v>
      </c>
      <c r="FR105" s="169">
        <v>42125</v>
      </c>
      <c r="FS105" s="169">
        <v>42156</v>
      </c>
      <c r="FT105" s="169">
        <v>42186</v>
      </c>
      <c r="FU105" s="169">
        <v>42217</v>
      </c>
      <c r="FV105" s="169">
        <v>42248</v>
      </c>
      <c r="FW105" s="169">
        <v>42278</v>
      </c>
      <c r="FX105" s="169">
        <v>42309</v>
      </c>
      <c r="FY105" s="169">
        <v>42339</v>
      </c>
      <c r="FZ105" s="169">
        <v>42370</v>
      </c>
      <c r="GA105" s="169">
        <v>42401</v>
      </c>
      <c r="GB105" s="169">
        <v>42430</v>
      </c>
      <c r="GC105" s="169">
        <v>42461</v>
      </c>
      <c r="GD105" s="169">
        <v>42491</v>
      </c>
      <c r="GE105" s="169">
        <v>42522</v>
      </c>
      <c r="GF105" s="169">
        <v>42552</v>
      </c>
      <c r="GG105" s="169">
        <v>42583</v>
      </c>
      <c r="GH105" s="169">
        <v>42614</v>
      </c>
      <c r="GI105" s="169">
        <v>42644</v>
      </c>
      <c r="GJ105" s="169">
        <v>42675</v>
      </c>
      <c r="GK105" s="169">
        <v>42705</v>
      </c>
      <c r="GL105" s="169">
        <v>42736</v>
      </c>
      <c r="GM105" s="169">
        <v>42767</v>
      </c>
      <c r="GN105" s="169">
        <v>42795</v>
      </c>
      <c r="GO105" s="169">
        <v>42826</v>
      </c>
      <c r="GP105" s="169">
        <v>42856</v>
      </c>
      <c r="GQ105" s="169">
        <v>42887</v>
      </c>
      <c r="GR105" s="169">
        <v>42917</v>
      </c>
      <c r="GS105" s="169">
        <v>42948</v>
      </c>
      <c r="GT105" s="169">
        <v>42979</v>
      </c>
      <c r="GU105" s="169">
        <v>43009</v>
      </c>
      <c r="GV105" s="169">
        <v>43040</v>
      </c>
      <c r="GW105" s="169">
        <v>43070</v>
      </c>
      <c r="GX105" s="169">
        <v>43101</v>
      </c>
      <c r="GY105" s="169">
        <v>43132</v>
      </c>
      <c r="GZ105" s="169">
        <v>43160</v>
      </c>
      <c r="HA105" s="169">
        <v>43191</v>
      </c>
      <c r="HB105" s="169">
        <v>43221</v>
      </c>
      <c r="HC105" s="169">
        <v>43252</v>
      </c>
      <c r="HD105" s="169">
        <v>43282</v>
      </c>
      <c r="HE105" s="169">
        <v>43313</v>
      </c>
      <c r="HF105" s="169">
        <v>43344</v>
      </c>
      <c r="HG105" s="169">
        <v>43374</v>
      </c>
      <c r="HH105" s="169">
        <v>43405</v>
      </c>
      <c r="HI105" s="169">
        <v>43435</v>
      </c>
      <c r="HJ105" s="169">
        <v>43466</v>
      </c>
      <c r="HK105" s="169">
        <v>43497</v>
      </c>
      <c r="HL105" s="169">
        <v>43525</v>
      </c>
      <c r="HM105" s="169">
        <v>43556</v>
      </c>
      <c r="HN105" s="169">
        <v>43586</v>
      </c>
      <c r="HO105" s="169">
        <v>43617</v>
      </c>
      <c r="HP105" s="169">
        <v>43647</v>
      </c>
      <c r="HQ105" s="169">
        <v>43678</v>
      </c>
      <c r="HR105" s="169">
        <v>43709</v>
      </c>
      <c r="HS105" s="169">
        <v>43739</v>
      </c>
      <c r="HT105" s="169">
        <v>43770</v>
      </c>
      <c r="HU105" s="169">
        <v>43800</v>
      </c>
      <c r="HV105" s="169">
        <v>43831</v>
      </c>
      <c r="HW105" s="169">
        <v>43862</v>
      </c>
      <c r="HX105" s="169">
        <v>43891</v>
      </c>
      <c r="HY105" s="169">
        <v>43922</v>
      </c>
      <c r="HZ105" s="169">
        <v>43952</v>
      </c>
      <c r="IA105" s="169">
        <v>43983</v>
      </c>
      <c r="IB105" s="169">
        <v>44013</v>
      </c>
      <c r="IC105" s="169">
        <v>44044</v>
      </c>
      <c r="ID105" s="169">
        <v>44075</v>
      </c>
      <c r="IE105" s="169">
        <v>44105</v>
      </c>
      <c r="IF105" s="169">
        <v>44136</v>
      </c>
      <c r="IG105" s="169">
        <v>44166</v>
      </c>
      <c r="IH105" s="169">
        <v>44197</v>
      </c>
      <c r="II105" s="169">
        <v>44228</v>
      </c>
      <c r="IJ105" s="169">
        <v>44256</v>
      </c>
      <c r="IK105" s="169">
        <v>44287</v>
      </c>
      <c r="IL105" s="169">
        <v>44317</v>
      </c>
      <c r="IM105" s="169">
        <v>44348</v>
      </c>
      <c r="IN105" s="199">
        <v>44378</v>
      </c>
    </row>
    <row r="106" spans="1:248">
      <c r="A106" s="81" t="s">
        <v>1030</v>
      </c>
      <c r="B106" s="284">
        <v>1663</v>
      </c>
      <c r="C106" s="284">
        <v>1356</v>
      </c>
      <c r="D106" s="284">
        <v>1667</v>
      </c>
      <c r="E106" s="284">
        <v>1459</v>
      </c>
      <c r="F106" s="284">
        <v>1678</v>
      </c>
      <c r="G106" s="284">
        <v>1935</v>
      </c>
      <c r="H106" s="284">
        <v>1907</v>
      </c>
      <c r="I106" s="284">
        <v>1763</v>
      </c>
      <c r="J106" s="284">
        <v>1748</v>
      </c>
      <c r="K106" s="284">
        <v>1769</v>
      </c>
      <c r="L106" s="284">
        <v>1733</v>
      </c>
      <c r="M106" s="284">
        <v>2334</v>
      </c>
      <c r="N106" s="284">
        <v>1552</v>
      </c>
      <c r="O106" s="284">
        <v>1699</v>
      </c>
      <c r="P106" s="284">
        <v>1689</v>
      </c>
      <c r="Q106" s="284">
        <v>1776</v>
      </c>
      <c r="R106" s="284">
        <v>1798</v>
      </c>
      <c r="S106" s="284">
        <v>1820</v>
      </c>
      <c r="T106" s="284">
        <v>2025</v>
      </c>
      <c r="U106" s="284">
        <v>1732</v>
      </c>
      <c r="V106" s="284">
        <v>1799</v>
      </c>
      <c r="W106" s="284">
        <v>1895</v>
      </c>
      <c r="X106" s="284">
        <v>1935</v>
      </c>
      <c r="Y106" s="284">
        <v>1899</v>
      </c>
      <c r="Z106" s="284">
        <v>2129</v>
      </c>
      <c r="AA106" s="284">
        <v>2025</v>
      </c>
      <c r="AB106" s="284">
        <v>2071</v>
      </c>
      <c r="AC106" s="284">
        <v>2133</v>
      </c>
      <c r="AD106" s="284">
        <v>2028</v>
      </c>
      <c r="AE106" s="284">
        <v>2154</v>
      </c>
      <c r="AF106" s="284">
        <v>2302</v>
      </c>
      <c r="AG106" s="284">
        <v>2269</v>
      </c>
      <c r="AH106" s="284">
        <v>1944</v>
      </c>
      <c r="AI106" s="284">
        <v>2442</v>
      </c>
      <c r="AJ106" s="284">
        <v>2461</v>
      </c>
      <c r="AK106" s="284">
        <v>2297</v>
      </c>
      <c r="AL106" s="284">
        <v>2322</v>
      </c>
      <c r="AM106" s="284">
        <v>2417</v>
      </c>
      <c r="AN106" s="284">
        <v>2741</v>
      </c>
      <c r="AO106" s="284">
        <v>2382</v>
      </c>
      <c r="AP106" s="284">
        <v>2487</v>
      </c>
      <c r="AQ106" s="284">
        <v>2687</v>
      </c>
      <c r="AR106" s="284">
        <v>3012</v>
      </c>
      <c r="AS106" s="284">
        <v>2749</v>
      </c>
      <c r="AT106" s="284">
        <v>2839</v>
      </c>
      <c r="AU106" s="284">
        <v>2956</v>
      </c>
      <c r="AV106" s="284">
        <v>3155</v>
      </c>
      <c r="AW106" s="284">
        <v>3883</v>
      </c>
      <c r="AX106" s="284">
        <v>3501</v>
      </c>
      <c r="AY106" s="284">
        <v>3679</v>
      </c>
      <c r="AZ106" s="284">
        <v>4450</v>
      </c>
      <c r="BA106" s="284">
        <v>4814</v>
      </c>
      <c r="BB106" s="284">
        <v>4914</v>
      </c>
      <c r="BC106" s="284">
        <v>4626</v>
      </c>
      <c r="BD106" s="284">
        <v>4873</v>
      </c>
      <c r="BE106" s="284">
        <v>4951</v>
      </c>
      <c r="BF106" s="284">
        <v>5091</v>
      </c>
      <c r="BG106" s="284">
        <v>5154</v>
      </c>
      <c r="BH106" s="284">
        <v>5449</v>
      </c>
      <c r="BI106" s="284">
        <v>5066</v>
      </c>
      <c r="BJ106" s="284">
        <v>4048</v>
      </c>
      <c r="BK106" s="284">
        <v>4956</v>
      </c>
      <c r="BL106" s="284">
        <v>5396</v>
      </c>
      <c r="BM106" s="284">
        <v>3314</v>
      </c>
      <c r="BN106" s="284">
        <v>4732</v>
      </c>
      <c r="BO106" s="284">
        <v>3567</v>
      </c>
      <c r="BP106" s="284">
        <v>3148</v>
      </c>
      <c r="BQ106" s="284">
        <v>3266</v>
      </c>
      <c r="BR106" s="284">
        <v>3019</v>
      </c>
      <c r="BS106" s="284">
        <v>3082</v>
      </c>
      <c r="BT106" s="284">
        <v>3314</v>
      </c>
      <c r="BU106" s="284">
        <v>3138</v>
      </c>
      <c r="BV106" s="284">
        <v>3162</v>
      </c>
      <c r="BW106" s="284">
        <v>3596</v>
      </c>
      <c r="BX106" s="284">
        <v>3494</v>
      </c>
      <c r="BY106" s="284">
        <v>2803</v>
      </c>
      <c r="BZ106" s="284">
        <v>3393</v>
      </c>
      <c r="CA106" s="284">
        <v>3319</v>
      </c>
      <c r="CB106" s="284">
        <v>3269</v>
      </c>
      <c r="CC106" s="284">
        <v>3267</v>
      </c>
      <c r="CD106" s="284">
        <v>2613</v>
      </c>
      <c r="CE106" s="284">
        <v>3221</v>
      </c>
      <c r="CF106" s="284">
        <v>2963</v>
      </c>
      <c r="CG106" s="284">
        <v>2773</v>
      </c>
      <c r="CH106" s="284">
        <v>3021</v>
      </c>
      <c r="CI106" s="284">
        <v>3085</v>
      </c>
      <c r="CJ106" s="284">
        <v>2800</v>
      </c>
      <c r="CK106" s="284">
        <v>2729</v>
      </c>
      <c r="CL106" s="284">
        <v>2666</v>
      </c>
      <c r="CM106" s="284">
        <v>2902</v>
      </c>
      <c r="CN106" s="284">
        <v>2737</v>
      </c>
      <c r="CO106" s="284">
        <v>2786</v>
      </c>
      <c r="CP106" s="284">
        <v>2875</v>
      </c>
      <c r="CQ106" s="284">
        <v>3022</v>
      </c>
      <c r="CR106" s="284">
        <v>3055</v>
      </c>
      <c r="CS106" s="284">
        <v>2817</v>
      </c>
      <c r="CT106" s="284">
        <v>2868</v>
      </c>
      <c r="CU106" s="284">
        <v>3605</v>
      </c>
      <c r="CV106" s="284">
        <v>3144</v>
      </c>
      <c r="CW106" s="284">
        <v>2972</v>
      </c>
      <c r="CX106" s="284">
        <v>2901</v>
      </c>
      <c r="CY106" s="284">
        <v>2920</v>
      </c>
      <c r="CZ106" s="284">
        <v>3055</v>
      </c>
      <c r="DA106" s="284">
        <v>2955</v>
      </c>
      <c r="DB106" s="284">
        <v>3398</v>
      </c>
      <c r="DC106" s="284">
        <v>3301</v>
      </c>
      <c r="DD106" s="284">
        <v>3761</v>
      </c>
      <c r="DE106" s="284">
        <v>3328</v>
      </c>
      <c r="DF106" s="284">
        <v>3620</v>
      </c>
      <c r="DG106" s="284">
        <v>3856</v>
      </c>
      <c r="DH106" s="284">
        <v>3888</v>
      </c>
      <c r="DI106" s="284">
        <v>3510</v>
      </c>
      <c r="DJ106" s="284">
        <v>3946</v>
      </c>
      <c r="DK106" s="284">
        <v>4172</v>
      </c>
      <c r="DL106" s="284">
        <v>4542</v>
      </c>
      <c r="DM106" s="284">
        <v>4629</v>
      </c>
      <c r="DN106" s="284">
        <v>4872</v>
      </c>
      <c r="DO106" s="284">
        <v>5184</v>
      </c>
      <c r="DP106" s="284">
        <v>5795</v>
      </c>
      <c r="DQ106" s="284">
        <v>4837</v>
      </c>
      <c r="DR106" s="284">
        <v>4961</v>
      </c>
      <c r="DS106" s="284">
        <v>6500</v>
      </c>
      <c r="DT106" s="284">
        <v>6531</v>
      </c>
      <c r="DU106" s="284">
        <v>5493</v>
      </c>
      <c r="DV106" s="284">
        <v>6531</v>
      </c>
      <c r="DW106" s="284">
        <v>6459</v>
      </c>
      <c r="DX106" s="284">
        <v>6224</v>
      </c>
      <c r="DY106" s="284">
        <v>6122</v>
      </c>
      <c r="DZ106" s="284">
        <v>5653</v>
      </c>
      <c r="EA106" s="284">
        <v>5753</v>
      </c>
      <c r="EB106" s="284">
        <v>5714</v>
      </c>
      <c r="EC106" s="284">
        <v>4259</v>
      </c>
      <c r="ED106" s="284">
        <v>4074</v>
      </c>
      <c r="EE106" s="284">
        <v>4235</v>
      </c>
      <c r="EF106" s="284">
        <v>4432</v>
      </c>
      <c r="EG106" s="284">
        <v>4261</v>
      </c>
      <c r="EH106" s="284">
        <v>2927</v>
      </c>
      <c r="EI106" s="284">
        <v>2046</v>
      </c>
      <c r="EJ106" s="284">
        <v>2539</v>
      </c>
      <c r="EK106" s="284">
        <v>2319</v>
      </c>
      <c r="EL106" s="284">
        <v>2075</v>
      </c>
      <c r="EM106" s="284">
        <v>2187</v>
      </c>
      <c r="EN106" s="284">
        <v>2368</v>
      </c>
      <c r="EO106" s="284">
        <v>2001</v>
      </c>
      <c r="EP106" s="284">
        <v>2058</v>
      </c>
      <c r="EQ106" s="284">
        <v>2409</v>
      </c>
      <c r="ER106" s="284">
        <v>2187</v>
      </c>
      <c r="ES106" s="284">
        <v>2186</v>
      </c>
      <c r="ET106" s="284">
        <v>2240</v>
      </c>
      <c r="EU106" s="284">
        <v>1987</v>
      </c>
      <c r="EV106" s="284">
        <v>2205</v>
      </c>
      <c r="EW106" s="284">
        <v>2028</v>
      </c>
      <c r="EX106" s="284">
        <v>1869</v>
      </c>
      <c r="EY106" s="284">
        <v>2108</v>
      </c>
      <c r="EZ106" s="284">
        <v>2235</v>
      </c>
      <c r="FA106" s="284">
        <v>2007</v>
      </c>
      <c r="FB106" s="284">
        <v>2144</v>
      </c>
      <c r="FC106" s="284">
        <v>2465</v>
      </c>
      <c r="FD106" s="284">
        <v>2477</v>
      </c>
      <c r="FE106" s="284">
        <v>2252</v>
      </c>
      <c r="FF106" s="284">
        <v>2187</v>
      </c>
      <c r="FG106" s="284">
        <v>2221</v>
      </c>
      <c r="FH106" s="284">
        <v>2227</v>
      </c>
      <c r="FI106" s="284">
        <v>2057</v>
      </c>
      <c r="FJ106" s="284">
        <v>2070</v>
      </c>
      <c r="FK106" s="284">
        <v>2246</v>
      </c>
      <c r="FL106" s="284">
        <v>2391</v>
      </c>
      <c r="FM106" s="284">
        <v>2304</v>
      </c>
      <c r="FN106" s="284">
        <v>2185</v>
      </c>
      <c r="FO106" s="284">
        <v>2506</v>
      </c>
      <c r="FP106" s="284">
        <v>2406</v>
      </c>
      <c r="FQ106" s="284">
        <v>2420</v>
      </c>
      <c r="FR106" s="284">
        <v>2493</v>
      </c>
      <c r="FS106" s="284">
        <v>2543</v>
      </c>
      <c r="FT106" s="284">
        <v>2836</v>
      </c>
      <c r="FU106" s="284">
        <v>2550</v>
      </c>
      <c r="FV106" s="284">
        <v>2211</v>
      </c>
      <c r="FW106" s="284">
        <v>2392</v>
      </c>
      <c r="FX106" s="284">
        <v>2570</v>
      </c>
      <c r="FY106" s="284">
        <v>2098</v>
      </c>
      <c r="FZ106" s="284">
        <v>2041</v>
      </c>
      <c r="GA106" s="284">
        <v>2061</v>
      </c>
      <c r="GB106" s="284">
        <v>1891</v>
      </c>
      <c r="GC106" s="284">
        <v>1853</v>
      </c>
      <c r="GD106" s="284">
        <v>2046</v>
      </c>
      <c r="GE106" s="284">
        <v>1805</v>
      </c>
      <c r="GF106" s="284">
        <v>1648</v>
      </c>
      <c r="GG106" s="284">
        <v>1725</v>
      </c>
      <c r="GH106" s="284">
        <v>1845</v>
      </c>
      <c r="GI106" s="284">
        <v>2042</v>
      </c>
      <c r="GJ106" s="284">
        <v>1830</v>
      </c>
      <c r="GK106" s="284">
        <v>2005</v>
      </c>
      <c r="GL106" s="284">
        <v>1752</v>
      </c>
      <c r="GM106" s="284">
        <v>1970</v>
      </c>
      <c r="GN106" s="284">
        <v>1983</v>
      </c>
      <c r="GO106" s="284">
        <v>1675</v>
      </c>
      <c r="GP106" s="284">
        <v>2017</v>
      </c>
      <c r="GQ106" s="284">
        <v>1928</v>
      </c>
      <c r="GR106" s="284">
        <v>1879</v>
      </c>
      <c r="GS106" s="284">
        <v>1815</v>
      </c>
      <c r="GT106" s="284">
        <v>1885</v>
      </c>
      <c r="GU106" s="284">
        <v>2126</v>
      </c>
      <c r="GV106" s="284">
        <v>2326</v>
      </c>
      <c r="GW106" s="284">
        <v>1880</v>
      </c>
      <c r="GX106" s="284">
        <v>2025</v>
      </c>
      <c r="GY106" s="284">
        <v>2410</v>
      </c>
      <c r="GZ106" s="284">
        <v>2115</v>
      </c>
      <c r="HA106" s="284">
        <v>2095</v>
      </c>
      <c r="HB106" s="284">
        <v>2317</v>
      </c>
      <c r="HC106" s="284">
        <v>2058</v>
      </c>
      <c r="HD106" s="284">
        <v>2114</v>
      </c>
      <c r="HE106" s="284">
        <v>2196</v>
      </c>
      <c r="HF106" s="284">
        <v>2272</v>
      </c>
      <c r="HG106" s="284">
        <v>2562</v>
      </c>
      <c r="HH106" s="284">
        <v>2558</v>
      </c>
      <c r="HI106" s="284">
        <v>2337</v>
      </c>
      <c r="HJ106" s="284">
        <v>2645</v>
      </c>
      <c r="HK106" s="284">
        <v>2594</v>
      </c>
      <c r="HL106" s="284">
        <v>2978</v>
      </c>
      <c r="HM106" s="284">
        <v>2536</v>
      </c>
      <c r="HN106" s="284">
        <v>2665</v>
      </c>
      <c r="HO106" s="284">
        <v>2459</v>
      </c>
      <c r="HP106" s="284">
        <v>2487</v>
      </c>
      <c r="HQ106" s="284">
        <v>2525</v>
      </c>
      <c r="HR106" s="284">
        <v>2444</v>
      </c>
      <c r="HS106" s="284">
        <v>2413</v>
      </c>
      <c r="HT106" s="284">
        <v>2292</v>
      </c>
      <c r="HU106" s="284">
        <v>1950</v>
      </c>
      <c r="HV106" s="284">
        <v>4336</v>
      </c>
      <c r="HW106" s="284">
        <v>4773</v>
      </c>
      <c r="HX106" s="284">
        <v>4750</v>
      </c>
      <c r="HY106" s="284">
        <v>4152</v>
      </c>
      <c r="HZ106" s="284">
        <v>4144</v>
      </c>
      <c r="IA106" s="284">
        <v>4348</v>
      </c>
      <c r="IB106" s="284">
        <v>4570</v>
      </c>
      <c r="IC106" s="284">
        <v>4802</v>
      </c>
      <c r="ID106" s="284">
        <v>4732</v>
      </c>
      <c r="IE106" s="284">
        <v>5088</v>
      </c>
      <c r="IF106" s="284">
        <v>4717</v>
      </c>
      <c r="IG106" s="284">
        <v>4319</v>
      </c>
      <c r="IH106" s="284">
        <v>4312</v>
      </c>
      <c r="II106" s="284">
        <v>4743</v>
      </c>
      <c r="IJ106" s="284">
        <v>4749</v>
      </c>
      <c r="IK106" s="284">
        <v>4773</v>
      </c>
      <c r="IL106" s="284">
        <v>4280</v>
      </c>
      <c r="IM106" s="850">
        <v>4461</v>
      </c>
      <c r="IN106" s="168"/>
    </row>
    <row r="107" spans="1:248">
      <c r="A107" s="81" t="s">
        <v>189</v>
      </c>
      <c r="B107" s="285">
        <v>580</v>
      </c>
      <c r="C107" s="285">
        <v>542</v>
      </c>
      <c r="D107" s="285">
        <v>518</v>
      </c>
      <c r="E107" s="285">
        <v>558</v>
      </c>
      <c r="F107" s="285">
        <v>581</v>
      </c>
      <c r="G107" s="285">
        <v>589</v>
      </c>
      <c r="H107" s="285">
        <v>626</v>
      </c>
      <c r="I107" s="285">
        <v>598</v>
      </c>
      <c r="J107" s="285">
        <v>588</v>
      </c>
      <c r="K107" s="285">
        <v>578</v>
      </c>
      <c r="L107" s="285">
        <v>576</v>
      </c>
      <c r="M107" s="285">
        <v>465</v>
      </c>
      <c r="N107" s="285">
        <v>475</v>
      </c>
      <c r="O107" s="285">
        <v>513</v>
      </c>
      <c r="P107" s="285">
        <v>449</v>
      </c>
      <c r="Q107" s="285">
        <v>521</v>
      </c>
      <c r="R107" s="285">
        <v>597</v>
      </c>
      <c r="S107" s="285">
        <v>534</v>
      </c>
      <c r="T107" s="285">
        <v>534</v>
      </c>
      <c r="U107" s="285">
        <v>559</v>
      </c>
      <c r="V107" s="285">
        <v>510</v>
      </c>
      <c r="W107" s="285">
        <v>636</v>
      </c>
      <c r="X107" s="285">
        <v>729</v>
      </c>
      <c r="Y107" s="285">
        <v>665</v>
      </c>
      <c r="Z107" s="285">
        <v>664</v>
      </c>
      <c r="AA107" s="285">
        <v>644</v>
      </c>
      <c r="AB107" s="285">
        <v>679</v>
      </c>
      <c r="AC107" s="285">
        <v>651</v>
      </c>
      <c r="AD107" s="285">
        <v>693</v>
      </c>
      <c r="AE107" s="285">
        <v>621</v>
      </c>
      <c r="AF107" s="285">
        <v>716</v>
      </c>
      <c r="AG107" s="285">
        <v>697</v>
      </c>
      <c r="AH107" s="285">
        <v>705</v>
      </c>
      <c r="AI107" s="285">
        <v>658</v>
      </c>
      <c r="AJ107" s="285">
        <v>500</v>
      </c>
      <c r="AK107" s="285">
        <v>444</v>
      </c>
      <c r="AL107" s="285">
        <v>450</v>
      </c>
      <c r="AM107" s="285">
        <v>488</v>
      </c>
      <c r="AN107" s="285">
        <v>450</v>
      </c>
      <c r="AO107" s="285">
        <v>428</v>
      </c>
      <c r="AP107" s="285">
        <v>591</v>
      </c>
      <c r="AQ107" s="285">
        <v>599</v>
      </c>
      <c r="AR107" s="285">
        <v>535</v>
      </c>
      <c r="AS107" s="285">
        <v>667</v>
      </c>
      <c r="AT107" s="285">
        <v>693</v>
      </c>
      <c r="AU107" s="285">
        <v>718</v>
      </c>
      <c r="AV107" s="285">
        <v>719</v>
      </c>
      <c r="AW107" s="285">
        <v>741</v>
      </c>
      <c r="AX107" s="285">
        <v>604</v>
      </c>
      <c r="AY107" s="285">
        <v>787</v>
      </c>
      <c r="AZ107" s="285">
        <v>681</v>
      </c>
      <c r="BA107" s="285">
        <v>687</v>
      </c>
      <c r="BB107" s="285">
        <v>716</v>
      </c>
      <c r="BC107" s="285">
        <v>897</v>
      </c>
      <c r="BD107" s="285">
        <v>1072</v>
      </c>
      <c r="BE107" s="285">
        <v>1217</v>
      </c>
      <c r="BF107" s="285">
        <v>1120</v>
      </c>
      <c r="BG107" s="285">
        <v>1274</v>
      </c>
      <c r="BH107" s="285">
        <v>1269</v>
      </c>
      <c r="BI107" s="285">
        <v>1318</v>
      </c>
      <c r="BJ107" s="285">
        <v>1447</v>
      </c>
      <c r="BK107" s="285">
        <v>1204</v>
      </c>
      <c r="BL107" s="285">
        <v>1218</v>
      </c>
      <c r="BM107" s="285">
        <v>1136</v>
      </c>
      <c r="BN107" s="285">
        <v>1137</v>
      </c>
      <c r="BO107" s="285">
        <v>1360</v>
      </c>
      <c r="BP107" s="285">
        <v>1334</v>
      </c>
      <c r="BQ107" s="285">
        <v>1401</v>
      </c>
      <c r="BR107" s="285">
        <v>1593</v>
      </c>
      <c r="BS107" s="285">
        <v>1523</v>
      </c>
      <c r="BT107" s="285">
        <v>1573</v>
      </c>
      <c r="BU107" s="285">
        <v>1254</v>
      </c>
      <c r="BV107" s="285">
        <v>1281</v>
      </c>
      <c r="BW107" s="285">
        <v>1295</v>
      </c>
      <c r="BX107" s="285">
        <v>1466</v>
      </c>
      <c r="BY107" s="285">
        <v>1281</v>
      </c>
      <c r="BZ107" s="285">
        <v>1287</v>
      </c>
      <c r="CA107" s="285">
        <v>1234</v>
      </c>
      <c r="CB107" s="285">
        <v>1171</v>
      </c>
      <c r="CC107" s="285">
        <v>1433</v>
      </c>
      <c r="CD107" s="285">
        <v>1301</v>
      </c>
      <c r="CE107" s="285">
        <v>1390</v>
      </c>
      <c r="CF107" s="285">
        <v>1409</v>
      </c>
      <c r="CG107" s="285">
        <v>1315</v>
      </c>
      <c r="CH107" s="285">
        <v>1334</v>
      </c>
      <c r="CI107" s="285">
        <v>1377</v>
      </c>
      <c r="CJ107" s="285">
        <v>1490</v>
      </c>
      <c r="CK107" s="285">
        <v>1479</v>
      </c>
      <c r="CL107" s="285">
        <v>1386</v>
      </c>
      <c r="CM107" s="285">
        <v>1381</v>
      </c>
      <c r="CN107" s="285">
        <v>1530</v>
      </c>
      <c r="CO107" s="285">
        <v>991</v>
      </c>
      <c r="CP107" s="285">
        <v>1223</v>
      </c>
      <c r="CQ107" s="285">
        <v>1352</v>
      </c>
      <c r="CR107" s="285">
        <v>1277</v>
      </c>
      <c r="CS107" s="285">
        <v>1098</v>
      </c>
      <c r="CT107" s="285">
        <v>866</v>
      </c>
      <c r="CU107" s="285">
        <v>656</v>
      </c>
      <c r="CV107" s="285">
        <v>698</v>
      </c>
      <c r="CW107" s="285">
        <v>658</v>
      </c>
      <c r="CX107" s="285">
        <v>762</v>
      </c>
      <c r="CY107" s="285">
        <v>711</v>
      </c>
      <c r="CZ107" s="285">
        <v>822</v>
      </c>
      <c r="DA107" s="285">
        <v>780</v>
      </c>
      <c r="DB107" s="285">
        <v>849</v>
      </c>
      <c r="DC107" s="285">
        <v>979</v>
      </c>
      <c r="DD107" s="285">
        <v>937</v>
      </c>
      <c r="DE107" s="285">
        <v>942</v>
      </c>
      <c r="DF107" s="285">
        <v>957</v>
      </c>
      <c r="DG107" s="285">
        <v>1241</v>
      </c>
      <c r="DH107" s="285">
        <v>1405</v>
      </c>
      <c r="DI107" s="285">
        <v>1421</v>
      </c>
      <c r="DJ107" s="285">
        <v>1443</v>
      </c>
      <c r="DK107" s="285">
        <v>1414</v>
      </c>
      <c r="DL107" s="285">
        <v>1399</v>
      </c>
      <c r="DM107" s="285">
        <v>1327</v>
      </c>
      <c r="DN107" s="285">
        <v>1512</v>
      </c>
      <c r="DO107" s="285">
        <v>1377</v>
      </c>
      <c r="DP107" s="285">
        <v>1200</v>
      </c>
      <c r="DQ107" s="285">
        <v>1143</v>
      </c>
      <c r="DR107" s="285">
        <v>1125</v>
      </c>
      <c r="DS107" s="285">
        <v>1120</v>
      </c>
      <c r="DT107" s="285">
        <v>1421</v>
      </c>
      <c r="DU107" s="285">
        <v>1546</v>
      </c>
      <c r="DV107" s="285">
        <v>1489</v>
      </c>
      <c r="DW107" s="285">
        <v>1484</v>
      </c>
      <c r="DX107" s="285">
        <v>1420</v>
      </c>
      <c r="DY107" s="285">
        <v>1627</v>
      </c>
      <c r="DZ107" s="285">
        <v>1684</v>
      </c>
      <c r="EA107" s="285">
        <v>1548</v>
      </c>
      <c r="EB107" s="285">
        <v>1803</v>
      </c>
      <c r="EC107" s="285">
        <v>1728</v>
      </c>
      <c r="ED107" s="285">
        <v>1811</v>
      </c>
      <c r="EE107" s="285">
        <v>1730</v>
      </c>
      <c r="EF107" s="285">
        <v>1778</v>
      </c>
      <c r="EG107" s="285">
        <v>1936</v>
      </c>
      <c r="EH107" s="285">
        <v>1755</v>
      </c>
      <c r="EI107" s="285">
        <v>1911</v>
      </c>
      <c r="EJ107" s="285">
        <v>1871</v>
      </c>
      <c r="EK107" s="285">
        <v>1899</v>
      </c>
      <c r="EL107" s="285">
        <v>1898</v>
      </c>
      <c r="EM107" s="285">
        <v>1769</v>
      </c>
      <c r="EN107" s="285">
        <v>1576</v>
      </c>
      <c r="EO107" s="285">
        <v>1331</v>
      </c>
      <c r="EP107" s="285">
        <v>1371</v>
      </c>
      <c r="EQ107" s="285">
        <v>1565</v>
      </c>
      <c r="ER107" s="285">
        <v>1670</v>
      </c>
      <c r="ES107" s="285">
        <v>1596</v>
      </c>
      <c r="ET107" s="285">
        <v>1613</v>
      </c>
      <c r="EU107" s="285">
        <v>1457</v>
      </c>
      <c r="EV107" s="285">
        <v>1707</v>
      </c>
      <c r="EW107" s="285">
        <v>1663</v>
      </c>
      <c r="EX107" s="285">
        <v>1520</v>
      </c>
      <c r="EY107" s="285">
        <v>1547</v>
      </c>
      <c r="EZ107" s="285">
        <v>1405</v>
      </c>
      <c r="FA107" s="285">
        <v>1559</v>
      </c>
      <c r="FB107" s="285">
        <v>1387</v>
      </c>
      <c r="FC107" s="285">
        <v>1513</v>
      </c>
      <c r="FD107" s="285">
        <v>1616</v>
      </c>
      <c r="FE107" s="285">
        <v>1343</v>
      </c>
      <c r="FF107" s="285">
        <v>1407</v>
      </c>
      <c r="FG107" s="285">
        <v>1189</v>
      </c>
      <c r="FH107" s="285">
        <v>1307</v>
      </c>
      <c r="FI107" s="285">
        <v>1562</v>
      </c>
      <c r="FJ107" s="285">
        <v>1431</v>
      </c>
      <c r="FK107" s="285">
        <v>1435</v>
      </c>
      <c r="FL107" s="285">
        <v>1589</v>
      </c>
      <c r="FM107" s="285">
        <v>1544</v>
      </c>
      <c r="FN107" s="285">
        <v>1497</v>
      </c>
      <c r="FO107" s="285">
        <v>1570</v>
      </c>
      <c r="FP107" s="285">
        <v>1574</v>
      </c>
      <c r="FQ107" s="285">
        <v>1592</v>
      </c>
      <c r="FR107" s="285">
        <v>1603</v>
      </c>
      <c r="FS107" s="285">
        <v>1367</v>
      </c>
      <c r="FT107" s="285">
        <v>1722</v>
      </c>
      <c r="FU107" s="285">
        <v>1513</v>
      </c>
      <c r="FV107" s="285">
        <v>1405</v>
      </c>
      <c r="FW107" s="285">
        <v>1543</v>
      </c>
      <c r="FX107" s="285">
        <v>1347</v>
      </c>
      <c r="FY107" s="285">
        <v>1353</v>
      </c>
      <c r="FZ107" s="285">
        <v>1404</v>
      </c>
      <c r="GA107" s="285">
        <v>1527</v>
      </c>
      <c r="GB107" s="285">
        <v>1462</v>
      </c>
      <c r="GC107" s="285">
        <v>1166</v>
      </c>
      <c r="GD107" s="285">
        <v>1412</v>
      </c>
      <c r="GE107" s="285">
        <v>1324</v>
      </c>
      <c r="GF107" s="285">
        <v>1336</v>
      </c>
      <c r="GG107" s="285">
        <v>1394</v>
      </c>
      <c r="GH107" s="285">
        <v>1313</v>
      </c>
      <c r="GI107" s="285">
        <v>1477</v>
      </c>
      <c r="GJ107" s="285">
        <v>1182</v>
      </c>
      <c r="GK107" s="285">
        <v>1458</v>
      </c>
      <c r="GL107" s="285">
        <v>1406</v>
      </c>
      <c r="GM107" s="285">
        <v>1454</v>
      </c>
      <c r="GN107" s="285">
        <v>1715</v>
      </c>
      <c r="GO107" s="285">
        <v>1556</v>
      </c>
      <c r="GP107" s="285">
        <v>1525</v>
      </c>
      <c r="GQ107" s="285">
        <v>1703</v>
      </c>
      <c r="GR107" s="285">
        <v>1775</v>
      </c>
      <c r="GS107" s="285">
        <v>1840</v>
      </c>
      <c r="GT107" s="285">
        <v>1726</v>
      </c>
      <c r="GU107" s="285">
        <v>1812</v>
      </c>
      <c r="GV107" s="285">
        <v>1932</v>
      </c>
      <c r="GW107" s="285">
        <v>1584</v>
      </c>
      <c r="GX107" s="285">
        <v>1739</v>
      </c>
      <c r="GY107" s="285">
        <v>1841</v>
      </c>
      <c r="GZ107" s="285">
        <v>1839</v>
      </c>
      <c r="HA107" s="285">
        <v>1515</v>
      </c>
      <c r="HB107" s="285">
        <v>1653</v>
      </c>
      <c r="HC107" s="285">
        <v>1811</v>
      </c>
      <c r="HD107" s="285">
        <v>1727</v>
      </c>
      <c r="HE107" s="285">
        <v>1849</v>
      </c>
      <c r="HF107" s="285">
        <v>1631</v>
      </c>
      <c r="HG107" s="285">
        <v>1781</v>
      </c>
      <c r="HH107" s="285">
        <v>1637</v>
      </c>
      <c r="HI107" s="285">
        <v>1533</v>
      </c>
      <c r="HJ107" s="285">
        <v>1682</v>
      </c>
      <c r="HK107" s="285">
        <v>1979</v>
      </c>
      <c r="HL107" s="285">
        <v>1714</v>
      </c>
      <c r="HM107" s="285">
        <v>1986</v>
      </c>
      <c r="HN107" s="285">
        <v>2032</v>
      </c>
      <c r="HO107" s="285">
        <v>1871</v>
      </c>
      <c r="HP107" s="286">
        <v>1918</v>
      </c>
      <c r="HQ107" s="286">
        <v>2016</v>
      </c>
      <c r="HR107" s="286">
        <v>1481</v>
      </c>
      <c r="HS107" s="286">
        <v>2027</v>
      </c>
      <c r="HT107" s="286">
        <v>2106</v>
      </c>
      <c r="HU107" s="286">
        <v>1703</v>
      </c>
      <c r="HV107" s="545">
        <v>1509</v>
      </c>
      <c r="HW107" s="545">
        <v>1791</v>
      </c>
      <c r="HX107" s="545">
        <v>1714</v>
      </c>
      <c r="HY107" s="545">
        <v>1535</v>
      </c>
      <c r="HZ107" s="545">
        <v>1669</v>
      </c>
      <c r="IA107" s="545">
        <v>1619</v>
      </c>
      <c r="IB107" s="545">
        <v>1584</v>
      </c>
      <c r="IC107" s="545">
        <v>1924</v>
      </c>
      <c r="ID107" s="545">
        <v>1466</v>
      </c>
      <c r="IE107" s="545">
        <v>1893</v>
      </c>
      <c r="IF107" s="545">
        <v>1743</v>
      </c>
      <c r="IG107" s="285">
        <v>1708</v>
      </c>
      <c r="IH107" s="545">
        <v>1591</v>
      </c>
      <c r="II107" s="545">
        <v>1748</v>
      </c>
      <c r="IJ107" s="545">
        <v>1504</v>
      </c>
      <c r="IK107" s="545">
        <v>1572</v>
      </c>
      <c r="IL107" s="545">
        <v>1806</v>
      </c>
      <c r="IM107" s="851">
        <v>1625</v>
      </c>
      <c r="IN107" s="168"/>
    </row>
    <row r="108" spans="1:248">
      <c r="A108" s="81" t="s">
        <v>146</v>
      </c>
      <c r="B108" s="284">
        <v>39</v>
      </c>
      <c r="C108" s="284">
        <v>65</v>
      </c>
      <c r="D108" s="284">
        <v>57</v>
      </c>
      <c r="E108" s="284">
        <v>38</v>
      </c>
      <c r="F108" s="284">
        <v>54</v>
      </c>
      <c r="G108" s="284">
        <v>47</v>
      </c>
      <c r="H108" s="284">
        <v>59</v>
      </c>
      <c r="I108" s="284">
        <v>79</v>
      </c>
      <c r="J108" s="284">
        <v>39</v>
      </c>
      <c r="K108" s="284">
        <v>38</v>
      </c>
      <c r="L108" s="284">
        <v>40</v>
      </c>
      <c r="M108" s="284">
        <v>35</v>
      </c>
      <c r="N108" s="284">
        <v>28</v>
      </c>
      <c r="O108" s="284">
        <v>28</v>
      </c>
      <c r="P108" s="284">
        <v>39</v>
      </c>
      <c r="Q108" s="284">
        <v>28</v>
      </c>
      <c r="R108" s="284">
        <v>30</v>
      </c>
      <c r="S108" s="284">
        <v>49</v>
      </c>
      <c r="T108" s="284">
        <v>30</v>
      </c>
      <c r="U108" s="284">
        <v>36</v>
      </c>
      <c r="V108" s="284">
        <v>44</v>
      </c>
      <c r="W108" s="284">
        <v>46</v>
      </c>
      <c r="X108" s="284">
        <v>37</v>
      </c>
      <c r="Y108" s="284">
        <v>24</v>
      </c>
      <c r="Z108" s="284">
        <v>34</v>
      </c>
      <c r="AA108" s="284">
        <v>30</v>
      </c>
      <c r="AB108" s="284">
        <v>33</v>
      </c>
      <c r="AC108" s="284">
        <v>39</v>
      </c>
      <c r="AD108" s="284">
        <v>60</v>
      </c>
      <c r="AE108" s="284">
        <v>59</v>
      </c>
      <c r="AF108" s="284">
        <v>41</v>
      </c>
      <c r="AG108" s="284">
        <v>45</v>
      </c>
      <c r="AH108" s="284">
        <v>46</v>
      </c>
      <c r="AI108" s="284">
        <v>42</v>
      </c>
      <c r="AJ108" s="284">
        <v>51</v>
      </c>
      <c r="AK108" s="284">
        <v>58</v>
      </c>
      <c r="AL108" s="284">
        <v>28</v>
      </c>
      <c r="AM108" s="284">
        <v>36</v>
      </c>
      <c r="AN108" s="284">
        <v>26</v>
      </c>
      <c r="AO108" s="284">
        <v>106</v>
      </c>
      <c r="AP108" s="284">
        <v>62</v>
      </c>
      <c r="AQ108" s="284">
        <v>71</v>
      </c>
      <c r="AR108" s="284">
        <v>162</v>
      </c>
      <c r="AS108" s="284">
        <v>64</v>
      </c>
      <c r="AT108" s="284">
        <v>62</v>
      </c>
      <c r="AU108" s="284">
        <v>32</v>
      </c>
      <c r="AV108" s="284">
        <v>26</v>
      </c>
      <c r="AW108" s="284">
        <v>47</v>
      </c>
      <c r="AX108" s="284">
        <v>77</v>
      </c>
      <c r="AY108" s="284">
        <v>102</v>
      </c>
      <c r="AZ108" s="284">
        <v>56</v>
      </c>
      <c r="BA108" s="284">
        <v>40</v>
      </c>
      <c r="BB108" s="284">
        <v>66</v>
      </c>
      <c r="BC108" s="284">
        <v>73</v>
      </c>
      <c r="BD108" s="284">
        <v>74</v>
      </c>
      <c r="BE108" s="284">
        <v>79</v>
      </c>
      <c r="BF108" s="284">
        <v>54</v>
      </c>
      <c r="BG108" s="284">
        <v>60</v>
      </c>
      <c r="BH108" s="284">
        <v>63</v>
      </c>
      <c r="BI108" s="284">
        <v>55</v>
      </c>
      <c r="BJ108" s="284">
        <v>37</v>
      </c>
      <c r="BK108" s="284">
        <v>44</v>
      </c>
      <c r="BL108" s="284">
        <v>55</v>
      </c>
      <c r="BM108" s="284">
        <v>48</v>
      </c>
      <c r="BN108" s="284">
        <v>45</v>
      </c>
      <c r="BO108" s="284">
        <v>49</v>
      </c>
      <c r="BP108" s="284">
        <v>56</v>
      </c>
      <c r="BQ108" s="284">
        <v>56</v>
      </c>
      <c r="BR108" s="284">
        <v>63</v>
      </c>
      <c r="BS108" s="284">
        <v>58</v>
      </c>
      <c r="BT108" s="284">
        <v>64</v>
      </c>
      <c r="BU108" s="284">
        <v>52</v>
      </c>
      <c r="BV108" s="284">
        <v>66</v>
      </c>
      <c r="BW108" s="284">
        <v>77</v>
      </c>
      <c r="BX108" s="284">
        <v>56</v>
      </c>
      <c r="BY108" s="284">
        <v>71</v>
      </c>
      <c r="BZ108" s="284">
        <v>71</v>
      </c>
      <c r="CA108" s="284">
        <v>152</v>
      </c>
      <c r="CB108" s="284">
        <v>173</v>
      </c>
      <c r="CC108" s="284">
        <v>182</v>
      </c>
      <c r="CD108" s="284">
        <v>178</v>
      </c>
      <c r="CE108" s="284">
        <v>91</v>
      </c>
      <c r="CF108" s="284">
        <v>323</v>
      </c>
      <c r="CG108" s="284">
        <v>99</v>
      </c>
      <c r="CH108" s="284">
        <v>165</v>
      </c>
      <c r="CI108" s="284">
        <v>190</v>
      </c>
      <c r="CJ108" s="284">
        <v>139</v>
      </c>
      <c r="CK108" s="284">
        <v>145</v>
      </c>
      <c r="CL108" s="284">
        <v>183</v>
      </c>
      <c r="CM108" s="284">
        <v>149</v>
      </c>
      <c r="CN108" s="284">
        <v>193</v>
      </c>
      <c r="CO108" s="284">
        <v>216</v>
      </c>
      <c r="CP108" s="284">
        <v>191</v>
      </c>
      <c r="CQ108" s="284">
        <v>171</v>
      </c>
      <c r="CR108" s="284">
        <v>124</v>
      </c>
      <c r="CS108" s="284">
        <v>120</v>
      </c>
      <c r="CT108" s="284">
        <v>155</v>
      </c>
      <c r="CU108" s="284">
        <v>134</v>
      </c>
      <c r="CV108" s="284">
        <v>125</v>
      </c>
      <c r="CW108" s="284">
        <v>78</v>
      </c>
      <c r="CX108" s="284">
        <v>103</v>
      </c>
      <c r="CY108" s="284">
        <v>132</v>
      </c>
      <c r="CZ108" s="284">
        <v>120</v>
      </c>
      <c r="DA108" s="284">
        <v>123</v>
      </c>
      <c r="DB108" s="284">
        <v>151</v>
      </c>
      <c r="DC108" s="284">
        <v>164</v>
      </c>
      <c r="DD108" s="284">
        <v>199</v>
      </c>
      <c r="DE108" s="284">
        <v>286</v>
      </c>
      <c r="DF108" s="284">
        <v>272</v>
      </c>
      <c r="DG108" s="284">
        <v>225</v>
      </c>
      <c r="DH108" s="284">
        <v>214</v>
      </c>
      <c r="DI108" s="284">
        <v>165</v>
      </c>
      <c r="DJ108" s="284">
        <v>182</v>
      </c>
      <c r="DK108" s="284">
        <v>268</v>
      </c>
      <c r="DL108" s="284">
        <v>166</v>
      </c>
      <c r="DM108" s="284">
        <v>422</v>
      </c>
      <c r="DN108" s="284">
        <v>460</v>
      </c>
      <c r="DO108" s="284">
        <v>254</v>
      </c>
      <c r="DP108" s="284">
        <v>266</v>
      </c>
      <c r="DQ108" s="284">
        <v>230</v>
      </c>
      <c r="DR108" s="284">
        <v>188</v>
      </c>
      <c r="DS108" s="284">
        <v>184</v>
      </c>
      <c r="DT108" s="284">
        <v>212</v>
      </c>
      <c r="DU108" s="284">
        <v>200</v>
      </c>
      <c r="DV108" s="284">
        <v>176</v>
      </c>
      <c r="DW108" s="284">
        <v>165</v>
      </c>
      <c r="DX108" s="284">
        <v>18</v>
      </c>
      <c r="DY108" s="284">
        <v>104</v>
      </c>
      <c r="DZ108" s="284">
        <v>118</v>
      </c>
      <c r="EA108" s="284">
        <v>94</v>
      </c>
      <c r="EB108" s="284">
        <v>62</v>
      </c>
      <c r="EC108" s="284">
        <v>41</v>
      </c>
      <c r="ED108" s="284">
        <v>26</v>
      </c>
      <c r="EE108" s="284">
        <v>24</v>
      </c>
      <c r="EF108" s="284">
        <v>56</v>
      </c>
      <c r="EG108" s="284">
        <v>48</v>
      </c>
      <c r="EH108" s="284">
        <v>46</v>
      </c>
      <c r="EI108" s="284">
        <v>30</v>
      </c>
      <c r="EJ108" s="284">
        <v>39</v>
      </c>
      <c r="EK108" s="284">
        <v>25</v>
      </c>
      <c r="EL108" s="284">
        <v>27</v>
      </c>
      <c r="EM108" s="284">
        <v>35</v>
      </c>
      <c r="EN108" s="284">
        <v>52</v>
      </c>
      <c r="EO108" s="284">
        <v>39</v>
      </c>
      <c r="EP108" s="284">
        <v>61</v>
      </c>
      <c r="EQ108" s="284">
        <v>44</v>
      </c>
      <c r="ER108" s="284">
        <v>49</v>
      </c>
      <c r="ES108" s="284">
        <v>31</v>
      </c>
      <c r="ET108" s="284">
        <v>34</v>
      </c>
      <c r="EU108" s="284">
        <v>34</v>
      </c>
      <c r="EV108" s="284">
        <v>32</v>
      </c>
      <c r="EW108" s="284">
        <v>53</v>
      </c>
      <c r="EX108" s="284">
        <v>44</v>
      </c>
      <c r="EY108" s="284">
        <v>36</v>
      </c>
      <c r="EZ108" s="284">
        <v>60</v>
      </c>
      <c r="FA108" s="284">
        <v>182</v>
      </c>
      <c r="FB108" s="284">
        <v>31</v>
      </c>
      <c r="FC108" s="284">
        <v>251</v>
      </c>
      <c r="FD108" s="284">
        <v>247</v>
      </c>
      <c r="FE108" s="284">
        <v>869</v>
      </c>
      <c r="FF108" s="284">
        <v>594</v>
      </c>
      <c r="FG108" s="284">
        <v>438</v>
      </c>
      <c r="FH108" s="284">
        <v>810</v>
      </c>
      <c r="FI108" s="284">
        <v>794</v>
      </c>
      <c r="FJ108" s="284">
        <v>719</v>
      </c>
      <c r="FK108" s="284">
        <v>994</v>
      </c>
      <c r="FL108" s="284">
        <v>682</v>
      </c>
      <c r="FM108" s="284">
        <v>184</v>
      </c>
      <c r="FN108" s="284">
        <v>190</v>
      </c>
      <c r="FO108" s="284">
        <v>198</v>
      </c>
      <c r="FP108" s="284">
        <v>316</v>
      </c>
      <c r="FQ108" s="284">
        <v>441</v>
      </c>
      <c r="FR108" s="284">
        <v>590</v>
      </c>
      <c r="FS108" s="284">
        <v>498</v>
      </c>
      <c r="FT108" s="284">
        <v>536</v>
      </c>
      <c r="FU108" s="284">
        <v>421</v>
      </c>
      <c r="FV108" s="284">
        <v>421</v>
      </c>
      <c r="FW108" s="284">
        <v>549</v>
      </c>
      <c r="FX108" s="284">
        <v>708</v>
      </c>
      <c r="FY108" s="284">
        <v>682</v>
      </c>
      <c r="FZ108" s="284">
        <v>498</v>
      </c>
      <c r="GA108" s="284">
        <v>505</v>
      </c>
      <c r="GB108" s="284">
        <v>259</v>
      </c>
      <c r="GC108" s="284">
        <v>680</v>
      </c>
      <c r="GD108" s="284">
        <v>575</v>
      </c>
      <c r="GE108" s="284">
        <v>607</v>
      </c>
      <c r="GF108" s="284">
        <v>625</v>
      </c>
      <c r="GG108" s="284">
        <v>505</v>
      </c>
      <c r="GH108" s="284">
        <v>608</v>
      </c>
      <c r="GI108" s="284">
        <v>625</v>
      </c>
      <c r="GJ108" s="284">
        <v>630</v>
      </c>
      <c r="GK108" s="284">
        <v>656</v>
      </c>
      <c r="GL108" s="284">
        <v>645</v>
      </c>
      <c r="GM108" s="284">
        <v>704</v>
      </c>
      <c r="GN108" s="284">
        <v>710</v>
      </c>
      <c r="GO108" s="284">
        <v>531</v>
      </c>
      <c r="GP108" s="284">
        <v>741</v>
      </c>
      <c r="GQ108" s="284">
        <v>532</v>
      </c>
      <c r="GR108" s="284">
        <v>577</v>
      </c>
      <c r="GS108" s="284">
        <v>723</v>
      </c>
      <c r="GT108" s="284">
        <v>712</v>
      </c>
      <c r="GU108" s="284">
        <v>942</v>
      </c>
      <c r="GV108" s="284">
        <v>663</v>
      </c>
      <c r="GW108" s="284">
        <v>643</v>
      </c>
      <c r="GX108" s="284">
        <v>1064</v>
      </c>
      <c r="GY108" s="284">
        <v>688</v>
      </c>
      <c r="GZ108" s="284">
        <v>683</v>
      </c>
      <c r="HA108" s="284">
        <v>689</v>
      </c>
      <c r="HB108" s="284">
        <v>775</v>
      </c>
      <c r="HC108" s="284">
        <v>518</v>
      </c>
      <c r="HD108" s="284">
        <v>607</v>
      </c>
      <c r="HE108" s="284">
        <v>607</v>
      </c>
      <c r="HF108" s="284">
        <v>892</v>
      </c>
      <c r="HG108" s="284">
        <v>922</v>
      </c>
      <c r="HH108" s="284">
        <v>717</v>
      </c>
      <c r="HI108" s="284">
        <v>641</v>
      </c>
      <c r="HJ108" s="284">
        <v>690</v>
      </c>
      <c r="HK108" s="284">
        <v>667</v>
      </c>
      <c r="HL108" s="284">
        <v>796</v>
      </c>
      <c r="HM108" s="284">
        <v>771</v>
      </c>
      <c r="HN108" s="284">
        <v>690</v>
      </c>
      <c r="HO108" s="284">
        <v>591</v>
      </c>
      <c r="HP108" s="284">
        <v>775</v>
      </c>
      <c r="HQ108" s="284">
        <v>965</v>
      </c>
      <c r="HR108" s="284">
        <v>1203</v>
      </c>
      <c r="HS108" s="284">
        <v>1078</v>
      </c>
      <c r="HT108" s="284">
        <v>777</v>
      </c>
      <c r="HU108" s="284">
        <v>918</v>
      </c>
      <c r="HV108" s="284">
        <v>785</v>
      </c>
      <c r="HW108" s="284">
        <v>819</v>
      </c>
      <c r="HX108" s="284">
        <v>968</v>
      </c>
      <c r="HY108" s="284">
        <v>710</v>
      </c>
      <c r="HZ108" s="284">
        <v>774</v>
      </c>
      <c r="IA108" s="284">
        <v>722</v>
      </c>
      <c r="IB108" s="284">
        <v>374</v>
      </c>
      <c r="IC108" s="284">
        <v>618</v>
      </c>
      <c r="ID108" s="284">
        <v>472</v>
      </c>
      <c r="IE108" s="284">
        <v>567</v>
      </c>
      <c r="IF108" s="284">
        <v>825</v>
      </c>
      <c r="IG108" s="284">
        <v>539</v>
      </c>
      <c r="IH108" s="284">
        <v>612</v>
      </c>
      <c r="II108" s="284">
        <v>646</v>
      </c>
      <c r="IJ108" s="284">
        <v>692</v>
      </c>
      <c r="IK108" s="284">
        <v>610</v>
      </c>
      <c r="IL108" s="284">
        <v>524</v>
      </c>
      <c r="IM108" s="850">
        <v>513</v>
      </c>
      <c r="IN108" s="168"/>
    </row>
    <row r="109" spans="1:248">
      <c r="A109" s="81" t="s">
        <v>148</v>
      </c>
      <c r="B109" s="285">
        <v>204</v>
      </c>
      <c r="C109" s="285">
        <v>265</v>
      </c>
      <c r="D109" s="285">
        <v>236</v>
      </c>
      <c r="E109" s="285">
        <v>228</v>
      </c>
      <c r="F109" s="285">
        <v>233</v>
      </c>
      <c r="G109" s="285">
        <v>278</v>
      </c>
      <c r="H109" s="285">
        <v>225</v>
      </c>
      <c r="I109" s="285">
        <v>237</v>
      </c>
      <c r="J109" s="285">
        <v>237</v>
      </c>
      <c r="K109" s="285">
        <v>230</v>
      </c>
      <c r="L109" s="285">
        <v>264</v>
      </c>
      <c r="M109" s="285">
        <v>244</v>
      </c>
      <c r="N109" s="285">
        <v>277</v>
      </c>
      <c r="O109" s="285">
        <v>288</v>
      </c>
      <c r="P109" s="285">
        <v>258</v>
      </c>
      <c r="Q109" s="285">
        <v>108</v>
      </c>
      <c r="R109" s="285">
        <v>116</v>
      </c>
      <c r="S109" s="285">
        <v>109</v>
      </c>
      <c r="T109" s="285">
        <v>100</v>
      </c>
      <c r="U109" s="285">
        <v>90</v>
      </c>
      <c r="V109" s="285">
        <v>102</v>
      </c>
      <c r="W109" s="285">
        <v>114</v>
      </c>
      <c r="X109" s="285">
        <v>119</v>
      </c>
      <c r="Y109" s="285">
        <v>107</v>
      </c>
      <c r="Z109" s="285">
        <v>117</v>
      </c>
      <c r="AA109" s="285">
        <v>127</v>
      </c>
      <c r="AB109" s="285">
        <v>131</v>
      </c>
      <c r="AC109" s="285">
        <v>105</v>
      </c>
      <c r="AD109" s="285">
        <v>108</v>
      </c>
      <c r="AE109" s="285">
        <v>83</v>
      </c>
      <c r="AF109" s="285">
        <v>105</v>
      </c>
      <c r="AG109" s="285">
        <v>116</v>
      </c>
      <c r="AH109" s="285">
        <v>122</v>
      </c>
      <c r="AI109" s="285">
        <v>99</v>
      </c>
      <c r="AJ109" s="285">
        <v>101</v>
      </c>
      <c r="AK109" s="285">
        <v>99</v>
      </c>
      <c r="AL109" s="285">
        <v>98</v>
      </c>
      <c r="AM109" s="285">
        <v>69</v>
      </c>
      <c r="AN109" s="285">
        <v>88</v>
      </c>
      <c r="AO109" s="285">
        <v>99</v>
      </c>
      <c r="AP109" s="285">
        <v>107</v>
      </c>
      <c r="AQ109" s="285">
        <v>113</v>
      </c>
      <c r="AR109" s="285">
        <v>126</v>
      </c>
      <c r="AS109" s="285">
        <v>96</v>
      </c>
      <c r="AT109" s="285">
        <v>108</v>
      </c>
      <c r="AU109" s="285">
        <v>99</v>
      </c>
      <c r="AV109" s="285">
        <v>116</v>
      </c>
      <c r="AW109" s="285">
        <v>120</v>
      </c>
      <c r="AX109" s="285">
        <v>116</v>
      </c>
      <c r="AY109" s="285">
        <v>120</v>
      </c>
      <c r="AZ109" s="285">
        <v>114</v>
      </c>
      <c r="BA109" s="285">
        <v>113</v>
      </c>
      <c r="BB109" s="285">
        <v>127</v>
      </c>
      <c r="BC109" s="285">
        <v>122</v>
      </c>
      <c r="BD109" s="285">
        <v>142</v>
      </c>
      <c r="BE109" s="285">
        <v>137</v>
      </c>
      <c r="BF109" s="285">
        <v>130</v>
      </c>
      <c r="BG109" s="285">
        <v>155</v>
      </c>
      <c r="BH109" s="285">
        <v>151</v>
      </c>
      <c r="BI109" s="285">
        <v>121</v>
      </c>
      <c r="BJ109" s="285">
        <v>122</v>
      </c>
      <c r="BK109" s="285">
        <v>149</v>
      </c>
      <c r="BL109" s="285">
        <v>140</v>
      </c>
      <c r="BM109" s="285">
        <v>118</v>
      </c>
      <c r="BN109" s="285">
        <v>142</v>
      </c>
      <c r="BO109" s="285">
        <v>156</v>
      </c>
      <c r="BP109" s="285">
        <v>167</v>
      </c>
      <c r="BQ109" s="285">
        <v>157</v>
      </c>
      <c r="BR109" s="285">
        <v>170</v>
      </c>
      <c r="BS109" s="285">
        <v>196</v>
      </c>
      <c r="BT109" s="285">
        <v>208</v>
      </c>
      <c r="BU109" s="285">
        <v>173</v>
      </c>
      <c r="BV109" s="285">
        <v>180</v>
      </c>
      <c r="BW109" s="285">
        <v>191</v>
      </c>
      <c r="BX109" s="285">
        <v>215</v>
      </c>
      <c r="BY109" s="285">
        <v>199</v>
      </c>
      <c r="BZ109" s="285">
        <v>223</v>
      </c>
      <c r="CA109" s="285">
        <v>238</v>
      </c>
      <c r="CB109" s="285">
        <v>221</v>
      </c>
      <c r="CC109" s="285">
        <v>234</v>
      </c>
      <c r="CD109" s="285">
        <v>241</v>
      </c>
      <c r="CE109" s="285">
        <v>266</v>
      </c>
      <c r="CF109" s="285">
        <v>241</v>
      </c>
      <c r="CG109" s="285">
        <v>247</v>
      </c>
      <c r="CH109" s="285">
        <v>237</v>
      </c>
      <c r="CI109" s="285">
        <v>250</v>
      </c>
      <c r="CJ109" s="285">
        <v>267</v>
      </c>
      <c r="CK109" s="285">
        <v>278</v>
      </c>
      <c r="CL109" s="285">
        <v>264</v>
      </c>
      <c r="CM109" s="285">
        <v>306</v>
      </c>
      <c r="CN109" s="285">
        <v>303</v>
      </c>
      <c r="CO109" s="285">
        <v>280</v>
      </c>
      <c r="CP109" s="285">
        <v>283</v>
      </c>
      <c r="CQ109" s="285">
        <v>325</v>
      </c>
      <c r="CR109" s="285">
        <v>289</v>
      </c>
      <c r="CS109" s="285">
        <v>292</v>
      </c>
      <c r="CT109" s="285">
        <v>291</v>
      </c>
      <c r="CU109" s="285">
        <v>264</v>
      </c>
      <c r="CV109" s="285">
        <v>287</v>
      </c>
      <c r="CW109" s="285">
        <v>276</v>
      </c>
      <c r="CX109" s="285">
        <v>292</v>
      </c>
      <c r="CY109" s="285">
        <v>266</v>
      </c>
      <c r="CZ109" s="285">
        <v>256</v>
      </c>
      <c r="DA109" s="285">
        <v>265</v>
      </c>
      <c r="DB109" s="285">
        <v>228</v>
      </c>
      <c r="DC109" s="285">
        <v>249</v>
      </c>
      <c r="DD109" s="285">
        <v>260</v>
      </c>
      <c r="DE109" s="285">
        <v>240</v>
      </c>
      <c r="DF109" s="285">
        <v>255</v>
      </c>
      <c r="DG109" s="285">
        <v>287</v>
      </c>
      <c r="DH109" s="285">
        <v>282</v>
      </c>
      <c r="DI109" s="285">
        <v>253</v>
      </c>
      <c r="DJ109" s="285">
        <v>300</v>
      </c>
      <c r="DK109" s="285">
        <v>320</v>
      </c>
      <c r="DL109" s="285">
        <v>414</v>
      </c>
      <c r="DM109" s="285">
        <v>392</v>
      </c>
      <c r="DN109" s="285">
        <v>406</v>
      </c>
      <c r="DO109" s="285">
        <v>304</v>
      </c>
      <c r="DP109" s="285">
        <v>320</v>
      </c>
      <c r="DQ109" s="285">
        <v>319</v>
      </c>
      <c r="DR109" s="285">
        <v>299</v>
      </c>
      <c r="DS109" s="285">
        <v>308</v>
      </c>
      <c r="DT109" s="285">
        <v>349</v>
      </c>
      <c r="DU109" s="285">
        <v>330</v>
      </c>
      <c r="DV109" s="285">
        <v>320</v>
      </c>
      <c r="DW109" s="285">
        <v>317</v>
      </c>
      <c r="DX109" s="285">
        <v>356</v>
      </c>
      <c r="DY109" s="285">
        <v>406</v>
      </c>
      <c r="DZ109" s="285">
        <v>470</v>
      </c>
      <c r="EA109" s="285">
        <v>478</v>
      </c>
      <c r="EB109" s="285">
        <v>509</v>
      </c>
      <c r="EC109" s="285">
        <v>439</v>
      </c>
      <c r="ED109" s="285">
        <v>483</v>
      </c>
      <c r="EE109" s="285">
        <v>476</v>
      </c>
      <c r="EF109" s="285">
        <v>547</v>
      </c>
      <c r="EG109" s="285">
        <v>541</v>
      </c>
      <c r="EH109" s="285">
        <v>525</v>
      </c>
      <c r="EI109" s="285">
        <v>509</v>
      </c>
      <c r="EJ109" s="285">
        <v>467</v>
      </c>
      <c r="EK109" s="285">
        <v>434</v>
      </c>
      <c r="EL109" s="285">
        <v>437</v>
      </c>
      <c r="EM109" s="285">
        <v>504</v>
      </c>
      <c r="EN109" s="285">
        <v>485</v>
      </c>
      <c r="EO109" s="285">
        <v>426</v>
      </c>
      <c r="EP109" s="285">
        <v>397</v>
      </c>
      <c r="EQ109" s="285">
        <v>443</v>
      </c>
      <c r="ER109" s="285">
        <v>478</v>
      </c>
      <c r="ES109" s="285">
        <v>426</v>
      </c>
      <c r="ET109" s="285">
        <v>447</v>
      </c>
      <c r="EU109" s="285">
        <v>419</v>
      </c>
      <c r="EV109" s="285">
        <v>396</v>
      </c>
      <c r="EW109" s="285">
        <v>438</v>
      </c>
      <c r="EX109" s="285">
        <v>505</v>
      </c>
      <c r="EY109" s="285">
        <v>506</v>
      </c>
      <c r="EZ109" s="285">
        <v>539</v>
      </c>
      <c r="FA109" s="285">
        <v>463</v>
      </c>
      <c r="FB109" s="285">
        <v>516</v>
      </c>
      <c r="FC109" s="285">
        <v>551</v>
      </c>
      <c r="FD109" s="285">
        <v>556</v>
      </c>
      <c r="FE109" s="285">
        <v>516</v>
      </c>
      <c r="FF109" s="285">
        <v>676</v>
      </c>
      <c r="FG109" s="285">
        <v>654</v>
      </c>
      <c r="FH109" s="285">
        <v>1194</v>
      </c>
      <c r="FI109" s="285">
        <v>1164</v>
      </c>
      <c r="FJ109" s="285">
        <v>774</v>
      </c>
      <c r="FK109" s="285">
        <v>848</v>
      </c>
      <c r="FL109" s="285">
        <v>818</v>
      </c>
      <c r="FM109" s="285">
        <v>711</v>
      </c>
      <c r="FN109" s="285">
        <v>660</v>
      </c>
      <c r="FO109" s="285">
        <v>693</v>
      </c>
      <c r="FP109" s="285">
        <v>731</v>
      </c>
      <c r="FQ109" s="285">
        <v>978</v>
      </c>
      <c r="FR109" s="285">
        <v>846</v>
      </c>
      <c r="FS109" s="285">
        <v>887</v>
      </c>
      <c r="FT109" s="285">
        <v>803</v>
      </c>
      <c r="FU109" s="285">
        <v>847</v>
      </c>
      <c r="FV109" s="285">
        <v>830</v>
      </c>
      <c r="FW109" s="285">
        <v>1002</v>
      </c>
      <c r="FX109" s="285">
        <v>1179</v>
      </c>
      <c r="FY109" s="285">
        <v>919</v>
      </c>
      <c r="FZ109" s="285">
        <v>923</v>
      </c>
      <c r="GA109" s="285">
        <v>1050</v>
      </c>
      <c r="GB109" s="285">
        <v>1010</v>
      </c>
      <c r="GC109" s="285">
        <v>1067</v>
      </c>
      <c r="GD109" s="285">
        <v>1173</v>
      </c>
      <c r="GE109" s="285">
        <v>1155</v>
      </c>
      <c r="GF109" s="285">
        <v>1012</v>
      </c>
      <c r="GG109" s="285">
        <v>1679</v>
      </c>
      <c r="GH109" s="285">
        <v>1552</v>
      </c>
      <c r="GI109" s="285">
        <v>1649</v>
      </c>
      <c r="GJ109" s="285">
        <v>1747</v>
      </c>
      <c r="GK109" s="285">
        <v>2256</v>
      </c>
      <c r="GL109" s="285">
        <v>1729</v>
      </c>
      <c r="GM109" s="285">
        <v>2167</v>
      </c>
      <c r="GN109" s="285">
        <v>2106</v>
      </c>
      <c r="GO109" s="285">
        <v>1377</v>
      </c>
      <c r="GP109" s="285">
        <v>2182</v>
      </c>
      <c r="GQ109" s="285">
        <v>2151</v>
      </c>
      <c r="GR109" s="285">
        <v>1906</v>
      </c>
      <c r="GS109" s="285">
        <v>1998</v>
      </c>
      <c r="GT109" s="285">
        <v>1798</v>
      </c>
      <c r="GU109" s="285">
        <v>1883</v>
      </c>
      <c r="GV109" s="285">
        <v>1983</v>
      </c>
      <c r="GW109" s="285">
        <v>1919</v>
      </c>
      <c r="GX109" s="285">
        <v>1837</v>
      </c>
      <c r="GY109" s="285">
        <v>1979</v>
      </c>
      <c r="GZ109" s="285">
        <v>2040</v>
      </c>
      <c r="HA109" s="285">
        <v>1890</v>
      </c>
      <c r="HB109" s="285">
        <v>1856</v>
      </c>
      <c r="HC109" s="285">
        <v>2056</v>
      </c>
      <c r="HD109" s="285">
        <v>1997</v>
      </c>
      <c r="HE109" s="285">
        <v>2036</v>
      </c>
      <c r="HF109" s="285">
        <v>1955</v>
      </c>
      <c r="HG109" s="285">
        <v>2238</v>
      </c>
      <c r="HH109" s="285">
        <v>2095</v>
      </c>
      <c r="HI109" s="285">
        <v>1755</v>
      </c>
      <c r="HJ109" s="285">
        <v>1795</v>
      </c>
      <c r="HK109" s="285">
        <v>1825</v>
      </c>
      <c r="HL109" s="285">
        <v>1913</v>
      </c>
      <c r="HM109" s="285">
        <v>1715</v>
      </c>
      <c r="HN109" s="285">
        <v>3220</v>
      </c>
      <c r="HO109" s="285">
        <v>1854</v>
      </c>
      <c r="HP109" s="286">
        <v>2040</v>
      </c>
      <c r="HQ109" s="286">
        <v>1972</v>
      </c>
      <c r="HR109" s="286">
        <v>2112</v>
      </c>
      <c r="HS109" s="286">
        <v>2083</v>
      </c>
      <c r="HT109" s="286">
        <v>2033</v>
      </c>
      <c r="HU109" s="286">
        <v>1767</v>
      </c>
      <c r="HV109" s="545">
        <v>1887</v>
      </c>
      <c r="HW109" s="545">
        <v>2027</v>
      </c>
      <c r="HX109" s="545">
        <v>1893</v>
      </c>
      <c r="HY109" s="545">
        <v>1723</v>
      </c>
      <c r="HZ109" s="545">
        <v>1802</v>
      </c>
      <c r="IA109" s="545">
        <v>1859</v>
      </c>
      <c r="IB109" s="545">
        <v>2102</v>
      </c>
      <c r="IC109" s="545">
        <v>2197</v>
      </c>
      <c r="ID109" s="545">
        <v>2117</v>
      </c>
      <c r="IE109" s="545">
        <v>2107</v>
      </c>
      <c r="IF109" s="545">
        <v>1857</v>
      </c>
      <c r="IG109" s="285">
        <v>1697</v>
      </c>
      <c r="IH109" s="545">
        <v>1914</v>
      </c>
      <c r="II109" s="545">
        <v>1998</v>
      </c>
      <c r="IJ109" s="545">
        <v>2013</v>
      </c>
      <c r="IK109" s="545">
        <v>1992</v>
      </c>
      <c r="IL109" s="545">
        <v>1973</v>
      </c>
      <c r="IM109" s="851">
        <v>1981</v>
      </c>
      <c r="IN109" s="168"/>
    </row>
    <row r="110" spans="1:248">
      <c r="A110" s="81" t="s">
        <v>1031</v>
      </c>
      <c r="B110" s="284">
        <v>426</v>
      </c>
      <c r="C110" s="284">
        <v>384</v>
      </c>
      <c r="D110" s="284">
        <v>361</v>
      </c>
      <c r="E110" s="284">
        <v>442</v>
      </c>
      <c r="F110" s="284">
        <v>385</v>
      </c>
      <c r="G110" s="284">
        <v>561</v>
      </c>
      <c r="H110" s="284">
        <v>417</v>
      </c>
      <c r="I110" s="284">
        <v>440</v>
      </c>
      <c r="J110" s="284">
        <v>348</v>
      </c>
      <c r="K110" s="284">
        <v>423</v>
      </c>
      <c r="L110" s="284">
        <v>530</v>
      </c>
      <c r="M110" s="284">
        <v>595</v>
      </c>
      <c r="N110" s="284">
        <v>570</v>
      </c>
      <c r="O110" s="284">
        <v>480</v>
      </c>
      <c r="P110" s="284">
        <v>408</v>
      </c>
      <c r="Q110" s="284">
        <v>464</v>
      </c>
      <c r="R110" s="284">
        <v>428</v>
      </c>
      <c r="S110" s="284">
        <v>472</v>
      </c>
      <c r="T110" s="284">
        <v>452</v>
      </c>
      <c r="U110" s="284">
        <v>514</v>
      </c>
      <c r="V110" s="284">
        <v>420</v>
      </c>
      <c r="W110" s="284">
        <v>580</v>
      </c>
      <c r="X110" s="284">
        <v>587</v>
      </c>
      <c r="Y110" s="284">
        <v>503</v>
      </c>
      <c r="Z110" s="284">
        <v>394</v>
      </c>
      <c r="AA110" s="284">
        <v>384</v>
      </c>
      <c r="AB110" s="284">
        <v>457</v>
      </c>
      <c r="AC110" s="284">
        <v>444</v>
      </c>
      <c r="AD110" s="284">
        <v>494</v>
      </c>
      <c r="AE110" s="284">
        <v>451</v>
      </c>
      <c r="AF110" s="284">
        <v>612</v>
      </c>
      <c r="AG110" s="284">
        <v>500</v>
      </c>
      <c r="AH110" s="284">
        <v>600</v>
      </c>
      <c r="AI110" s="284">
        <v>501</v>
      </c>
      <c r="AJ110" s="284">
        <v>497</v>
      </c>
      <c r="AK110" s="284">
        <v>482</v>
      </c>
      <c r="AL110" s="284">
        <v>520</v>
      </c>
      <c r="AM110" s="284">
        <v>504</v>
      </c>
      <c r="AN110" s="284">
        <v>570</v>
      </c>
      <c r="AO110" s="284">
        <v>703</v>
      </c>
      <c r="AP110" s="284">
        <v>911</v>
      </c>
      <c r="AQ110" s="284">
        <v>581</v>
      </c>
      <c r="AR110" s="284">
        <v>603</v>
      </c>
      <c r="AS110" s="284">
        <v>967</v>
      </c>
      <c r="AT110" s="284">
        <v>675</v>
      </c>
      <c r="AU110" s="284">
        <v>594</v>
      </c>
      <c r="AV110" s="284">
        <v>734</v>
      </c>
      <c r="AW110" s="284">
        <v>627</v>
      </c>
      <c r="AX110" s="284">
        <v>755</v>
      </c>
      <c r="AY110" s="284">
        <v>640</v>
      </c>
      <c r="AZ110" s="284">
        <v>598</v>
      </c>
      <c r="BA110" s="284">
        <v>621</v>
      </c>
      <c r="BB110" s="284">
        <v>682</v>
      </c>
      <c r="BC110" s="284">
        <v>657</v>
      </c>
      <c r="BD110" s="284">
        <v>697</v>
      </c>
      <c r="BE110" s="284">
        <v>645</v>
      </c>
      <c r="BF110" s="284">
        <v>634</v>
      </c>
      <c r="BG110" s="284">
        <v>645</v>
      </c>
      <c r="BH110" s="284">
        <v>602</v>
      </c>
      <c r="BI110" s="284">
        <v>597</v>
      </c>
      <c r="BJ110" s="284">
        <v>635</v>
      </c>
      <c r="BK110" s="284">
        <v>583</v>
      </c>
      <c r="BL110" s="284">
        <v>663</v>
      </c>
      <c r="BM110" s="284">
        <v>694</v>
      </c>
      <c r="BN110" s="284">
        <v>729</v>
      </c>
      <c r="BO110" s="284">
        <v>628</v>
      </c>
      <c r="BP110" s="284">
        <v>828</v>
      </c>
      <c r="BQ110" s="284">
        <v>782</v>
      </c>
      <c r="BR110" s="284">
        <v>852</v>
      </c>
      <c r="BS110" s="284">
        <v>1003</v>
      </c>
      <c r="BT110" s="284">
        <v>915</v>
      </c>
      <c r="BU110" s="284">
        <v>834</v>
      </c>
      <c r="BV110" s="284">
        <v>874</v>
      </c>
      <c r="BW110" s="284">
        <v>863</v>
      </c>
      <c r="BX110" s="284">
        <v>827</v>
      </c>
      <c r="BY110" s="284">
        <v>836</v>
      </c>
      <c r="BZ110" s="284">
        <v>871</v>
      </c>
      <c r="CA110" s="284">
        <v>848</v>
      </c>
      <c r="CB110" s="284">
        <v>1041</v>
      </c>
      <c r="CC110" s="284">
        <v>925</v>
      </c>
      <c r="CD110" s="284">
        <v>996</v>
      </c>
      <c r="CE110" s="284">
        <v>1046</v>
      </c>
      <c r="CF110" s="284">
        <v>1097</v>
      </c>
      <c r="CG110" s="284">
        <v>1234</v>
      </c>
      <c r="CH110" s="284">
        <v>1282</v>
      </c>
      <c r="CI110" s="284">
        <v>1256</v>
      </c>
      <c r="CJ110" s="284">
        <v>1133</v>
      </c>
      <c r="CK110" s="284">
        <v>1106</v>
      </c>
      <c r="CL110" s="284">
        <v>1083</v>
      </c>
      <c r="CM110" s="284">
        <v>1283</v>
      </c>
      <c r="CN110" s="284">
        <v>1194</v>
      </c>
      <c r="CO110" s="284">
        <v>1308</v>
      </c>
      <c r="CP110" s="284">
        <v>1269</v>
      </c>
      <c r="CQ110" s="284">
        <v>1463</v>
      </c>
      <c r="CR110" s="284">
        <v>1271</v>
      </c>
      <c r="CS110" s="284">
        <v>1450</v>
      </c>
      <c r="CT110" s="284">
        <v>853</v>
      </c>
      <c r="CU110" s="284">
        <v>807</v>
      </c>
      <c r="CV110" s="284">
        <v>680</v>
      </c>
      <c r="CW110" s="284">
        <v>654</v>
      </c>
      <c r="CX110" s="284">
        <v>563</v>
      </c>
      <c r="CY110" s="284">
        <v>533</v>
      </c>
      <c r="CZ110" s="284">
        <v>541</v>
      </c>
      <c r="DA110" s="284">
        <v>453</v>
      </c>
      <c r="DB110" s="284">
        <v>491</v>
      </c>
      <c r="DC110" s="284">
        <v>493</v>
      </c>
      <c r="DD110" s="284">
        <v>717</v>
      </c>
      <c r="DE110" s="284">
        <v>603</v>
      </c>
      <c r="DF110" s="284">
        <v>572</v>
      </c>
      <c r="DG110" s="284">
        <v>617</v>
      </c>
      <c r="DH110" s="284">
        <v>681</v>
      </c>
      <c r="DI110" s="284">
        <v>728</v>
      </c>
      <c r="DJ110" s="284">
        <v>757</v>
      </c>
      <c r="DK110" s="284">
        <v>757</v>
      </c>
      <c r="DL110" s="284">
        <v>793</v>
      </c>
      <c r="DM110" s="284">
        <v>869</v>
      </c>
      <c r="DN110" s="284">
        <v>934</v>
      </c>
      <c r="DO110" s="284">
        <v>1001</v>
      </c>
      <c r="DP110" s="284">
        <v>1018</v>
      </c>
      <c r="DQ110" s="284">
        <v>1066</v>
      </c>
      <c r="DR110" s="284">
        <v>1066</v>
      </c>
      <c r="DS110" s="284">
        <v>1018</v>
      </c>
      <c r="DT110" s="284">
        <v>1002</v>
      </c>
      <c r="DU110" s="284">
        <v>1086</v>
      </c>
      <c r="DV110" s="284">
        <v>1180</v>
      </c>
      <c r="DW110" s="284">
        <v>1138</v>
      </c>
      <c r="DX110" s="284">
        <v>1133</v>
      </c>
      <c r="DY110" s="284">
        <v>1333</v>
      </c>
      <c r="DZ110" s="284">
        <v>1411</v>
      </c>
      <c r="EA110" s="284">
        <v>1467</v>
      </c>
      <c r="EB110" s="284">
        <v>1701</v>
      </c>
      <c r="EC110" s="284">
        <v>1652</v>
      </c>
      <c r="ED110" s="284">
        <v>1500</v>
      </c>
      <c r="EE110" s="284">
        <v>1715</v>
      </c>
      <c r="EF110" s="284">
        <v>1561</v>
      </c>
      <c r="EG110" s="284">
        <v>1538</v>
      </c>
      <c r="EH110" s="284">
        <v>1664</v>
      </c>
      <c r="EI110" s="284">
        <v>1615</v>
      </c>
      <c r="EJ110" s="284">
        <v>1736</v>
      </c>
      <c r="EK110" s="284">
        <v>1826</v>
      </c>
      <c r="EL110" s="284">
        <v>1779</v>
      </c>
      <c r="EM110" s="284">
        <v>1898</v>
      </c>
      <c r="EN110" s="284">
        <v>1991</v>
      </c>
      <c r="EO110" s="284">
        <v>1792</v>
      </c>
      <c r="EP110" s="284">
        <v>1698</v>
      </c>
      <c r="EQ110" s="284">
        <v>1505</v>
      </c>
      <c r="ER110" s="284">
        <v>1319</v>
      </c>
      <c r="ES110" s="284">
        <v>1385</v>
      </c>
      <c r="ET110" s="284">
        <v>1266</v>
      </c>
      <c r="EU110" s="284">
        <v>1231</v>
      </c>
      <c r="EV110" s="284">
        <v>1154</v>
      </c>
      <c r="EW110" s="284">
        <v>1017</v>
      </c>
      <c r="EX110" s="284">
        <v>820</v>
      </c>
      <c r="EY110" s="284">
        <v>876</v>
      </c>
      <c r="EZ110" s="284">
        <v>850</v>
      </c>
      <c r="FA110" s="284">
        <v>745</v>
      </c>
      <c r="FB110" s="284">
        <v>815</v>
      </c>
      <c r="FC110" s="284">
        <v>851</v>
      </c>
      <c r="FD110" s="284">
        <v>797</v>
      </c>
      <c r="FE110" s="284">
        <v>904</v>
      </c>
      <c r="FF110" s="284">
        <v>926</v>
      </c>
      <c r="FG110" s="284">
        <v>913</v>
      </c>
      <c r="FH110" s="284">
        <v>907</v>
      </c>
      <c r="FI110" s="284">
        <v>827</v>
      </c>
      <c r="FJ110" s="284">
        <v>648</v>
      </c>
      <c r="FK110" s="284">
        <v>697</v>
      </c>
      <c r="FL110" s="284">
        <v>777</v>
      </c>
      <c r="FM110" s="284">
        <v>671</v>
      </c>
      <c r="FN110" s="284">
        <v>587</v>
      </c>
      <c r="FO110" s="284">
        <v>602</v>
      </c>
      <c r="FP110" s="284">
        <v>619</v>
      </c>
      <c r="FQ110" s="284">
        <v>574</v>
      </c>
      <c r="FR110" s="284">
        <v>750</v>
      </c>
      <c r="FS110" s="284">
        <v>675</v>
      </c>
      <c r="FT110" s="284">
        <v>561</v>
      </c>
      <c r="FU110" s="284">
        <v>526</v>
      </c>
      <c r="FV110" s="284">
        <v>500</v>
      </c>
      <c r="FW110" s="284">
        <v>532</v>
      </c>
      <c r="FX110" s="284">
        <v>518</v>
      </c>
      <c r="FY110" s="284">
        <v>399</v>
      </c>
      <c r="FZ110" s="284">
        <v>437</v>
      </c>
      <c r="GA110" s="284">
        <v>468</v>
      </c>
      <c r="GB110" s="284">
        <v>487</v>
      </c>
      <c r="GC110" s="284">
        <v>345</v>
      </c>
      <c r="GD110" s="284">
        <v>457</v>
      </c>
      <c r="GE110" s="284">
        <v>433</v>
      </c>
      <c r="GF110" s="284">
        <v>327</v>
      </c>
      <c r="GG110" s="284">
        <v>414</v>
      </c>
      <c r="GH110" s="284">
        <v>436</v>
      </c>
      <c r="GI110" s="284">
        <v>442</v>
      </c>
      <c r="GJ110" s="284">
        <v>530</v>
      </c>
      <c r="GK110" s="284">
        <v>519</v>
      </c>
      <c r="GL110" s="284">
        <v>391</v>
      </c>
      <c r="GM110" s="284">
        <v>454</v>
      </c>
      <c r="GN110" s="284">
        <v>492</v>
      </c>
      <c r="GO110" s="284">
        <v>410</v>
      </c>
      <c r="GP110" s="284">
        <v>458</v>
      </c>
      <c r="GQ110" s="284">
        <v>474</v>
      </c>
      <c r="GR110" s="284">
        <v>383</v>
      </c>
      <c r="GS110" s="284">
        <v>398</v>
      </c>
      <c r="GT110" s="284">
        <v>471</v>
      </c>
      <c r="GU110" s="284">
        <v>388</v>
      </c>
      <c r="GV110" s="284">
        <v>476</v>
      </c>
      <c r="GW110" s="284">
        <v>461</v>
      </c>
      <c r="GX110" s="284">
        <v>342</v>
      </c>
      <c r="GY110" s="284">
        <v>465</v>
      </c>
      <c r="GZ110" s="284">
        <v>467</v>
      </c>
      <c r="HA110" s="284">
        <v>411</v>
      </c>
      <c r="HB110" s="284">
        <v>480</v>
      </c>
      <c r="HC110" s="284">
        <v>535</v>
      </c>
      <c r="HD110" s="284">
        <v>507</v>
      </c>
      <c r="HE110" s="284">
        <v>547</v>
      </c>
      <c r="HF110" s="284">
        <v>551</v>
      </c>
      <c r="HG110" s="284">
        <v>529</v>
      </c>
      <c r="HH110" s="284">
        <v>585</v>
      </c>
      <c r="HI110" s="284">
        <v>526</v>
      </c>
      <c r="HJ110" s="284">
        <v>529</v>
      </c>
      <c r="HK110" s="284">
        <v>569</v>
      </c>
      <c r="HL110" s="284">
        <v>558</v>
      </c>
      <c r="HM110" s="284">
        <v>496</v>
      </c>
      <c r="HN110" s="284">
        <v>522</v>
      </c>
      <c r="HO110" s="284">
        <v>486</v>
      </c>
      <c r="HP110" s="284">
        <v>442</v>
      </c>
      <c r="HQ110" s="284">
        <v>402</v>
      </c>
      <c r="HR110" s="284">
        <v>456</v>
      </c>
      <c r="HS110" s="284">
        <v>389</v>
      </c>
      <c r="HT110" s="284">
        <v>390</v>
      </c>
      <c r="HU110" s="284">
        <v>321</v>
      </c>
      <c r="HV110" s="284">
        <v>418</v>
      </c>
      <c r="HW110" s="284">
        <v>397</v>
      </c>
      <c r="HX110" s="284">
        <v>249</v>
      </c>
      <c r="HY110" s="284">
        <v>194</v>
      </c>
      <c r="HZ110" s="284">
        <v>264</v>
      </c>
      <c r="IA110" s="284">
        <v>343</v>
      </c>
      <c r="IB110" s="284">
        <v>71</v>
      </c>
      <c r="IC110" s="284">
        <v>55</v>
      </c>
      <c r="ID110" s="284">
        <v>46</v>
      </c>
      <c r="IE110" s="284">
        <v>45</v>
      </c>
      <c r="IF110" s="284">
        <v>49</v>
      </c>
      <c r="IG110" s="284">
        <v>97</v>
      </c>
      <c r="IH110" s="284">
        <v>174</v>
      </c>
      <c r="II110" s="284">
        <v>227</v>
      </c>
      <c r="IJ110" s="284">
        <v>240</v>
      </c>
      <c r="IK110" s="284">
        <v>269</v>
      </c>
      <c r="IL110" s="284">
        <v>243</v>
      </c>
      <c r="IM110" s="850">
        <v>330</v>
      </c>
      <c r="IN110" s="168"/>
    </row>
    <row r="111" spans="1:248">
      <c r="A111" s="81" t="s">
        <v>8</v>
      </c>
      <c r="B111" s="285">
        <v>8010</v>
      </c>
      <c r="C111" s="285">
        <v>7651</v>
      </c>
      <c r="D111" s="285">
        <v>8061</v>
      </c>
      <c r="E111" s="285">
        <v>8106</v>
      </c>
      <c r="F111" s="285">
        <v>8091</v>
      </c>
      <c r="G111" s="285">
        <v>8589</v>
      </c>
      <c r="H111" s="285">
        <v>8359</v>
      </c>
      <c r="I111" s="285">
        <v>8461</v>
      </c>
      <c r="J111" s="285">
        <v>8184</v>
      </c>
      <c r="K111" s="285">
        <v>8613</v>
      </c>
      <c r="L111" s="285">
        <v>8037</v>
      </c>
      <c r="M111" s="285">
        <v>8930</v>
      </c>
      <c r="N111" s="285">
        <v>9273</v>
      </c>
      <c r="O111" s="285">
        <v>9445</v>
      </c>
      <c r="P111" s="285">
        <v>8335</v>
      </c>
      <c r="Q111" s="285">
        <v>9307</v>
      </c>
      <c r="R111" s="285">
        <v>8471</v>
      </c>
      <c r="S111" s="285">
        <v>8489</v>
      </c>
      <c r="T111" s="285">
        <v>10300</v>
      </c>
      <c r="U111" s="285">
        <v>8807</v>
      </c>
      <c r="V111" s="285">
        <v>8982</v>
      </c>
      <c r="W111" s="285">
        <v>8676</v>
      </c>
      <c r="X111" s="285">
        <v>8813</v>
      </c>
      <c r="Y111" s="285">
        <v>8381</v>
      </c>
      <c r="Z111" s="285">
        <v>8798</v>
      </c>
      <c r="AA111" s="285">
        <v>8402</v>
      </c>
      <c r="AB111" s="285">
        <v>9141</v>
      </c>
      <c r="AC111" s="285">
        <v>8405</v>
      </c>
      <c r="AD111" s="285">
        <v>8464</v>
      </c>
      <c r="AE111" s="285">
        <v>8551</v>
      </c>
      <c r="AF111" s="285">
        <v>8843</v>
      </c>
      <c r="AG111" s="285">
        <v>8378</v>
      </c>
      <c r="AH111" s="285">
        <v>8490</v>
      </c>
      <c r="AI111" s="285">
        <v>8750</v>
      </c>
      <c r="AJ111" s="285">
        <v>9079</v>
      </c>
      <c r="AK111" s="285">
        <v>8977</v>
      </c>
      <c r="AL111" s="285">
        <v>8512</v>
      </c>
      <c r="AM111" s="285">
        <v>9740</v>
      </c>
      <c r="AN111" s="285">
        <v>9330</v>
      </c>
      <c r="AO111" s="285">
        <v>9177</v>
      </c>
      <c r="AP111" s="285">
        <v>9323</v>
      </c>
      <c r="AQ111" s="285">
        <v>9128</v>
      </c>
      <c r="AR111" s="285">
        <v>9138</v>
      </c>
      <c r="AS111" s="285">
        <v>8995</v>
      </c>
      <c r="AT111" s="285">
        <v>8520</v>
      </c>
      <c r="AU111" s="285">
        <v>8537</v>
      </c>
      <c r="AV111" s="285">
        <v>8677</v>
      </c>
      <c r="AW111" s="285">
        <v>8592</v>
      </c>
      <c r="AX111" s="285">
        <v>7938</v>
      </c>
      <c r="AY111" s="285">
        <v>8174</v>
      </c>
      <c r="AZ111" s="285">
        <v>8274</v>
      </c>
      <c r="BA111" s="285">
        <v>8129</v>
      </c>
      <c r="BB111" s="285">
        <v>8188</v>
      </c>
      <c r="BC111" s="285">
        <v>7768</v>
      </c>
      <c r="BD111" s="285">
        <v>7845</v>
      </c>
      <c r="BE111" s="285">
        <v>8482</v>
      </c>
      <c r="BF111" s="285">
        <v>7947</v>
      </c>
      <c r="BG111" s="285">
        <v>7848</v>
      </c>
      <c r="BH111" s="285">
        <v>7988</v>
      </c>
      <c r="BI111" s="285">
        <v>7687</v>
      </c>
      <c r="BJ111" s="285">
        <v>7035</v>
      </c>
      <c r="BK111" s="285">
        <v>7567</v>
      </c>
      <c r="BL111" s="285">
        <v>7234</v>
      </c>
      <c r="BM111" s="285">
        <v>7998</v>
      </c>
      <c r="BN111" s="285">
        <v>8242</v>
      </c>
      <c r="BO111" s="285">
        <v>7636</v>
      </c>
      <c r="BP111" s="285">
        <v>8130</v>
      </c>
      <c r="BQ111" s="285">
        <v>7768</v>
      </c>
      <c r="BR111" s="285">
        <v>8081</v>
      </c>
      <c r="BS111" s="285">
        <v>7773</v>
      </c>
      <c r="BT111" s="285">
        <v>8420</v>
      </c>
      <c r="BU111" s="285">
        <v>7825</v>
      </c>
      <c r="BV111" s="285">
        <v>8648</v>
      </c>
      <c r="BW111" s="285">
        <v>8663</v>
      </c>
      <c r="BX111" s="285">
        <v>8825</v>
      </c>
      <c r="BY111" s="285">
        <v>8699</v>
      </c>
      <c r="BZ111" s="285">
        <v>9378</v>
      </c>
      <c r="CA111" s="285">
        <v>8708</v>
      </c>
      <c r="CB111" s="285">
        <v>8916</v>
      </c>
      <c r="CC111" s="285">
        <v>9173</v>
      </c>
      <c r="CD111" s="285">
        <v>9121</v>
      </c>
      <c r="CE111" s="285">
        <v>8889</v>
      </c>
      <c r="CF111" s="285">
        <v>9315</v>
      </c>
      <c r="CG111" s="285">
        <v>8055</v>
      </c>
      <c r="CH111" s="285">
        <v>8267</v>
      </c>
      <c r="CI111" s="285">
        <v>8822</v>
      </c>
      <c r="CJ111" s="285">
        <v>9380</v>
      </c>
      <c r="CK111" s="285">
        <v>9766</v>
      </c>
      <c r="CL111" s="285">
        <v>9722</v>
      </c>
      <c r="CM111" s="285">
        <v>9438</v>
      </c>
      <c r="CN111" s="285">
        <v>9549</v>
      </c>
      <c r="CO111" s="285">
        <v>9396</v>
      </c>
      <c r="CP111" s="285">
        <v>9782</v>
      </c>
      <c r="CQ111" s="285">
        <v>10213</v>
      </c>
      <c r="CR111" s="285">
        <v>10084</v>
      </c>
      <c r="CS111" s="285">
        <v>9807</v>
      </c>
      <c r="CT111" s="285">
        <v>10380</v>
      </c>
      <c r="CU111" s="285">
        <v>11272</v>
      </c>
      <c r="CV111" s="285">
        <v>10990</v>
      </c>
      <c r="CW111" s="285">
        <v>11018</v>
      </c>
      <c r="CX111" s="285">
        <v>11218</v>
      </c>
      <c r="CY111" s="285">
        <v>11362</v>
      </c>
      <c r="CZ111" s="285">
        <v>11073</v>
      </c>
      <c r="DA111" s="285">
        <v>10262</v>
      </c>
      <c r="DB111" s="285">
        <v>10923</v>
      </c>
      <c r="DC111" s="285">
        <v>11678</v>
      </c>
      <c r="DD111" s="285">
        <v>9805</v>
      </c>
      <c r="DE111" s="285">
        <v>10385</v>
      </c>
      <c r="DF111" s="285">
        <v>8930</v>
      </c>
      <c r="DG111" s="285">
        <v>10871</v>
      </c>
      <c r="DH111" s="285">
        <v>11904</v>
      </c>
      <c r="DI111" s="285">
        <v>11483</v>
      </c>
      <c r="DJ111" s="285">
        <v>11843</v>
      </c>
      <c r="DK111" s="285">
        <v>11216</v>
      </c>
      <c r="DL111" s="285">
        <v>11998</v>
      </c>
      <c r="DM111" s="285">
        <v>11872</v>
      </c>
      <c r="DN111" s="285">
        <v>11810</v>
      </c>
      <c r="DO111" s="285">
        <v>11380</v>
      </c>
      <c r="DP111" s="285">
        <v>12157</v>
      </c>
      <c r="DQ111" s="285">
        <v>10525</v>
      </c>
      <c r="DR111" s="285">
        <v>11564</v>
      </c>
      <c r="DS111" s="285">
        <v>11399</v>
      </c>
      <c r="DT111" s="285">
        <v>12347</v>
      </c>
      <c r="DU111" s="285">
        <v>12189</v>
      </c>
      <c r="DV111" s="285">
        <v>13026</v>
      </c>
      <c r="DW111" s="285">
        <v>12107</v>
      </c>
      <c r="DX111" s="285">
        <v>13042</v>
      </c>
      <c r="DY111" s="285">
        <v>13164</v>
      </c>
      <c r="DZ111" s="285">
        <v>14018</v>
      </c>
      <c r="EA111" s="285">
        <v>14246</v>
      </c>
      <c r="EB111" s="285">
        <v>14894</v>
      </c>
      <c r="EC111" s="285">
        <v>13469</v>
      </c>
      <c r="ED111" s="285">
        <v>13570</v>
      </c>
      <c r="EE111" s="285">
        <v>13985</v>
      </c>
      <c r="EF111" s="285">
        <v>14577</v>
      </c>
      <c r="EG111" s="285">
        <v>14570</v>
      </c>
      <c r="EH111" s="285">
        <v>14969</v>
      </c>
      <c r="EI111" s="285">
        <v>14595</v>
      </c>
      <c r="EJ111" s="285">
        <v>14798</v>
      </c>
      <c r="EK111" s="285">
        <v>14511</v>
      </c>
      <c r="EL111" s="285">
        <v>15053</v>
      </c>
      <c r="EM111" s="285">
        <v>13790</v>
      </c>
      <c r="EN111" s="285">
        <v>13178</v>
      </c>
      <c r="EO111" s="285">
        <v>12754</v>
      </c>
      <c r="EP111" s="285">
        <v>12585</v>
      </c>
      <c r="EQ111" s="285">
        <v>13595</v>
      </c>
      <c r="ER111" s="285">
        <v>12519</v>
      </c>
      <c r="ES111" s="285">
        <v>12896</v>
      </c>
      <c r="ET111" s="285">
        <v>14052</v>
      </c>
      <c r="EU111" s="285">
        <v>12908</v>
      </c>
      <c r="EV111" s="285">
        <v>12729</v>
      </c>
      <c r="EW111" s="285">
        <v>11591</v>
      </c>
      <c r="EX111" s="285">
        <v>11890</v>
      </c>
      <c r="EY111" s="285">
        <v>10786</v>
      </c>
      <c r="EZ111" s="285">
        <v>11874</v>
      </c>
      <c r="FA111" s="285">
        <v>10222</v>
      </c>
      <c r="FB111" s="285">
        <v>10057</v>
      </c>
      <c r="FC111" s="285">
        <v>10698</v>
      </c>
      <c r="FD111" s="285">
        <v>9813</v>
      </c>
      <c r="FE111" s="285">
        <v>11416</v>
      </c>
      <c r="FF111" s="285">
        <v>11136</v>
      </c>
      <c r="FG111" s="285">
        <v>10701</v>
      </c>
      <c r="FH111" s="285">
        <v>11319</v>
      </c>
      <c r="FI111" s="285">
        <v>12065</v>
      </c>
      <c r="FJ111" s="285">
        <v>11032</v>
      </c>
      <c r="FK111" s="285">
        <v>12417</v>
      </c>
      <c r="FL111" s="285">
        <v>11958</v>
      </c>
      <c r="FM111" s="285">
        <v>10667</v>
      </c>
      <c r="FN111" s="285">
        <v>11480</v>
      </c>
      <c r="FO111" s="285">
        <v>12856</v>
      </c>
      <c r="FP111" s="285">
        <v>13447</v>
      </c>
      <c r="FQ111" s="285">
        <v>13240</v>
      </c>
      <c r="FR111" s="285">
        <v>12669</v>
      </c>
      <c r="FS111" s="285">
        <v>12931</v>
      </c>
      <c r="FT111" s="285">
        <v>13235</v>
      </c>
      <c r="FU111" s="285">
        <v>13690</v>
      </c>
      <c r="FV111" s="285">
        <v>13912</v>
      </c>
      <c r="FW111" s="285">
        <v>15894</v>
      </c>
      <c r="FX111" s="285">
        <v>15888</v>
      </c>
      <c r="FY111" s="285">
        <v>14751</v>
      </c>
      <c r="FZ111" s="285">
        <v>15446</v>
      </c>
      <c r="GA111" s="285">
        <v>15903</v>
      </c>
      <c r="GB111" s="285">
        <v>16153</v>
      </c>
      <c r="GC111" s="285">
        <v>17375</v>
      </c>
      <c r="GD111" s="285">
        <v>17275</v>
      </c>
      <c r="GE111" s="285">
        <v>17370</v>
      </c>
      <c r="GF111" s="285">
        <v>18296</v>
      </c>
      <c r="GG111" s="285">
        <v>17570</v>
      </c>
      <c r="GH111" s="285">
        <v>17678</v>
      </c>
      <c r="GI111" s="285">
        <v>19497</v>
      </c>
      <c r="GJ111" s="285">
        <v>18957</v>
      </c>
      <c r="GK111" s="285">
        <v>18143</v>
      </c>
      <c r="GL111" s="285">
        <v>17977</v>
      </c>
      <c r="GM111" s="285">
        <v>19338</v>
      </c>
      <c r="GN111" s="285">
        <v>19448</v>
      </c>
      <c r="GO111" s="285">
        <v>18862</v>
      </c>
      <c r="GP111" s="285">
        <v>21611</v>
      </c>
      <c r="GQ111" s="285">
        <v>19651</v>
      </c>
      <c r="GR111" s="285">
        <v>19485</v>
      </c>
      <c r="GS111" s="285">
        <v>20444</v>
      </c>
      <c r="GT111" s="285">
        <v>18588</v>
      </c>
      <c r="GU111" s="285">
        <v>20491</v>
      </c>
      <c r="GV111" s="285">
        <v>21126</v>
      </c>
      <c r="GW111" s="285">
        <v>18923</v>
      </c>
      <c r="GX111" s="285">
        <v>18645</v>
      </c>
      <c r="GY111" s="285">
        <v>20891</v>
      </c>
      <c r="GZ111" s="285">
        <v>20994</v>
      </c>
      <c r="HA111" s="285">
        <v>19912</v>
      </c>
      <c r="HB111" s="285">
        <v>21563</v>
      </c>
      <c r="HC111" s="285">
        <v>20459</v>
      </c>
      <c r="HD111" s="285">
        <v>22453</v>
      </c>
      <c r="HE111" s="285">
        <v>21566</v>
      </c>
      <c r="HF111" s="285">
        <v>20282</v>
      </c>
      <c r="HG111" s="285">
        <v>21849</v>
      </c>
      <c r="HH111" s="285">
        <v>23861</v>
      </c>
      <c r="HI111" s="285">
        <v>19858</v>
      </c>
      <c r="HJ111" s="285">
        <v>20341</v>
      </c>
      <c r="HK111" s="285">
        <v>21353</v>
      </c>
      <c r="HL111" s="285">
        <v>22598</v>
      </c>
      <c r="HM111" s="285">
        <v>20983</v>
      </c>
      <c r="HN111" s="285">
        <v>22500</v>
      </c>
      <c r="HO111" s="285">
        <v>20770</v>
      </c>
      <c r="HP111" s="286">
        <v>23332</v>
      </c>
      <c r="HQ111" s="286">
        <v>20744</v>
      </c>
      <c r="HR111" s="286">
        <v>20530</v>
      </c>
      <c r="HS111" s="286">
        <v>21914</v>
      </c>
      <c r="HT111" s="286">
        <v>22870</v>
      </c>
      <c r="HU111" s="286">
        <v>20841</v>
      </c>
      <c r="HV111" s="545">
        <v>20270</v>
      </c>
      <c r="HW111" s="545">
        <v>22380</v>
      </c>
      <c r="HX111" s="545">
        <v>22687</v>
      </c>
      <c r="HY111" s="545">
        <v>19119</v>
      </c>
      <c r="HZ111" s="545">
        <v>20908</v>
      </c>
      <c r="IA111" s="545">
        <v>21105</v>
      </c>
      <c r="IB111" s="545">
        <v>24877</v>
      </c>
      <c r="IC111" s="545">
        <v>24810</v>
      </c>
      <c r="ID111" s="545">
        <v>23890</v>
      </c>
      <c r="IE111" s="545">
        <v>26171</v>
      </c>
      <c r="IF111" s="545">
        <v>22911</v>
      </c>
      <c r="IG111" s="285">
        <v>21900</v>
      </c>
      <c r="IH111" s="545">
        <v>21693</v>
      </c>
      <c r="II111" s="545">
        <v>24266</v>
      </c>
      <c r="IJ111" s="545">
        <v>22777</v>
      </c>
      <c r="IK111" s="545">
        <v>22134</v>
      </c>
      <c r="IL111" s="545">
        <v>22558</v>
      </c>
      <c r="IM111" s="851">
        <v>22586</v>
      </c>
      <c r="IN111" s="168"/>
    </row>
    <row r="112" spans="1:248">
      <c r="A112" s="81" t="s">
        <v>142</v>
      </c>
      <c r="B112" s="284">
        <v>3228</v>
      </c>
      <c r="C112" s="284">
        <v>3314</v>
      </c>
      <c r="D112" s="284">
        <v>3497</v>
      </c>
      <c r="E112" s="284">
        <v>3566</v>
      </c>
      <c r="F112" s="284">
        <v>3757</v>
      </c>
      <c r="G112" s="284">
        <v>3459</v>
      </c>
      <c r="H112" s="284">
        <v>3518</v>
      </c>
      <c r="I112" s="284">
        <v>3916</v>
      </c>
      <c r="J112" s="284">
        <v>3664</v>
      </c>
      <c r="K112" s="284">
        <v>3940</v>
      </c>
      <c r="L112" s="284">
        <v>4448</v>
      </c>
      <c r="M112" s="284">
        <v>4008</v>
      </c>
      <c r="N112" s="284">
        <v>3689</v>
      </c>
      <c r="O112" s="284">
        <v>3405</v>
      </c>
      <c r="P112" s="284">
        <v>3148</v>
      </c>
      <c r="Q112" s="284">
        <v>3902</v>
      </c>
      <c r="R112" s="284">
        <v>3427</v>
      </c>
      <c r="S112" s="284">
        <v>4013</v>
      </c>
      <c r="T112" s="284">
        <v>4292</v>
      </c>
      <c r="U112" s="284">
        <v>4383</v>
      </c>
      <c r="V112" s="284">
        <v>5132</v>
      </c>
      <c r="W112" s="284">
        <v>5487</v>
      </c>
      <c r="X112" s="284">
        <v>5941</v>
      </c>
      <c r="Y112" s="284">
        <v>6118</v>
      </c>
      <c r="Z112" s="284">
        <v>4884</v>
      </c>
      <c r="AA112" s="284">
        <v>5138</v>
      </c>
      <c r="AB112" s="284">
        <v>5955</v>
      </c>
      <c r="AC112" s="284">
        <v>5375</v>
      </c>
      <c r="AD112" s="284">
        <v>5471</v>
      </c>
      <c r="AE112" s="284">
        <v>5973</v>
      </c>
      <c r="AF112" s="284">
        <v>5788</v>
      </c>
      <c r="AG112" s="284">
        <v>5925</v>
      </c>
      <c r="AH112" s="284">
        <v>6697</v>
      </c>
      <c r="AI112" s="284">
        <v>6354</v>
      </c>
      <c r="AJ112" s="284">
        <v>5889</v>
      </c>
      <c r="AK112" s="284">
        <v>5604</v>
      </c>
      <c r="AL112" s="284">
        <v>6283</v>
      </c>
      <c r="AM112" s="284">
        <v>5820</v>
      </c>
      <c r="AN112" s="284">
        <v>6757</v>
      </c>
      <c r="AO112" s="284">
        <v>6499</v>
      </c>
      <c r="AP112" s="284">
        <v>6734</v>
      </c>
      <c r="AQ112" s="284">
        <v>6581</v>
      </c>
      <c r="AR112" s="284">
        <v>6129</v>
      </c>
      <c r="AS112" s="284">
        <v>6611</v>
      </c>
      <c r="AT112" s="284">
        <v>6983</v>
      </c>
      <c r="AU112" s="284">
        <v>6224</v>
      </c>
      <c r="AV112" s="284">
        <v>6766</v>
      </c>
      <c r="AW112" s="284">
        <v>6219</v>
      </c>
      <c r="AX112" s="284">
        <v>5985</v>
      </c>
      <c r="AY112" s="284">
        <v>6063</v>
      </c>
      <c r="AZ112" s="284">
        <v>6783</v>
      </c>
      <c r="BA112" s="284">
        <v>6788</v>
      </c>
      <c r="BB112" s="284">
        <v>7181</v>
      </c>
      <c r="BC112" s="284">
        <v>7054</v>
      </c>
      <c r="BD112" s="284">
        <v>7152</v>
      </c>
      <c r="BE112" s="284">
        <v>7726</v>
      </c>
      <c r="BF112" s="284">
        <v>8027</v>
      </c>
      <c r="BG112" s="284">
        <v>7463</v>
      </c>
      <c r="BH112" s="284">
        <v>8317</v>
      </c>
      <c r="BI112" s="284">
        <v>7273</v>
      </c>
      <c r="BJ112" s="284">
        <v>7733</v>
      </c>
      <c r="BK112" s="284">
        <v>8355</v>
      </c>
      <c r="BL112" s="284">
        <v>8499</v>
      </c>
      <c r="BM112" s="284">
        <v>8335</v>
      </c>
      <c r="BN112" s="284">
        <v>9435</v>
      </c>
      <c r="BO112" s="284">
        <v>9022</v>
      </c>
      <c r="BP112" s="284">
        <v>8860</v>
      </c>
      <c r="BQ112" s="284">
        <v>9935</v>
      </c>
      <c r="BR112" s="284">
        <v>9690</v>
      </c>
      <c r="BS112" s="284">
        <v>10775</v>
      </c>
      <c r="BT112" s="284">
        <v>10095</v>
      </c>
      <c r="BU112" s="284">
        <v>9444</v>
      </c>
      <c r="BV112" s="284">
        <v>9525</v>
      </c>
      <c r="BW112" s="284">
        <v>10731</v>
      </c>
      <c r="BX112" s="284">
        <v>10804</v>
      </c>
      <c r="BY112" s="284">
        <v>10608</v>
      </c>
      <c r="BZ112" s="284">
        <v>10548</v>
      </c>
      <c r="CA112" s="284">
        <v>10125</v>
      </c>
      <c r="CB112" s="284">
        <v>10939</v>
      </c>
      <c r="CC112" s="284">
        <v>12825</v>
      </c>
      <c r="CD112" s="284">
        <v>11350</v>
      </c>
      <c r="CE112" s="284">
        <v>11137</v>
      </c>
      <c r="CF112" s="284">
        <v>11838</v>
      </c>
      <c r="CG112" s="284">
        <v>10437</v>
      </c>
      <c r="CH112" s="284">
        <v>10920</v>
      </c>
      <c r="CI112" s="284">
        <v>10170</v>
      </c>
      <c r="CJ112" s="284">
        <v>9830</v>
      </c>
      <c r="CK112" s="284">
        <v>10532</v>
      </c>
      <c r="CL112" s="284">
        <v>10761</v>
      </c>
      <c r="CM112" s="284">
        <v>12426</v>
      </c>
      <c r="CN112" s="284">
        <v>13490</v>
      </c>
      <c r="CO112" s="284">
        <v>13935</v>
      </c>
      <c r="CP112" s="284">
        <v>15934</v>
      </c>
      <c r="CQ112" s="284">
        <v>17597</v>
      </c>
      <c r="CR112" s="284">
        <v>16113</v>
      </c>
      <c r="CS112" s="284">
        <v>14207</v>
      </c>
      <c r="CT112" s="284">
        <v>12804</v>
      </c>
      <c r="CU112" s="284">
        <v>13742</v>
      </c>
      <c r="CV112" s="284">
        <v>15024</v>
      </c>
      <c r="CW112" s="284">
        <v>14716</v>
      </c>
      <c r="CX112" s="284">
        <v>14174</v>
      </c>
      <c r="CY112" s="284">
        <v>14215</v>
      </c>
      <c r="CZ112" s="284">
        <v>13968</v>
      </c>
      <c r="DA112" s="284">
        <v>13589</v>
      </c>
      <c r="DB112" s="284">
        <v>13630</v>
      </c>
      <c r="DC112" s="284">
        <v>13886</v>
      </c>
      <c r="DD112" s="284">
        <v>13425</v>
      </c>
      <c r="DE112" s="284">
        <v>13504</v>
      </c>
      <c r="DF112" s="284">
        <v>11984</v>
      </c>
      <c r="DG112" s="284">
        <v>12716</v>
      </c>
      <c r="DH112" s="284">
        <v>13613</v>
      </c>
      <c r="DI112" s="284">
        <v>14012</v>
      </c>
      <c r="DJ112" s="284">
        <v>14340</v>
      </c>
      <c r="DK112" s="284">
        <v>14759</v>
      </c>
      <c r="DL112" s="284">
        <v>16081</v>
      </c>
      <c r="DM112" s="284">
        <v>15618</v>
      </c>
      <c r="DN112" s="284">
        <v>15554</v>
      </c>
      <c r="DO112" s="284">
        <v>16992</v>
      </c>
      <c r="DP112" s="284">
        <v>17163</v>
      </c>
      <c r="DQ112" s="284">
        <v>14934</v>
      </c>
      <c r="DR112" s="284">
        <v>16221</v>
      </c>
      <c r="DS112" s="284">
        <v>15606</v>
      </c>
      <c r="DT112" s="284">
        <v>17230</v>
      </c>
      <c r="DU112" s="284">
        <v>16960</v>
      </c>
      <c r="DV112" s="284">
        <v>19592</v>
      </c>
      <c r="DW112" s="284">
        <v>19869</v>
      </c>
      <c r="DX112" s="284">
        <v>18680</v>
      </c>
      <c r="DY112" s="284">
        <v>19696</v>
      </c>
      <c r="DZ112" s="284">
        <v>21413</v>
      </c>
      <c r="EA112" s="284">
        <v>19671</v>
      </c>
      <c r="EB112" s="284">
        <v>21718</v>
      </c>
      <c r="EC112" s="284">
        <v>19145</v>
      </c>
      <c r="ED112" s="284">
        <v>26328</v>
      </c>
      <c r="EE112" s="284">
        <v>28443</v>
      </c>
      <c r="EF112" s="284">
        <v>30281</v>
      </c>
      <c r="EG112" s="284">
        <v>32538</v>
      </c>
      <c r="EH112" s="284">
        <v>31929</v>
      </c>
      <c r="EI112" s="284">
        <v>31257</v>
      </c>
      <c r="EJ112" s="284">
        <v>34167</v>
      </c>
      <c r="EK112" s="284">
        <v>34850</v>
      </c>
      <c r="EL112" s="284">
        <v>32316</v>
      </c>
      <c r="EM112" s="284">
        <v>31480</v>
      </c>
      <c r="EN112" s="284">
        <v>31529</v>
      </c>
      <c r="EO112" s="284">
        <v>30984</v>
      </c>
      <c r="EP112" s="284">
        <v>32917</v>
      </c>
      <c r="EQ112" s="284">
        <v>35875</v>
      </c>
      <c r="ER112" s="284">
        <v>35554</v>
      </c>
      <c r="ES112" s="284">
        <v>37735</v>
      </c>
      <c r="ET112" s="284">
        <v>37664</v>
      </c>
      <c r="EU112" s="284">
        <v>38179</v>
      </c>
      <c r="EV112" s="284">
        <v>43200</v>
      </c>
      <c r="EW112" s="284">
        <v>42734</v>
      </c>
      <c r="EX112" s="284">
        <v>39417</v>
      </c>
      <c r="EY112" s="284">
        <v>39624</v>
      </c>
      <c r="EZ112" s="284">
        <v>40240</v>
      </c>
      <c r="FA112" s="284">
        <v>35887</v>
      </c>
      <c r="FB112" s="284">
        <v>33528</v>
      </c>
      <c r="FC112" s="284">
        <v>38219</v>
      </c>
      <c r="FD112" s="284">
        <v>39279</v>
      </c>
      <c r="FE112" s="284">
        <v>38395</v>
      </c>
      <c r="FF112" s="284">
        <v>38577</v>
      </c>
      <c r="FG112" s="284">
        <v>37902</v>
      </c>
      <c r="FH112" s="284">
        <v>38960</v>
      </c>
      <c r="FI112" s="284">
        <v>38191</v>
      </c>
      <c r="FJ112" s="284">
        <v>41313</v>
      </c>
      <c r="FK112" s="284">
        <v>38538</v>
      </c>
      <c r="FL112" s="284">
        <v>40412</v>
      </c>
      <c r="FM112" s="284">
        <v>36276</v>
      </c>
      <c r="FN112" s="284">
        <v>32259</v>
      </c>
      <c r="FO112" s="284">
        <v>35289</v>
      </c>
      <c r="FP112" s="284">
        <v>34668</v>
      </c>
      <c r="FQ112" s="284">
        <v>33461</v>
      </c>
      <c r="FR112" s="284">
        <v>31824</v>
      </c>
      <c r="FS112" s="284">
        <v>29694</v>
      </c>
      <c r="FT112" s="284">
        <v>31863</v>
      </c>
      <c r="FU112" s="284">
        <v>33101</v>
      </c>
      <c r="FV112" s="284">
        <v>33810</v>
      </c>
      <c r="FW112" s="284">
        <v>33577</v>
      </c>
      <c r="FX112" s="284">
        <v>33331</v>
      </c>
      <c r="FY112" s="284">
        <v>30621</v>
      </c>
      <c r="FZ112" s="284">
        <v>28522</v>
      </c>
      <c r="GA112" s="284">
        <v>31484</v>
      </c>
      <c r="GB112" s="284">
        <v>30301</v>
      </c>
      <c r="GC112" s="284">
        <v>28839</v>
      </c>
      <c r="GD112" s="284">
        <v>32487</v>
      </c>
      <c r="GE112" s="284">
        <v>30076</v>
      </c>
      <c r="GF112" s="284">
        <v>32534</v>
      </c>
      <c r="GG112" s="284">
        <v>33101</v>
      </c>
      <c r="GH112" s="284">
        <v>29115</v>
      </c>
      <c r="GI112" s="284">
        <v>30644</v>
      </c>
      <c r="GJ112" s="284">
        <v>33594</v>
      </c>
      <c r="GK112" s="284">
        <v>27709</v>
      </c>
      <c r="GL112" s="284">
        <v>29563</v>
      </c>
      <c r="GM112" s="284">
        <v>33411</v>
      </c>
      <c r="GN112" s="284">
        <v>30630</v>
      </c>
      <c r="GO112" s="284">
        <v>30873</v>
      </c>
      <c r="GP112" s="284">
        <v>32386</v>
      </c>
      <c r="GQ112" s="284">
        <v>30525</v>
      </c>
      <c r="GR112" s="284">
        <v>33253</v>
      </c>
      <c r="GS112" s="284">
        <v>31444</v>
      </c>
      <c r="GT112" s="284">
        <v>30380</v>
      </c>
      <c r="GU112" s="284">
        <v>33425</v>
      </c>
      <c r="GV112" s="284">
        <v>33185</v>
      </c>
      <c r="GW112" s="284">
        <v>29423</v>
      </c>
      <c r="GX112" s="284">
        <v>29071</v>
      </c>
      <c r="GY112" s="284">
        <v>33359</v>
      </c>
      <c r="GZ112" s="284">
        <v>33732</v>
      </c>
      <c r="HA112" s="284">
        <v>33207</v>
      </c>
      <c r="HB112" s="284">
        <v>33984</v>
      </c>
      <c r="HC112" s="284">
        <v>33530</v>
      </c>
      <c r="HD112" s="284">
        <v>37131</v>
      </c>
      <c r="HE112" s="284">
        <v>39137</v>
      </c>
      <c r="HF112" s="284">
        <v>35124</v>
      </c>
      <c r="HG112" s="284">
        <v>38729</v>
      </c>
      <c r="HH112" s="284">
        <v>39027</v>
      </c>
      <c r="HI112" s="284">
        <v>33587</v>
      </c>
      <c r="HJ112" s="284">
        <v>36107</v>
      </c>
      <c r="HK112" s="284">
        <v>39131</v>
      </c>
      <c r="HL112" s="284">
        <v>37710</v>
      </c>
      <c r="HM112" s="284">
        <v>38223</v>
      </c>
      <c r="HN112" s="284">
        <v>39909</v>
      </c>
      <c r="HO112" s="284">
        <v>38434</v>
      </c>
      <c r="HP112" s="284">
        <v>44317</v>
      </c>
      <c r="HQ112" s="284">
        <v>41562</v>
      </c>
      <c r="HR112" s="284">
        <v>41888</v>
      </c>
      <c r="HS112" s="284">
        <v>45032</v>
      </c>
      <c r="HT112" s="284">
        <v>45485</v>
      </c>
      <c r="HU112" s="284">
        <v>39406</v>
      </c>
      <c r="HV112" s="284">
        <v>41444</v>
      </c>
      <c r="HW112" s="284">
        <v>47370</v>
      </c>
      <c r="HX112" s="284">
        <v>46000</v>
      </c>
      <c r="HY112" s="284">
        <v>38960</v>
      </c>
      <c r="HZ112" s="284">
        <v>40059</v>
      </c>
      <c r="IA112" s="284">
        <v>40119</v>
      </c>
      <c r="IB112" s="284">
        <v>49648</v>
      </c>
      <c r="IC112" s="284">
        <v>50817</v>
      </c>
      <c r="ID112" s="284">
        <v>52220</v>
      </c>
      <c r="IE112" s="284">
        <v>51827</v>
      </c>
      <c r="IF112" s="284">
        <v>47569</v>
      </c>
      <c r="IG112" s="284">
        <v>46042</v>
      </c>
      <c r="IH112" s="284">
        <v>42869</v>
      </c>
      <c r="II112" s="284">
        <v>50390</v>
      </c>
      <c r="IJ112" s="284">
        <v>50968</v>
      </c>
      <c r="IK112" s="284">
        <v>48945</v>
      </c>
      <c r="IL112" s="284">
        <v>47289</v>
      </c>
      <c r="IM112" s="850">
        <v>45637</v>
      </c>
      <c r="IN112" s="168"/>
    </row>
    <row r="113" spans="1:248">
      <c r="A113" s="81" t="s">
        <v>1203</v>
      </c>
      <c r="B113" s="285">
        <v>123</v>
      </c>
      <c r="C113" s="285">
        <v>133</v>
      </c>
      <c r="D113" s="285">
        <v>135</v>
      </c>
      <c r="E113" s="285">
        <v>210</v>
      </c>
      <c r="F113" s="285">
        <v>203</v>
      </c>
      <c r="G113" s="285">
        <v>245</v>
      </c>
      <c r="H113" s="285">
        <v>260</v>
      </c>
      <c r="I113" s="285">
        <v>324</v>
      </c>
      <c r="J113" s="285">
        <v>510</v>
      </c>
      <c r="K113" s="285">
        <v>554</v>
      </c>
      <c r="L113" s="285">
        <v>471</v>
      </c>
      <c r="M113" s="285">
        <v>236</v>
      </c>
      <c r="N113" s="285">
        <v>314</v>
      </c>
      <c r="O113" s="285">
        <v>281</v>
      </c>
      <c r="P113" s="285">
        <v>200</v>
      </c>
      <c r="Q113" s="285">
        <v>208</v>
      </c>
      <c r="R113" s="285">
        <v>284</v>
      </c>
      <c r="S113" s="285">
        <v>240</v>
      </c>
      <c r="T113" s="285">
        <v>218</v>
      </c>
      <c r="U113" s="285">
        <v>223</v>
      </c>
      <c r="V113" s="285">
        <v>212</v>
      </c>
      <c r="W113" s="285">
        <v>214</v>
      </c>
      <c r="X113" s="285">
        <v>194</v>
      </c>
      <c r="Y113" s="285">
        <v>139</v>
      </c>
      <c r="Z113" s="285">
        <v>192</v>
      </c>
      <c r="AA113" s="285">
        <v>197</v>
      </c>
      <c r="AB113" s="285">
        <v>200</v>
      </c>
      <c r="AC113" s="285">
        <v>172</v>
      </c>
      <c r="AD113" s="285">
        <v>199</v>
      </c>
      <c r="AE113" s="285">
        <v>238</v>
      </c>
      <c r="AF113" s="285">
        <v>268</v>
      </c>
      <c r="AG113" s="285">
        <v>259</v>
      </c>
      <c r="AH113" s="285">
        <v>240</v>
      </c>
      <c r="AI113" s="285">
        <v>237</v>
      </c>
      <c r="AJ113" s="285">
        <v>248</v>
      </c>
      <c r="AK113" s="285">
        <v>247</v>
      </c>
      <c r="AL113" s="285">
        <v>234</v>
      </c>
      <c r="AM113" s="285">
        <v>260</v>
      </c>
      <c r="AN113" s="285">
        <v>262</v>
      </c>
      <c r="AO113" s="285">
        <v>252</v>
      </c>
      <c r="AP113" s="285">
        <v>258</v>
      </c>
      <c r="AQ113" s="285">
        <v>260</v>
      </c>
      <c r="AR113" s="285">
        <v>239</v>
      </c>
      <c r="AS113" s="285">
        <v>229</v>
      </c>
      <c r="AT113" s="285">
        <v>231</v>
      </c>
      <c r="AU113" s="285">
        <v>238</v>
      </c>
      <c r="AV113" s="285">
        <v>255</v>
      </c>
      <c r="AW113" s="285">
        <v>246</v>
      </c>
      <c r="AX113" s="285">
        <v>287</v>
      </c>
      <c r="AY113" s="285">
        <v>291</v>
      </c>
      <c r="AZ113" s="285">
        <v>332</v>
      </c>
      <c r="BA113" s="285">
        <v>315</v>
      </c>
      <c r="BB113" s="285">
        <v>325</v>
      </c>
      <c r="BC113" s="285">
        <v>333</v>
      </c>
      <c r="BD113" s="285">
        <v>318</v>
      </c>
      <c r="BE113" s="285">
        <v>330</v>
      </c>
      <c r="BF113" s="285">
        <v>259</v>
      </c>
      <c r="BG113" s="285">
        <v>357</v>
      </c>
      <c r="BH113" s="285">
        <v>342</v>
      </c>
      <c r="BI113" s="285">
        <v>300</v>
      </c>
      <c r="BJ113" s="285">
        <v>326</v>
      </c>
      <c r="BK113" s="285">
        <v>281</v>
      </c>
      <c r="BL113" s="285">
        <v>269</v>
      </c>
      <c r="BM113" s="285">
        <v>232</v>
      </c>
      <c r="BN113" s="285">
        <v>257</v>
      </c>
      <c r="BO113" s="285">
        <v>242</v>
      </c>
      <c r="BP113" s="285">
        <v>244</v>
      </c>
      <c r="BQ113" s="285">
        <v>198</v>
      </c>
      <c r="BR113" s="285">
        <v>231</v>
      </c>
      <c r="BS113" s="285">
        <v>178</v>
      </c>
      <c r="BT113" s="285">
        <v>172</v>
      </c>
      <c r="BU113" s="285">
        <v>167</v>
      </c>
      <c r="BV113" s="285">
        <v>172</v>
      </c>
      <c r="BW113" s="285">
        <v>273</v>
      </c>
      <c r="BX113" s="285">
        <v>163</v>
      </c>
      <c r="BY113" s="285">
        <v>162</v>
      </c>
      <c r="BZ113" s="285">
        <v>169</v>
      </c>
      <c r="CA113" s="285">
        <v>177</v>
      </c>
      <c r="CB113" s="285">
        <v>279</v>
      </c>
      <c r="CC113" s="285">
        <v>184</v>
      </c>
      <c r="CD113" s="285">
        <v>193</v>
      </c>
      <c r="CE113" s="285">
        <v>191</v>
      </c>
      <c r="CF113" s="285">
        <v>308</v>
      </c>
      <c r="CG113" s="285">
        <v>214</v>
      </c>
      <c r="CH113" s="285">
        <v>226</v>
      </c>
      <c r="CI113" s="285">
        <v>227</v>
      </c>
      <c r="CJ113" s="285">
        <v>218</v>
      </c>
      <c r="CK113" s="285">
        <v>212</v>
      </c>
      <c r="CL113" s="285">
        <v>225</v>
      </c>
      <c r="CM113" s="285">
        <v>222</v>
      </c>
      <c r="CN113" s="285">
        <v>207</v>
      </c>
      <c r="CO113" s="285">
        <v>214</v>
      </c>
      <c r="CP113" s="285">
        <v>213</v>
      </c>
      <c r="CQ113" s="285">
        <v>218</v>
      </c>
      <c r="CR113" s="285">
        <v>230</v>
      </c>
      <c r="CS113" s="285">
        <v>151</v>
      </c>
      <c r="CT113" s="285">
        <v>98</v>
      </c>
      <c r="CU113" s="285">
        <v>80</v>
      </c>
      <c r="CV113" s="285">
        <v>90</v>
      </c>
      <c r="CW113" s="285">
        <v>83</v>
      </c>
      <c r="CX113" s="285">
        <v>82</v>
      </c>
      <c r="CY113" s="285">
        <v>91</v>
      </c>
      <c r="CZ113" s="285">
        <v>85</v>
      </c>
      <c r="DA113" s="285">
        <v>89</v>
      </c>
      <c r="DB113" s="285">
        <v>87</v>
      </c>
      <c r="DC113" s="285">
        <v>89</v>
      </c>
      <c r="DD113" s="285">
        <v>120</v>
      </c>
      <c r="DE113" s="285">
        <v>155</v>
      </c>
      <c r="DF113" s="285">
        <v>174</v>
      </c>
      <c r="DG113" s="285">
        <v>191</v>
      </c>
      <c r="DH113" s="285">
        <v>217</v>
      </c>
      <c r="DI113" s="285">
        <v>243</v>
      </c>
      <c r="DJ113" s="285">
        <v>230</v>
      </c>
      <c r="DK113" s="285">
        <v>290</v>
      </c>
      <c r="DL113" s="285">
        <v>290</v>
      </c>
      <c r="DM113" s="285">
        <v>323</v>
      </c>
      <c r="DN113" s="285">
        <v>270</v>
      </c>
      <c r="DO113" s="285">
        <v>278</v>
      </c>
      <c r="DP113" s="285">
        <v>244</v>
      </c>
      <c r="DQ113" s="285">
        <v>239</v>
      </c>
      <c r="DR113" s="285">
        <v>206</v>
      </c>
      <c r="DS113" s="285">
        <v>234</v>
      </c>
      <c r="DT113" s="285">
        <v>311</v>
      </c>
      <c r="DU113" s="285">
        <v>317</v>
      </c>
      <c r="DV113" s="285">
        <v>408</v>
      </c>
      <c r="DW113" s="285">
        <v>462</v>
      </c>
      <c r="DX113" s="285">
        <v>317</v>
      </c>
      <c r="DY113" s="285">
        <v>297</v>
      </c>
      <c r="DZ113" s="285">
        <v>314</v>
      </c>
      <c r="EA113" s="285">
        <v>329</v>
      </c>
      <c r="EB113" s="285">
        <v>323</v>
      </c>
      <c r="EC113" s="285">
        <v>345</v>
      </c>
      <c r="ED113" s="285">
        <v>373</v>
      </c>
      <c r="EE113" s="285">
        <v>397</v>
      </c>
      <c r="EF113" s="285">
        <v>369</v>
      </c>
      <c r="EG113" s="285">
        <v>412</v>
      </c>
      <c r="EH113" s="285">
        <v>415</v>
      </c>
      <c r="EI113" s="285">
        <v>349</v>
      </c>
      <c r="EJ113" s="285">
        <v>321</v>
      </c>
      <c r="EK113" s="285">
        <v>154</v>
      </c>
      <c r="EL113" s="285">
        <v>139</v>
      </c>
      <c r="EM113" s="285">
        <v>120</v>
      </c>
      <c r="EN113" s="285">
        <v>116</v>
      </c>
      <c r="EO113" s="285">
        <v>118</v>
      </c>
      <c r="EP113" s="285">
        <v>118</v>
      </c>
      <c r="EQ113" s="285">
        <v>128</v>
      </c>
      <c r="ER113" s="285">
        <v>121</v>
      </c>
      <c r="ES113" s="285">
        <v>134</v>
      </c>
      <c r="ET113" s="285">
        <v>137</v>
      </c>
      <c r="EU113" s="285">
        <v>130</v>
      </c>
      <c r="EV113" s="285">
        <v>119</v>
      </c>
      <c r="EW113" s="285">
        <v>135</v>
      </c>
      <c r="EX113" s="285">
        <v>147</v>
      </c>
      <c r="EY113" s="285">
        <v>137</v>
      </c>
      <c r="EZ113" s="285">
        <v>146</v>
      </c>
      <c r="FA113" s="285">
        <v>146</v>
      </c>
      <c r="FB113" s="285">
        <v>138</v>
      </c>
      <c r="FC113" s="285">
        <v>144</v>
      </c>
      <c r="FD113" s="285">
        <v>133</v>
      </c>
      <c r="FE113" s="285">
        <v>178</v>
      </c>
      <c r="FF113" s="285">
        <v>248</v>
      </c>
      <c r="FG113" s="285">
        <v>204</v>
      </c>
      <c r="FH113" s="285">
        <v>248</v>
      </c>
      <c r="FI113" s="285">
        <v>224</v>
      </c>
      <c r="FJ113" s="285">
        <v>233</v>
      </c>
      <c r="FK113" s="285">
        <v>291</v>
      </c>
      <c r="FL113" s="285">
        <v>298</v>
      </c>
      <c r="FM113" s="285">
        <v>248</v>
      </c>
      <c r="FN113" s="285">
        <v>345</v>
      </c>
      <c r="FO113" s="285">
        <v>433</v>
      </c>
      <c r="FP113" s="285">
        <v>433</v>
      </c>
      <c r="FQ113" s="285">
        <v>368</v>
      </c>
      <c r="FR113" s="285">
        <v>314</v>
      </c>
      <c r="FS113" s="285">
        <v>387</v>
      </c>
      <c r="FT113" s="285">
        <v>465</v>
      </c>
      <c r="FU113" s="285">
        <v>469</v>
      </c>
      <c r="FV113" s="285">
        <v>439</v>
      </c>
      <c r="FW113" s="285">
        <v>461</v>
      </c>
      <c r="FX113" s="285">
        <v>550</v>
      </c>
      <c r="FY113" s="285">
        <v>400</v>
      </c>
      <c r="FZ113" s="285">
        <v>409</v>
      </c>
      <c r="GA113" s="285">
        <v>487</v>
      </c>
      <c r="GB113" s="285">
        <v>561</v>
      </c>
      <c r="GC113" s="285">
        <v>516</v>
      </c>
      <c r="GD113" s="285">
        <v>590</v>
      </c>
      <c r="GE113" s="285">
        <v>580</v>
      </c>
      <c r="GF113" s="285">
        <v>686</v>
      </c>
      <c r="GG113" s="285">
        <v>732</v>
      </c>
      <c r="GH113" s="285">
        <v>678</v>
      </c>
      <c r="GI113" s="285">
        <v>677</v>
      </c>
      <c r="GJ113" s="285">
        <v>575</v>
      </c>
      <c r="GK113" s="285">
        <v>600</v>
      </c>
      <c r="GL113" s="285">
        <v>614</v>
      </c>
      <c r="GM113" s="285">
        <v>708</v>
      </c>
      <c r="GN113" s="285">
        <v>767</v>
      </c>
      <c r="GO113" s="285">
        <v>893</v>
      </c>
      <c r="GP113" s="285">
        <v>900</v>
      </c>
      <c r="GQ113" s="285">
        <v>977</v>
      </c>
      <c r="GR113" s="285">
        <v>967</v>
      </c>
      <c r="GS113" s="285">
        <v>1207</v>
      </c>
      <c r="GT113" s="285">
        <v>1198</v>
      </c>
      <c r="GU113" s="285">
        <v>1391</v>
      </c>
      <c r="GV113" s="285">
        <v>1510</v>
      </c>
      <c r="GW113" s="285">
        <v>1689</v>
      </c>
      <c r="GX113" s="285">
        <v>1856</v>
      </c>
      <c r="GY113" s="285">
        <v>2217</v>
      </c>
      <c r="GZ113" s="285">
        <v>2456</v>
      </c>
      <c r="HA113" s="285">
        <v>2391</v>
      </c>
      <c r="HB113" s="285">
        <v>2748</v>
      </c>
      <c r="HC113" s="285">
        <v>2263</v>
      </c>
      <c r="HD113" s="285">
        <v>2337</v>
      </c>
      <c r="HE113" s="285">
        <v>2115</v>
      </c>
      <c r="HF113" s="285">
        <v>2023</v>
      </c>
      <c r="HG113" s="285">
        <v>2290</v>
      </c>
      <c r="HH113" s="285">
        <v>2364</v>
      </c>
      <c r="HI113" s="285">
        <v>2336</v>
      </c>
      <c r="HJ113" s="285">
        <v>2235</v>
      </c>
      <c r="HK113" s="285">
        <v>2564</v>
      </c>
      <c r="HL113" s="285">
        <v>2758</v>
      </c>
      <c r="HM113" s="285">
        <v>2837</v>
      </c>
      <c r="HN113" s="285">
        <v>2934</v>
      </c>
      <c r="HO113" s="285">
        <v>3250</v>
      </c>
      <c r="HP113" s="286">
        <v>3189</v>
      </c>
      <c r="HQ113" s="286">
        <v>2272</v>
      </c>
      <c r="HR113" s="286">
        <v>1850</v>
      </c>
      <c r="HS113" s="286">
        <v>1588</v>
      </c>
      <c r="HT113" s="286">
        <v>1606</v>
      </c>
      <c r="HU113" s="286">
        <v>1284</v>
      </c>
      <c r="HV113" s="545">
        <v>1231</v>
      </c>
      <c r="HW113" s="545">
        <v>1252</v>
      </c>
      <c r="HX113" s="545">
        <v>1484</v>
      </c>
      <c r="HY113" s="545">
        <v>1477</v>
      </c>
      <c r="HZ113" s="545">
        <v>1412</v>
      </c>
      <c r="IA113" s="545">
        <v>1340</v>
      </c>
      <c r="IB113" s="545">
        <v>2194</v>
      </c>
      <c r="IC113" s="545">
        <v>1792</v>
      </c>
      <c r="ID113" s="545">
        <v>1949</v>
      </c>
      <c r="IE113" s="545">
        <v>2025</v>
      </c>
      <c r="IF113" s="545">
        <v>1534</v>
      </c>
      <c r="IG113" s="285">
        <v>1423</v>
      </c>
      <c r="IH113" s="545">
        <v>1484</v>
      </c>
      <c r="II113" s="545">
        <v>1573</v>
      </c>
      <c r="IJ113" s="545">
        <v>1500</v>
      </c>
      <c r="IK113" s="545">
        <v>1505</v>
      </c>
      <c r="IL113" s="545">
        <v>1307</v>
      </c>
      <c r="IM113" s="851">
        <v>1311</v>
      </c>
      <c r="IN113" s="168"/>
    </row>
    <row r="114" spans="1:248">
      <c r="A114" s="81" t="s">
        <v>192</v>
      </c>
      <c r="B114" s="284">
        <v>728</v>
      </c>
      <c r="C114" s="284">
        <v>787</v>
      </c>
      <c r="D114" s="284">
        <v>727</v>
      </c>
      <c r="E114" s="284">
        <v>801</v>
      </c>
      <c r="F114" s="284">
        <v>767</v>
      </c>
      <c r="G114" s="284">
        <v>956</v>
      </c>
      <c r="H114" s="284">
        <v>780</v>
      </c>
      <c r="I114" s="284">
        <v>723</v>
      </c>
      <c r="J114" s="284">
        <v>648</v>
      </c>
      <c r="K114" s="284">
        <v>813</v>
      </c>
      <c r="L114" s="284">
        <v>826</v>
      </c>
      <c r="M114" s="284">
        <v>1002</v>
      </c>
      <c r="N114" s="284">
        <v>929</v>
      </c>
      <c r="O114" s="284">
        <v>1027</v>
      </c>
      <c r="P114" s="284">
        <v>1206</v>
      </c>
      <c r="Q114" s="284">
        <v>1338</v>
      </c>
      <c r="R114" s="284">
        <v>963</v>
      </c>
      <c r="S114" s="284">
        <v>956</v>
      </c>
      <c r="T114" s="284">
        <v>799</v>
      </c>
      <c r="U114" s="284">
        <v>747</v>
      </c>
      <c r="V114" s="284">
        <v>734</v>
      </c>
      <c r="W114" s="284">
        <v>848</v>
      </c>
      <c r="X114" s="284">
        <v>762</v>
      </c>
      <c r="Y114" s="284">
        <v>864</v>
      </c>
      <c r="Z114" s="284">
        <v>907</v>
      </c>
      <c r="AA114" s="284">
        <v>910</v>
      </c>
      <c r="AB114" s="284">
        <v>1199</v>
      </c>
      <c r="AC114" s="284">
        <v>1001</v>
      </c>
      <c r="AD114" s="284">
        <v>900</v>
      </c>
      <c r="AE114" s="284">
        <v>1025</v>
      </c>
      <c r="AF114" s="284">
        <v>1096</v>
      </c>
      <c r="AG114" s="284">
        <v>1295</v>
      </c>
      <c r="AH114" s="284">
        <v>1110</v>
      </c>
      <c r="AI114" s="284">
        <v>1325</v>
      </c>
      <c r="AJ114" s="284">
        <v>1168</v>
      </c>
      <c r="AK114" s="284">
        <v>1128</v>
      </c>
      <c r="AL114" s="284">
        <v>1320</v>
      </c>
      <c r="AM114" s="284">
        <v>1345</v>
      </c>
      <c r="AN114" s="284">
        <v>1384</v>
      </c>
      <c r="AO114" s="284">
        <v>1295</v>
      </c>
      <c r="AP114" s="284">
        <v>1448</v>
      </c>
      <c r="AQ114" s="284">
        <v>1100</v>
      </c>
      <c r="AR114" s="284">
        <v>1524</v>
      </c>
      <c r="AS114" s="284">
        <v>1300</v>
      </c>
      <c r="AT114" s="284">
        <v>1336</v>
      </c>
      <c r="AU114" s="284">
        <v>1317</v>
      </c>
      <c r="AV114" s="284">
        <v>1487</v>
      </c>
      <c r="AW114" s="284">
        <v>1291</v>
      </c>
      <c r="AX114" s="284">
        <v>1779</v>
      </c>
      <c r="AY114" s="284">
        <v>1994</v>
      </c>
      <c r="AZ114" s="284">
        <v>1307</v>
      </c>
      <c r="BA114" s="284">
        <v>1352</v>
      </c>
      <c r="BB114" s="284">
        <v>1250</v>
      </c>
      <c r="BC114" s="284">
        <v>1485</v>
      </c>
      <c r="BD114" s="284">
        <v>1453</v>
      </c>
      <c r="BE114" s="284">
        <v>1698</v>
      </c>
      <c r="BF114" s="284">
        <v>1125</v>
      </c>
      <c r="BG114" s="284">
        <v>1277</v>
      </c>
      <c r="BH114" s="284">
        <v>1486</v>
      </c>
      <c r="BI114" s="284">
        <v>1518</v>
      </c>
      <c r="BJ114" s="284">
        <v>1392</v>
      </c>
      <c r="BK114" s="284">
        <v>1552</v>
      </c>
      <c r="BL114" s="284">
        <v>2186</v>
      </c>
      <c r="BM114" s="284">
        <v>2066</v>
      </c>
      <c r="BN114" s="284">
        <v>1919</v>
      </c>
      <c r="BO114" s="284">
        <v>1423</v>
      </c>
      <c r="BP114" s="284">
        <v>1751</v>
      </c>
      <c r="BQ114" s="284">
        <v>1291</v>
      </c>
      <c r="BR114" s="284">
        <v>1347</v>
      </c>
      <c r="BS114" s="284">
        <v>1438</v>
      </c>
      <c r="BT114" s="284">
        <v>1597</v>
      </c>
      <c r="BU114" s="284">
        <v>1224</v>
      </c>
      <c r="BV114" s="284">
        <v>1500</v>
      </c>
      <c r="BW114" s="284">
        <v>1768</v>
      </c>
      <c r="BX114" s="284">
        <v>1900</v>
      </c>
      <c r="BY114" s="284">
        <v>1656</v>
      </c>
      <c r="BZ114" s="284">
        <v>1467</v>
      </c>
      <c r="CA114" s="284">
        <v>1556</v>
      </c>
      <c r="CB114" s="284">
        <v>1774</v>
      </c>
      <c r="CC114" s="284">
        <v>1101</v>
      </c>
      <c r="CD114" s="284">
        <v>1316</v>
      </c>
      <c r="CE114" s="284">
        <v>1214</v>
      </c>
      <c r="CF114" s="284">
        <v>1411</v>
      </c>
      <c r="CG114" s="284">
        <v>1165</v>
      </c>
      <c r="CH114" s="284">
        <v>1111</v>
      </c>
      <c r="CI114" s="284">
        <v>1720</v>
      </c>
      <c r="CJ114" s="284">
        <v>1238</v>
      </c>
      <c r="CK114" s="284">
        <v>1519</v>
      </c>
      <c r="CL114" s="284">
        <v>1140</v>
      </c>
      <c r="CM114" s="284">
        <v>1850</v>
      </c>
      <c r="CN114" s="284">
        <v>1158</v>
      </c>
      <c r="CO114" s="284">
        <v>1179</v>
      </c>
      <c r="CP114" s="284">
        <v>1344</v>
      </c>
      <c r="CQ114" s="284">
        <v>1389</v>
      </c>
      <c r="CR114" s="284">
        <v>1538</v>
      </c>
      <c r="CS114" s="284">
        <v>1285</v>
      </c>
      <c r="CT114" s="284">
        <v>1321</v>
      </c>
      <c r="CU114" s="284">
        <v>1147</v>
      </c>
      <c r="CV114" s="284">
        <v>1402</v>
      </c>
      <c r="CW114" s="284">
        <v>985</v>
      </c>
      <c r="CX114" s="284">
        <v>1052</v>
      </c>
      <c r="CY114" s="284">
        <v>977</v>
      </c>
      <c r="CZ114" s="284">
        <v>894</v>
      </c>
      <c r="DA114" s="284">
        <v>901</v>
      </c>
      <c r="DB114" s="284">
        <v>801</v>
      </c>
      <c r="DC114" s="284">
        <v>834</v>
      </c>
      <c r="DD114" s="284">
        <v>872</v>
      </c>
      <c r="DE114" s="284">
        <v>745</v>
      </c>
      <c r="DF114" s="284">
        <v>836</v>
      </c>
      <c r="DG114" s="284">
        <v>913</v>
      </c>
      <c r="DH114" s="284">
        <v>908</v>
      </c>
      <c r="DI114" s="284">
        <v>835</v>
      </c>
      <c r="DJ114" s="284">
        <v>864</v>
      </c>
      <c r="DK114" s="284">
        <v>829</v>
      </c>
      <c r="DL114" s="284">
        <v>722</v>
      </c>
      <c r="DM114" s="284">
        <v>826</v>
      </c>
      <c r="DN114" s="284">
        <v>743</v>
      </c>
      <c r="DO114" s="284">
        <v>972</v>
      </c>
      <c r="DP114" s="284">
        <v>1280</v>
      </c>
      <c r="DQ114" s="284">
        <v>824</v>
      </c>
      <c r="DR114" s="284">
        <v>871</v>
      </c>
      <c r="DS114" s="284">
        <v>997</v>
      </c>
      <c r="DT114" s="284">
        <v>978</v>
      </c>
      <c r="DU114" s="284">
        <v>1051</v>
      </c>
      <c r="DV114" s="284">
        <v>1256</v>
      </c>
      <c r="DW114" s="284">
        <v>1177</v>
      </c>
      <c r="DX114" s="284">
        <v>1175</v>
      </c>
      <c r="DY114" s="284">
        <v>1025</v>
      </c>
      <c r="DZ114" s="284">
        <v>1209</v>
      </c>
      <c r="EA114" s="284">
        <v>1245</v>
      </c>
      <c r="EB114" s="284">
        <v>1078</v>
      </c>
      <c r="EC114" s="284">
        <v>1073</v>
      </c>
      <c r="ED114" s="284">
        <v>1017</v>
      </c>
      <c r="EE114" s="284">
        <v>1620</v>
      </c>
      <c r="EF114" s="284">
        <v>1517</v>
      </c>
      <c r="EG114" s="284">
        <v>1138</v>
      </c>
      <c r="EH114" s="284">
        <v>1298</v>
      </c>
      <c r="EI114" s="284">
        <v>1389</v>
      </c>
      <c r="EJ114" s="284">
        <v>1185</v>
      </c>
      <c r="EK114" s="284">
        <v>1220</v>
      </c>
      <c r="EL114" s="284">
        <v>994</v>
      </c>
      <c r="EM114" s="284">
        <v>1053</v>
      </c>
      <c r="EN114" s="284">
        <v>1059</v>
      </c>
      <c r="EO114" s="284">
        <v>1019</v>
      </c>
      <c r="EP114" s="284">
        <v>1135</v>
      </c>
      <c r="EQ114" s="284">
        <v>1182</v>
      </c>
      <c r="ER114" s="284">
        <v>1186</v>
      </c>
      <c r="ES114" s="284">
        <v>1586</v>
      </c>
      <c r="ET114" s="284">
        <v>1525</v>
      </c>
      <c r="EU114" s="284">
        <v>4077</v>
      </c>
      <c r="EV114" s="284">
        <v>1277</v>
      </c>
      <c r="EW114" s="284">
        <v>1203</v>
      </c>
      <c r="EX114" s="284">
        <v>1820</v>
      </c>
      <c r="EY114" s="284">
        <v>1382</v>
      </c>
      <c r="EZ114" s="284">
        <v>1480</v>
      </c>
      <c r="FA114" s="284">
        <v>1321</v>
      </c>
      <c r="FB114" s="284">
        <v>1359</v>
      </c>
      <c r="FC114" s="284">
        <v>1744</v>
      </c>
      <c r="FD114" s="284">
        <v>1900</v>
      </c>
      <c r="FE114" s="284">
        <v>1535</v>
      </c>
      <c r="FF114" s="284">
        <v>1342</v>
      </c>
      <c r="FG114" s="284">
        <v>1183</v>
      </c>
      <c r="FH114" s="284">
        <v>1278</v>
      </c>
      <c r="FI114" s="284">
        <v>1265</v>
      </c>
      <c r="FJ114" s="284">
        <v>1325</v>
      </c>
      <c r="FK114" s="284">
        <v>1423</v>
      </c>
      <c r="FL114" s="284">
        <v>1257</v>
      </c>
      <c r="FM114" s="284">
        <v>1366</v>
      </c>
      <c r="FN114" s="284">
        <v>1665</v>
      </c>
      <c r="FO114" s="284">
        <v>1550</v>
      </c>
      <c r="FP114" s="284">
        <v>1531</v>
      </c>
      <c r="FQ114" s="284">
        <v>1352</v>
      </c>
      <c r="FR114" s="284">
        <v>1441</v>
      </c>
      <c r="FS114" s="284">
        <v>1512</v>
      </c>
      <c r="FT114" s="284">
        <v>1527</v>
      </c>
      <c r="FU114" s="284">
        <v>1411</v>
      </c>
      <c r="FV114" s="284">
        <v>1324</v>
      </c>
      <c r="FW114" s="284">
        <v>1442</v>
      </c>
      <c r="FX114" s="284">
        <v>1581</v>
      </c>
      <c r="FY114" s="284">
        <v>1387</v>
      </c>
      <c r="FZ114" s="284">
        <v>1579</v>
      </c>
      <c r="GA114" s="284">
        <v>1631</v>
      </c>
      <c r="GB114" s="284">
        <v>1587</v>
      </c>
      <c r="GC114" s="284">
        <v>1613</v>
      </c>
      <c r="GD114" s="284">
        <v>1556</v>
      </c>
      <c r="GE114" s="284">
        <v>1674</v>
      </c>
      <c r="GF114" s="284">
        <v>1654</v>
      </c>
      <c r="GG114" s="284">
        <v>1414</v>
      </c>
      <c r="GH114" s="284">
        <v>1647</v>
      </c>
      <c r="GI114" s="284">
        <v>1569</v>
      </c>
      <c r="GJ114" s="284">
        <v>1598</v>
      </c>
      <c r="GK114" s="284">
        <v>1570</v>
      </c>
      <c r="GL114" s="284">
        <v>1613</v>
      </c>
      <c r="GM114" s="284">
        <v>1603</v>
      </c>
      <c r="GN114" s="284">
        <v>1787</v>
      </c>
      <c r="GO114" s="284">
        <v>1720</v>
      </c>
      <c r="GP114" s="284">
        <v>1567</v>
      </c>
      <c r="GQ114" s="284">
        <v>1473</v>
      </c>
      <c r="GR114" s="284">
        <v>1340</v>
      </c>
      <c r="GS114" s="284">
        <v>1351</v>
      </c>
      <c r="GT114" s="284">
        <v>1393</v>
      </c>
      <c r="GU114" s="284">
        <v>1464</v>
      </c>
      <c r="GV114" s="284">
        <v>1447</v>
      </c>
      <c r="GW114" s="284">
        <v>1321</v>
      </c>
      <c r="GX114" s="284">
        <v>1549</v>
      </c>
      <c r="GY114" s="284">
        <v>1464</v>
      </c>
      <c r="GZ114" s="284">
        <v>1692</v>
      </c>
      <c r="HA114" s="284">
        <v>1700</v>
      </c>
      <c r="HB114" s="284">
        <v>1879</v>
      </c>
      <c r="HC114" s="284">
        <v>1978</v>
      </c>
      <c r="HD114" s="284">
        <v>2050</v>
      </c>
      <c r="HE114" s="284">
        <v>2005</v>
      </c>
      <c r="HF114" s="284">
        <v>2073</v>
      </c>
      <c r="HG114" s="284">
        <v>2460</v>
      </c>
      <c r="HH114" s="284">
        <v>2438</v>
      </c>
      <c r="HI114" s="284">
        <v>2145</v>
      </c>
      <c r="HJ114" s="284">
        <v>2438</v>
      </c>
      <c r="HK114" s="284">
        <v>2622</v>
      </c>
      <c r="HL114" s="284">
        <v>2338</v>
      </c>
      <c r="HM114" s="284">
        <v>1747</v>
      </c>
      <c r="HN114" s="284">
        <v>1986</v>
      </c>
      <c r="HO114" s="284">
        <v>1798</v>
      </c>
      <c r="HP114" s="284">
        <v>1997</v>
      </c>
      <c r="HQ114" s="284">
        <v>2208</v>
      </c>
      <c r="HR114" s="284">
        <v>1966</v>
      </c>
      <c r="HS114" s="284">
        <v>2118</v>
      </c>
      <c r="HT114" s="284">
        <v>2267</v>
      </c>
      <c r="HU114" s="284">
        <v>1955</v>
      </c>
      <c r="HV114" s="284">
        <v>1948</v>
      </c>
      <c r="HW114" s="284">
        <v>2362</v>
      </c>
      <c r="HX114" s="284">
        <v>2232</v>
      </c>
      <c r="HY114" s="284">
        <v>1880</v>
      </c>
      <c r="HZ114" s="284">
        <v>2093</v>
      </c>
      <c r="IA114" s="284">
        <v>1955</v>
      </c>
      <c r="IB114" s="284">
        <v>1816</v>
      </c>
      <c r="IC114" s="284">
        <v>2135</v>
      </c>
      <c r="ID114" s="284">
        <v>1905</v>
      </c>
      <c r="IE114" s="284">
        <v>1897</v>
      </c>
      <c r="IF114" s="284">
        <v>1869</v>
      </c>
      <c r="IG114" s="284">
        <v>1589</v>
      </c>
      <c r="IH114" s="284">
        <v>1767</v>
      </c>
      <c r="II114" s="284">
        <v>1676</v>
      </c>
      <c r="IJ114" s="284">
        <v>1788</v>
      </c>
      <c r="IK114" s="284">
        <v>1749</v>
      </c>
      <c r="IL114" s="284">
        <v>1650</v>
      </c>
      <c r="IM114" s="850">
        <v>1930</v>
      </c>
      <c r="IN114" s="168"/>
    </row>
    <row r="115" spans="1:248">
      <c r="A115" s="81" t="s">
        <v>144</v>
      </c>
      <c r="B115" s="285">
        <v>2804</v>
      </c>
      <c r="C115" s="285">
        <v>3099</v>
      </c>
      <c r="D115" s="285">
        <v>4420</v>
      </c>
      <c r="E115" s="285">
        <v>3389</v>
      </c>
      <c r="F115" s="285">
        <v>3279</v>
      </c>
      <c r="G115" s="285">
        <v>2957</v>
      </c>
      <c r="H115" s="285">
        <v>3289</v>
      </c>
      <c r="I115" s="285">
        <v>3205</v>
      </c>
      <c r="J115" s="285">
        <v>3198</v>
      </c>
      <c r="K115" s="285">
        <v>3529</v>
      </c>
      <c r="L115" s="285">
        <v>3375</v>
      </c>
      <c r="M115" s="285">
        <v>2738</v>
      </c>
      <c r="N115" s="285">
        <v>2581</v>
      </c>
      <c r="O115" s="285">
        <v>3025</v>
      </c>
      <c r="P115" s="285">
        <v>2899</v>
      </c>
      <c r="Q115" s="285">
        <v>3146</v>
      </c>
      <c r="R115" s="285">
        <v>3097</v>
      </c>
      <c r="S115" s="285">
        <v>2550</v>
      </c>
      <c r="T115" s="285">
        <v>3100</v>
      </c>
      <c r="U115" s="285">
        <v>3005</v>
      </c>
      <c r="V115" s="285">
        <v>2927</v>
      </c>
      <c r="W115" s="285">
        <v>2943</v>
      </c>
      <c r="X115" s="285">
        <v>3369</v>
      </c>
      <c r="Y115" s="285">
        <v>3283</v>
      </c>
      <c r="Z115" s="285">
        <v>2941</v>
      </c>
      <c r="AA115" s="285">
        <v>3401</v>
      </c>
      <c r="AB115" s="285">
        <v>3997</v>
      </c>
      <c r="AC115" s="285">
        <v>4278</v>
      </c>
      <c r="AD115" s="285">
        <v>4077</v>
      </c>
      <c r="AE115" s="285">
        <v>3985</v>
      </c>
      <c r="AF115" s="285">
        <v>3966</v>
      </c>
      <c r="AG115" s="285">
        <v>3785</v>
      </c>
      <c r="AH115" s="285">
        <v>3860</v>
      </c>
      <c r="AI115" s="285">
        <v>3402</v>
      </c>
      <c r="AJ115" s="285">
        <v>3586</v>
      </c>
      <c r="AK115" s="285">
        <v>3340</v>
      </c>
      <c r="AL115" s="285">
        <v>3203</v>
      </c>
      <c r="AM115" s="285">
        <v>3546</v>
      </c>
      <c r="AN115" s="285">
        <v>4600</v>
      </c>
      <c r="AO115" s="285">
        <v>4280</v>
      </c>
      <c r="AP115" s="285">
        <v>3870</v>
      </c>
      <c r="AQ115" s="285">
        <v>4614</v>
      </c>
      <c r="AR115" s="285">
        <v>4336</v>
      </c>
      <c r="AS115" s="285">
        <v>4667</v>
      </c>
      <c r="AT115" s="285">
        <v>4900</v>
      </c>
      <c r="AU115" s="285">
        <v>5371</v>
      </c>
      <c r="AV115" s="285">
        <v>5131</v>
      </c>
      <c r="AW115" s="285">
        <v>5091</v>
      </c>
      <c r="AX115" s="285">
        <v>5399</v>
      </c>
      <c r="AY115" s="285">
        <v>6175</v>
      </c>
      <c r="AZ115" s="285">
        <v>6850</v>
      </c>
      <c r="BA115" s="285">
        <v>7222</v>
      </c>
      <c r="BB115" s="285">
        <v>7241</v>
      </c>
      <c r="BC115" s="285">
        <v>6936</v>
      </c>
      <c r="BD115" s="285">
        <v>7646</v>
      </c>
      <c r="BE115" s="285">
        <v>7091</v>
      </c>
      <c r="BF115" s="285">
        <v>5839</v>
      </c>
      <c r="BG115" s="285">
        <v>6327</v>
      </c>
      <c r="BH115" s="285">
        <v>6154</v>
      </c>
      <c r="BI115" s="285">
        <v>5687</v>
      </c>
      <c r="BJ115" s="285">
        <v>5705</v>
      </c>
      <c r="BK115" s="285">
        <v>6398</v>
      </c>
      <c r="BL115" s="285">
        <v>6592</v>
      </c>
      <c r="BM115" s="285">
        <v>6562</v>
      </c>
      <c r="BN115" s="285">
        <v>7310</v>
      </c>
      <c r="BO115" s="285">
        <v>7463</v>
      </c>
      <c r="BP115" s="285">
        <v>7330</v>
      </c>
      <c r="BQ115" s="285">
        <v>8602</v>
      </c>
      <c r="BR115" s="285">
        <v>7507</v>
      </c>
      <c r="BS115" s="285">
        <v>8225</v>
      </c>
      <c r="BT115" s="285">
        <v>8095</v>
      </c>
      <c r="BU115" s="285">
        <v>8041</v>
      </c>
      <c r="BV115" s="285">
        <v>7027</v>
      </c>
      <c r="BW115" s="285">
        <v>8223</v>
      </c>
      <c r="BX115" s="285">
        <v>8485</v>
      </c>
      <c r="BY115" s="285">
        <v>8041</v>
      </c>
      <c r="BZ115" s="285">
        <v>8350</v>
      </c>
      <c r="CA115" s="285">
        <v>8162</v>
      </c>
      <c r="CB115" s="285">
        <v>8320</v>
      </c>
      <c r="CC115" s="285">
        <v>9939</v>
      </c>
      <c r="CD115" s="285">
        <v>9213</v>
      </c>
      <c r="CE115" s="285">
        <v>8502</v>
      </c>
      <c r="CF115" s="285">
        <v>8356</v>
      </c>
      <c r="CG115" s="285">
        <v>6810</v>
      </c>
      <c r="CH115" s="285">
        <v>7068</v>
      </c>
      <c r="CI115" s="285">
        <v>7561</v>
      </c>
      <c r="CJ115" s="285">
        <v>7291</v>
      </c>
      <c r="CK115" s="285">
        <v>7913</v>
      </c>
      <c r="CL115" s="285">
        <v>8009</v>
      </c>
      <c r="CM115" s="285">
        <v>8551</v>
      </c>
      <c r="CN115" s="285">
        <v>9102</v>
      </c>
      <c r="CO115" s="285">
        <v>8927</v>
      </c>
      <c r="CP115" s="285">
        <v>7853</v>
      </c>
      <c r="CQ115" s="285">
        <v>7666</v>
      </c>
      <c r="CR115" s="285">
        <v>6124</v>
      </c>
      <c r="CS115" s="285">
        <v>5370</v>
      </c>
      <c r="CT115" s="285">
        <v>4329</v>
      </c>
      <c r="CU115" s="285">
        <v>3398</v>
      </c>
      <c r="CV115" s="285">
        <v>3315</v>
      </c>
      <c r="CW115" s="285">
        <v>3286</v>
      </c>
      <c r="CX115" s="285">
        <v>3043</v>
      </c>
      <c r="CY115" s="285">
        <v>2862</v>
      </c>
      <c r="CZ115" s="285">
        <v>2862</v>
      </c>
      <c r="DA115" s="285">
        <v>3992</v>
      </c>
      <c r="DB115" s="285">
        <v>2753</v>
      </c>
      <c r="DC115" s="285">
        <v>3207</v>
      </c>
      <c r="DD115" s="285">
        <v>2886</v>
      </c>
      <c r="DE115" s="285">
        <v>2832</v>
      </c>
      <c r="DF115" s="285">
        <v>2922</v>
      </c>
      <c r="DG115" s="285">
        <v>3640</v>
      </c>
      <c r="DH115" s="285">
        <v>3723</v>
      </c>
      <c r="DI115" s="285">
        <v>3410</v>
      </c>
      <c r="DJ115" s="285">
        <v>3711</v>
      </c>
      <c r="DK115" s="285">
        <v>4092</v>
      </c>
      <c r="DL115" s="285">
        <v>4173</v>
      </c>
      <c r="DM115" s="285">
        <v>4473</v>
      </c>
      <c r="DN115" s="285">
        <v>4701</v>
      </c>
      <c r="DO115" s="285">
        <v>5383</v>
      </c>
      <c r="DP115" s="285">
        <v>5178</v>
      </c>
      <c r="DQ115" s="285">
        <v>4955</v>
      </c>
      <c r="DR115" s="285">
        <v>4706</v>
      </c>
      <c r="DS115" s="285">
        <v>5891</v>
      </c>
      <c r="DT115" s="285">
        <v>5752</v>
      </c>
      <c r="DU115" s="285">
        <v>5460</v>
      </c>
      <c r="DV115" s="285">
        <v>6123</v>
      </c>
      <c r="DW115" s="285">
        <v>6050</v>
      </c>
      <c r="DX115" s="285">
        <v>5194</v>
      </c>
      <c r="DY115" s="285">
        <v>5362</v>
      </c>
      <c r="DZ115" s="285">
        <v>4855</v>
      </c>
      <c r="EA115" s="285">
        <v>5067</v>
      </c>
      <c r="EB115" s="285">
        <v>5051</v>
      </c>
      <c r="EC115" s="285">
        <v>4387</v>
      </c>
      <c r="ED115" s="285">
        <v>4049</v>
      </c>
      <c r="EE115" s="285">
        <v>4792</v>
      </c>
      <c r="EF115" s="285">
        <v>4102</v>
      </c>
      <c r="EG115" s="285">
        <v>3764</v>
      </c>
      <c r="EH115" s="285">
        <v>3891</v>
      </c>
      <c r="EI115" s="285">
        <v>3876</v>
      </c>
      <c r="EJ115" s="285">
        <v>3848</v>
      </c>
      <c r="EK115" s="285">
        <v>3945</v>
      </c>
      <c r="EL115" s="285">
        <v>3544</v>
      </c>
      <c r="EM115" s="285">
        <v>4751</v>
      </c>
      <c r="EN115" s="285">
        <v>4005</v>
      </c>
      <c r="EO115" s="285">
        <v>3050</v>
      </c>
      <c r="EP115" s="285">
        <v>3073</v>
      </c>
      <c r="EQ115" s="285">
        <v>3169</v>
      </c>
      <c r="ER115" s="285">
        <v>3207</v>
      </c>
      <c r="ES115" s="285">
        <v>3410</v>
      </c>
      <c r="ET115" s="285">
        <v>3094</v>
      </c>
      <c r="EU115" s="285">
        <v>3046</v>
      </c>
      <c r="EV115" s="285">
        <v>3004</v>
      </c>
      <c r="EW115" s="285">
        <v>2819</v>
      </c>
      <c r="EX115" s="285">
        <v>2887</v>
      </c>
      <c r="EY115" s="285">
        <v>3454</v>
      </c>
      <c r="EZ115" s="285">
        <v>3183</v>
      </c>
      <c r="FA115" s="285">
        <v>2477</v>
      </c>
      <c r="FB115" s="285">
        <v>2614</v>
      </c>
      <c r="FC115" s="285">
        <v>2675</v>
      </c>
      <c r="FD115" s="285">
        <v>2905</v>
      </c>
      <c r="FE115" s="285">
        <v>2466</v>
      </c>
      <c r="FF115" s="285">
        <v>3236</v>
      </c>
      <c r="FG115" s="285">
        <v>2779</v>
      </c>
      <c r="FH115" s="285">
        <v>2941</v>
      </c>
      <c r="FI115" s="285">
        <v>2888</v>
      </c>
      <c r="FJ115" s="285">
        <v>2811</v>
      </c>
      <c r="FK115" s="285">
        <v>3026</v>
      </c>
      <c r="FL115" s="285">
        <v>3136</v>
      </c>
      <c r="FM115" s="285">
        <v>2808</v>
      </c>
      <c r="FN115" s="285">
        <v>2674</v>
      </c>
      <c r="FO115" s="285">
        <v>3118</v>
      </c>
      <c r="FP115" s="285">
        <v>2924</v>
      </c>
      <c r="FQ115" s="285">
        <v>2912</v>
      </c>
      <c r="FR115" s="285">
        <v>3149</v>
      </c>
      <c r="FS115" s="285">
        <v>3171</v>
      </c>
      <c r="FT115" s="285">
        <v>2977</v>
      </c>
      <c r="FU115" s="285">
        <v>3069</v>
      </c>
      <c r="FV115" s="285">
        <v>3193</v>
      </c>
      <c r="FW115" s="285">
        <v>4174</v>
      </c>
      <c r="FX115" s="285">
        <v>3079</v>
      </c>
      <c r="FY115" s="285">
        <v>2703</v>
      </c>
      <c r="FZ115" s="285">
        <v>2614</v>
      </c>
      <c r="GA115" s="285">
        <v>2781</v>
      </c>
      <c r="GB115" s="285">
        <v>2955</v>
      </c>
      <c r="GC115" s="285">
        <v>2814</v>
      </c>
      <c r="GD115" s="285">
        <v>3066</v>
      </c>
      <c r="GE115" s="285">
        <v>3002</v>
      </c>
      <c r="GF115" s="285">
        <v>3267</v>
      </c>
      <c r="GG115" s="285">
        <v>3006</v>
      </c>
      <c r="GH115" s="285">
        <v>3194</v>
      </c>
      <c r="GI115" s="285">
        <v>3435</v>
      </c>
      <c r="GJ115" s="285">
        <v>3585</v>
      </c>
      <c r="GK115" s="285">
        <v>3259</v>
      </c>
      <c r="GL115" s="285">
        <v>3379</v>
      </c>
      <c r="GM115" s="285">
        <v>3462</v>
      </c>
      <c r="GN115" s="285">
        <v>4775</v>
      </c>
      <c r="GO115" s="285">
        <v>3736</v>
      </c>
      <c r="GP115" s="285">
        <v>3640</v>
      </c>
      <c r="GQ115" s="285">
        <v>3547</v>
      </c>
      <c r="GR115" s="285">
        <v>3536</v>
      </c>
      <c r="GS115" s="285">
        <v>3493</v>
      </c>
      <c r="GT115" s="285">
        <v>3237</v>
      </c>
      <c r="GU115" s="285">
        <v>3593</v>
      </c>
      <c r="GV115" s="285">
        <v>3594</v>
      </c>
      <c r="GW115" s="285">
        <v>2845</v>
      </c>
      <c r="GX115" s="285">
        <v>2860</v>
      </c>
      <c r="GY115" s="285">
        <v>2824</v>
      </c>
      <c r="GZ115" s="285">
        <v>3139</v>
      </c>
      <c r="HA115" s="285">
        <v>2978</v>
      </c>
      <c r="HB115" s="285">
        <v>3543</v>
      </c>
      <c r="HC115" s="285">
        <v>3082</v>
      </c>
      <c r="HD115" s="285">
        <v>3411</v>
      </c>
      <c r="HE115" s="285">
        <v>3506</v>
      </c>
      <c r="HF115" s="285">
        <v>3475</v>
      </c>
      <c r="HG115" s="285">
        <v>4200</v>
      </c>
      <c r="HH115" s="285">
        <v>3862</v>
      </c>
      <c r="HI115" s="285">
        <v>3249</v>
      </c>
      <c r="HJ115" s="285">
        <v>3562</v>
      </c>
      <c r="HK115" s="285">
        <v>3963</v>
      </c>
      <c r="HL115" s="285">
        <v>3958</v>
      </c>
      <c r="HM115" s="285">
        <v>3644</v>
      </c>
      <c r="HN115" s="285">
        <v>3936</v>
      </c>
      <c r="HO115" s="285">
        <v>3880</v>
      </c>
      <c r="HP115" s="286">
        <v>4109</v>
      </c>
      <c r="HQ115" s="286">
        <v>3967</v>
      </c>
      <c r="HR115" s="286">
        <v>4140</v>
      </c>
      <c r="HS115" s="286">
        <v>5598</v>
      </c>
      <c r="HT115" s="286">
        <v>6397</v>
      </c>
      <c r="HU115" s="286">
        <v>4459</v>
      </c>
      <c r="HV115" s="545">
        <v>4756</v>
      </c>
      <c r="HW115" s="545">
        <v>4053</v>
      </c>
      <c r="HX115" s="545">
        <v>4135</v>
      </c>
      <c r="HY115" s="545">
        <v>3260</v>
      </c>
      <c r="HZ115" s="545">
        <v>3628</v>
      </c>
      <c r="IA115" s="545">
        <v>3483</v>
      </c>
      <c r="IB115" s="545">
        <v>4782</v>
      </c>
      <c r="IC115" s="545">
        <v>4624</v>
      </c>
      <c r="ID115" s="545">
        <v>4285</v>
      </c>
      <c r="IE115" s="545">
        <v>4407</v>
      </c>
      <c r="IF115" s="545">
        <v>4556</v>
      </c>
      <c r="IG115" s="285">
        <v>3966</v>
      </c>
      <c r="IH115" s="545">
        <v>3818</v>
      </c>
      <c r="II115" s="545">
        <v>4054</v>
      </c>
      <c r="IJ115" s="545">
        <v>3860</v>
      </c>
      <c r="IK115" s="545">
        <v>3745</v>
      </c>
      <c r="IL115" s="545">
        <v>3870</v>
      </c>
      <c r="IM115" s="851">
        <v>4204</v>
      </c>
      <c r="IN115" s="168"/>
    </row>
    <row r="116" spans="1:248">
      <c r="A116" s="81" t="s">
        <v>147</v>
      </c>
      <c r="B116" s="284">
        <v>249</v>
      </c>
      <c r="C116" s="284">
        <v>223</v>
      </c>
      <c r="D116" s="284">
        <v>237</v>
      </c>
      <c r="E116" s="284">
        <v>205</v>
      </c>
      <c r="F116" s="284">
        <v>285</v>
      </c>
      <c r="G116" s="284">
        <v>258</v>
      </c>
      <c r="H116" s="284">
        <v>298</v>
      </c>
      <c r="I116" s="284">
        <v>225</v>
      </c>
      <c r="J116" s="284">
        <v>211</v>
      </c>
      <c r="K116" s="284">
        <v>451</v>
      </c>
      <c r="L116" s="284">
        <v>313</v>
      </c>
      <c r="M116" s="284">
        <v>262</v>
      </c>
      <c r="N116" s="284">
        <v>233</v>
      </c>
      <c r="O116" s="284">
        <v>379</v>
      </c>
      <c r="P116" s="284">
        <v>186</v>
      </c>
      <c r="Q116" s="284">
        <v>235</v>
      </c>
      <c r="R116" s="284">
        <v>215</v>
      </c>
      <c r="S116" s="284">
        <v>297</v>
      </c>
      <c r="T116" s="284">
        <v>219</v>
      </c>
      <c r="U116" s="284">
        <v>272</v>
      </c>
      <c r="V116" s="284">
        <v>272</v>
      </c>
      <c r="W116" s="284">
        <v>282</v>
      </c>
      <c r="X116" s="284">
        <v>242</v>
      </c>
      <c r="Y116" s="284">
        <v>217</v>
      </c>
      <c r="Z116" s="284">
        <v>259</v>
      </c>
      <c r="AA116" s="284">
        <v>254</v>
      </c>
      <c r="AB116" s="284">
        <v>206</v>
      </c>
      <c r="AC116" s="284">
        <v>226</v>
      </c>
      <c r="AD116" s="284">
        <v>278</v>
      </c>
      <c r="AE116" s="284">
        <v>253</v>
      </c>
      <c r="AF116" s="284">
        <v>231</v>
      </c>
      <c r="AG116" s="284">
        <v>295</v>
      </c>
      <c r="AH116" s="284">
        <v>265</v>
      </c>
      <c r="AI116" s="284">
        <v>244</v>
      </c>
      <c r="AJ116" s="284">
        <v>267</v>
      </c>
      <c r="AK116" s="284">
        <v>157</v>
      </c>
      <c r="AL116" s="284">
        <v>244</v>
      </c>
      <c r="AM116" s="284">
        <v>246</v>
      </c>
      <c r="AN116" s="284">
        <v>226</v>
      </c>
      <c r="AO116" s="284">
        <v>227</v>
      </c>
      <c r="AP116" s="284">
        <v>235</v>
      </c>
      <c r="AQ116" s="284">
        <v>337</v>
      </c>
      <c r="AR116" s="284">
        <v>319</v>
      </c>
      <c r="AS116" s="284">
        <v>256</v>
      </c>
      <c r="AT116" s="284">
        <v>269</v>
      </c>
      <c r="AU116" s="284">
        <v>257</v>
      </c>
      <c r="AV116" s="284">
        <v>290</v>
      </c>
      <c r="AW116" s="284">
        <v>282</v>
      </c>
      <c r="AX116" s="284">
        <v>335</v>
      </c>
      <c r="AY116" s="284">
        <v>447</v>
      </c>
      <c r="AZ116" s="284">
        <v>463</v>
      </c>
      <c r="BA116" s="284">
        <v>412</v>
      </c>
      <c r="BB116" s="284">
        <v>421</v>
      </c>
      <c r="BC116" s="284">
        <v>470</v>
      </c>
      <c r="BD116" s="284">
        <v>407</v>
      </c>
      <c r="BE116" s="284">
        <v>451</v>
      </c>
      <c r="BF116" s="284">
        <v>759</v>
      </c>
      <c r="BG116" s="284">
        <v>409</v>
      </c>
      <c r="BH116" s="284">
        <v>388</v>
      </c>
      <c r="BI116" s="284">
        <v>279</v>
      </c>
      <c r="BJ116" s="284">
        <v>281</v>
      </c>
      <c r="BK116" s="284">
        <v>399</v>
      </c>
      <c r="BL116" s="284">
        <v>390</v>
      </c>
      <c r="BM116" s="284">
        <v>382</v>
      </c>
      <c r="BN116" s="284">
        <v>393</v>
      </c>
      <c r="BO116" s="284">
        <v>390</v>
      </c>
      <c r="BP116" s="284">
        <v>348</v>
      </c>
      <c r="BQ116" s="284">
        <v>426</v>
      </c>
      <c r="BR116" s="284">
        <v>422</v>
      </c>
      <c r="BS116" s="284">
        <v>489</v>
      </c>
      <c r="BT116" s="284">
        <v>472</v>
      </c>
      <c r="BU116" s="284">
        <v>369</v>
      </c>
      <c r="BV116" s="284">
        <v>386</v>
      </c>
      <c r="BW116" s="284">
        <v>374</v>
      </c>
      <c r="BX116" s="284">
        <v>378</v>
      </c>
      <c r="BY116" s="284">
        <v>362</v>
      </c>
      <c r="BZ116" s="284">
        <v>467</v>
      </c>
      <c r="CA116" s="284">
        <v>396</v>
      </c>
      <c r="CB116" s="284">
        <v>414</v>
      </c>
      <c r="CC116" s="284">
        <v>467</v>
      </c>
      <c r="CD116" s="284">
        <v>389</v>
      </c>
      <c r="CE116" s="284">
        <v>400</v>
      </c>
      <c r="CF116" s="284">
        <v>377</v>
      </c>
      <c r="CG116" s="284">
        <v>330</v>
      </c>
      <c r="CH116" s="284">
        <v>355</v>
      </c>
      <c r="CI116" s="284">
        <v>334</v>
      </c>
      <c r="CJ116" s="284">
        <v>334</v>
      </c>
      <c r="CK116" s="284">
        <v>408</v>
      </c>
      <c r="CL116" s="284">
        <v>373</v>
      </c>
      <c r="CM116" s="284">
        <v>421</v>
      </c>
      <c r="CN116" s="284">
        <v>477</v>
      </c>
      <c r="CO116" s="284">
        <v>544</v>
      </c>
      <c r="CP116" s="284">
        <v>426</v>
      </c>
      <c r="CQ116" s="284">
        <v>464</v>
      </c>
      <c r="CR116" s="284">
        <v>373</v>
      </c>
      <c r="CS116" s="284">
        <v>343</v>
      </c>
      <c r="CT116" s="284">
        <v>290</v>
      </c>
      <c r="CU116" s="284">
        <v>381</v>
      </c>
      <c r="CV116" s="284">
        <v>421</v>
      </c>
      <c r="CW116" s="284">
        <v>438</v>
      </c>
      <c r="CX116" s="284">
        <v>666</v>
      </c>
      <c r="CY116" s="284">
        <v>472</v>
      </c>
      <c r="CZ116" s="284">
        <v>399</v>
      </c>
      <c r="DA116" s="284">
        <v>423</v>
      </c>
      <c r="DB116" s="284">
        <v>468</v>
      </c>
      <c r="DC116" s="284">
        <v>435</v>
      </c>
      <c r="DD116" s="284">
        <v>454</v>
      </c>
      <c r="DE116" s="284">
        <v>356</v>
      </c>
      <c r="DF116" s="284">
        <v>469</v>
      </c>
      <c r="DG116" s="284">
        <v>489</v>
      </c>
      <c r="DH116" s="284">
        <v>413</v>
      </c>
      <c r="DI116" s="284">
        <v>532</v>
      </c>
      <c r="DJ116" s="284">
        <v>655</v>
      </c>
      <c r="DK116" s="284">
        <v>794</v>
      </c>
      <c r="DL116" s="284">
        <v>1228</v>
      </c>
      <c r="DM116" s="284">
        <v>1469</v>
      </c>
      <c r="DN116" s="284">
        <v>947</v>
      </c>
      <c r="DO116" s="284">
        <v>1084</v>
      </c>
      <c r="DP116" s="284">
        <v>899</v>
      </c>
      <c r="DQ116" s="284">
        <v>537</v>
      </c>
      <c r="DR116" s="284">
        <v>445</v>
      </c>
      <c r="DS116" s="284">
        <v>445</v>
      </c>
      <c r="DT116" s="284">
        <v>597</v>
      </c>
      <c r="DU116" s="284">
        <v>591</v>
      </c>
      <c r="DV116" s="284">
        <v>550</v>
      </c>
      <c r="DW116" s="284">
        <v>642</v>
      </c>
      <c r="DX116" s="284">
        <v>571</v>
      </c>
      <c r="DY116" s="284">
        <v>638</v>
      </c>
      <c r="DZ116" s="284">
        <v>563</v>
      </c>
      <c r="EA116" s="284">
        <v>484</v>
      </c>
      <c r="EB116" s="284">
        <v>465</v>
      </c>
      <c r="EC116" s="284">
        <v>388</v>
      </c>
      <c r="ED116" s="284">
        <v>542</v>
      </c>
      <c r="EE116" s="284">
        <v>580</v>
      </c>
      <c r="EF116" s="284">
        <v>598</v>
      </c>
      <c r="EG116" s="284">
        <v>548</v>
      </c>
      <c r="EH116" s="284">
        <v>465</v>
      </c>
      <c r="EI116" s="284">
        <v>416</v>
      </c>
      <c r="EJ116" s="284">
        <v>381</v>
      </c>
      <c r="EK116" s="284">
        <v>601</v>
      </c>
      <c r="EL116" s="284">
        <v>486</v>
      </c>
      <c r="EM116" s="284">
        <v>556</v>
      </c>
      <c r="EN116" s="284">
        <v>597</v>
      </c>
      <c r="EO116" s="284">
        <v>576</v>
      </c>
      <c r="EP116" s="284">
        <v>488</v>
      </c>
      <c r="EQ116" s="284">
        <v>580</v>
      </c>
      <c r="ER116" s="284">
        <v>581</v>
      </c>
      <c r="ES116" s="284">
        <v>578</v>
      </c>
      <c r="ET116" s="284">
        <v>623</v>
      </c>
      <c r="EU116" s="284">
        <v>623</v>
      </c>
      <c r="EV116" s="284">
        <v>667</v>
      </c>
      <c r="EW116" s="284">
        <v>655</v>
      </c>
      <c r="EX116" s="284">
        <v>669</v>
      </c>
      <c r="EY116" s="284">
        <v>645</v>
      </c>
      <c r="EZ116" s="284">
        <v>608</v>
      </c>
      <c r="FA116" s="284">
        <v>387</v>
      </c>
      <c r="FB116" s="284">
        <v>370</v>
      </c>
      <c r="FC116" s="284">
        <v>348</v>
      </c>
      <c r="FD116" s="284">
        <v>462</v>
      </c>
      <c r="FE116" s="284">
        <v>337</v>
      </c>
      <c r="FF116" s="284">
        <v>380</v>
      </c>
      <c r="FG116" s="284">
        <v>355</v>
      </c>
      <c r="FH116" s="284">
        <v>655</v>
      </c>
      <c r="FI116" s="284">
        <v>576</v>
      </c>
      <c r="FJ116" s="284">
        <v>453</v>
      </c>
      <c r="FK116" s="284">
        <v>473</v>
      </c>
      <c r="FL116" s="284">
        <v>402</v>
      </c>
      <c r="FM116" s="284">
        <v>322</v>
      </c>
      <c r="FN116" s="284">
        <v>323</v>
      </c>
      <c r="FO116" s="284">
        <v>330</v>
      </c>
      <c r="FP116" s="284">
        <v>407</v>
      </c>
      <c r="FQ116" s="284">
        <v>313</v>
      </c>
      <c r="FR116" s="284">
        <v>297</v>
      </c>
      <c r="FS116" s="284">
        <v>428</v>
      </c>
      <c r="FT116" s="284">
        <v>424</v>
      </c>
      <c r="FU116" s="284">
        <v>512</v>
      </c>
      <c r="FV116" s="284">
        <v>470</v>
      </c>
      <c r="FW116" s="284">
        <v>358</v>
      </c>
      <c r="FX116" s="284">
        <v>432</v>
      </c>
      <c r="FY116" s="284">
        <v>333</v>
      </c>
      <c r="FZ116" s="284">
        <v>203</v>
      </c>
      <c r="GA116" s="284">
        <v>379</v>
      </c>
      <c r="GB116" s="284">
        <v>357</v>
      </c>
      <c r="GC116" s="284">
        <v>357</v>
      </c>
      <c r="GD116" s="284">
        <v>354</v>
      </c>
      <c r="GE116" s="284">
        <v>370</v>
      </c>
      <c r="GF116" s="284">
        <v>362</v>
      </c>
      <c r="GG116" s="284">
        <v>442</v>
      </c>
      <c r="GH116" s="284">
        <v>436</v>
      </c>
      <c r="GI116" s="284">
        <v>500</v>
      </c>
      <c r="GJ116" s="284">
        <v>442</v>
      </c>
      <c r="GK116" s="284">
        <v>401</v>
      </c>
      <c r="GL116" s="284">
        <v>375</v>
      </c>
      <c r="GM116" s="284">
        <v>399</v>
      </c>
      <c r="GN116" s="284">
        <v>471</v>
      </c>
      <c r="GO116" s="284">
        <v>478</v>
      </c>
      <c r="GP116" s="284">
        <v>547</v>
      </c>
      <c r="GQ116" s="284">
        <v>475</v>
      </c>
      <c r="GR116" s="284">
        <v>517</v>
      </c>
      <c r="GS116" s="284">
        <v>616</v>
      </c>
      <c r="GT116" s="284">
        <v>593</v>
      </c>
      <c r="GU116" s="284">
        <v>664</v>
      </c>
      <c r="GV116" s="284">
        <v>592</v>
      </c>
      <c r="GW116" s="284">
        <v>478</v>
      </c>
      <c r="GX116" s="284">
        <v>562</v>
      </c>
      <c r="GY116" s="284">
        <v>547</v>
      </c>
      <c r="GZ116" s="284">
        <v>652</v>
      </c>
      <c r="HA116" s="284">
        <v>591</v>
      </c>
      <c r="HB116" s="284">
        <v>626</v>
      </c>
      <c r="HC116" s="284">
        <v>637</v>
      </c>
      <c r="HD116" s="284">
        <v>566</v>
      </c>
      <c r="HE116" s="284">
        <v>661</v>
      </c>
      <c r="HF116" s="284">
        <v>682</v>
      </c>
      <c r="HG116" s="284">
        <v>601</v>
      </c>
      <c r="HH116" s="284">
        <v>529</v>
      </c>
      <c r="HI116" s="284">
        <v>502</v>
      </c>
      <c r="HJ116" s="284">
        <v>439</v>
      </c>
      <c r="HK116" s="284">
        <v>515</v>
      </c>
      <c r="HL116" s="284">
        <v>456</v>
      </c>
      <c r="HM116" s="284">
        <v>433</v>
      </c>
      <c r="HN116" s="284">
        <v>734</v>
      </c>
      <c r="HO116" s="284">
        <v>640</v>
      </c>
      <c r="HP116" s="284">
        <v>777</v>
      </c>
      <c r="HQ116" s="284">
        <v>792</v>
      </c>
      <c r="HR116" s="284">
        <v>781</v>
      </c>
      <c r="HS116" s="284">
        <v>588</v>
      </c>
      <c r="HT116" s="284">
        <v>544</v>
      </c>
      <c r="HU116" s="284">
        <v>419</v>
      </c>
      <c r="HV116" s="284">
        <v>523</v>
      </c>
      <c r="HW116" s="284">
        <v>559</v>
      </c>
      <c r="HX116" s="284">
        <v>402</v>
      </c>
      <c r="HY116" s="284">
        <v>291</v>
      </c>
      <c r="HZ116" s="284">
        <v>367</v>
      </c>
      <c r="IA116" s="284">
        <v>424</v>
      </c>
      <c r="IB116" s="284">
        <v>468</v>
      </c>
      <c r="IC116" s="284">
        <v>456</v>
      </c>
      <c r="ID116" s="284">
        <v>372</v>
      </c>
      <c r="IE116" s="284">
        <v>538</v>
      </c>
      <c r="IF116" s="284">
        <v>527</v>
      </c>
      <c r="IG116" s="284">
        <v>398</v>
      </c>
      <c r="IH116" s="284">
        <v>337</v>
      </c>
      <c r="II116" s="284">
        <v>372</v>
      </c>
      <c r="IJ116" s="284">
        <v>459</v>
      </c>
      <c r="IK116" s="284">
        <v>434</v>
      </c>
      <c r="IL116" s="284">
        <v>577</v>
      </c>
      <c r="IM116" s="850">
        <v>445</v>
      </c>
      <c r="IN116" s="168"/>
    </row>
    <row r="117" spans="1:248" ht="15.75" thickBot="1">
      <c r="A117" s="82" t="s">
        <v>48</v>
      </c>
      <c r="B117" s="285">
        <v>519</v>
      </c>
      <c r="C117" s="285">
        <v>478</v>
      </c>
      <c r="D117" s="285">
        <v>569</v>
      </c>
      <c r="E117" s="285">
        <v>546</v>
      </c>
      <c r="F117" s="285">
        <v>683</v>
      </c>
      <c r="G117" s="285">
        <v>685</v>
      </c>
      <c r="H117" s="285">
        <v>615</v>
      </c>
      <c r="I117" s="285">
        <v>623</v>
      </c>
      <c r="J117" s="285">
        <v>565</v>
      </c>
      <c r="K117" s="285">
        <v>549</v>
      </c>
      <c r="L117" s="285">
        <v>494</v>
      </c>
      <c r="M117" s="285">
        <v>620</v>
      </c>
      <c r="N117" s="285">
        <v>570</v>
      </c>
      <c r="O117" s="285">
        <v>546</v>
      </c>
      <c r="P117" s="285">
        <v>432</v>
      </c>
      <c r="Q117" s="285">
        <v>482</v>
      </c>
      <c r="R117" s="285">
        <v>424</v>
      </c>
      <c r="S117" s="285">
        <v>594</v>
      </c>
      <c r="T117" s="285">
        <v>714</v>
      </c>
      <c r="U117" s="285">
        <v>603</v>
      </c>
      <c r="V117" s="285">
        <v>674</v>
      </c>
      <c r="W117" s="285">
        <v>880</v>
      </c>
      <c r="X117" s="285">
        <v>755</v>
      </c>
      <c r="Y117" s="285">
        <v>728</v>
      </c>
      <c r="Z117" s="285">
        <v>646</v>
      </c>
      <c r="AA117" s="285">
        <v>564</v>
      </c>
      <c r="AB117" s="285">
        <v>512</v>
      </c>
      <c r="AC117" s="285">
        <v>694</v>
      </c>
      <c r="AD117" s="285">
        <v>797</v>
      </c>
      <c r="AE117" s="285">
        <v>693</v>
      </c>
      <c r="AF117" s="285">
        <v>657</v>
      </c>
      <c r="AG117" s="285">
        <v>635</v>
      </c>
      <c r="AH117" s="285">
        <v>737</v>
      </c>
      <c r="AI117" s="285">
        <v>674</v>
      </c>
      <c r="AJ117" s="285">
        <v>752</v>
      </c>
      <c r="AK117" s="285">
        <v>650</v>
      </c>
      <c r="AL117" s="285">
        <v>597</v>
      </c>
      <c r="AM117" s="285">
        <v>663</v>
      </c>
      <c r="AN117" s="285">
        <v>712</v>
      </c>
      <c r="AO117" s="285">
        <v>742</v>
      </c>
      <c r="AP117" s="285">
        <v>684</v>
      </c>
      <c r="AQ117" s="285">
        <v>763</v>
      </c>
      <c r="AR117" s="285">
        <v>692</v>
      </c>
      <c r="AS117" s="285">
        <v>841</v>
      </c>
      <c r="AT117" s="285">
        <v>931</v>
      </c>
      <c r="AU117" s="285">
        <v>1115</v>
      </c>
      <c r="AV117" s="285">
        <v>927</v>
      </c>
      <c r="AW117" s="285">
        <v>872</v>
      </c>
      <c r="AX117" s="285">
        <v>667</v>
      </c>
      <c r="AY117" s="285">
        <v>714</v>
      </c>
      <c r="AZ117" s="285">
        <v>759</v>
      </c>
      <c r="BA117" s="285">
        <v>762</v>
      </c>
      <c r="BB117" s="285">
        <v>979</v>
      </c>
      <c r="BC117" s="285">
        <v>804</v>
      </c>
      <c r="BD117" s="285">
        <v>814</v>
      </c>
      <c r="BE117" s="285">
        <v>784</v>
      </c>
      <c r="BF117" s="285">
        <v>901</v>
      </c>
      <c r="BG117" s="285">
        <v>821</v>
      </c>
      <c r="BH117" s="285">
        <v>914</v>
      </c>
      <c r="BI117" s="285">
        <v>669</v>
      </c>
      <c r="BJ117" s="285">
        <v>603</v>
      </c>
      <c r="BK117" s="285">
        <v>625</v>
      </c>
      <c r="BL117" s="285">
        <v>604</v>
      </c>
      <c r="BM117" s="285">
        <v>651</v>
      </c>
      <c r="BN117" s="285">
        <v>708</v>
      </c>
      <c r="BO117" s="285">
        <v>643</v>
      </c>
      <c r="BP117" s="285">
        <v>569</v>
      </c>
      <c r="BQ117" s="285">
        <v>573</v>
      </c>
      <c r="BR117" s="285">
        <v>584</v>
      </c>
      <c r="BS117" s="285">
        <v>611</v>
      </c>
      <c r="BT117" s="285">
        <v>909</v>
      </c>
      <c r="BU117" s="285">
        <v>516</v>
      </c>
      <c r="BV117" s="285">
        <v>528</v>
      </c>
      <c r="BW117" s="285">
        <v>547</v>
      </c>
      <c r="BX117" s="285">
        <v>652</v>
      </c>
      <c r="BY117" s="285">
        <v>608</v>
      </c>
      <c r="BZ117" s="285">
        <v>713</v>
      </c>
      <c r="CA117" s="285">
        <v>709</v>
      </c>
      <c r="CB117" s="285">
        <v>675</v>
      </c>
      <c r="CC117" s="285">
        <v>742</v>
      </c>
      <c r="CD117" s="285">
        <v>932</v>
      </c>
      <c r="CE117" s="285">
        <v>655</v>
      </c>
      <c r="CF117" s="285">
        <v>794</v>
      </c>
      <c r="CG117" s="285">
        <v>707</v>
      </c>
      <c r="CH117" s="285">
        <v>881</v>
      </c>
      <c r="CI117" s="285">
        <v>850</v>
      </c>
      <c r="CJ117" s="285">
        <v>863</v>
      </c>
      <c r="CK117" s="285">
        <v>882</v>
      </c>
      <c r="CL117" s="285">
        <v>936</v>
      </c>
      <c r="CM117" s="285">
        <v>857</v>
      </c>
      <c r="CN117" s="285">
        <v>906</v>
      </c>
      <c r="CO117" s="285">
        <v>1015</v>
      </c>
      <c r="CP117" s="285">
        <v>1050</v>
      </c>
      <c r="CQ117" s="285">
        <v>1149</v>
      </c>
      <c r="CR117" s="285">
        <v>1122</v>
      </c>
      <c r="CS117" s="285">
        <v>1462</v>
      </c>
      <c r="CT117" s="285">
        <v>1768</v>
      </c>
      <c r="CU117" s="285">
        <v>1280</v>
      </c>
      <c r="CV117" s="285">
        <v>1020</v>
      </c>
      <c r="CW117" s="285">
        <v>1000</v>
      </c>
      <c r="CX117" s="285">
        <v>1256</v>
      </c>
      <c r="CY117" s="285">
        <v>1042</v>
      </c>
      <c r="CZ117" s="285">
        <v>962</v>
      </c>
      <c r="DA117" s="285">
        <v>1017</v>
      </c>
      <c r="DB117" s="285">
        <v>961</v>
      </c>
      <c r="DC117" s="285">
        <v>1038</v>
      </c>
      <c r="DD117" s="285">
        <v>1049</v>
      </c>
      <c r="DE117" s="285">
        <v>981</v>
      </c>
      <c r="DF117" s="285">
        <v>974</v>
      </c>
      <c r="DG117" s="285">
        <v>1038</v>
      </c>
      <c r="DH117" s="285">
        <v>1166</v>
      </c>
      <c r="DI117" s="285">
        <v>1195</v>
      </c>
      <c r="DJ117" s="285">
        <v>1360</v>
      </c>
      <c r="DK117" s="285">
        <v>1351</v>
      </c>
      <c r="DL117" s="285">
        <v>1555</v>
      </c>
      <c r="DM117" s="285">
        <v>1571</v>
      </c>
      <c r="DN117" s="285">
        <v>1790</v>
      </c>
      <c r="DO117" s="285">
        <v>1964</v>
      </c>
      <c r="DP117" s="285">
        <v>2056</v>
      </c>
      <c r="DQ117" s="285">
        <v>1911</v>
      </c>
      <c r="DR117" s="285">
        <v>1873</v>
      </c>
      <c r="DS117" s="285">
        <v>1994</v>
      </c>
      <c r="DT117" s="285">
        <v>2309</v>
      </c>
      <c r="DU117" s="285">
        <v>2180</v>
      </c>
      <c r="DV117" s="285">
        <v>2368</v>
      </c>
      <c r="DW117" s="285">
        <v>2271</v>
      </c>
      <c r="DX117" s="285">
        <v>2223</v>
      </c>
      <c r="DY117" s="285">
        <v>2528</v>
      </c>
      <c r="DZ117" s="285">
        <v>2279</v>
      </c>
      <c r="EA117" s="285">
        <v>2390</v>
      </c>
      <c r="EB117" s="285">
        <v>2451</v>
      </c>
      <c r="EC117" s="285">
        <v>1987</v>
      </c>
      <c r="ED117" s="285">
        <v>1985</v>
      </c>
      <c r="EE117" s="285">
        <v>2212</v>
      </c>
      <c r="EF117" s="285">
        <v>2106</v>
      </c>
      <c r="EG117" s="285">
        <v>1855</v>
      </c>
      <c r="EH117" s="285">
        <v>2023</v>
      </c>
      <c r="EI117" s="285">
        <v>1799</v>
      </c>
      <c r="EJ117" s="285">
        <v>1709</v>
      </c>
      <c r="EK117" s="285">
        <v>1674</v>
      </c>
      <c r="EL117" s="285">
        <v>1548</v>
      </c>
      <c r="EM117" s="285">
        <v>1635</v>
      </c>
      <c r="EN117" s="285">
        <v>1554</v>
      </c>
      <c r="EO117" s="285">
        <v>1354</v>
      </c>
      <c r="EP117" s="285">
        <v>1359</v>
      </c>
      <c r="EQ117" s="285">
        <v>2667</v>
      </c>
      <c r="ER117" s="285">
        <v>3395</v>
      </c>
      <c r="ES117" s="285">
        <v>1533</v>
      </c>
      <c r="ET117" s="285">
        <v>1775</v>
      </c>
      <c r="EU117" s="285">
        <v>1529</v>
      </c>
      <c r="EV117" s="285">
        <v>1716</v>
      </c>
      <c r="EW117" s="285">
        <v>1787</v>
      </c>
      <c r="EX117" s="285">
        <v>1810</v>
      </c>
      <c r="EY117" s="285">
        <v>2029</v>
      </c>
      <c r="EZ117" s="285">
        <v>1856</v>
      </c>
      <c r="FA117" s="285">
        <v>1642</v>
      </c>
      <c r="FB117" s="285">
        <v>1681</v>
      </c>
      <c r="FC117" s="285">
        <v>1712</v>
      </c>
      <c r="FD117" s="285">
        <v>1846</v>
      </c>
      <c r="FE117" s="285">
        <v>1775</v>
      </c>
      <c r="FF117" s="285">
        <v>1858</v>
      </c>
      <c r="FG117" s="285">
        <v>1731</v>
      </c>
      <c r="FH117" s="285">
        <v>2024</v>
      </c>
      <c r="FI117" s="285">
        <v>1778</v>
      </c>
      <c r="FJ117" s="285">
        <v>2121</v>
      </c>
      <c r="FK117" s="285">
        <v>1673</v>
      </c>
      <c r="FL117" s="285">
        <v>1777</v>
      </c>
      <c r="FM117" s="285">
        <v>1632</v>
      </c>
      <c r="FN117" s="285">
        <v>1482</v>
      </c>
      <c r="FO117" s="285">
        <v>1470</v>
      </c>
      <c r="FP117" s="285">
        <v>1656</v>
      </c>
      <c r="FQ117" s="285">
        <v>1430</v>
      </c>
      <c r="FR117" s="285">
        <v>1457</v>
      </c>
      <c r="FS117" s="285">
        <v>1193</v>
      </c>
      <c r="FT117" s="285">
        <v>1435</v>
      </c>
      <c r="FU117" s="285">
        <v>1574</v>
      </c>
      <c r="FV117" s="285">
        <v>1621</v>
      </c>
      <c r="FW117" s="285">
        <v>1543</v>
      </c>
      <c r="FX117" s="285">
        <v>1582</v>
      </c>
      <c r="FY117" s="285">
        <v>1434</v>
      </c>
      <c r="FZ117" s="285">
        <v>1300</v>
      </c>
      <c r="GA117" s="285">
        <v>1299</v>
      </c>
      <c r="GB117" s="285">
        <v>1545</v>
      </c>
      <c r="GC117" s="285">
        <v>1259</v>
      </c>
      <c r="GD117" s="285">
        <v>1289</v>
      </c>
      <c r="GE117" s="285">
        <v>1190</v>
      </c>
      <c r="GF117" s="285">
        <v>1200</v>
      </c>
      <c r="GG117" s="285">
        <v>1381</v>
      </c>
      <c r="GH117" s="285">
        <v>1398</v>
      </c>
      <c r="GI117" s="285">
        <v>1444</v>
      </c>
      <c r="GJ117" s="285">
        <v>1419</v>
      </c>
      <c r="GK117" s="285">
        <v>1952</v>
      </c>
      <c r="GL117" s="285">
        <v>1950</v>
      </c>
      <c r="GM117" s="285">
        <v>2037</v>
      </c>
      <c r="GN117" s="285">
        <v>2191</v>
      </c>
      <c r="GO117" s="285">
        <v>1473</v>
      </c>
      <c r="GP117" s="285">
        <v>2190</v>
      </c>
      <c r="GQ117" s="285">
        <v>2191</v>
      </c>
      <c r="GR117" s="285">
        <v>2123</v>
      </c>
      <c r="GS117" s="285">
        <v>2371</v>
      </c>
      <c r="GT117" s="285">
        <v>2526</v>
      </c>
      <c r="GU117" s="285">
        <v>2433</v>
      </c>
      <c r="GV117" s="285">
        <v>2522</v>
      </c>
      <c r="GW117" s="285">
        <v>2247</v>
      </c>
      <c r="GX117" s="285">
        <v>2327</v>
      </c>
      <c r="GY117" s="285">
        <v>2871</v>
      </c>
      <c r="GZ117" s="285">
        <v>2517</v>
      </c>
      <c r="HA117" s="285">
        <v>2333</v>
      </c>
      <c r="HB117" s="285">
        <v>1891</v>
      </c>
      <c r="HC117" s="285">
        <v>2306</v>
      </c>
      <c r="HD117" s="285">
        <v>2372</v>
      </c>
      <c r="HE117" s="285">
        <v>2213</v>
      </c>
      <c r="HF117" s="285">
        <v>2065</v>
      </c>
      <c r="HG117" s="285">
        <v>2326</v>
      </c>
      <c r="HH117" s="285">
        <v>2409</v>
      </c>
      <c r="HI117" s="285">
        <v>1936</v>
      </c>
      <c r="HJ117" s="285">
        <v>2609</v>
      </c>
      <c r="HK117" s="285">
        <v>2549</v>
      </c>
      <c r="HL117" s="285">
        <v>2619</v>
      </c>
      <c r="HM117" s="285">
        <v>2369</v>
      </c>
      <c r="HN117" s="285">
        <v>2289</v>
      </c>
      <c r="HO117" s="285">
        <v>2072</v>
      </c>
      <c r="HP117" s="286">
        <v>1984</v>
      </c>
      <c r="HQ117" s="286">
        <v>2057</v>
      </c>
      <c r="HR117" s="286">
        <v>2065</v>
      </c>
      <c r="HS117" s="286">
        <v>2136</v>
      </c>
      <c r="HT117" s="286">
        <v>2082</v>
      </c>
      <c r="HU117" s="286">
        <v>1995</v>
      </c>
      <c r="HV117" s="545">
        <v>1869</v>
      </c>
      <c r="HW117" s="545">
        <v>2340</v>
      </c>
      <c r="HX117" s="545">
        <v>1991</v>
      </c>
      <c r="HY117" s="545">
        <v>1872</v>
      </c>
      <c r="HZ117" s="545">
        <v>1851</v>
      </c>
      <c r="IA117" s="545">
        <v>1998</v>
      </c>
      <c r="IB117" s="545">
        <v>2521</v>
      </c>
      <c r="IC117" s="545">
        <v>2555</v>
      </c>
      <c r="ID117" s="545">
        <v>2607</v>
      </c>
      <c r="IE117" s="545">
        <v>2635</v>
      </c>
      <c r="IF117" s="545">
        <v>2445</v>
      </c>
      <c r="IG117" s="285">
        <v>2346</v>
      </c>
      <c r="IH117" s="545">
        <v>2106</v>
      </c>
      <c r="II117" s="545">
        <v>2233</v>
      </c>
      <c r="IJ117" s="545">
        <v>2119</v>
      </c>
      <c r="IK117" s="545">
        <v>2160</v>
      </c>
      <c r="IL117" s="545">
        <v>2307</v>
      </c>
      <c r="IM117" s="851">
        <v>1981</v>
      </c>
      <c r="IN117" s="168"/>
    </row>
    <row r="118" spans="1:248" ht="16.5" thickTop="1" thickBot="1">
      <c r="A118" s="50" t="s">
        <v>97</v>
      </c>
      <c r="B118" s="287">
        <v>18573</v>
      </c>
      <c r="C118" s="267">
        <v>18297</v>
      </c>
      <c r="D118" s="267">
        <v>20485</v>
      </c>
      <c r="E118" s="267">
        <v>19548</v>
      </c>
      <c r="F118" s="267">
        <v>19996</v>
      </c>
      <c r="G118" s="267">
        <v>20559</v>
      </c>
      <c r="H118" s="267">
        <v>20353</v>
      </c>
      <c r="I118" s="267">
        <v>20594</v>
      </c>
      <c r="J118" s="267">
        <v>19940</v>
      </c>
      <c r="K118" s="267">
        <v>21487</v>
      </c>
      <c r="L118" s="267">
        <v>21107</v>
      </c>
      <c r="M118" s="267">
        <v>21469</v>
      </c>
      <c r="N118" s="267">
        <v>20491</v>
      </c>
      <c r="O118" s="267">
        <v>21116</v>
      </c>
      <c r="P118" s="267">
        <v>19249</v>
      </c>
      <c r="Q118" s="267">
        <v>21515</v>
      </c>
      <c r="R118" s="267">
        <v>19850</v>
      </c>
      <c r="S118" s="267">
        <v>20123</v>
      </c>
      <c r="T118" s="267">
        <v>22783</v>
      </c>
      <c r="U118" s="267">
        <v>20971</v>
      </c>
      <c r="V118" s="267">
        <v>21808</v>
      </c>
      <c r="W118" s="267">
        <v>22601</v>
      </c>
      <c r="X118" s="267">
        <v>23483</v>
      </c>
      <c r="Y118" s="267">
        <v>22928</v>
      </c>
      <c r="Z118" s="267">
        <v>21965</v>
      </c>
      <c r="AA118" s="267">
        <v>22076</v>
      </c>
      <c r="AB118" s="267">
        <v>24581</v>
      </c>
      <c r="AC118" s="267">
        <v>23523</v>
      </c>
      <c r="AD118" s="267">
        <v>23569</v>
      </c>
      <c r="AE118" s="267">
        <v>24086</v>
      </c>
      <c r="AF118" s="267">
        <v>24625</v>
      </c>
      <c r="AG118" s="267">
        <v>24199</v>
      </c>
      <c r="AH118" s="267">
        <v>24816</v>
      </c>
      <c r="AI118" s="267">
        <v>24728</v>
      </c>
      <c r="AJ118" s="267">
        <v>24599</v>
      </c>
      <c r="AK118" s="267">
        <v>23483</v>
      </c>
      <c r="AL118" s="267">
        <v>23811</v>
      </c>
      <c r="AM118" s="267">
        <v>25134</v>
      </c>
      <c r="AN118" s="267">
        <v>27146</v>
      </c>
      <c r="AO118" s="267">
        <v>26190</v>
      </c>
      <c r="AP118" s="267">
        <v>26710</v>
      </c>
      <c r="AQ118" s="267">
        <v>26834</v>
      </c>
      <c r="AR118" s="267">
        <v>26815</v>
      </c>
      <c r="AS118" s="267">
        <v>27442</v>
      </c>
      <c r="AT118" s="267">
        <v>27547</v>
      </c>
      <c r="AU118" s="267">
        <v>27458</v>
      </c>
      <c r="AV118" s="267">
        <v>28283</v>
      </c>
      <c r="AW118" s="267">
        <v>28011</v>
      </c>
      <c r="AX118" s="267">
        <v>27443</v>
      </c>
      <c r="AY118" s="267">
        <v>29186</v>
      </c>
      <c r="AZ118" s="267">
        <v>30667</v>
      </c>
      <c r="BA118" s="267">
        <v>31255</v>
      </c>
      <c r="BB118" s="267">
        <v>32090</v>
      </c>
      <c r="BC118" s="267">
        <v>31225</v>
      </c>
      <c r="BD118" s="267">
        <v>32493</v>
      </c>
      <c r="BE118" s="267">
        <v>33591</v>
      </c>
      <c r="BF118" s="267">
        <v>31886</v>
      </c>
      <c r="BG118" s="267">
        <v>31790</v>
      </c>
      <c r="BH118" s="267">
        <v>33123</v>
      </c>
      <c r="BI118" s="267">
        <v>30570</v>
      </c>
      <c r="BJ118" s="267">
        <v>29364</v>
      </c>
      <c r="BK118" s="267">
        <v>32113</v>
      </c>
      <c r="BL118" s="267">
        <v>33246</v>
      </c>
      <c r="BM118" s="267">
        <v>31536</v>
      </c>
      <c r="BN118" s="267">
        <v>35049</v>
      </c>
      <c r="BO118" s="267">
        <v>32579</v>
      </c>
      <c r="BP118" s="267">
        <v>32765</v>
      </c>
      <c r="BQ118" s="267">
        <v>34455</v>
      </c>
      <c r="BR118" s="267">
        <v>33559</v>
      </c>
      <c r="BS118" s="267">
        <v>35351</v>
      </c>
      <c r="BT118" s="267">
        <v>35834</v>
      </c>
      <c r="BU118" s="267">
        <v>33037</v>
      </c>
      <c r="BV118" s="267">
        <v>33349</v>
      </c>
      <c r="BW118" s="267">
        <v>36601</v>
      </c>
      <c r="BX118" s="267">
        <v>37265</v>
      </c>
      <c r="BY118" s="267">
        <v>35326</v>
      </c>
      <c r="BZ118" s="267">
        <v>36937</v>
      </c>
      <c r="CA118" s="267">
        <v>35624</v>
      </c>
      <c r="CB118" s="267">
        <v>37192</v>
      </c>
      <c r="CC118" s="267">
        <v>40472</v>
      </c>
      <c r="CD118" s="267">
        <v>37843</v>
      </c>
      <c r="CE118" s="267">
        <v>37002</v>
      </c>
      <c r="CF118" s="267">
        <v>38432</v>
      </c>
      <c r="CG118" s="267">
        <v>33386</v>
      </c>
      <c r="CH118" s="267">
        <v>34867</v>
      </c>
      <c r="CI118" s="267">
        <v>35842</v>
      </c>
      <c r="CJ118" s="267">
        <v>34983</v>
      </c>
      <c r="CK118" s="267">
        <v>36969</v>
      </c>
      <c r="CL118" s="267">
        <v>36748</v>
      </c>
      <c r="CM118" s="267">
        <v>39786</v>
      </c>
      <c r="CN118" s="267">
        <v>40846</v>
      </c>
      <c r="CO118" s="267">
        <v>40791</v>
      </c>
      <c r="CP118" s="267">
        <v>42443</v>
      </c>
      <c r="CQ118" s="267">
        <v>45029</v>
      </c>
      <c r="CR118" s="267">
        <v>41600</v>
      </c>
      <c r="CS118" s="267">
        <v>38402</v>
      </c>
      <c r="CT118" s="267">
        <v>36023</v>
      </c>
      <c r="CU118" s="267">
        <v>36766</v>
      </c>
      <c r="CV118" s="267">
        <v>37196</v>
      </c>
      <c r="CW118" s="267">
        <v>36164</v>
      </c>
      <c r="CX118" s="267">
        <v>36112</v>
      </c>
      <c r="CY118" s="267">
        <v>35583</v>
      </c>
      <c r="CZ118" s="267">
        <v>35037</v>
      </c>
      <c r="DA118" s="267">
        <v>34849</v>
      </c>
      <c r="DB118" s="267">
        <v>34740</v>
      </c>
      <c r="DC118" s="267">
        <v>36353</v>
      </c>
      <c r="DD118" s="267">
        <v>34485</v>
      </c>
      <c r="DE118" s="267">
        <v>34357</v>
      </c>
      <c r="DF118" s="267">
        <v>31965</v>
      </c>
      <c r="DG118" s="267">
        <v>36084</v>
      </c>
      <c r="DH118" s="267">
        <v>38414</v>
      </c>
      <c r="DI118" s="267">
        <v>37787</v>
      </c>
      <c r="DJ118" s="267">
        <v>39631</v>
      </c>
      <c r="DK118" s="267">
        <v>40262</v>
      </c>
      <c r="DL118" s="267">
        <v>43361</v>
      </c>
      <c r="DM118" s="267">
        <v>43791</v>
      </c>
      <c r="DN118" s="267">
        <v>43999</v>
      </c>
      <c r="DO118" s="267">
        <v>46173</v>
      </c>
      <c r="DP118" s="267">
        <v>47576</v>
      </c>
      <c r="DQ118" s="267">
        <v>41520</v>
      </c>
      <c r="DR118" s="267">
        <v>43525</v>
      </c>
      <c r="DS118" s="267">
        <v>45696</v>
      </c>
      <c r="DT118" s="267">
        <v>49039</v>
      </c>
      <c r="DU118" s="267">
        <v>47403</v>
      </c>
      <c r="DV118" s="267">
        <v>53019</v>
      </c>
      <c r="DW118" s="267">
        <v>52141</v>
      </c>
      <c r="DX118" s="267">
        <v>50353</v>
      </c>
      <c r="DY118" s="267">
        <v>52302</v>
      </c>
      <c r="DZ118" s="267">
        <v>53987</v>
      </c>
      <c r="EA118" s="267">
        <v>52772</v>
      </c>
      <c r="EB118" s="267">
        <v>55769</v>
      </c>
      <c r="EC118" s="267">
        <v>48913</v>
      </c>
      <c r="ED118" s="267">
        <v>55758</v>
      </c>
      <c r="EE118" s="267">
        <v>60209</v>
      </c>
      <c r="EF118" s="267">
        <v>61924</v>
      </c>
      <c r="EG118" s="267">
        <v>63149</v>
      </c>
      <c r="EH118" s="267">
        <v>61907</v>
      </c>
      <c r="EI118" s="267">
        <v>59792</v>
      </c>
      <c r="EJ118" s="267">
        <v>63061</v>
      </c>
      <c r="EK118" s="267">
        <v>63458</v>
      </c>
      <c r="EL118" s="267">
        <v>60296</v>
      </c>
      <c r="EM118" s="267">
        <v>59778</v>
      </c>
      <c r="EN118" s="267">
        <v>58510</v>
      </c>
      <c r="EO118" s="267">
        <v>55444</v>
      </c>
      <c r="EP118" s="267">
        <v>57260</v>
      </c>
      <c r="EQ118" s="267">
        <v>63162</v>
      </c>
      <c r="ER118" s="267">
        <v>62266</v>
      </c>
      <c r="ES118" s="267">
        <v>63496</v>
      </c>
      <c r="ET118" s="267">
        <v>64470</v>
      </c>
      <c r="EU118" s="267">
        <v>65620</v>
      </c>
      <c r="EV118" s="267">
        <v>68206</v>
      </c>
      <c r="EW118" s="267">
        <v>66123</v>
      </c>
      <c r="EX118" s="267">
        <v>63398</v>
      </c>
      <c r="EY118" s="267">
        <v>63130</v>
      </c>
      <c r="EZ118" s="267">
        <v>64476</v>
      </c>
      <c r="FA118" s="267">
        <v>57038</v>
      </c>
      <c r="FB118" s="267">
        <v>54640</v>
      </c>
      <c r="FC118" s="267">
        <v>61171</v>
      </c>
      <c r="FD118" s="267">
        <v>62031</v>
      </c>
      <c r="FE118" s="267">
        <v>61986</v>
      </c>
      <c r="FF118" s="267">
        <v>62567</v>
      </c>
      <c r="FG118" s="267">
        <v>60270</v>
      </c>
      <c r="FH118" s="267">
        <v>63870</v>
      </c>
      <c r="FI118" s="267">
        <v>63391</v>
      </c>
      <c r="FJ118" s="267">
        <v>64930</v>
      </c>
      <c r="FK118" s="267">
        <v>64061</v>
      </c>
      <c r="FL118" s="267">
        <v>65497</v>
      </c>
      <c r="FM118" s="267">
        <v>58733</v>
      </c>
      <c r="FN118" s="267">
        <v>55347</v>
      </c>
      <c r="FO118" s="267">
        <v>60615</v>
      </c>
      <c r="FP118" s="267">
        <v>60712</v>
      </c>
      <c r="FQ118" s="267">
        <v>59081</v>
      </c>
      <c r="FR118" s="267">
        <v>57433</v>
      </c>
      <c r="FS118" s="267">
        <v>55286</v>
      </c>
      <c r="FT118" s="267">
        <v>58384</v>
      </c>
      <c r="FU118" s="267">
        <v>59683</v>
      </c>
      <c r="FV118" s="267">
        <v>60136</v>
      </c>
      <c r="FW118" s="267">
        <v>63467</v>
      </c>
      <c r="FX118" s="267">
        <v>62765</v>
      </c>
      <c r="FY118" s="267">
        <v>57080</v>
      </c>
      <c r="FZ118" s="267">
        <v>55376</v>
      </c>
      <c r="GA118" s="267">
        <v>59575</v>
      </c>
      <c r="GB118" s="267">
        <v>58568</v>
      </c>
      <c r="GC118" s="267">
        <v>57884</v>
      </c>
      <c r="GD118" s="267">
        <v>62280</v>
      </c>
      <c r="GE118" s="267">
        <v>59586</v>
      </c>
      <c r="GF118" s="267">
        <v>62947</v>
      </c>
      <c r="GG118" s="267">
        <v>63363</v>
      </c>
      <c r="GH118" s="267">
        <v>59900</v>
      </c>
      <c r="GI118" s="267">
        <v>64001</v>
      </c>
      <c r="GJ118" s="267">
        <v>66089</v>
      </c>
      <c r="GK118" s="267">
        <v>60528</v>
      </c>
      <c r="GL118" s="267">
        <v>61394</v>
      </c>
      <c r="GM118" s="267">
        <v>67707</v>
      </c>
      <c r="GN118" s="267">
        <v>67075</v>
      </c>
      <c r="GO118" s="267">
        <v>63584</v>
      </c>
      <c r="GP118" s="267">
        <v>69764</v>
      </c>
      <c r="GQ118" s="267">
        <v>65627</v>
      </c>
      <c r="GR118" s="267">
        <v>67741</v>
      </c>
      <c r="GS118" s="267">
        <v>67700</v>
      </c>
      <c r="GT118" s="267">
        <v>64507</v>
      </c>
      <c r="GU118" s="267">
        <v>70612</v>
      </c>
      <c r="GV118" s="267">
        <v>71356</v>
      </c>
      <c r="GW118" s="267">
        <v>63413</v>
      </c>
      <c r="GX118" s="267">
        <v>63877</v>
      </c>
      <c r="GY118" s="267">
        <v>71556</v>
      </c>
      <c r="GZ118" s="267">
        <v>72326</v>
      </c>
      <c r="HA118" s="267">
        <v>69712</v>
      </c>
      <c r="HB118" s="267">
        <v>73315</v>
      </c>
      <c r="HC118" s="267">
        <v>71233</v>
      </c>
      <c r="HD118" s="267">
        <v>77272</v>
      </c>
      <c r="HE118" s="267">
        <v>78438</v>
      </c>
      <c r="HF118" s="267">
        <v>73025</v>
      </c>
      <c r="HG118" s="267">
        <v>80487</v>
      </c>
      <c r="HH118" s="267">
        <v>82082</v>
      </c>
      <c r="HI118" s="267">
        <v>70405</v>
      </c>
      <c r="HJ118" s="267">
        <v>75072</v>
      </c>
      <c r="HK118" s="267">
        <v>80331</v>
      </c>
      <c r="HL118" s="267">
        <v>80396</v>
      </c>
      <c r="HM118" s="267">
        <v>77740</v>
      </c>
      <c r="HN118" s="267">
        <v>83417</v>
      </c>
      <c r="HO118" s="267">
        <v>78105</v>
      </c>
      <c r="HP118" s="267">
        <v>87367</v>
      </c>
      <c r="HQ118" s="267">
        <v>81482</v>
      </c>
      <c r="HR118" s="267">
        <v>80916</v>
      </c>
      <c r="HS118" s="267">
        <v>86964</v>
      </c>
      <c r="HT118" s="267">
        <v>88849</v>
      </c>
      <c r="HU118" s="469">
        <v>77018</v>
      </c>
      <c r="HV118" s="469">
        <v>80976</v>
      </c>
      <c r="HW118" s="469">
        <v>90123</v>
      </c>
      <c r="HX118" s="469">
        <v>88505</v>
      </c>
      <c r="HY118" s="469">
        <v>75173</v>
      </c>
      <c r="HZ118" s="469">
        <v>78971</v>
      </c>
      <c r="IA118" s="853">
        <v>79315</v>
      </c>
      <c r="IB118" s="853">
        <v>95007</v>
      </c>
      <c r="IC118" s="853">
        <v>96785</v>
      </c>
      <c r="ID118" s="853">
        <v>96061</v>
      </c>
      <c r="IE118" s="853">
        <v>99200</v>
      </c>
      <c r="IF118" s="853">
        <v>90602</v>
      </c>
      <c r="IG118" s="853">
        <v>86024</v>
      </c>
      <c r="IH118" s="853">
        <v>82677</v>
      </c>
      <c r="II118" s="853">
        <v>93926</v>
      </c>
      <c r="IJ118" s="853">
        <v>92669</v>
      </c>
      <c r="IK118" s="853">
        <v>89888</v>
      </c>
      <c r="IL118" s="853">
        <v>88384</v>
      </c>
      <c r="IM118" s="854">
        <v>87004</v>
      </c>
      <c r="IN118" s="168"/>
    </row>
    <row r="119" spans="1:248">
      <c r="GK119" s="167"/>
      <c r="GL119" s="205"/>
      <c r="GM119" s="205"/>
      <c r="GN119" s="205"/>
      <c r="GO119" s="205"/>
      <c r="GP119" s="205"/>
      <c r="GQ119" s="205"/>
      <c r="GR119" s="205"/>
      <c r="GS119" s="205"/>
      <c r="GT119" s="205"/>
      <c r="GU119" s="205"/>
      <c r="GV119" s="205"/>
      <c r="GW119" s="205"/>
      <c r="GX119" s="205"/>
      <c r="GY119" s="205"/>
      <c r="GZ119" s="205"/>
      <c r="HA119" s="205"/>
      <c r="HB119" s="205"/>
      <c r="HC119" s="167"/>
      <c r="IA119" s="722"/>
      <c r="IB119" s="722"/>
      <c r="IC119" s="722"/>
      <c r="ID119" s="722"/>
      <c r="IE119" s="722"/>
      <c r="IF119" s="722"/>
      <c r="IG119" s="722"/>
      <c r="IH119" s="722"/>
      <c r="II119" s="722"/>
      <c r="IJ119" s="722"/>
      <c r="IK119" s="722"/>
      <c r="IL119" s="722"/>
      <c r="IM119" s="722"/>
      <c r="IN119" s="168"/>
    </row>
    <row r="120" spans="1:248">
      <c r="GK120" s="205"/>
      <c r="GL120" s="205"/>
      <c r="GM120" s="205"/>
      <c r="GN120" s="205"/>
      <c r="GO120" s="205"/>
      <c r="GP120" s="205"/>
      <c r="GQ120" s="205"/>
      <c r="GR120" s="205"/>
      <c r="GS120" s="205"/>
      <c r="GT120" s="205"/>
      <c r="GU120" s="205"/>
      <c r="GV120" s="205"/>
      <c r="GW120" s="205"/>
      <c r="GX120" s="205"/>
      <c r="GY120" s="205"/>
      <c r="GZ120" s="205"/>
      <c r="HA120" s="205"/>
      <c r="HB120" s="205"/>
      <c r="HC120" s="205"/>
      <c r="IA120" s="722"/>
      <c r="IB120" s="722"/>
      <c r="IC120" s="722"/>
      <c r="ID120" s="722"/>
      <c r="IE120" s="722"/>
      <c r="IF120" s="722"/>
      <c r="IG120" s="722"/>
      <c r="IH120" s="722"/>
      <c r="II120" s="722"/>
      <c r="IJ120" s="722"/>
      <c r="IK120" s="722"/>
      <c r="IL120" s="722"/>
      <c r="IM120" s="722"/>
      <c r="IN120" s="168"/>
    </row>
    <row r="121" spans="1:248" ht="15.75" thickBot="1">
      <c r="A121" s="134" t="s">
        <v>1033</v>
      </c>
      <c r="B121" s="205"/>
      <c r="C121" s="205"/>
      <c r="D121" s="132"/>
      <c r="E121" s="205"/>
      <c r="F121" s="205"/>
      <c r="G121" s="132"/>
      <c r="H121" s="205"/>
      <c r="I121" s="205"/>
      <c r="J121" s="132"/>
      <c r="K121" s="205"/>
      <c r="L121" s="205"/>
      <c r="M121" s="132"/>
      <c r="N121" s="205"/>
      <c r="O121" s="205"/>
      <c r="P121" s="132"/>
      <c r="Q121" s="205"/>
      <c r="R121" s="205"/>
      <c r="S121" s="132"/>
      <c r="T121" s="205"/>
      <c r="U121" s="205"/>
      <c r="V121" s="132"/>
      <c r="W121" s="205"/>
      <c r="X121" s="205"/>
      <c r="Y121" s="132"/>
      <c r="Z121" s="205"/>
      <c r="AA121" s="205"/>
      <c r="AB121" s="132"/>
      <c r="AC121" s="205"/>
      <c r="AD121" s="205"/>
      <c r="AE121" s="132"/>
      <c r="AF121" s="205"/>
      <c r="AG121" s="205"/>
      <c r="AH121" s="132"/>
      <c r="AI121" s="205"/>
      <c r="AJ121" s="205"/>
      <c r="AK121" s="132"/>
      <c r="AL121" s="205"/>
      <c r="AM121" s="205"/>
      <c r="AN121" s="132"/>
      <c r="AO121" s="205"/>
      <c r="AP121" s="205"/>
      <c r="AQ121" s="132"/>
      <c r="AR121" s="205"/>
      <c r="AS121" s="205"/>
      <c r="AT121" s="132"/>
      <c r="AU121" s="205"/>
      <c r="AV121" s="205"/>
      <c r="AW121" s="132"/>
      <c r="AX121" s="205"/>
      <c r="AY121" s="205"/>
      <c r="AZ121" s="132"/>
      <c r="BA121" s="205"/>
      <c r="BB121" s="205"/>
      <c r="BC121" s="132"/>
      <c r="BD121" s="205"/>
      <c r="BE121" s="205"/>
      <c r="BF121" s="132"/>
      <c r="BG121" s="205"/>
      <c r="BH121" s="205"/>
      <c r="BI121" s="132"/>
      <c r="BJ121" s="205"/>
      <c r="BK121" s="205"/>
      <c r="BL121" s="132"/>
      <c r="BM121" s="205"/>
      <c r="BN121" s="205"/>
      <c r="BO121" s="132"/>
      <c r="BP121" s="205"/>
      <c r="BQ121" s="205"/>
      <c r="BR121" s="132"/>
      <c r="BS121" s="205"/>
      <c r="BT121" s="205"/>
      <c r="BU121" s="132"/>
      <c r="BV121" s="205"/>
      <c r="BW121" s="205"/>
      <c r="BX121" s="132"/>
      <c r="BY121" s="205"/>
      <c r="BZ121" s="205"/>
      <c r="CA121" s="132"/>
      <c r="CB121" s="205"/>
      <c r="CC121" s="205"/>
      <c r="CD121" s="132"/>
      <c r="CE121" s="205"/>
      <c r="CF121" s="205"/>
      <c r="CG121" s="132"/>
      <c r="CH121" s="205"/>
      <c r="CI121" s="205"/>
      <c r="CJ121" s="132"/>
      <c r="CK121" s="205"/>
      <c r="CL121" s="205"/>
      <c r="CM121" s="132"/>
      <c r="CN121" s="205"/>
      <c r="CO121" s="205"/>
      <c r="CP121" s="132"/>
      <c r="CQ121" s="205"/>
      <c r="CR121" s="205"/>
      <c r="CS121" s="132"/>
      <c r="CT121" s="205"/>
      <c r="CU121" s="205"/>
      <c r="CV121" s="132"/>
      <c r="CW121" s="205"/>
      <c r="CX121" s="205"/>
      <c r="CY121" s="132"/>
      <c r="CZ121" s="205"/>
      <c r="DA121" s="205"/>
      <c r="DB121" s="132"/>
      <c r="DC121" s="205"/>
      <c r="DD121" s="205"/>
      <c r="DE121" s="132"/>
      <c r="DF121" s="205"/>
      <c r="DG121" s="205"/>
      <c r="DH121" s="132"/>
      <c r="DI121" s="205"/>
      <c r="DJ121" s="205"/>
      <c r="DK121" s="132"/>
      <c r="DL121" s="205"/>
      <c r="DM121" s="205"/>
      <c r="DN121" s="132"/>
      <c r="DO121" s="205"/>
      <c r="DP121" s="205"/>
      <c r="DQ121" s="132"/>
      <c r="DR121" s="205"/>
      <c r="DS121" s="205"/>
      <c r="DT121" s="132"/>
      <c r="DU121" s="205"/>
      <c r="DV121" s="205"/>
      <c r="DW121" s="132"/>
      <c r="DX121" s="205"/>
      <c r="DY121" s="205"/>
      <c r="DZ121" s="132"/>
      <c r="EA121" s="205"/>
      <c r="EB121" s="205"/>
      <c r="EC121" s="132"/>
      <c r="ED121" s="205"/>
      <c r="EE121" s="205"/>
      <c r="EF121" s="132"/>
      <c r="EG121" s="205"/>
      <c r="EH121" s="205"/>
      <c r="EI121" s="132"/>
      <c r="EJ121" s="205"/>
      <c r="EK121" s="205"/>
      <c r="EL121" s="132"/>
      <c r="EM121" s="205"/>
      <c r="EN121" s="205"/>
      <c r="EO121" s="132"/>
      <c r="EP121" s="205"/>
      <c r="EQ121" s="205"/>
      <c r="ER121" s="132"/>
      <c r="ES121" s="205"/>
      <c r="ET121" s="205"/>
      <c r="EU121" s="132"/>
      <c r="EV121" s="205"/>
      <c r="EW121" s="205"/>
      <c r="EX121" s="132"/>
      <c r="EY121" s="205"/>
      <c r="EZ121" s="205"/>
      <c r="FA121" s="132"/>
      <c r="FB121" s="205"/>
      <c r="FC121" s="205"/>
      <c r="FD121" s="132"/>
      <c r="FE121" s="205"/>
      <c r="FF121" s="205"/>
      <c r="FG121" s="132"/>
      <c r="FH121" s="205"/>
      <c r="FI121" s="205"/>
      <c r="FJ121" s="132"/>
      <c r="FK121" s="205"/>
      <c r="FL121" s="205"/>
      <c r="FM121" s="132"/>
      <c r="FN121" s="205"/>
      <c r="FO121" s="205"/>
      <c r="FP121" s="132"/>
      <c r="FQ121" s="205"/>
      <c r="FR121" s="205"/>
      <c r="FS121" s="132"/>
      <c r="FT121" s="205"/>
      <c r="FU121" s="205"/>
      <c r="FV121" s="132"/>
      <c r="FW121" s="205"/>
      <c r="FX121" s="205"/>
      <c r="FY121" s="132"/>
      <c r="FZ121" s="205"/>
      <c r="GA121" s="205"/>
      <c r="GB121" s="132"/>
      <c r="GC121" s="205"/>
      <c r="GD121" s="205"/>
      <c r="GE121" s="132"/>
      <c r="GF121" s="205"/>
      <c r="GG121" s="205"/>
      <c r="GH121" s="132"/>
      <c r="GI121" s="205"/>
      <c r="GJ121" s="205"/>
      <c r="GK121" s="132"/>
      <c r="GL121" s="205"/>
      <c r="GM121" s="205"/>
      <c r="GN121" s="132"/>
      <c r="GO121" s="205"/>
      <c r="GP121" s="205"/>
      <c r="GQ121" s="132"/>
      <c r="GR121" s="205"/>
      <c r="GS121" s="205"/>
      <c r="GT121" s="132"/>
      <c r="GU121" s="205"/>
      <c r="GV121" s="205"/>
      <c r="GW121" s="132"/>
      <c r="GX121" s="205"/>
      <c r="GY121" s="205"/>
      <c r="GZ121" s="132"/>
      <c r="HA121" s="205"/>
      <c r="HB121" s="205"/>
      <c r="HC121" s="132"/>
      <c r="HF121" s="132"/>
      <c r="HI121" s="132"/>
      <c r="IA121" s="722"/>
      <c r="IB121" s="722"/>
      <c r="IC121" s="722"/>
      <c r="ID121" s="722"/>
      <c r="IE121" s="722"/>
      <c r="IF121" s="722"/>
      <c r="IG121" s="722"/>
      <c r="IH121" s="722"/>
      <c r="II121" s="722"/>
      <c r="IJ121" s="722"/>
      <c r="IK121" s="722"/>
      <c r="IL121" s="722"/>
      <c r="IM121" s="722"/>
      <c r="IN121" s="168"/>
    </row>
    <row r="122" spans="1:248" ht="15.75" thickBot="1">
      <c r="A122" s="2" t="s">
        <v>95</v>
      </c>
      <c r="B122" s="80">
        <v>36892</v>
      </c>
      <c r="C122" s="80">
        <v>36923</v>
      </c>
      <c r="D122" s="80">
        <v>36951</v>
      </c>
      <c r="E122" s="80">
        <v>36982</v>
      </c>
      <c r="F122" s="80">
        <v>37012</v>
      </c>
      <c r="G122" s="80">
        <v>37043</v>
      </c>
      <c r="H122" s="80">
        <v>37073</v>
      </c>
      <c r="I122" s="80">
        <v>37104</v>
      </c>
      <c r="J122" s="80">
        <v>37135</v>
      </c>
      <c r="K122" s="80">
        <v>37165</v>
      </c>
      <c r="L122" s="80">
        <v>37196</v>
      </c>
      <c r="M122" s="80">
        <v>37226</v>
      </c>
      <c r="N122" s="80">
        <v>37257</v>
      </c>
      <c r="O122" s="80">
        <v>37288</v>
      </c>
      <c r="P122" s="80">
        <v>37316</v>
      </c>
      <c r="Q122" s="80">
        <v>37347</v>
      </c>
      <c r="R122" s="80">
        <v>37377</v>
      </c>
      <c r="S122" s="80">
        <v>37408</v>
      </c>
      <c r="T122" s="80">
        <v>37438</v>
      </c>
      <c r="U122" s="80">
        <v>37469</v>
      </c>
      <c r="V122" s="80">
        <v>37500</v>
      </c>
      <c r="W122" s="80">
        <v>37530</v>
      </c>
      <c r="X122" s="80">
        <v>37561</v>
      </c>
      <c r="Y122" s="80">
        <v>37591</v>
      </c>
      <c r="Z122" s="80">
        <v>37622</v>
      </c>
      <c r="AA122" s="80">
        <v>37653</v>
      </c>
      <c r="AB122" s="80">
        <v>37681</v>
      </c>
      <c r="AC122" s="80">
        <v>37712</v>
      </c>
      <c r="AD122" s="80">
        <v>37742</v>
      </c>
      <c r="AE122" s="80">
        <v>37773</v>
      </c>
      <c r="AF122" s="80">
        <v>37803</v>
      </c>
      <c r="AG122" s="80">
        <v>37834</v>
      </c>
      <c r="AH122" s="80">
        <v>37865</v>
      </c>
      <c r="AI122" s="80">
        <v>37895</v>
      </c>
      <c r="AJ122" s="80">
        <v>37926</v>
      </c>
      <c r="AK122" s="80">
        <v>37956</v>
      </c>
      <c r="AL122" s="80">
        <v>37987</v>
      </c>
      <c r="AM122" s="80">
        <v>38018</v>
      </c>
      <c r="AN122" s="80">
        <v>38047</v>
      </c>
      <c r="AO122" s="80">
        <v>38078</v>
      </c>
      <c r="AP122" s="80">
        <v>38108</v>
      </c>
      <c r="AQ122" s="80">
        <v>38139</v>
      </c>
      <c r="AR122" s="80">
        <v>38169</v>
      </c>
      <c r="AS122" s="80">
        <v>38200</v>
      </c>
      <c r="AT122" s="80">
        <v>38231</v>
      </c>
      <c r="AU122" s="80">
        <v>38261</v>
      </c>
      <c r="AV122" s="80">
        <v>38292</v>
      </c>
      <c r="AW122" s="80">
        <v>38322</v>
      </c>
      <c r="AX122" s="80">
        <v>38353</v>
      </c>
      <c r="AY122" s="80">
        <v>38384</v>
      </c>
      <c r="AZ122" s="80">
        <v>38412</v>
      </c>
      <c r="BA122" s="80">
        <v>38443</v>
      </c>
      <c r="BB122" s="80">
        <v>38473</v>
      </c>
      <c r="BC122" s="80">
        <v>38504</v>
      </c>
      <c r="BD122" s="80">
        <v>38534</v>
      </c>
      <c r="BE122" s="80">
        <v>38565</v>
      </c>
      <c r="BF122" s="80">
        <v>38596</v>
      </c>
      <c r="BG122" s="80">
        <v>38626</v>
      </c>
      <c r="BH122" s="80">
        <v>38657</v>
      </c>
      <c r="BI122" s="80">
        <v>38687</v>
      </c>
      <c r="BJ122" s="80">
        <v>38718</v>
      </c>
      <c r="BK122" s="80">
        <v>38749</v>
      </c>
      <c r="BL122" s="80">
        <v>38777</v>
      </c>
      <c r="BM122" s="80">
        <v>38808</v>
      </c>
      <c r="BN122" s="80">
        <v>38838</v>
      </c>
      <c r="BO122" s="80">
        <v>38869</v>
      </c>
      <c r="BP122" s="80">
        <v>38899</v>
      </c>
      <c r="BQ122" s="80">
        <v>38930</v>
      </c>
      <c r="BR122" s="80">
        <v>38961</v>
      </c>
      <c r="BS122" s="80">
        <v>38991</v>
      </c>
      <c r="BT122" s="80">
        <v>39022</v>
      </c>
      <c r="BU122" s="80">
        <v>39052</v>
      </c>
      <c r="BV122" s="80">
        <v>39083</v>
      </c>
      <c r="BW122" s="80">
        <v>39114</v>
      </c>
      <c r="BX122" s="80">
        <v>39142</v>
      </c>
      <c r="BY122" s="80">
        <v>39173</v>
      </c>
      <c r="BZ122" s="80">
        <v>39203</v>
      </c>
      <c r="CA122" s="80">
        <v>39234</v>
      </c>
      <c r="CB122" s="80">
        <v>39264</v>
      </c>
      <c r="CC122" s="80">
        <v>39295</v>
      </c>
      <c r="CD122" s="80">
        <v>39326</v>
      </c>
      <c r="CE122" s="80">
        <v>39356</v>
      </c>
      <c r="CF122" s="169">
        <v>39387</v>
      </c>
      <c r="CG122" s="169">
        <v>39417</v>
      </c>
      <c r="CH122" s="169">
        <v>39448</v>
      </c>
      <c r="CI122" s="169">
        <v>39479</v>
      </c>
      <c r="CJ122" s="169">
        <v>39508</v>
      </c>
      <c r="CK122" s="169">
        <v>39539</v>
      </c>
      <c r="CL122" s="169">
        <v>39569</v>
      </c>
      <c r="CM122" s="169">
        <v>39600</v>
      </c>
      <c r="CN122" s="169">
        <v>39630</v>
      </c>
      <c r="CO122" s="169">
        <v>39661</v>
      </c>
      <c r="CP122" s="169">
        <v>39692</v>
      </c>
      <c r="CQ122" s="169">
        <v>39722</v>
      </c>
      <c r="CR122" s="169">
        <v>39753</v>
      </c>
      <c r="CS122" s="169">
        <v>39783</v>
      </c>
      <c r="CT122" s="169">
        <v>39814</v>
      </c>
      <c r="CU122" s="169">
        <v>39845</v>
      </c>
      <c r="CV122" s="169">
        <v>39873</v>
      </c>
      <c r="CW122" s="169">
        <v>39904</v>
      </c>
      <c r="CX122" s="169">
        <v>39934</v>
      </c>
      <c r="CY122" s="169">
        <v>39965</v>
      </c>
      <c r="CZ122" s="169">
        <v>39995</v>
      </c>
      <c r="DA122" s="169">
        <v>40026</v>
      </c>
      <c r="DB122" s="169">
        <v>40057</v>
      </c>
      <c r="DC122" s="169">
        <v>40087</v>
      </c>
      <c r="DD122" s="169">
        <v>40118</v>
      </c>
      <c r="DE122" s="169">
        <v>40148</v>
      </c>
      <c r="DF122" s="169">
        <v>40179</v>
      </c>
      <c r="DG122" s="169">
        <v>40210</v>
      </c>
      <c r="DH122" s="169">
        <v>40238</v>
      </c>
      <c r="DI122" s="169">
        <v>40269</v>
      </c>
      <c r="DJ122" s="169">
        <v>40299</v>
      </c>
      <c r="DK122" s="169">
        <v>40330</v>
      </c>
      <c r="DL122" s="169">
        <v>40360</v>
      </c>
      <c r="DM122" s="169">
        <v>40391</v>
      </c>
      <c r="DN122" s="169">
        <v>40422</v>
      </c>
      <c r="DO122" s="169">
        <v>40452</v>
      </c>
      <c r="DP122" s="169">
        <v>40483</v>
      </c>
      <c r="DQ122" s="169">
        <v>40513</v>
      </c>
      <c r="DR122" s="169">
        <v>40544</v>
      </c>
      <c r="DS122" s="169">
        <v>40575</v>
      </c>
      <c r="DT122" s="169">
        <v>40603</v>
      </c>
      <c r="DU122" s="169">
        <v>40634</v>
      </c>
      <c r="DV122" s="169">
        <v>40664</v>
      </c>
      <c r="DW122" s="169">
        <v>40695</v>
      </c>
      <c r="DX122" s="169">
        <v>40725</v>
      </c>
      <c r="DY122" s="169">
        <v>40756</v>
      </c>
      <c r="DZ122" s="169">
        <v>40787</v>
      </c>
      <c r="EA122" s="169">
        <v>40817</v>
      </c>
      <c r="EB122" s="169">
        <v>40848</v>
      </c>
      <c r="EC122" s="169">
        <v>40878</v>
      </c>
      <c r="ED122" s="169">
        <v>40909</v>
      </c>
      <c r="EE122" s="169">
        <v>40940</v>
      </c>
      <c r="EF122" s="169">
        <v>40969</v>
      </c>
      <c r="EG122" s="169">
        <v>41000</v>
      </c>
      <c r="EH122" s="169">
        <v>41030</v>
      </c>
      <c r="EI122" s="169">
        <v>41061</v>
      </c>
      <c r="EJ122" s="169">
        <v>41091</v>
      </c>
      <c r="EK122" s="169">
        <v>41122</v>
      </c>
      <c r="EL122" s="169">
        <v>41153</v>
      </c>
      <c r="EM122" s="169">
        <v>41183</v>
      </c>
      <c r="EN122" s="169">
        <v>41214</v>
      </c>
      <c r="EO122" s="169">
        <v>41244</v>
      </c>
      <c r="EP122" s="169">
        <v>41275</v>
      </c>
      <c r="EQ122" s="169">
        <v>41306</v>
      </c>
      <c r="ER122" s="169">
        <v>41334</v>
      </c>
      <c r="ES122" s="169">
        <v>41365</v>
      </c>
      <c r="ET122" s="169">
        <v>41395</v>
      </c>
      <c r="EU122" s="169">
        <v>41426</v>
      </c>
      <c r="EV122" s="169">
        <v>41456</v>
      </c>
      <c r="EW122" s="169">
        <v>41487</v>
      </c>
      <c r="EX122" s="169">
        <v>41518</v>
      </c>
      <c r="EY122" s="169">
        <v>41548</v>
      </c>
      <c r="EZ122" s="169">
        <v>41579</v>
      </c>
      <c r="FA122" s="169">
        <v>41609</v>
      </c>
      <c r="FB122" s="169">
        <v>41640</v>
      </c>
      <c r="FC122" s="169">
        <v>41671</v>
      </c>
      <c r="FD122" s="169">
        <v>41699</v>
      </c>
      <c r="FE122" s="169">
        <v>41730</v>
      </c>
      <c r="FF122" s="169">
        <v>41760</v>
      </c>
      <c r="FG122" s="169">
        <v>41791</v>
      </c>
      <c r="FH122" s="169">
        <v>41821</v>
      </c>
      <c r="FI122" s="169">
        <v>41852</v>
      </c>
      <c r="FJ122" s="169">
        <v>41883</v>
      </c>
      <c r="FK122" s="169">
        <v>41913</v>
      </c>
      <c r="FL122" s="169">
        <v>41944</v>
      </c>
      <c r="FM122" s="169">
        <v>41974</v>
      </c>
      <c r="FN122" s="169">
        <v>42005</v>
      </c>
      <c r="FO122" s="169">
        <v>42036</v>
      </c>
      <c r="FP122" s="169">
        <v>42064</v>
      </c>
      <c r="FQ122" s="169">
        <v>42095</v>
      </c>
      <c r="FR122" s="169">
        <v>42125</v>
      </c>
      <c r="FS122" s="169">
        <v>42156</v>
      </c>
      <c r="FT122" s="169">
        <v>42186</v>
      </c>
      <c r="FU122" s="169">
        <v>42217</v>
      </c>
      <c r="FV122" s="169">
        <v>42248</v>
      </c>
      <c r="FW122" s="169">
        <v>42278</v>
      </c>
      <c r="FX122" s="169">
        <v>42309</v>
      </c>
      <c r="FY122" s="169">
        <v>42339</v>
      </c>
      <c r="FZ122" s="169">
        <v>42370</v>
      </c>
      <c r="GA122" s="169">
        <v>42401</v>
      </c>
      <c r="GB122" s="169">
        <v>42430</v>
      </c>
      <c r="GC122" s="169">
        <v>42461</v>
      </c>
      <c r="GD122" s="169">
        <v>42491</v>
      </c>
      <c r="GE122" s="169">
        <v>42522</v>
      </c>
      <c r="GF122" s="169">
        <v>42552</v>
      </c>
      <c r="GG122" s="169">
        <v>42583</v>
      </c>
      <c r="GH122" s="169">
        <v>42614</v>
      </c>
      <c r="GI122" s="169">
        <v>42644</v>
      </c>
      <c r="GJ122" s="169">
        <v>42675</v>
      </c>
      <c r="GK122" s="169">
        <v>42705</v>
      </c>
      <c r="GL122" s="169">
        <v>42736</v>
      </c>
      <c r="GM122" s="169">
        <v>42767</v>
      </c>
      <c r="GN122" s="169">
        <v>42795</v>
      </c>
      <c r="GO122" s="169">
        <v>42826</v>
      </c>
      <c r="GP122" s="169">
        <v>42856</v>
      </c>
      <c r="GQ122" s="169">
        <v>42887</v>
      </c>
      <c r="GR122" s="169">
        <v>42917</v>
      </c>
      <c r="GS122" s="169">
        <v>42948</v>
      </c>
      <c r="GT122" s="169">
        <v>42979</v>
      </c>
      <c r="GU122" s="169">
        <v>43009</v>
      </c>
      <c r="GV122" s="169">
        <v>43040</v>
      </c>
      <c r="GW122" s="169">
        <v>43070</v>
      </c>
      <c r="GX122" s="169">
        <v>43101</v>
      </c>
      <c r="GY122" s="169">
        <v>43132</v>
      </c>
      <c r="GZ122" s="169">
        <v>43160</v>
      </c>
      <c r="HA122" s="169">
        <v>43191</v>
      </c>
      <c r="HB122" s="169">
        <v>43221</v>
      </c>
      <c r="HC122" s="169">
        <v>43252</v>
      </c>
      <c r="HD122" s="169">
        <v>43282</v>
      </c>
      <c r="HE122" s="169">
        <v>43313</v>
      </c>
      <c r="HF122" s="169">
        <v>43344</v>
      </c>
      <c r="HG122" s="169">
        <v>43374</v>
      </c>
      <c r="HH122" s="169">
        <v>43405</v>
      </c>
      <c r="HI122" s="169">
        <v>43435</v>
      </c>
      <c r="HJ122" s="169">
        <v>43466</v>
      </c>
      <c r="HK122" s="169">
        <v>43497</v>
      </c>
      <c r="HL122" s="169">
        <v>43525</v>
      </c>
      <c r="HM122" s="169">
        <v>43556</v>
      </c>
      <c r="HN122" s="169">
        <v>43586</v>
      </c>
      <c r="HO122" s="169">
        <v>43617</v>
      </c>
      <c r="HP122" s="169">
        <v>43647</v>
      </c>
      <c r="HQ122" s="169">
        <v>43678</v>
      </c>
      <c r="HR122" s="169">
        <v>43709</v>
      </c>
      <c r="HS122" s="169">
        <v>43739</v>
      </c>
      <c r="HT122" s="169">
        <v>43770</v>
      </c>
      <c r="HU122" s="169">
        <v>43800</v>
      </c>
      <c r="HV122" s="169">
        <v>43831</v>
      </c>
      <c r="HW122" s="169">
        <v>43862</v>
      </c>
      <c r="HX122" s="169">
        <v>43891</v>
      </c>
      <c r="HY122" s="169">
        <v>43922</v>
      </c>
      <c r="HZ122" s="169">
        <v>43952</v>
      </c>
      <c r="IA122" s="169">
        <v>43983</v>
      </c>
      <c r="IB122" s="169">
        <v>44013</v>
      </c>
      <c r="IC122" s="169">
        <v>44044</v>
      </c>
      <c r="ID122" s="169">
        <v>44075</v>
      </c>
      <c r="IE122" s="169">
        <v>44105</v>
      </c>
      <c r="IF122" s="169">
        <v>44136</v>
      </c>
      <c r="IG122" s="169">
        <v>44166</v>
      </c>
      <c r="IH122" s="169">
        <v>44197</v>
      </c>
      <c r="II122" s="169">
        <v>44228</v>
      </c>
      <c r="IJ122" s="169">
        <v>44256</v>
      </c>
      <c r="IK122" s="169">
        <v>44287</v>
      </c>
      <c r="IL122" s="169">
        <v>44317</v>
      </c>
      <c r="IM122" s="169">
        <v>44348</v>
      </c>
      <c r="IN122" s="199">
        <v>44378</v>
      </c>
    </row>
    <row r="123" spans="1:248">
      <c r="A123" s="81" t="s">
        <v>1030</v>
      </c>
      <c r="B123" s="284">
        <v>6261</v>
      </c>
      <c r="C123" s="284">
        <v>5996</v>
      </c>
      <c r="D123" s="284">
        <v>6288</v>
      </c>
      <c r="E123" s="284">
        <v>6127</v>
      </c>
      <c r="F123" s="284">
        <v>6190</v>
      </c>
      <c r="G123" s="284">
        <v>6506</v>
      </c>
      <c r="H123" s="284">
        <v>6541</v>
      </c>
      <c r="I123" s="284">
        <v>6381</v>
      </c>
      <c r="J123" s="284">
        <v>6304</v>
      </c>
      <c r="K123" s="284">
        <v>6353</v>
      </c>
      <c r="L123" s="284">
        <v>6297</v>
      </c>
      <c r="M123" s="284">
        <v>7146</v>
      </c>
      <c r="N123" s="284">
        <v>6210</v>
      </c>
      <c r="O123" s="284">
        <v>6343</v>
      </c>
      <c r="P123" s="284">
        <v>6345</v>
      </c>
      <c r="Q123" s="284">
        <v>6422</v>
      </c>
      <c r="R123" s="284">
        <v>6497</v>
      </c>
      <c r="S123" s="284">
        <v>6485</v>
      </c>
      <c r="T123" s="284">
        <v>6748</v>
      </c>
      <c r="U123" s="284">
        <v>6441</v>
      </c>
      <c r="V123" s="284">
        <v>6410</v>
      </c>
      <c r="W123" s="284">
        <v>6604</v>
      </c>
      <c r="X123" s="284">
        <v>6554</v>
      </c>
      <c r="Y123" s="284">
        <v>6550</v>
      </c>
      <c r="Z123" s="284">
        <v>6787</v>
      </c>
      <c r="AA123" s="284">
        <v>6669</v>
      </c>
      <c r="AB123" s="284">
        <v>6652</v>
      </c>
      <c r="AC123" s="284">
        <v>6749</v>
      </c>
      <c r="AD123" s="284">
        <v>6586</v>
      </c>
      <c r="AE123" s="284">
        <v>6774</v>
      </c>
      <c r="AF123" s="284">
        <v>6852</v>
      </c>
      <c r="AG123" s="284">
        <v>7030</v>
      </c>
      <c r="AH123" s="284">
        <v>6603</v>
      </c>
      <c r="AI123" s="284">
        <v>7028</v>
      </c>
      <c r="AJ123" s="284">
        <v>7012</v>
      </c>
      <c r="AK123" s="284">
        <v>6848</v>
      </c>
      <c r="AL123" s="284">
        <v>6694</v>
      </c>
      <c r="AM123" s="284">
        <v>6842</v>
      </c>
      <c r="AN123" s="284">
        <v>7211</v>
      </c>
      <c r="AO123" s="284">
        <v>6931</v>
      </c>
      <c r="AP123" s="284">
        <v>7109</v>
      </c>
      <c r="AQ123" s="284">
        <v>7302</v>
      </c>
      <c r="AR123" s="284">
        <v>7628</v>
      </c>
      <c r="AS123" s="284">
        <v>7615</v>
      </c>
      <c r="AT123" s="284">
        <v>7493</v>
      </c>
      <c r="AU123" s="284">
        <v>7543</v>
      </c>
      <c r="AV123" s="284">
        <v>7833</v>
      </c>
      <c r="AW123" s="284">
        <v>8591</v>
      </c>
      <c r="AX123" s="284">
        <v>8222</v>
      </c>
      <c r="AY123" s="284">
        <v>8429</v>
      </c>
      <c r="AZ123" s="284">
        <v>9195</v>
      </c>
      <c r="BA123" s="284">
        <v>9627</v>
      </c>
      <c r="BB123" s="284">
        <v>9803</v>
      </c>
      <c r="BC123" s="284">
        <v>9575</v>
      </c>
      <c r="BD123" s="284">
        <v>9862</v>
      </c>
      <c r="BE123" s="284">
        <v>9964</v>
      </c>
      <c r="BF123" s="284">
        <v>10106</v>
      </c>
      <c r="BG123" s="284">
        <v>10148</v>
      </c>
      <c r="BH123" s="284">
        <v>10435</v>
      </c>
      <c r="BI123" s="284">
        <v>10091</v>
      </c>
      <c r="BJ123" s="284">
        <v>9069</v>
      </c>
      <c r="BK123" s="284">
        <v>9984</v>
      </c>
      <c r="BL123" s="284">
        <v>10443</v>
      </c>
      <c r="BM123" s="284">
        <v>8302</v>
      </c>
      <c r="BN123" s="284">
        <v>9930</v>
      </c>
      <c r="BO123" s="284">
        <v>8755</v>
      </c>
      <c r="BP123" s="284">
        <v>8479</v>
      </c>
      <c r="BQ123" s="284">
        <v>8579</v>
      </c>
      <c r="BR123" s="284">
        <v>8248</v>
      </c>
      <c r="BS123" s="284">
        <v>8323</v>
      </c>
      <c r="BT123" s="284">
        <v>8550</v>
      </c>
      <c r="BU123" s="284">
        <v>8329</v>
      </c>
      <c r="BV123" s="284">
        <v>8312</v>
      </c>
      <c r="BW123" s="284">
        <v>8854</v>
      </c>
      <c r="BX123" s="284">
        <v>8746</v>
      </c>
      <c r="BY123" s="284">
        <v>8060</v>
      </c>
      <c r="BZ123" s="284">
        <v>8712</v>
      </c>
      <c r="CA123" s="284">
        <v>8552</v>
      </c>
      <c r="CB123" s="284">
        <v>8543</v>
      </c>
      <c r="CC123" s="284">
        <v>8613</v>
      </c>
      <c r="CD123" s="284">
        <v>8001</v>
      </c>
      <c r="CE123" s="284">
        <v>8650</v>
      </c>
      <c r="CF123" s="284">
        <v>8373</v>
      </c>
      <c r="CG123" s="284">
        <v>8197</v>
      </c>
      <c r="CH123" s="284">
        <v>8468</v>
      </c>
      <c r="CI123" s="284">
        <v>8539</v>
      </c>
      <c r="CJ123" s="284">
        <v>7926</v>
      </c>
      <c r="CK123" s="284">
        <v>7952</v>
      </c>
      <c r="CL123" s="284">
        <v>7889</v>
      </c>
      <c r="CM123" s="284">
        <v>8062</v>
      </c>
      <c r="CN123" s="284">
        <v>7996</v>
      </c>
      <c r="CO123" s="284">
        <v>7991</v>
      </c>
      <c r="CP123" s="284">
        <v>8085</v>
      </c>
      <c r="CQ123" s="284">
        <v>8267</v>
      </c>
      <c r="CR123" s="284">
        <v>8234</v>
      </c>
      <c r="CS123" s="284">
        <v>7963</v>
      </c>
      <c r="CT123" s="284">
        <v>8007</v>
      </c>
      <c r="CU123" s="284">
        <v>8782</v>
      </c>
      <c r="CV123" s="284">
        <v>8310</v>
      </c>
      <c r="CW123" s="284">
        <v>8040</v>
      </c>
      <c r="CX123" s="284">
        <v>8083</v>
      </c>
      <c r="CY123" s="284">
        <v>8087</v>
      </c>
      <c r="CZ123" s="284">
        <v>8290</v>
      </c>
      <c r="DA123" s="284">
        <v>8141</v>
      </c>
      <c r="DB123" s="284">
        <v>8612</v>
      </c>
      <c r="DC123" s="284">
        <v>8509</v>
      </c>
      <c r="DD123" s="284">
        <v>9002</v>
      </c>
      <c r="DE123" s="284">
        <v>8459</v>
      </c>
      <c r="DF123" s="284">
        <v>8733</v>
      </c>
      <c r="DG123" s="284">
        <v>9108</v>
      </c>
      <c r="DH123" s="284">
        <v>9146</v>
      </c>
      <c r="DI123" s="284">
        <v>8610</v>
      </c>
      <c r="DJ123" s="284">
        <v>9884</v>
      </c>
      <c r="DK123" s="284">
        <v>9346</v>
      </c>
      <c r="DL123" s="284">
        <v>9696</v>
      </c>
      <c r="DM123" s="284">
        <v>9766</v>
      </c>
      <c r="DN123" s="284">
        <v>9993</v>
      </c>
      <c r="DO123" s="284">
        <v>10358</v>
      </c>
      <c r="DP123" s="284">
        <v>11127</v>
      </c>
      <c r="DQ123" s="284">
        <v>10039</v>
      </c>
      <c r="DR123" s="284">
        <v>10150</v>
      </c>
      <c r="DS123" s="284">
        <v>11926</v>
      </c>
      <c r="DT123" s="284">
        <v>11951</v>
      </c>
      <c r="DU123" s="284">
        <v>10827</v>
      </c>
      <c r="DV123" s="284">
        <v>12034</v>
      </c>
      <c r="DW123" s="284">
        <v>11824</v>
      </c>
      <c r="DX123" s="284">
        <v>11579</v>
      </c>
      <c r="DY123" s="284">
        <v>11568</v>
      </c>
      <c r="DZ123" s="284">
        <v>11123</v>
      </c>
      <c r="EA123" s="284">
        <v>11301</v>
      </c>
      <c r="EB123" s="284">
        <v>11267</v>
      </c>
      <c r="EC123" s="284">
        <v>9928</v>
      </c>
      <c r="ED123" s="284">
        <v>9686</v>
      </c>
      <c r="EE123" s="284">
        <v>9833</v>
      </c>
      <c r="EF123" s="284">
        <v>10296</v>
      </c>
      <c r="EG123" s="284">
        <v>9663</v>
      </c>
      <c r="EH123" s="284">
        <v>8362</v>
      </c>
      <c r="EI123" s="284">
        <v>7264</v>
      </c>
      <c r="EJ123" s="284">
        <v>7731</v>
      </c>
      <c r="EK123" s="284">
        <v>7533</v>
      </c>
      <c r="EL123" s="284">
        <v>7183</v>
      </c>
      <c r="EM123" s="284">
        <v>7299</v>
      </c>
      <c r="EN123" s="284">
        <v>7522</v>
      </c>
      <c r="EO123" s="284">
        <v>7111</v>
      </c>
      <c r="EP123" s="284">
        <v>7201</v>
      </c>
      <c r="EQ123" s="284">
        <v>7629</v>
      </c>
      <c r="ER123" s="284">
        <v>7369</v>
      </c>
      <c r="ES123" s="284">
        <v>7465</v>
      </c>
      <c r="ET123" s="284">
        <v>7471</v>
      </c>
      <c r="EU123" s="284">
        <v>7185</v>
      </c>
      <c r="EV123" s="284">
        <v>7549</v>
      </c>
      <c r="EW123" s="284">
        <v>7214</v>
      </c>
      <c r="EX123" s="284">
        <v>7069</v>
      </c>
      <c r="EY123" s="284">
        <v>7513</v>
      </c>
      <c r="EZ123" s="284">
        <v>7478</v>
      </c>
      <c r="FA123" s="284">
        <v>7131</v>
      </c>
      <c r="FB123" s="284">
        <v>7279</v>
      </c>
      <c r="FC123" s="284">
        <v>7774</v>
      </c>
      <c r="FD123" s="284">
        <v>7616</v>
      </c>
      <c r="FE123" s="284">
        <v>7409</v>
      </c>
      <c r="FF123" s="284">
        <v>7435</v>
      </c>
      <c r="FG123" s="284">
        <v>7426</v>
      </c>
      <c r="FH123" s="284">
        <v>7452</v>
      </c>
      <c r="FI123" s="284">
        <v>7194</v>
      </c>
      <c r="FJ123" s="284">
        <v>7279</v>
      </c>
      <c r="FK123" s="284">
        <v>7508</v>
      </c>
      <c r="FL123" s="284">
        <v>7568</v>
      </c>
      <c r="FM123" s="284">
        <v>7500</v>
      </c>
      <c r="FN123" s="284">
        <v>7241</v>
      </c>
      <c r="FO123" s="284">
        <v>7736</v>
      </c>
      <c r="FP123" s="284">
        <v>7613</v>
      </c>
      <c r="FQ123" s="284">
        <v>7461</v>
      </c>
      <c r="FR123" s="284">
        <v>7636</v>
      </c>
      <c r="FS123" s="284">
        <v>7588</v>
      </c>
      <c r="FT123" s="284">
        <v>7985</v>
      </c>
      <c r="FU123" s="284">
        <v>7625</v>
      </c>
      <c r="FV123" s="284">
        <v>7810</v>
      </c>
      <c r="FW123" s="284">
        <v>7469</v>
      </c>
      <c r="FX123" s="284">
        <v>7931</v>
      </c>
      <c r="FY123" s="284">
        <v>7063</v>
      </c>
      <c r="FZ123" s="284">
        <v>6940</v>
      </c>
      <c r="GA123" s="284">
        <v>7245</v>
      </c>
      <c r="GB123" s="284">
        <v>6586</v>
      </c>
      <c r="GC123" s="284">
        <v>6624</v>
      </c>
      <c r="GD123" s="284">
        <v>6894</v>
      </c>
      <c r="GE123" s="284">
        <v>6638</v>
      </c>
      <c r="GF123" s="284">
        <v>6554</v>
      </c>
      <c r="GG123" s="284">
        <v>6735</v>
      </c>
      <c r="GH123" s="284">
        <v>6251</v>
      </c>
      <c r="GI123" s="284">
        <v>6816</v>
      </c>
      <c r="GJ123" s="284">
        <v>6669</v>
      </c>
      <c r="GK123" s="284">
        <v>6674</v>
      </c>
      <c r="GL123" s="284">
        <v>6480</v>
      </c>
      <c r="GM123" s="284">
        <v>6937</v>
      </c>
      <c r="GN123" s="284">
        <v>6827</v>
      </c>
      <c r="GO123" s="284">
        <v>6269</v>
      </c>
      <c r="GP123" s="284">
        <v>6858</v>
      </c>
      <c r="GQ123" s="284">
        <v>6667</v>
      </c>
      <c r="GR123" s="284">
        <v>6578</v>
      </c>
      <c r="GS123" s="284">
        <v>6625</v>
      </c>
      <c r="GT123" s="284">
        <v>6572</v>
      </c>
      <c r="GU123" s="284">
        <v>6871</v>
      </c>
      <c r="GV123" s="284">
        <v>7080</v>
      </c>
      <c r="GW123" s="284">
        <v>6498</v>
      </c>
      <c r="GX123" s="284">
        <v>6817</v>
      </c>
      <c r="GY123" s="284">
        <v>7346</v>
      </c>
      <c r="GZ123" s="284">
        <v>6921</v>
      </c>
      <c r="HA123" s="284">
        <v>6815</v>
      </c>
      <c r="HB123" s="284">
        <v>7169</v>
      </c>
      <c r="HC123" s="284">
        <v>6903</v>
      </c>
      <c r="HD123" s="284">
        <v>6964</v>
      </c>
      <c r="HE123" s="284">
        <v>6707</v>
      </c>
      <c r="HF123" s="284">
        <v>6984</v>
      </c>
      <c r="HG123" s="284">
        <v>7393</v>
      </c>
      <c r="HH123" s="284">
        <v>7488</v>
      </c>
      <c r="HI123" s="284">
        <v>7083</v>
      </c>
      <c r="HJ123" s="284">
        <v>7469</v>
      </c>
      <c r="HK123" s="284">
        <v>7544</v>
      </c>
      <c r="HL123" s="284">
        <v>7983</v>
      </c>
      <c r="HM123" s="284">
        <v>7385</v>
      </c>
      <c r="HN123" s="284">
        <v>7637</v>
      </c>
      <c r="HO123" s="284">
        <v>7324</v>
      </c>
      <c r="HP123" s="284">
        <v>7306</v>
      </c>
      <c r="HQ123" s="284">
        <v>7348</v>
      </c>
      <c r="HR123" s="284">
        <v>7316</v>
      </c>
      <c r="HS123" s="284">
        <v>7346</v>
      </c>
      <c r="HT123" s="284">
        <v>7195</v>
      </c>
      <c r="HU123" s="284">
        <v>6760</v>
      </c>
      <c r="HV123" s="284">
        <v>9779</v>
      </c>
      <c r="HW123" s="284">
        <v>10457</v>
      </c>
      <c r="HX123" s="284">
        <v>10142</v>
      </c>
      <c r="HY123" s="284">
        <v>8861</v>
      </c>
      <c r="HZ123" s="284">
        <v>9110</v>
      </c>
      <c r="IA123" s="284">
        <v>9589</v>
      </c>
      <c r="IB123" s="284">
        <v>10143</v>
      </c>
      <c r="IC123" s="284">
        <v>10324</v>
      </c>
      <c r="ID123" s="284">
        <v>10114</v>
      </c>
      <c r="IE123" s="284">
        <v>10781</v>
      </c>
      <c r="IF123" s="284">
        <v>10146</v>
      </c>
      <c r="IG123" s="284">
        <v>9606</v>
      </c>
      <c r="IH123" s="284">
        <v>9731</v>
      </c>
      <c r="II123" s="284">
        <v>10233</v>
      </c>
      <c r="IJ123" s="284">
        <v>10191</v>
      </c>
      <c r="IK123" s="284">
        <v>10243</v>
      </c>
      <c r="IL123" s="284">
        <v>9622</v>
      </c>
      <c r="IM123" s="850">
        <v>9808</v>
      </c>
      <c r="IN123" s="168"/>
    </row>
    <row r="124" spans="1:248">
      <c r="A124" s="81" t="s">
        <v>189</v>
      </c>
      <c r="B124" s="285">
        <v>1116</v>
      </c>
      <c r="C124" s="285">
        <v>1074</v>
      </c>
      <c r="D124" s="285">
        <v>1044</v>
      </c>
      <c r="E124" s="285">
        <v>1085</v>
      </c>
      <c r="F124" s="285">
        <v>1111</v>
      </c>
      <c r="G124" s="285">
        <v>1122</v>
      </c>
      <c r="H124" s="285">
        <v>1161</v>
      </c>
      <c r="I124" s="285">
        <v>1140</v>
      </c>
      <c r="J124" s="285">
        <v>1129</v>
      </c>
      <c r="K124" s="285">
        <v>1121</v>
      </c>
      <c r="L124" s="285">
        <v>1134</v>
      </c>
      <c r="M124" s="285">
        <v>997</v>
      </c>
      <c r="N124" s="285">
        <v>1007</v>
      </c>
      <c r="O124" s="285">
        <v>1049</v>
      </c>
      <c r="P124" s="285">
        <v>992</v>
      </c>
      <c r="Q124" s="285">
        <v>1066</v>
      </c>
      <c r="R124" s="285">
        <v>1133</v>
      </c>
      <c r="S124" s="285">
        <v>1071</v>
      </c>
      <c r="T124" s="285">
        <v>1072</v>
      </c>
      <c r="U124" s="285">
        <v>989</v>
      </c>
      <c r="V124" s="285">
        <v>1029</v>
      </c>
      <c r="W124" s="285">
        <v>1171</v>
      </c>
      <c r="X124" s="285">
        <v>1264</v>
      </c>
      <c r="Y124" s="285">
        <v>1228</v>
      </c>
      <c r="Z124" s="285">
        <v>1187</v>
      </c>
      <c r="AA124" s="285">
        <v>1154</v>
      </c>
      <c r="AB124" s="285">
        <v>1190</v>
      </c>
      <c r="AC124" s="285">
        <v>1159</v>
      </c>
      <c r="AD124" s="285">
        <v>1194</v>
      </c>
      <c r="AE124" s="285">
        <v>1121</v>
      </c>
      <c r="AF124" s="285">
        <v>1212</v>
      </c>
      <c r="AG124" s="285">
        <v>1176</v>
      </c>
      <c r="AH124" s="285">
        <v>1193</v>
      </c>
      <c r="AI124" s="285">
        <v>1140</v>
      </c>
      <c r="AJ124" s="285">
        <v>759</v>
      </c>
      <c r="AK124" s="285">
        <v>708</v>
      </c>
      <c r="AL124" s="285">
        <v>724</v>
      </c>
      <c r="AM124" s="285">
        <v>768</v>
      </c>
      <c r="AN124" s="285">
        <v>718</v>
      </c>
      <c r="AO124" s="285">
        <v>725</v>
      </c>
      <c r="AP124" s="285">
        <v>916</v>
      </c>
      <c r="AQ124" s="285">
        <v>933</v>
      </c>
      <c r="AR124" s="285">
        <v>857</v>
      </c>
      <c r="AS124" s="285">
        <v>1019</v>
      </c>
      <c r="AT124" s="285">
        <v>1064</v>
      </c>
      <c r="AU124" s="285">
        <v>1033</v>
      </c>
      <c r="AV124" s="285">
        <v>1116</v>
      </c>
      <c r="AW124" s="285">
        <v>1150</v>
      </c>
      <c r="AX124" s="285">
        <v>1010</v>
      </c>
      <c r="AY124" s="285">
        <v>1335</v>
      </c>
      <c r="AZ124" s="285">
        <v>1108</v>
      </c>
      <c r="BA124" s="285">
        <v>1142</v>
      </c>
      <c r="BB124" s="285">
        <v>1163</v>
      </c>
      <c r="BC124" s="285">
        <v>1350</v>
      </c>
      <c r="BD124" s="285">
        <v>1561</v>
      </c>
      <c r="BE124" s="285">
        <v>1717</v>
      </c>
      <c r="BF124" s="285">
        <v>1786</v>
      </c>
      <c r="BG124" s="285">
        <v>1918</v>
      </c>
      <c r="BH124" s="285">
        <v>1900</v>
      </c>
      <c r="BI124" s="285">
        <v>2008</v>
      </c>
      <c r="BJ124" s="285">
        <v>2059</v>
      </c>
      <c r="BK124" s="285">
        <v>1871</v>
      </c>
      <c r="BL124" s="285">
        <v>1940</v>
      </c>
      <c r="BM124" s="285">
        <v>1823</v>
      </c>
      <c r="BN124" s="285">
        <v>1992</v>
      </c>
      <c r="BO124" s="285">
        <v>1998</v>
      </c>
      <c r="BP124" s="285">
        <v>1973</v>
      </c>
      <c r="BQ124" s="285">
        <v>2056</v>
      </c>
      <c r="BR124" s="285">
        <v>2259</v>
      </c>
      <c r="BS124" s="285">
        <v>2185</v>
      </c>
      <c r="BT124" s="285">
        <v>2232</v>
      </c>
      <c r="BU124" s="285">
        <v>1871</v>
      </c>
      <c r="BV124" s="285">
        <v>1987</v>
      </c>
      <c r="BW124" s="285">
        <v>2034</v>
      </c>
      <c r="BX124" s="285">
        <v>2225</v>
      </c>
      <c r="BY124" s="285">
        <v>2134</v>
      </c>
      <c r="BZ124" s="285">
        <v>2258</v>
      </c>
      <c r="CA124" s="285">
        <v>2253</v>
      </c>
      <c r="CB124" s="285">
        <v>2201</v>
      </c>
      <c r="CC124" s="285">
        <v>2509</v>
      </c>
      <c r="CD124" s="285">
        <v>2230</v>
      </c>
      <c r="CE124" s="285">
        <v>2322</v>
      </c>
      <c r="CF124" s="285">
        <v>2406</v>
      </c>
      <c r="CG124" s="285">
        <v>2328</v>
      </c>
      <c r="CH124" s="285">
        <v>2356</v>
      </c>
      <c r="CI124" s="285">
        <v>2387</v>
      </c>
      <c r="CJ124" s="285">
        <v>2495</v>
      </c>
      <c r="CK124" s="285">
        <v>2525</v>
      </c>
      <c r="CL124" s="285">
        <v>2389</v>
      </c>
      <c r="CM124" s="285">
        <v>2439</v>
      </c>
      <c r="CN124" s="285">
        <v>2557</v>
      </c>
      <c r="CO124" s="285">
        <v>1937</v>
      </c>
      <c r="CP124" s="285">
        <v>2267</v>
      </c>
      <c r="CQ124" s="285">
        <v>2404</v>
      </c>
      <c r="CR124" s="285">
        <v>2315</v>
      </c>
      <c r="CS124" s="285">
        <v>2168</v>
      </c>
      <c r="CT124" s="285">
        <v>1834</v>
      </c>
      <c r="CU124" s="285">
        <v>1560</v>
      </c>
      <c r="CV124" s="285">
        <v>1511</v>
      </c>
      <c r="CW124" s="285">
        <v>1509</v>
      </c>
      <c r="CX124" s="285">
        <v>1554</v>
      </c>
      <c r="CY124" s="285">
        <v>1506</v>
      </c>
      <c r="CZ124" s="285">
        <v>1659</v>
      </c>
      <c r="DA124" s="285">
        <v>1573</v>
      </c>
      <c r="DB124" s="285">
        <v>1663</v>
      </c>
      <c r="DC124" s="285">
        <v>1801</v>
      </c>
      <c r="DD124" s="285">
        <v>1749</v>
      </c>
      <c r="DE124" s="285">
        <v>1801</v>
      </c>
      <c r="DF124" s="285">
        <v>1762</v>
      </c>
      <c r="DG124" s="285">
        <v>2063</v>
      </c>
      <c r="DH124" s="285">
        <v>2227</v>
      </c>
      <c r="DI124" s="285">
        <v>2265</v>
      </c>
      <c r="DJ124" s="285">
        <v>2279</v>
      </c>
      <c r="DK124" s="285">
        <v>2310</v>
      </c>
      <c r="DL124" s="285">
        <v>2289</v>
      </c>
      <c r="DM124" s="285">
        <v>2218</v>
      </c>
      <c r="DN124" s="285">
        <v>2420</v>
      </c>
      <c r="DO124" s="285">
        <v>2263</v>
      </c>
      <c r="DP124" s="285">
        <v>2135</v>
      </c>
      <c r="DQ124" s="285">
        <v>2179</v>
      </c>
      <c r="DR124" s="285">
        <v>2125</v>
      </c>
      <c r="DS124" s="285">
        <v>2179</v>
      </c>
      <c r="DT124" s="285">
        <v>2469</v>
      </c>
      <c r="DU124" s="285">
        <v>2418</v>
      </c>
      <c r="DV124" s="285">
        <v>2536</v>
      </c>
      <c r="DW124" s="285">
        <v>2558</v>
      </c>
      <c r="DX124" s="285">
        <v>2541</v>
      </c>
      <c r="DY124" s="285">
        <v>2772</v>
      </c>
      <c r="DZ124" s="285">
        <v>2851</v>
      </c>
      <c r="EA124" s="285">
        <v>2677</v>
      </c>
      <c r="EB124" s="285">
        <v>2940</v>
      </c>
      <c r="EC124" s="285">
        <v>2873</v>
      </c>
      <c r="ED124" s="285">
        <v>2989</v>
      </c>
      <c r="EE124" s="285">
        <v>2959</v>
      </c>
      <c r="EF124" s="285">
        <v>2988</v>
      </c>
      <c r="EG124" s="285">
        <v>3135</v>
      </c>
      <c r="EH124" s="285">
        <v>3064</v>
      </c>
      <c r="EI124" s="285">
        <v>3103</v>
      </c>
      <c r="EJ124" s="285">
        <v>3153</v>
      </c>
      <c r="EK124" s="285">
        <v>3221</v>
      </c>
      <c r="EL124" s="285">
        <v>3201</v>
      </c>
      <c r="EM124" s="285">
        <v>3072</v>
      </c>
      <c r="EN124" s="285">
        <v>2884</v>
      </c>
      <c r="EO124" s="285">
        <v>2705</v>
      </c>
      <c r="EP124" s="285">
        <v>2596</v>
      </c>
      <c r="EQ124" s="285">
        <v>2818</v>
      </c>
      <c r="ER124" s="285">
        <v>2946</v>
      </c>
      <c r="ES124" s="285">
        <v>2896</v>
      </c>
      <c r="ET124" s="285">
        <v>2833</v>
      </c>
      <c r="EU124" s="285">
        <v>2715</v>
      </c>
      <c r="EV124" s="285">
        <v>2963</v>
      </c>
      <c r="EW124" s="285">
        <v>2950</v>
      </c>
      <c r="EX124" s="285">
        <v>2736</v>
      </c>
      <c r="EY124" s="285">
        <v>2767</v>
      </c>
      <c r="EZ124" s="285">
        <v>2646</v>
      </c>
      <c r="FA124" s="285">
        <v>2788</v>
      </c>
      <c r="FB124" s="285">
        <v>2614</v>
      </c>
      <c r="FC124" s="285">
        <v>2729</v>
      </c>
      <c r="FD124" s="285">
        <v>2836</v>
      </c>
      <c r="FE124" s="285">
        <v>2264</v>
      </c>
      <c r="FF124" s="285">
        <v>2373</v>
      </c>
      <c r="FG124" s="285">
        <v>2124</v>
      </c>
      <c r="FH124" s="285">
        <v>2326</v>
      </c>
      <c r="FI124" s="285">
        <v>2642</v>
      </c>
      <c r="FJ124" s="285">
        <v>2528</v>
      </c>
      <c r="FK124" s="285">
        <v>2476</v>
      </c>
      <c r="FL124" s="285">
        <v>2619</v>
      </c>
      <c r="FM124" s="285">
        <v>2565</v>
      </c>
      <c r="FN124" s="285">
        <v>2509</v>
      </c>
      <c r="FO124" s="285">
        <v>2564</v>
      </c>
      <c r="FP124" s="285">
        <v>2533</v>
      </c>
      <c r="FQ124" s="285">
        <v>2597</v>
      </c>
      <c r="FR124" s="285">
        <v>2565</v>
      </c>
      <c r="FS124" s="285">
        <v>2452</v>
      </c>
      <c r="FT124" s="285">
        <v>2711</v>
      </c>
      <c r="FU124" s="285">
        <v>2493</v>
      </c>
      <c r="FV124" s="285">
        <v>2366</v>
      </c>
      <c r="FW124" s="285">
        <v>2509</v>
      </c>
      <c r="FX124" s="285">
        <v>2362</v>
      </c>
      <c r="FY124" s="285">
        <v>2326</v>
      </c>
      <c r="FZ124" s="285">
        <v>2364</v>
      </c>
      <c r="GA124" s="285">
        <v>2422</v>
      </c>
      <c r="GB124" s="285">
        <v>2337</v>
      </c>
      <c r="GC124" s="285">
        <v>1978</v>
      </c>
      <c r="GD124" s="285">
        <v>2254</v>
      </c>
      <c r="GE124" s="285">
        <v>2178</v>
      </c>
      <c r="GF124" s="285">
        <v>2194</v>
      </c>
      <c r="GG124" s="285">
        <v>2245</v>
      </c>
      <c r="GH124" s="285">
        <v>2315</v>
      </c>
      <c r="GI124" s="285">
        <v>2281</v>
      </c>
      <c r="GJ124" s="285">
        <v>1979</v>
      </c>
      <c r="GK124" s="285">
        <v>2265</v>
      </c>
      <c r="GL124" s="285">
        <v>2182</v>
      </c>
      <c r="GM124" s="285">
        <v>2255</v>
      </c>
      <c r="GN124" s="285">
        <v>2463</v>
      </c>
      <c r="GO124" s="285">
        <v>2227</v>
      </c>
      <c r="GP124" s="285">
        <v>2239</v>
      </c>
      <c r="GQ124" s="285">
        <v>2342</v>
      </c>
      <c r="GR124" s="285">
        <v>2505</v>
      </c>
      <c r="GS124" s="285">
        <v>2567</v>
      </c>
      <c r="GT124" s="285">
        <v>2479</v>
      </c>
      <c r="GU124" s="285">
        <v>2581</v>
      </c>
      <c r="GV124" s="285">
        <v>2735</v>
      </c>
      <c r="GW124" s="285">
        <v>2403</v>
      </c>
      <c r="GX124" s="285">
        <v>2537</v>
      </c>
      <c r="GY124" s="285">
        <v>2640</v>
      </c>
      <c r="GZ124" s="285">
        <v>2641</v>
      </c>
      <c r="HA124" s="285">
        <v>2314</v>
      </c>
      <c r="HB124" s="285">
        <v>2477</v>
      </c>
      <c r="HC124" s="285">
        <v>2625</v>
      </c>
      <c r="HD124" s="285">
        <v>2540</v>
      </c>
      <c r="HE124" s="285">
        <v>2680</v>
      </c>
      <c r="HF124" s="285">
        <v>2486</v>
      </c>
      <c r="HG124" s="285">
        <v>2643</v>
      </c>
      <c r="HH124" s="285">
        <v>2369</v>
      </c>
      <c r="HI124" s="285">
        <v>2413</v>
      </c>
      <c r="HJ124" s="285">
        <v>2607</v>
      </c>
      <c r="HK124" s="285">
        <v>2905</v>
      </c>
      <c r="HL124" s="285">
        <v>2595</v>
      </c>
      <c r="HM124" s="285">
        <v>2752</v>
      </c>
      <c r="HN124" s="285">
        <v>2876</v>
      </c>
      <c r="HO124" s="285">
        <v>2692</v>
      </c>
      <c r="HP124" s="286">
        <v>2853</v>
      </c>
      <c r="HQ124" s="286">
        <v>3212</v>
      </c>
      <c r="HR124" s="286">
        <v>2529</v>
      </c>
      <c r="HS124" s="286">
        <v>3166</v>
      </c>
      <c r="HT124" s="286">
        <v>3283</v>
      </c>
      <c r="HU124" s="286">
        <v>2717</v>
      </c>
      <c r="HV124" s="545">
        <v>2443</v>
      </c>
      <c r="HW124" s="545">
        <v>2430</v>
      </c>
      <c r="HX124" s="545">
        <v>2356</v>
      </c>
      <c r="HY124" s="545">
        <v>2147</v>
      </c>
      <c r="HZ124" s="545">
        <v>2268</v>
      </c>
      <c r="IA124" s="545">
        <v>2228</v>
      </c>
      <c r="IB124" s="545">
        <v>2257</v>
      </c>
      <c r="IC124" s="545">
        <v>2585</v>
      </c>
      <c r="ID124" s="545">
        <v>2182</v>
      </c>
      <c r="IE124" s="545">
        <v>2530</v>
      </c>
      <c r="IF124" s="545">
        <v>2358</v>
      </c>
      <c r="IG124" s="285">
        <v>2290</v>
      </c>
      <c r="IH124" s="545">
        <v>2186</v>
      </c>
      <c r="II124" s="545">
        <v>2391</v>
      </c>
      <c r="IJ124" s="545">
        <v>2136</v>
      </c>
      <c r="IK124" s="545">
        <v>2217</v>
      </c>
      <c r="IL124" s="545">
        <v>2432</v>
      </c>
      <c r="IM124" s="851">
        <v>2259</v>
      </c>
      <c r="IN124" s="168"/>
    </row>
    <row r="125" spans="1:248">
      <c r="A125" s="81" t="s">
        <v>146</v>
      </c>
      <c r="B125" s="284">
        <v>681</v>
      </c>
      <c r="C125" s="284">
        <v>704</v>
      </c>
      <c r="D125" s="284">
        <v>694</v>
      </c>
      <c r="E125" s="284">
        <v>671</v>
      </c>
      <c r="F125" s="284">
        <v>687</v>
      </c>
      <c r="G125" s="284">
        <v>680</v>
      </c>
      <c r="H125" s="284">
        <v>678</v>
      </c>
      <c r="I125" s="284">
        <v>698</v>
      </c>
      <c r="J125" s="284">
        <v>657</v>
      </c>
      <c r="K125" s="284">
        <v>655</v>
      </c>
      <c r="L125" s="284">
        <v>660</v>
      </c>
      <c r="M125" s="284">
        <v>653</v>
      </c>
      <c r="N125" s="284">
        <v>649</v>
      </c>
      <c r="O125" s="284">
        <v>646</v>
      </c>
      <c r="P125" s="284">
        <v>664</v>
      </c>
      <c r="Q125" s="284">
        <v>653</v>
      </c>
      <c r="R125" s="284">
        <v>656</v>
      </c>
      <c r="S125" s="284">
        <v>676</v>
      </c>
      <c r="T125" s="284">
        <v>654</v>
      </c>
      <c r="U125" s="284">
        <v>653</v>
      </c>
      <c r="V125" s="284">
        <v>653</v>
      </c>
      <c r="W125" s="284">
        <v>635</v>
      </c>
      <c r="X125" s="284">
        <v>628</v>
      </c>
      <c r="Y125" s="284">
        <v>618</v>
      </c>
      <c r="Z125" s="284">
        <v>630</v>
      </c>
      <c r="AA125" s="284">
        <v>624</v>
      </c>
      <c r="AB125" s="284">
        <v>632</v>
      </c>
      <c r="AC125" s="284">
        <v>638</v>
      </c>
      <c r="AD125" s="284">
        <v>658</v>
      </c>
      <c r="AE125" s="284">
        <v>656</v>
      </c>
      <c r="AF125" s="284">
        <v>639</v>
      </c>
      <c r="AG125" s="284">
        <v>640</v>
      </c>
      <c r="AH125" s="284">
        <v>642</v>
      </c>
      <c r="AI125" s="284">
        <v>637</v>
      </c>
      <c r="AJ125" s="284">
        <v>641</v>
      </c>
      <c r="AK125" s="284">
        <v>649</v>
      </c>
      <c r="AL125" s="284">
        <v>617</v>
      </c>
      <c r="AM125" s="284">
        <v>624</v>
      </c>
      <c r="AN125" s="284">
        <v>613</v>
      </c>
      <c r="AO125" s="284">
        <v>693</v>
      </c>
      <c r="AP125" s="284">
        <v>643</v>
      </c>
      <c r="AQ125" s="284">
        <v>651</v>
      </c>
      <c r="AR125" s="284">
        <v>741</v>
      </c>
      <c r="AS125" s="284">
        <v>647</v>
      </c>
      <c r="AT125" s="284">
        <v>649</v>
      </c>
      <c r="AU125" s="284">
        <v>618</v>
      </c>
      <c r="AV125" s="284">
        <v>638</v>
      </c>
      <c r="AW125" s="284">
        <v>674</v>
      </c>
      <c r="AX125" s="284">
        <v>711</v>
      </c>
      <c r="AY125" s="284">
        <v>731</v>
      </c>
      <c r="AZ125" s="284">
        <v>686</v>
      </c>
      <c r="BA125" s="284">
        <v>671</v>
      </c>
      <c r="BB125" s="284">
        <v>706</v>
      </c>
      <c r="BC125" s="284">
        <v>713</v>
      </c>
      <c r="BD125" s="284">
        <v>717</v>
      </c>
      <c r="BE125" s="284">
        <v>731</v>
      </c>
      <c r="BF125" s="284">
        <v>713</v>
      </c>
      <c r="BG125" s="284">
        <v>725</v>
      </c>
      <c r="BH125" s="284">
        <v>744</v>
      </c>
      <c r="BI125" s="284">
        <v>754</v>
      </c>
      <c r="BJ125" s="284">
        <v>754</v>
      </c>
      <c r="BK125" s="284">
        <v>772</v>
      </c>
      <c r="BL125" s="284">
        <v>779</v>
      </c>
      <c r="BM125" s="284">
        <v>776</v>
      </c>
      <c r="BN125" s="284">
        <v>775</v>
      </c>
      <c r="BO125" s="284">
        <v>767</v>
      </c>
      <c r="BP125" s="284">
        <v>766</v>
      </c>
      <c r="BQ125" s="284">
        <v>767</v>
      </c>
      <c r="BR125" s="284">
        <v>778</v>
      </c>
      <c r="BS125" s="284">
        <v>772</v>
      </c>
      <c r="BT125" s="284">
        <v>782</v>
      </c>
      <c r="BU125" s="284">
        <v>764</v>
      </c>
      <c r="BV125" s="284">
        <v>790</v>
      </c>
      <c r="BW125" s="284">
        <v>790</v>
      </c>
      <c r="BX125" s="284">
        <v>753</v>
      </c>
      <c r="BY125" s="284">
        <v>740</v>
      </c>
      <c r="BZ125" s="284">
        <v>736</v>
      </c>
      <c r="CA125" s="284">
        <v>819</v>
      </c>
      <c r="CB125" s="284">
        <v>842</v>
      </c>
      <c r="CC125" s="284">
        <v>845</v>
      </c>
      <c r="CD125" s="284">
        <v>843</v>
      </c>
      <c r="CE125" s="284">
        <v>764</v>
      </c>
      <c r="CF125" s="284">
        <v>1005</v>
      </c>
      <c r="CG125" s="284">
        <v>772</v>
      </c>
      <c r="CH125" s="284">
        <v>855</v>
      </c>
      <c r="CI125" s="284">
        <v>881</v>
      </c>
      <c r="CJ125" s="284">
        <v>858</v>
      </c>
      <c r="CK125" s="284">
        <v>869</v>
      </c>
      <c r="CL125" s="284">
        <v>910</v>
      </c>
      <c r="CM125" s="284">
        <v>876</v>
      </c>
      <c r="CN125" s="284">
        <v>917</v>
      </c>
      <c r="CO125" s="284">
        <v>933</v>
      </c>
      <c r="CP125" s="284">
        <v>926</v>
      </c>
      <c r="CQ125" s="284">
        <v>941</v>
      </c>
      <c r="CR125" s="284">
        <v>895</v>
      </c>
      <c r="CS125" s="284">
        <v>899</v>
      </c>
      <c r="CT125" s="284">
        <v>936</v>
      </c>
      <c r="CU125" s="284">
        <v>924</v>
      </c>
      <c r="CV125" s="284">
        <v>908</v>
      </c>
      <c r="CW125" s="284">
        <v>887</v>
      </c>
      <c r="CX125" s="284">
        <v>894</v>
      </c>
      <c r="CY125" s="284">
        <v>923</v>
      </c>
      <c r="CZ125" s="284">
        <v>887</v>
      </c>
      <c r="DA125" s="284">
        <v>886</v>
      </c>
      <c r="DB125" s="284">
        <v>908</v>
      </c>
      <c r="DC125" s="284">
        <v>933</v>
      </c>
      <c r="DD125" s="284">
        <v>971</v>
      </c>
      <c r="DE125" s="284">
        <v>1069</v>
      </c>
      <c r="DF125" s="284">
        <v>1063</v>
      </c>
      <c r="DG125" s="284">
        <v>1011</v>
      </c>
      <c r="DH125" s="284">
        <v>991</v>
      </c>
      <c r="DI125" s="284">
        <v>932</v>
      </c>
      <c r="DJ125" s="284">
        <v>946</v>
      </c>
      <c r="DK125" s="284">
        <v>1025</v>
      </c>
      <c r="DL125" s="284">
        <v>921</v>
      </c>
      <c r="DM125" s="284">
        <v>1165</v>
      </c>
      <c r="DN125" s="284">
        <v>1199</v>
      </c>
      <c r="DO125" s="284">
        <v>997</v>
      </c>
      <c r="DP125" s="284">
        <v>1013</v>
      </c>
      <c r="DQ125" s="284">
        <v>976</v>
      </c>
      <c r="DR125" s="284">
        <v>928</v>
      </c>
      <c r="DS125" s="284">
        <v>924</v>
      </c>
      <c r="DT125" s="284">
        <v>948</v>
      </c>
      <c r="DU125" s="284">
        <v>936</v>
      </c>
      <c r="DV125" s="284">
        <v>908</v>
      </c>
      <c r="DW125" s="284">
        <v>900</v>
      </c>
      <c r="DX125" s="284">
        <v>596</v>
      </c>
      <c r="DY125" s="284">
        <v>686</v>
      </c>
      <c r="DZ125" s="284">
        <v>720</v>
      </c>
      <c r="EA125" s="284">
        <v>698</v>
      </c>
      <c r="EB125" s="284">
        <v>687</v>
      </c>
      <c r="EC125" s="284">
        <v>665</v>
      </c>
      <c r="ED125" s="284">
        <v>655</v>
      </c>
      <c r="EE125" s="284">
        <v>682</v>
      </c>
      <c r="EF125" s="284">
        <v>433</v>
      </c>
      <c r="EG125" s="284">
        <v>399</v>
      </c>
      <c r="EH125" s="284">
        <v>436</v>
      </c>
      <c r="EI125" s="284">
        <v>412</v>
      </c>
      <c r="EJ125" s="284">
        <v>403</v>
      </c>
      <c r="EK125" s="284">
        <v>403</v>
      </c>
      <c r="EL125" s="284">
        <v>408</v>
      </c>
      <c r="EM125" s="284">
        <v>408</v>
      </c>
      <c r="EN125" s="284">
        <v>436</v>
      </c>
      <c r="EO125" s="284">
        <v>424</v>
      </c>
      <c r="EP125" s="284">
        <v>435</v>
      </c>
      <c r="EQ125" s="284">
        <v>454</v>
      </c>
      <c r="ER125" s="284">
        <v>428</v>
      </c>
      <c r="ES125" s="284">
        <v>396</v>
      </c>
      <c r="ET125" s="284">
        <v>416</v>
      </c>
      <c r="EU125" s="284">
        <v>404</v>
      </c>
      <c r="EV125" s="284">
        <v>395</v>
      </c>
      <c r="EW125" s="284">
        <v>416</v>
      </c>
      <c r="EX125" s="284">
        <v>397</v>
      </c>
      <c r="EY125" s="284">
        <v>370</v>
      </c>
      <c r="EZ125" s="284">
        <v>423</v>
      </c>
      <c r="FA125" s="284">
        <v>783</v>
      </c>
      <c r="FB125" s="284">
        <v>596</v>
      </c>
      <c r="FC125" s="284">
        <v>854</v>
      </c>
      <c r="FD125" s="284">
        <v>839</v>
      </c>
      <c r="FE125" s="284">
        <v>1094</v>
      </c>
      <c r="FF125" s="284">
        <v>828</v>
      </c>
      <c r="FG125" s="284">
        <v>666</v>
      </c>
      <c r="FH125" s="284">
        <v>1047</v>
      </c>
      <c r="FI125" s="284">
        <v>1023</v>
      </c>
      <c r="FJ125" s="284">
        <v>956</v>
      </c>
      <c r="FK125" s="284">
        <v>1206</v>
      </c>
      <c r="FL125" s="284">
        <v>908</v>
      </c>
      <c r="FM125" s="284">
        <v>742</v>
      </c>
      <c r="FN125" s="284">
        <v>733</v>
      </c>
      <c r="FO125" s="284">
        <v>760</v>
      </c>
      <c r="FP125" s="284">
        <v>876</v>
      </c>
      <c r="FQ125" s="284">
        <v>981</v>
      </c>
      <c r="FR125" s="284">
        <v>1152</v>
      </c>
      <c r="FS125" s="284">
        <v>1111</v>
      </c>
      <c r="FT125" s="284">
        <v>1103</v>
      </c>
      <c r="FU125" s="284">
        <v>1000</v>
      </c>
      <c r="FV125" s="284">
        <v>1002</v>
      </c>
      <c r="FW125" s="284">
        <v>1135</v>
      </c>
      <c r="FX125" s="284">
        <v>1285</v>
      </c>
      <c r="FY125" s="284">
        <v>1286</v>
      </c>
      <c r="FZ125" s="284">
        <v>1076</v>
      </c>
      <c r="GA125" s="284">
        <v>1100</v>
      </c>
      <c r="GB125" s="284">
        <v>838</v>
      </c>
      <c r="GC125" s="284">
        <v>1442</v>
      </c>
      <c r="GD125" s="284">
        <v>1114</v>
      </c>
      <c r="GE125" s="284">
        <v>1156</v>
      </c>
      <c r="GF125" s="284">
        <v>1111</v>
      </c>
      <c r="GG125" s="284">
        <v>1004</v>
      </c>
      <c r="GH125" s="284">
        <v>1107</v>
      </c>
      <c r="GI125" s="284">
        <v>1106</v>
      </c>
      <c r="GJ125" s="284">
        <v>1111</v>
      </c>
      <c r="GK125" s="284">
        <v>1125</v>
      </c>
      <c r="GL125" s="284">
        <v>1116</v>
      </c>
      <c r="GM125" s="284">
        <v>1179</v>
      </c>
      <c r="GN125" s="284">
        <v>1179</v>
      </c>
      <c r="GO125" s="284">
        <v>985</v>
      </c>
      <c r="GP125" s="284">
        <v>1184</v>
      </c>
      <c r="GQ125" s="284">
        <v>966</v>
      </c>
      <c r="GR125" s="284">
        <v>983</v>
      </c>
      <c r="GS125" s="284">
        <v>1135</v>
      </c>
      <c r="GT125" s="284">
        <v>1115</v>
      </c>
      <c r="GU125" s="284">
        <v>1350</v>
      </c>
      <c r="GV125" s="284">
        <v>1053</v>
      </c>
      <c r="GW125" s="284">
        <v>1047</v>
      </c>
      <c r="GX125" s="284">
        <v>1453</v>
      </c>
      <c r="GY125" s="284">
        <v>1264</v>
      </c>
      <c r="GZ125" s="284">
        <v>1129</v>
      </c>
      <c r="HA125" s="284">
        <v>1128</v>
      </c>
      <c r="HB125" s="284">
        <v>1227</v>
      </c>
      <c r="HC125" s="284">
        <v>950</v>
      </c>
      <c r="HD125" s="284">
        <v>1039</v>
      </c>
      <c r="HE125" s="284">
        <v>1028</v>
      </c>
      <c r="HF125" s="284">
        <v>1322</v>
      </c>
      <c r="HG125" s="284">
        <v>1347</v>
      </c>
      <c r="HH125" s="284">
        <v>1147</v>
      </c>
      <c r="HI125" s="284">
        <v>1056</v>
      </c>
      <c r="HJ125" s="284">
        <v>1109</v>
      </c>
      <c r="HK125" s="284">
        <v>1093</v>
      </c>
      <c r="HL125" s="284">
        <v>1216</v>
      </c>
      <c r="HM125" s="284">
        <v>1197</v>
      </c>
      <c r="HN125" s="284">
        <v>1103</v>
      </c>
      <c r="HO125" s="284">
        <v>1016</v>
      </c>
      <c r="HP125" s="284">
        <v>1173</v>
      </c>
      <c r="HQ125" s="284">
        <v>1383</v>
      </c>
      <c r="HR125" s="284">
        <v>1605</v>
      </c>
      <c r="HS125" s="284">
        <v>1475</v>
      </c>
      <c r="HT125" s="284">
        <v>1177</v>
      </c>
      <c r="HU125" s="284">
        <v>1324</v>
      </c>
      <c r="HV125" s="284">
        <v>1190</v>
      </c>
      <c r="HW125" s="284">
        <v>1236</v>
      </c>
      <c r="HX125" s="284">
        <v>1382</v>
      </c>
      <c r="HY125" s="284">
        <v>1098</v>
      </c>
      <c r="HZ125" s="284">
        <v>1178</v>
      </c>
      <c r="IA125" s="284">
        <v>1142</v>
      </c>
      <c r="IB125" s="284">
        <v>801</v>
      </c>
      <c r="IC125" s="284">
        <v>1058</v>
      </c>
      <c r="ID125" s="284">
        <v>904</v>
      </c>
      <c r="IE125" s="284">
        <v>1011</v>
      </c>
      <c r="IF125" s="284">
        <v>1235</v>
      </c>
      <c r="IG125" s="284">
        <v>975</v>
      </c>
      <c r="IH125" s="284">
        <v>983</v>
      </c>
      <c r="II125" s="284">
        <v>1068</v>
      </c>
      <c r="IJ125" s="284">
        <v>1106</v>
      </c>
      <c r="IK125" s="284">
        <v>1026</v>
      </c>
      <c r="IL125" s="284">
        <v>930</v>
      </c>
      <c r="IM125" s="850">
        <v>927</v>
      </c>
      <c r="IN125" s="168"/>
    </row>
    <row r="126" spans="1:248">
      <c r="A126" s="81" t="s">
        <v>148</v>
      </c>
      <c r="B126" s="285">
        <v>645</v>
      </c>
      <c r="C126" s="285">
        <v>722</v>
      </c>
      <c r="D126" s="285">
        <v>695</v>
      </c>
      <c r="E126" s="285">
        <v>660</v>
      </c>
      <c r="F126" s="285">
        <v>699</v>
      </c>
      <c r="G126" s="285">
        <v>737</v>
      </c>
      <c r="H126" s="285">
        <v>666</v>
      </c>
      <c r="I126" s="285">
        <v>691</v>
      </c>
      <c r="J126" s="285">
        <v>729</v>
      </c>
      <c r="K126" s="285">
        <v>660</v>
      </c>
      <c r="L126" s="285">
        <v>749</v>
      </c>
      <c r="M126" s="285">
        <v>655</v>
      </c>
      <c r="N126" s="285">
        <v>745</v>
      </c>
      <c r="O126" s="285">
        <v>712</v>
      </c>
      <c r="P126" s="285">
        <v>670</v>
      </c>
      <c r="Q126" s="285">
        <v>307</v>
      </c>
      <c r="R126" s="285">
        <v>315</v>
      </c>
      <c r="S126" s="285">
        <v>299</v>
      </c>
      <c r="T126" s="285">
        <v>298</v>
      </c>
      <c r="U126" s="285">
        <v>277</v>
      </c>
      <c r="V126" s="285">
        <v>303</v>
      </c>
      <c r="W126" s="285">
        <v>322</v>
      </c>
      <c r="X126" s="285">
        <v>320</v>
      </c>
      <c r="Y126" s="285">
        <v>308</v>
      </c>
      <c r="Z126" s="285">
        <v>319</v>
      </c>
      <c r="AA126" s="285">
        <v>332</v>
      </c>
      <c r="AB126" s="285">
        <v>345</v>
      </c>
      <c r="AC126" s="285">
        <v>302</v>
      </c>
      <c r="AD126" s="285">
        <v>309</v>
      </c>
      <c r="AE126" s="285">
        <v>268</v>
      </c>
      <c r="AF126" s="285">
        <v>287</v>
      </c>
      <c r="AG126" s="285">
        <v>311</v>
      </c>
      <c r="AH126" s="285">
        <v>321</v>
      </c>
      <c r="AI126" s="285">
        <v>284</v>
      </c>
      <c r="AJ126" s="285">
        <v>291</v>
      </c>
      <c r="AK126" s="285">
        <v>282</v>
      </c>
      <c r="AL126" s="285">
        <v>289</v>
      </c>
      <c r="AM126" s="285">
        <v>243</v>
      </c>
      <c r="AN126" s="285">
        <v>284</v>
      </c>
      <c r="AO126" s="285">
        <v>290</v>
      </c>
      <c r="AP126" s="285">
        <v>301</v>
      </c>
      <c r="AQ126" s="285">
        <v>314</v>
      </c>
      <c r="AR126" s="285">
        <v>332</v>
      </c>
      <c r="AS126" s="285">
        <v>310</v>
      </c>
      <c r="AT126" s="285">
        <v>310</v>
      </c>
      <c r="AU126" s="285">
        <v>308</v>
      </c>
      <c r="AV126" s="285">
        <v>323</v>
      </c>
      <c r="AW126" s="285">
        <v>330</v>
      </c>
      <c r="AX126" s="285">
        <v>320</v>
      </c>
      <c r="AY126" s="285">
        <v>330</v>
      </c>
      <c r="AZ126" s="285">
        <v>321</v>
      </c>
      <c r="BA126" s="285">
        <v>316</v>
      </c>
      <c r="BB126" s="285">
        <v>333</v>
      </c>
      <c r="BC126" s="285">
        <v>333</v>
      </c>
      <c r="BD126" s="285">
        <v>345</v>
      </c>
      <c r="BE126" s="285">
        <v>349</v>
      </c>
      <c r="BF126" s="285">
        <v>348</v>
      </c>
      <c r="BG126" s="285">
        <v>383</v>
      </c>
      <c r="BH126" s="285">
        <v>374</v>
      </c>
      <c r="BI126" s="285">
        <v>353</v>
      </c>
      <c r="BJ126" s="285">
        <v>359</v>
      </c>
      <c r="BK126" s="285">
        <v>397</v>
      </c>
      <c r="BL126" s="285">
        <v>377</v>
      </c>
      <c r="BM126" s="285">
        <v>350</v>
      </c>
      <c r="BN126" s="285">
        <v>411</v>
      </c>
      <c r="BO126" s="285">
        <v>420</v>
      </c>
      <c r="BP126" s="285">
        <v>433</v>
      </c>
      <c r="BQ126" s="285">
        <v>421</v>
      </c>
      <c r="BR126" s="285">
        <v>437</v>
      </c>
      <c r="BS126" s="285">
        <v>462</v>
      </c>
      <c r="BT126" s="285">
        <v>490</v>
      </c>
      <c r="BU126" s="285">
        <v>446</v>
      </c>
      <c r="BV126" s="285">
        <v>456</v>
      </c>
      <c r="BW126" s="285">
        <v>459</v>
      </c>
      <c r="BX126" s="285">
        <v>494</v>
      </c>
      <c r="BY126" s="285">
        <v>477</v>
      </c>
      <c r="BZ126" s="285">
        <v>510</v>
      </c>
      <c r="CA126" s="285">
        <v>527</v>
      </c>
      <c r="CB126" s="285">
        <v>531</v>
      </c>
      <c r="CC126" s="285">
        <v>544</v>
      </c>
      <c r="CD126" s="285">
        <v>554</v>
      </c>
      <c r="CE126" s="285">
        <v>595</v>
      </c>
      <c r="CF126" s="285">
        <v>569</v>
      </c>
      <c r="CG126" s="285">
        <v>563</v>
      </c>
      <c r="CH126" s="285">
        <v>550</v>
      </c>
      <c r="CI126" s="285">
        <v>583</v>
      </c>
      <c r="CJ126" s="285">
        <v>608</v>
      </c>
      <c r="CK126" s="285">
        <v>593</v>
      </c>
      <c r="CL126" s="285">
        <v>584</v>
      </c>
      <c r="CM126" s="285">
        <v>627</v>
      </c>
      <c r="CN126" s="285">
        <v>616</v>
      </c>
      <c r="CO126" s="285">
        <v>591</v>
      </c>
      <c r="CP126" s="285">
        <v>594</v>
      </c>
      <c r="CQ126" s="285">
        <v>640</v>
      </c>
      <c r="CR126" s="285">
        <v>615</v>
      </c>
      <c r="CS126" s="285">
        <v>614</v>
      </c>
      <c r="CT126" s="285">
        <v>611</v>
      </c>
      <c r="CU126" s="285">
        <v>585</v>
      </c>
      <c r="CV126" s="285">
        <v>597</v>
      </c>
      <c r="CW126" s="285">
        <v>573</v>
      </c>
      <c r="CX126" s="285">
        <v>602</v>
      </c>
      <c r="CY126" s="285">
        <v>578</v>
      </c>
      <c r="CZ126" s="285">
        <v>567</v>
      </c>
      <c r="DA126" s="285">
        <v>571</v>
      </c>
      <c r="DB126" s="285">
        <v>531</v>
      </c>
      <c r="DC126" s="285">
        <v>544</v>
      </c>
      <c r="DD126" s="285">
        <v>551</v>
      </c>
      <c r="DE126" s="285">
        <v>525</v>
      </c>
      <c r="DF126" s="285">
        <v>574</v>
      </c>
      <c r="DG126" s="285">
        <v>611</v>
      </c>
      <c r="DH126" s="285">
        <v>616</v>
      </c>
      <c r="DI126" s="285">
        <v>567</v>
      </c>
      <c r="DJ126" s="285">
        <v>627</v>
      </c>
      <c r="DK126" s="285">
        <v>647</v>
      </c>
      <c r="DL126" s="285">
        <v>753</v>
      </c>
      <c r="DM126" s="285">
        <v>748</v>
      </c>
      <c r="DN126" s="285">
        <v>735</v>
      </c>
      <c r="DO126" s="285">
        <v>664</v>
      </c>
      <c r="DP126" s="285">
        <v>673</v>
      </c>
      <c r="DQ126" s="285">
        <v>652</v>
      </c>
      <c r="DR126" s="285">
        <v>641</v>
      </c>
      <c r="DS126" s="285">
        <v>675</v>
      </c>
      <c r="DT126" s="285">
        <v>713</v>
      </c>
      <c r="DU126" s="285">
        <v>690</v>
      </c>
      <c r="DV126" s="285">
        <v>696</v>
      </c>
      <c r="DW126" s="285">
        <v>728</v>
      </c>
      <c r="DX126" s="285">
        <v>759</v>
      </c>
      <c r="DY126" s="285">
        <v>839</v>
      </c>
      <c r="DZ126" s="285">
        <v>894</v>
      </c>
      <c r="EA126" s="285">
        <v>925</v>
      </c>
      <c r="EB126" s="285">
        <v>975</v>
      </c>
      <c r="EC126" s="285">
        <v>905</v>
      </c>
      <c r="ED126" s="285">
        <v>957</v>
      </c>
      <c r="EE126" s="285">
        <v>947</v>
      </c>
      <c r="EF126" s="285">
        <v>1016</v>
      </c>
      <c r="EG126" s="285">
        <v>1015</v>
      </c>
      <c r="EH126" s="285">
        <v>994</v>
      </c>
      <c r="EI126" s="285">
        <v>980</v>
      </c>
      <c r="EJ126" s="285">
        <v>931</v>
      </c>
      <c r="EK126" s="285">
        <v>907</v>
      </c>
      <c r="EL126" s="285">
        <v>912</v>
      </c>
      <c r="EM126" s="285">
        <v>1017</v>
      </c>
      <c r="EN126" s="285">
        <v>967</v>
      </c>
      <c r="EO126" s="285">
        <v>899</v>
      </c>
      <c r="EP126" s="285">
        <v>871</v>
      </c>
      <c r="EQ126" s="285">
        <v>909</v>
      </c>
      <c r="ER126" s="285">
        <v>952</v>
      </c>
      <c r="ES126" s="285">
        <v>908</v>
      </c>
      <c r="ET126" s="285">
        <v>932</v>
      </c>
      <c r="EU126" s="285">
        <v>890</v>
      </c>
      <c r="EV126" s="285">
        <v>879</v>
      </c>
      <c r="EW126" s="285">
        <v>918</v>
      </c>
      <c r="EX126" s="285">
        <v>986</v>
      </c>
      <c r="EY126" s="285">
        <v>1011</v>
      </c>
      <c r="EZ126" s="285">
        <v>1040</v>
      </c>
      <c r="FA126" s="285">
        <v>925</v>
      </c>
      <c r="FB126" s="285">
        <v>1028</v>
      </c>
      <c r="FC126" s="285">
        <v>1047</v>
      </c>
      <c r="FD126" s="285">
        <v>1054</v>
      </c>
      <c r="FE126" s="285">
        <v>1040</v>
      </c>
      <c r="FF126" s="285">
        <v>1229</v>
      </c>
      <c r="FG126" s="285">
        <v>1207</v>
      </c>
      <c r="FH126" s="285">
        <v>1790</v>
      </c>
      <c r="FI126" s="285">
        <v>1754</v>
      </c>
      <c r="FJ126" s="285">
        <v>1397</v>
      </c>
      <c r="FK126" s="285">
        <v>1455</v>
      </c>
      <c r="FL126" s="285">
        <v>1417</v>
      </c>
      <c r="FM126" s="285">
        <v>1387</v>
      </c>
      <c r="FN126" s="285">
        <v>1223</v>
      </c>
      <c r="FO126" s="285">
        <v>1267</v>
      </c>
      <c r="FP126" s="285">
        <v>1307</v>
      </c>
      <c r="FQ126" s="285">
        <v>1577</v>
      </c>
      <c r="FR126" s="285">
        <v>1436</v>
      </c>
      <c r="FS126" s="285">
        <v>1441</v>
      </c>
      <c r="FT126" s="285">
        <v>1383</v>
      </c>
      <c r="FU126" s="285">
        <v>1446</v>
      </c>
      <c r="FV126" s="285">
        <v>1400</v>
      </c>
      <c r="FW126" s="285">
        <v>1573</v>
      </c>
      <c r="FX126" s="285">
        <v>1842</v>
      </c>
      <c r="FY126" s="285">
        <v>1509</v>
      </c>
      <c r="FZ126" s="285">
        <v>1494</v>
      </c>
      <c r="GA126" s="285">
        <v>1657</v>
      </c>
      <c r="GB126" s="285">
        <v>1615</v>
      </c>
      <c r="GC126" s="285">
        <v>1663</v>
      </c>
      <c r="GD126" s="285">
        <v>1769</v>
      </c>
      <c r="GE126" s="285">
        <v>1740</v>
      </c>
      <c r="GF126" s="285">
        <v>1576</v>
      </c>
      <c r="GG126" s="285">
        <v>2346</v>
      </c>
      <c r="GH126" s="285">
        <v>2208</v>
      </c>
      <c r="GI126" s="285">
        <v>2327</v>
      </c>
      <c r="GJ126" s="285">
        <v>2421</v>
      </c>
      <c r="GK126" s="285">
        <v>2913</v>
      </c>
      <c r="GL126" s="285">
        <v>2346</v>
      </c>
      <c r="GM126" s="285">
        <v>2833</v>
      </c>
      <c r="GN126" s="285">
        <v>2814</v>
      </c>
      <c r="GO126" s="285">
        <v>2014</v>
      </c>
      <c r="GP126" s="285">
        <v>2885</v>
      </c>
      <c r="GQ126" s="285">
        <v>2820</v>
      </c>
      <c r="GR126" s="285">
        <v>2607</v>
      </c>
      <c r="GS126" s="285">
        <v>2694</v>
      </c>
      <c r="GT126" s="285">
        <v>2518</v>
      </c>
      <c r="GU126" s="285">
        <v>2602</v>
      </c>
      <c r="GV126" s="285">
        <v>2735</v>
      </c>
      <c r="GW126" s="285">
        <v>2595</v>
      </c>
      <c r="GX126" s="285">
        <v>2494</v>
      </c>
      <c r="GY126" s="285">
        <v>2657</v>
      </c>
      <c r="GZ126" s="285">
        <v>2709</v>
      </c>
      <c r="HA126" s="285">
        <v>2573</v>
      </c>
      <c r="HB126" s="285">
        <v>2553</v>
      </c>
      <c r="HC126" s="285">
        <v>2722</v>
      </c>
      <c r="HD126" s="285">
        <v>2680</v>
      </c>
      <c r="HE126" s="285">
        <v>2736</v>
      </c>
      <c r="HF126" s="285">
        <v>2619</v>
      </c>
      <c r="HG126" s="285">
        <v>2941</v>
      </c>
      <c r="HH126" s="285">
        <v>2782</v>
      </c>
      <c r="HI126" s="285">
        <v>2400</v>
      </c>
      <c r="HJ126" s="285">
        <v>2470</v>
      </c>
      <c r="HK126" s="285">
        <v>2482</v>
      </c>
      <c r="HL126" s="285">
        <v>2627</v>
      </c>
      <c r="HM126" s="285">
        <v>2373</v>
      </c>
      <c r="HN126" s="285">
        <v>3956</v>
      </c>
      <c r="HO126" s="285">
        <v>2566</v>
      </c>
      <c r="HP126" s="286">
        <v>2782</v>
      </c>
      <c r="HQ126" s="286">
        <v>2713</v>
      </c>
      <c r="HR126" s="286">
        <v>2861</v>
      </c>
      <c r="HS126" s="286">
        <v>2791</v>
      </c>
      <c r="HT126" s="286">
        <v>2741</v>
      </c>
      <c r="HU126" s="286">
        <v>2422</v>
      </c>
      <c r="HV126" s="545">
        <v>2539</v>
      </c>
      <c r="HW126" s="545">
        <v>2780</v>
      </c>
      <c r="HX126" s="545">
        <v>2619</v>
      </c>
      <c r="HY126" s="545">
        <v>2376</v>
      </c>
      <c r="HZ126" s="545">
        <v>2459</v>
      </c>
      <c r="IA126" s="545">
        <v>2485</v>
      </c>
      <c r="IB126" s="545">
        <v>2807</v>
      </c>
      <c r="IC126" s="545">
        <v>2900</v>
      </c>
      <c r="ID126" s="545">
        <v>2837</v>
      </c>
      <c r="IE126" s="545">
        <v>2788</v>
      </c>
      <c r="IF126" s="545">
        <v>2467</v>
      </c>
      <c r="IG126" s="285">
        <v>2315</v>
      </c>
      <c r="IH126" s="545">
        <v>2572</v>
      </c>
      <c r="II126" s="545">
        <v>2637</v>
      </c>
      <c r="IJ126" s="545">
        <v>2687</v>
      </c>
      <c r="IK126" s="545">
        <v>2639</v>
      </c>
      <c r="IL126" s="545">
        <v>2622</v>
      </c>
      <c r="IM126" s="851">
        <v>2649</v>
      </c>
      <c r="IN126" s="168"/>
    </row>
    <row r="127" spans="1:248">
      <c r="A127" s="81" t="s">
        <v>1031</v>
      </c>
      <c r="B127" s="284">
        <v>980</v>
      </c>
      <c r="C127" s="284">
        <v>937</v>
      </c>
      <c r="D127" s="284">
        <v>917</v>
      </c>
      <c r="E127" s="284">
        <v>999</v>
      </c>
      <c r="F127" s="284">
        <v>939</v>
      </c>
      <c r="G127" s="284">
        <v>1114</v>
      </c>
      <c r="H127" s="284">
        <v>970</v>
      </c>
      <c r="I127" s="284">
        <v>1018</v>
      </c>
      <c r="J127" s="284">
        <v>905</v>
      </c>
      <c r="K127" s="284">
        <v>1052</v>
      </c>
      <c r="L127" s="284">
        <v>1105</v>
      </c>
      <c r="M127" s="284">
        <v>1172</v>
      </c>
      <c r="N127" s="284">
        <v>1150</v>
      </c>
      <c r="O127" s="284">
        <v>1064</v>
      </c>
      <c r="P127" s="284">
        <v>1028</v>
      </c>
      <c r="Q127" s="284">
        <v>1104</v>
      </c>
      <c r="R127" s="284">
        <v>1080</v>
      </c>
      <c r="S127" s="284">
        <v>1070</v>
      </c>
      <c r="T127" s="284">
        <v>1002</v>
      </c>
      <c r="U127" s="284">
        <v>1072</v>
      </c>
      <c r="V127" s="284">
        <v>1056</v>
      </c>
      <c r="W127" s="284">
        <v>1204</v>
      </c>
      <c r="X127" s="284">
        <v>1229</v>
      </c>
      <c r="Y127" s="284">
        <v>1149</v>
      </c>
      <c r="Z127" s="284">
        <v>1035</v>
      </c>
      <c r="AA127" s="284">
        <v>1020</v>
      </c>
      <c r="AB127" s="284">
        <v>1065</v>
      </c>
      <c r="AC127" s="284">
        <v>1049</v>
      </c>
      <c r="AD127" s="284">
        <v>1238</v>
      </c>
      <c r="AE127" s="284">
        <v>1018</v>
      </c>
      <c r="AF127" s="284">
        <v>1152</v>
      </c>
      <c r="AG127" s="284">
        <v>1045</v>
      </c>
      <c r="AH127" s="284">
        <v>1166</v>
      </c>
      <c r="AI127" s="284">
        <v>1103</v>
      </c>
      <c r="AJ127" s="284">
        <v>1111</v>
      </c>
      <c r="AK127" s="284">
        <v>1123</v>
      </c>
      <c r="AL127" s="284">
        <v>1142</v>
      </c>
      <c r="AM127" s="284">
        <v>1150</v>
      </c>
      <c r="AN127" s="284">
        <v>1224</v>
      </c>
      <c r="AO127" s="284">
        <v>1352</v>
      </c>
      <c r="AP127" s="284">
        <v>1561</v>
      </c>
      <c r="AQ127" s="284">
        <v>1431</v>
      </c>
      <c r="AR127" s="284">
        <v>1470</v>
      </c>
      <c r="AS127" s="284">
        <v>1853</v>
      </c>
      <c r="AT127" s="284">
        <v>1554</v>
      </c>
      <c r="AU127" s="284">
        <v>1279</v>
      </c>
      <c r="AV127" s="284">
        <v>1432</v>
      </c>
      <c r="AW127" s="284">
        <v>1318</v>
      </c>
      <c r="AX127" s="284">
        <v>1491</v>
      </c>
      <c r="AY127" s="284">
        <v>1415</v>
      </c>
      <c r="AZ127" s="284">
        <v>1398</v>
      </c>
      <c r="BA127" s="284">
        <v>1461</v>
      </c>
      <c r="BB127" s="284">
        <v>1579</v>
      </c>
      <c r="BC127" s="284">
        <v>1558</v>
      </c>
      <c r="BD127" s="284">
        <v>1578</v>
      </c>
      <c r="BE127" s="284">
        <v>1416</v>
      </c>
      <c r="BF127" s="284">
        <v>1501</v>
      </c>
      <c r="BG127" s="284">
        <v>1456</v>
      </c>
      <c r="BH127" s="284">
        <v>1450</v>
      </c>
      <c r="BI127" s="284">
        <v>1435</v>
      </c>
      <c r="BJ127" s="284">
        <v>1471</v>
      </c>
      <c r="BK127" s="284">
        <v>1405</v>
      </c>
      <c r="BL127" s="284">
        <v>1517</v>
      </c>
      <c r="BM127" s="284">
        <v>1510</v>
      </c>
      <c r="BN127" s="284">
        <v>1592</v>
      </c>
      <c r="BO127" s="284">
        <v>1469</v>
      </c>
      <c r="BP127" s="284">
        <v>1697</v>
      </c>
      <c r="BQ127" s="284">
        <v>1662</v>
      </c>
      <c r="BR127" s="284">
        <v>1691</v>
      </c>
      <c r="BS127" s="284">
        <v>1888</v>
      </c>
      <c r="BT127" s="284">
        <v>1843</v>
      </c>
      <c r="BU127" s="284">
        <v>1649</v>
      </c>
      <c r="BV127" s="284">
        <v>1662</v>
      </c>
      <c r="BW127" s="284">
        <v>1651</v>
      </c>
      <c r="BX127" s="284">
        <v>1725</v>
      </c>
      <c r="BY127" s="284">
        <v>1749</v>
      </c>
      <c r="BZ127" s="284">
        <v>1769</v>
      </c>
      <c r="CA127" s="284">
        <v>1645</v>
      </c>
      <c r="CB127" s="284">
        <v>2015</v>
      </c>
      <c r="CC127" s="284">
        <v>1877</v>
      </c>
      <c r="CD127" s="284">
        <v>1974</v>
      </c>
      <c r="CE127" s="284">
        <v>1980</v>
      </c>
      <c r="CF127" s="284">
        <v>2027</v>
      </c>
      <c r="CG127" s="284">
        <v>2291</v>
      </c>
      <c r="CH127" s="284">
        <v>2282</v>
      </c>
      <c r="CI127" s="284">
        <v>2229</v>
      </c>
      <c r="CJ127" s="284">
        <v>2077</v>
      </c>
      <c r="CK127" s="284">
        <v>2053</v>
      </c>
      <c r="CL127" s="284">
        <v>2030</v>
      </c>
      <c r="CM127" s="284">
        <v>2261</v>
      </c>
      <c r="CN127" s="284">
        <v>2176</v>
      </c>
      <c r="CO127" s="284">
        <v>2259</v>
      </c>
      <c r="CP127" s="284">
        <v>2232</v>
      </c>
      <c r="CQ127" s="284">
        <v>2419</v>
      </c>
      <c r="CR127" s="284">
        <v>2221</v>
      </c>
      <c r="CS127" s="284">
        <v>2376</v>
      </c>
      <c r="CT127" s="284">
        <v>1752</v>
      </c>
      <c r="CU127" s="284">
        <v>1583</v>
      </c>
      <c r="CV127" s="284">
        <v>1422</v>
      </c>
      <c r="CW127" s="284">
        <v>1397</v>
      </c>
      <c r="CX127" s="284">
        <v>1331</v>
      </c>
      <c r="CY127" s="284">
        <v>1286</v>
      </c>
      <c r="CZ127" s="284">
        <v>1299</v>
      </c>
      <c r="DA127" s="284">
        <v>1226</v>
      </c>
      <c r="DB127" s="284">
        <v>1233</v>
      </c>
      <c r="DC127" s="284">
        <v>1239</v>
      </c>
      <c r="DD127" s="284">
        <v>1466</v>
      </c>
      <c r="DE127" s="284">
        <v>1299</v>
      </c>
      <c r="DF127" s="284">
        <v>1259</v>
      </c>
      <c r="DG127" s="284">
        <v>1309</v>
      </c>
      <c r="DH127" s="284">
        <v>1379</v>
      </c>
      <c r="DI127" s="284">
        <v>1405</v>
      </c>
      <c r="DJ127" s="284">
        <v>1457</v>
      </c>
      <c r="DK127" s="284">
        <v>1459</v>
      </c>
      <c r="DL127" s="284">
        <v>1445</v>
      </c>
      <c r="DM127" s="284">
        <v>1523</v>
      </c>
      <c r="DN127" s="284">
        <v>1595</v>
      </c>
      <c r="DO127" s="284">
        <v>1698</v>
      </c>
      <c r="DP127" s="284">
        <v>1726</v>
      </c>
      <c r="DQ127" s="284">
        <v>1780</v>
      </c>
      <c r="DR127" s="284">
        <v>1726</v>
      </c>
      <c r="DS127" s="284">
        <v>1689</v>
      </c>
      <c r="DT127" s="284">
        <v>1667</v>
      </c>
      <c r="DU127" s="284">
        <v>1761</v>
      </c>
      <c r="DV127" s="284">
        <v>1836</v>
      </c>
      <c r="DW127" s="284">
        <v>1788</v>
      </c>
      <c r="DX127" s="284">
        <v>1791</v>
      </c>
      <c r="DY127" s="284">
        <v>2012</v>
      </c>
      <c r="DZ127" s="284">
        <v>2091</v>
      </c>
      <c r="EA127" s="284">
        <v>2170</v>
      </c>
      <c r="EB127" s="284">
        <v>2417</v>
      </c>
      <c r="EC127" s="284">
        <v>2362</v>
      </c>
      <c r="ED127" s="284">
        <v>2216</v>
      </c>
      <c r="EE127" s="284">
        <v>2450</v>
      </c>
      <c r="EF127" s="284">
        <v>2283</v>
      </c>
      <c r="EG127" s="284">
        <v>2270</v>
      </c>
      <c r="EH127" s="284">
        <v>2404</v>
      </c>
      <c r="EI127" s="284">
        <v>2334</v>
      </c>
      <c r="EJ127" s="284">
        <v>2477</v>
      </c>
      <c r="EK127" s="284">
        <v>2558</v>
      </c>
      <c r="EL127" s="284">
        <v>2517</v>
      </c>
      <c r="EM127" s="284">
        <v>2667</v>
      </c>
      <c r="EN127" s="284">
        <v>2760</v>
      </c>
      <c r="EO127" s="284">
        <v>2554</v>
      </c>
      <c r="EP127" s="284">
        <v>2474</v>
      </c>
      <c r="EQ127" s="284">
        <v>2308</v>
      </c>
      <c r="ER127" s="284">
        <v>2120</v>
      </c>
      <c r="ES127" s="284">
        <v>2194</v>
      </c>
      <c r="ET127" s="284">
        <v>2051</v>
      </c>
      <c r="EU127" s="284">
        <v>2012</v>
      </c>
      <c r="EV127" s="284">
        <v>1906</v>
      </c>
      <c r="EW127" s="284">
        <v>1752</v>
      </c>
      <c r="EX127" s="284">
        <v>1500</v>
      </c>
      <c r="EY127" s="284">
        <v>1565</v>
      </c>
      <c r="EZ127" s="284">
        <v>1546</v>
      </c>
      <c r="FA127" s="284">
        <v>1444</v>
      </c>
      <c r="FB127" s="284">
        <v>1498</v>
      </c>
      <c r="FC127" s="284">
        <v>1526</v>
      </c>
      <c r="FD127" s="284">
        <v>1490</v>
      </c>
      <c r="FE127" s="284">
        <v>1550</v>
      </c>
      <c r="FF127" s="284">
        <v>1622</v>
      </c>
      <c r="FG127" s="284">
        <v>1479</v>
      </c>
      <c r="FH127" s="284">
        <v>1549</v>
      </c>
      <c r="FI127" s="284">
        <v>1485</v>
      </c>
      <c r="FJ127" s="284">
        <v>1437</v>
      </c>
      <c r="FK127" s="284">
        <v>1474</v>
      </c>
      <c r="FL127" s="284">
        <v>1578</v>
      </c>
      <c r="FM127" s="284">
        <v>1471</v>
      </c>
      <c r="FN127" s="284">
        <v>1264</v>
      </c>
      <c r="FO127" s="284">
        <v>1280</v>
      </c>
      <c r="FP127" s="284">
        <v>1381</v>
      </c>
      <c r="FQ127" s="284">
        <v>1335</v>
      </c>
      <c r="FR127" s="284">
        <v>1389</v>
      </c>
      <c r="FS127" s="284">
        <v>1308</v>
      </c>
      <c r="FT127" s="284">
        <v>1187</v>
      </c>
      <c r="FU127" s="284">
        <v>1132</v>
      </c>
      <c r="FV127" s="284">
        <v>1089</v>
      </c>
      <c r="FW127" s="284">
        <v>1022</v>
      </c>
      <c r="FX127" s="284">
        <v>1053</v>
      </c>
      <c r="FY127" s="284">
        <v>887</v>
      </c>
      <c r="FZ127" s="284">
        <v>898</v>
      </c>
      <c r="GA127" s="284">
        <v>945</v>
      </c>
      <c r="GB127" s="284">
        <v>969</v>
      </c>
      <c r="GC127" s="284">
        <v>825</v>
      </c>
      <c r="GD127" s="284">
        <v>958</v>
      </c>
      <c r="GE127" s="284">
        <v>894</v>
      </c>
      <c r="GF127" s="284">
        <v>752</v>
      </c>
      <c r="GG127" s="284">
        <v>811</v>
      </c>
      <c r="GH127" s="284">
        <v>817</v>
      </c>
      <c r="GI127" s="284">
        <v>822</v>
      </c>
      <c r="GJ127" s="284">
        <v>900</v>
      </c>
      <c r="GK127" s="284">
        <v>885</v>
      </c>
      <c r="GL127" s="284">
        <v>753</v>
      </c>
      <c r="GM127" s="284">
        <v>816</v>
      </c>
      <c r="GN127" s="284">
        <v>854</v>
      </c>
      <c r="GO127" s="284">
        <v>765</v>
      </c>
      <c r="GP127" s="284">
        <v>832</v>
      </c>
      <c r="GQ127" s="284">
        <v>850</v>
      </c>
      <c r="GR127" s="284">
        <v>770</v>
      </c>
      <c r="GS127" s="284">
        <v>784</v>
      </c>
      <c r="GT127" s="284">
        <v>871</v>
      </c>
      <c r="GU127" s="284">
        <v>789</v>
      </c>
      <c r="GV127" s="284">
        <v>873</v>
      </c>
      <c r="GW127" s="284">
        <v>850</v>
      </c>
      <c r="GX127" s="284">
        <v>720</v>
      </c>
      <c r="GY127" s="284">
        <v>832</v>
      </c>
      <c r="GZ127" s="284">
        <v>835</v>
      </c>
      <c r="HA127" s="284">
        <v>797</v>
      </c>
      <c r="HB127" s="284">
        <v>856</v>
      </c>
      <c r="HC127" s="284">
        <v>916</v>
      </c>
      <c r="HD127" s="284">
        <v>878</v>
      </c>
      <c r="HE127" s="284">
        <v>930</v>
      </c>
      <c r="HF127" s="284">
        <v>916</v>
      </c>
      <c r="HG127" s="284">
        <v>869</v>
      </c>
      <c r="HH127" s="284">
        <v>961</v>
      </c>
      <c r="HI127" s="284">
        <v>895</v>
      </c>
      <c r="HJ127" s="284">
        <v>900</v>
      </c>
      <c r="HK127" s="284">
        <v>938</v>
      </c>
      <c r="HL127" s="284">
        <v>921</v>
      </c>
      <c r="HM127" s="284">
        <v>882</v>
      </c>
      <c r="HN127" s="284">
        <v>882</v>
      </c>
      <c r="HO127" s="284">
        <v>840</v>
      </c>
      <c r="HP127" s="284">
        <v>875</v>
      </c>
      <c r="HQ127" s="284">
        <v>761</v>
      </c>
      <c r="HR127" s="284">
        <v>799</v>
      </c>
      <c r="HS127" s="284">
        <v>729</v>
      </c>
      <c r="HT127" s="284">
        <v>741</v>
      </c>
      <c r="HU127" s="284">
        <v>660</v>
      </c>
      <c r="HV127" s="284">
        <v>734</v>
      </c>
      <c r="HW127" s="284">
        <v>713</v>
      </c>
      <c r="HX127" s="284">
        <v>468</v>
      </c>
      <c r="HY127" s="284">
        <v>364</v>
      </c>
      <c r="HZ127" s="284">
        <v>516</v>
      </c>
      <c r="IA127" s="284">
        <v>625</v>
      </c>
      <c r="IB127" s="284">
        <v>146</v>
      </c>
      <c r="IC127" s="284">
        <v>130</v>
      </c>
      <c r="ID127" s="284">
        <v>114</v>
      </c>
      <c r="IE127" s="284">
        <v>145</v>
      </c>
      <c r="IF127" s="284">
        <v>147</v>
      </c>
      <c r="IG127" s="284">
        <v>214</v>
      </c>
      <c r="IH127" s="284">
        <v>378</v>
      </c>
      <c r="II127" s="284">
        <v>467</v>
      </c>
      <c r="IJ127" s="284">
        <v>478</v>
      </c>
      <c r="IK127" s="284">
        <v>517</v>
      </c>
      <c r="IL127" s="284">
        <v>502</v>
      </c>
      <c r="IM127" s="850">
        <v>596</v>
      </c>
      <c r="IN127" s="168"/>
    </row>
    <row r="128" spans="1:248">
      <c r="A128" s="81" t="s">
        <v>8</v>
      </c>
      <c r="B128" s="285">
        <v>11813</v>
      </c>
      <c r="C128" s="285">
        <v>11571</v>
      </c>
      <c r="D128" s="285">
        <v>12011</v>
      </c>
      <c r="E128" s="285">
        <v>12069</v>
      </c>
      <c r="F128" s="285">
        <v>12266</v>
      </c>
      <c r="G128" s="285">
        <v>12469</v>
      </c>
      <c r="H128" s="285">
        <v>12645</v>
      </c>
      <c r="I128" s="285">
        <v>12367</v>
      </c>
      <c r="J128" s="285">
        <v>12153</v>
      </c>
      <c r="K128" s="285">
        <v>12676</v>
      </c>
      <c r="L128" s="285">
        <v>12075</v>
      </c>
      <c r="M128" s="285">
        <v>12654</v>
      </c>
      <c r="N128" s="285">
        <v>13087</v>
      </c>
      <c r="O128" s="285">
        <v>12939</v>
      </c>
      <c r="P128" s="285">
        <v>12145</v>
      </c>
      <c r="Q128" s="285">
        <v>13079</v>
      </c>
      <c r="R128" s="285">
        <v>12302</v>
      </c>
      <c r="S128" s="285">
        <v>12382</v>
      </c>
      <c r="T128" s="285">
        <v>14501</v>
      </c>
      <c r="U128" s="285">
        <v>12485</v>
      </c>
      <c r="V128" s="285">
        <v>12847</v>
      </c>
      <c r="W128" s="285">
        <v>12619</v>
      </c>
      <c r="X128" s="285">
        <v>12635</v>
      </c>
      <c r="Y128" s="285">
        <v>12171</v>
      </c>
      <c r="Z128" s="285">
        <v>12838</v>
      </c>
      <c r="AA128" s="285">
        <v>12475</v>
      </c>
      <c r="AB128" s="285">
        <v>13125</v>
      </c>
      <c r="AC128" s="285">
        <v>12465</v>
      </c>
      <c r="AD128" s="285">
        <v>12531</v>
      </c>
      <c r="AE128" s="285">
        <v>12765</v>
      </c>
      <c r="AF128" s="285">
        <v>13101</v>
      </c>
      <c r="AG128" s="285">
        <v>12686</v>
      </c>
      <c r="AH128" s="285">
        <v>12816</v>
      </c>
      <c r="AI128" s="285">
        <v>13123</v>
      </c>
      <c r="AJ128" s="285">
        <v>13362</v>
      </c>
      <c r="AK128" s="285">
        <v>13241</v>
      </c>
      <c r="AL128" s="285">
        <v>12733</v>
      </c>
      <c r="AM128" s="285">
        <v>14007</v>
      </c>
      <c r="AN128" s="285">
        <v>13581</v>
      </c>
      <c r="AO128" s="285">
        <v>13321</v>
      </c>
      <c r="AP128" s="285">
        <v>13520</v>
      </c>
      <c r="AQ128" s="285">
        <v>13277</v>
      </c>
      <c r="AR128" s="285">
        <v>13338</v>
      </c>
      <c r="AS128" s="285">
        <v>13168</v>
      </c>
      <c r="AT128" s="285">
        <v>12675</v>
      </c>
      <c r="AU128" s="285">
        <v>12621</v>
      </c>
      <c r="AV128" s="285">
        <v>12897</v>
      </c>
      <c r="AW128" s="285">
        <v>12718</v>
      </c>
      <c r="AX128" s="285">
        <v>12045</v>
      </c>
      <c r="AY128" s="285">
        <v>12335</v>
      </c>
      <c r="AZ128" s="285">
        <v>12468</v>
      </c>
      <c r="BA128" s="285">
        <v>12238</v>
      </c>
      <c r="BB128" s="285">
        <v>12463</v>
      </c>
      <c r="BC128" s="285">
        <v>11996</v>
      </c>
      <c r="BD128" s="285">
        <v>12276</v>
      </c>
      <c r="BE128" s="285">
        <v>12651</v>
      </c>
      <c r="BF128" s="285">
        <v>12040</v>
      </c>
      <c r="BG128" s="285">
        <v>11995</v>
      </c>
      <c r="BH128" s="285">
        <v>12137</v>
      </c>
      <c r="BI128" s="285">
        <v>11787</v>
      </c>
      <c r="BJ128" s="285">
        <v>11152</v>
      </c>
      <c r="BK128" s="285">
        <v>11930</v>
      </c>
      <c r="BL128" s="285">
        <v>11467</v>
      </c>
      <c r="BM128" s="285">
        <v>12185</v>
      </c>
      <c r="BN128" s="285">
        <v>12585</v>
      </c>
      <c r="BO128" s="285">
        <v>12170</v>
      </c>
      <c r="BP128" s="285">
        <v>12590</v>
      </c>
      <c r="BQ128" s="285">
        <v>12753</v>
      </c>
      <c r="BR128" s="285">
        <v>12881</v>
      </c>
      <c r="BS128" s="285">
        <v>12660</v>
      </c>
      <c r="BT128" s="285">
        <v>13320</v>
      </c>
      <c r="BU128" s="285">
        <v>12374</v>
      </c>
      <c r="BV128" s="285">
        <v>13607</v>
      </c>
      <c r="BW128" s="285">
        <v>13405</v>
      </c>
      <c r="BX128" s="285">
        <v>13587</v>
      </c>
      <c r="BY128" s="285">
        <v>13457</v>
      </c>
      <c r="BZ128" s="285">
        <v>14220</v>
      </c>
      <c r="CA128" s="285">
        <v>13560</v>
      </c>
      <c r="CB128" s="285">
        <v>13805</v>
      </c>
      <c r="CC128" s="285">
        <v>14096</v>
      </c>
      <c r="CD128" s="285">
        <v>13972</v>
      </c>
      <c r="CE128" s="285">
        <v>13859</v>
      </c>
      <c r="CF128" s="285">
        <v>14289</v>
      </c>
      <c r="CG128" s="285">
        <v>13028</v>
      </c>
      <c r="CH128" s="285">
        <v>13297</v>
      </c>
      <c r="CI128" s="285">
        <v>13969</v>
      </c>
      <c r="CJ128" s="285">
        <v>14194</v>
      </c>
      <c r="CK128" s="285">
        <v>14773</v>
      </c>
      <c r="CL128" s="285">
        <v>14690</v>
      </c>
      <c r="CM128" s="285">
        <v>14563</v>
      </c>
      <c r="CN128" s="285">
        <v>14605</v>
      </c>
      <c r="CO128" s="285">
        <v>14353</v>
      </c>
      <c r="CP128" s="285">
        <v>14585</v>
      </c>
      <c r="CQ128" s="285">
        <v>15089</v>
      </c>
      <c r="CR128" s="285">
        <v>15014</v>
      </c>
      <c r="CS128" s="285">
        <v>14796</v>
      </c>
      <c r="CT128" s="285">
        <v>15622</v>
      </c>
      <c r="CU128" s="285">
        <v>16417</v>
      </c>
      <c r="CV128" s="285">
        <v>16532</v>
      </c>
      <c r="CW128" s="285">
        <v>16618</v>
      </c>
      <c r="CX128" s="285">
        <v>16912</v>
      </c>
      <c r="CY128" s="285">
        <v>17145</v>
      </c>
      <c r="CZ128" s="285">
        <v>17178</v>
      </c>
      <c r="DA128" s="285">
        <v>16252</v>
      </c>
      <c r="DB128" s="285">
        <v>16914</v>
      </c>
      <c r="DC128" s="285">
        <v>17710</v>
      </c>
      <c r="DD128" s="285">
        <v>15657</v>
      </c>
      <c r="DE128" s="285">
        <v>16265</v>
      </c>
      <c r="DF128" s="285">
        <v>14965</v>
      </c>
      <c r="DG128" s="285">
        <v>17200</v>
      </c>
      <c r="DH128" s="285">
        <v>18144</v>
      </c>
      <c r="DI128" s="285">
        <v>17667</v>
      </c>
      <c r="DJ128" s="285">
        <v>18006</v>
      </c>
      <c r="DK128" s="285">
        <v>17727</v>
      </c>
      <c r="DL128" s="285">
        <v>18837</v>
      </c>
      <c r="DM128" s="285">
        <v>18499</v>
      </c>
      <c r="DN128" s="285">
        <v>18475</v>
      </c>
      <c r="DO128" s="285">
        <v>18316</v>
      </c>
      <c r="DP128" s="285">
        <v>19073</v>
      </c>
      <c r="DQ128" s="285">
        <v>17703</v>
      </c>
      <c r="DR128" s="285">
        <v>18733</v>
      </c>
      <c r="DS128" s="285">
        <v>18711</v>
      </c>
      <c r="DT128" s="285">
        <v>19630</v>
      </c>
      <c r="DU128" s="285">
        <v>19483</v>
      </c>
      <c r="DV128" s="285">
        <v>20474</v>
      </c>
      <c r="DW128" s="285">
        <v>19535</v>
      </c>
      <c r="DX128" s="285">
        <v>20840</v>
      </c>
      <c r="DY128" s="285">
        <v>21175</v>
      </c>
      <c r="DZ128" s="285">
        <v>22053</v>
      </c>
      <c r="EA128" s="285">
        <v>22161</v>
      </c>
      <c r="EB128" s="285">
        <v>23297</v>
      </c>
      <c r="EC128" s="285">
        <v>21831</v>
      </c>
      <c r="ED128" s="285">
        <v>21835</v>
      </c>
      <c r="EE128" s="285">
        <v>22595</v>
      </c>
      <c r="EF128" s="285">
        <v>22988</v>
      </c>
      <c r="EG128" s="285">
        <v>23205</v>
      </c>
      <c r="EH128" s="285">
        <v>23480</v>
      </c>
      <c r="EI128" s="285">
        <v>23186</v>
      </c>
      <c r="EJ128" s="285">
        <v>23426</v>
      </c>
      <c r="EK128" s="285">
        <v>23126</v>
      </c>
      <c r="EL128" s="285">
        <v>23665</v>
      </c>
      <c r="EM128" s="285">
        <v>22609</v>
      </c>
      <c r="EN128" s="285">
        <v>22128</v>
      </c>
      <c r="EO128" s="285">
        <v>21242</v>
      </c>
      <c r="EP128" s="285">
        <v>21516</v>
      </c>
      <c r="EQ128" s="285">
        <v>22363</v>
      </c>
      <c r="ER128" s="285">
        <v>21326</v>
      </c>
      <c r="ES128" s="285">
        <v>21732</v>
      </c>
      <c r="ET128" s="285">
        <v>22608</v>
      </c>
      <c r="EU128" s="285">
        <v>21166</v>
      </c>
      <c r="EV128" s="285">
        <v>20922</v>
      </c>
      <c r="EW128" s="285">
        <v>19363</v>
      </c>
      <c r="EX128" s="285">
        <v>19507</v>
      </c>
      <c r="EY128" s="285">
        <v>18492</v>
      </c>
      <c r="EZ128" s="285">
        <v>20118</v>
      </c>
      <c r="FA128" s="285">
        <v>17694</v>
      </c>
      <c r="FB128" s="285">
        <v>17302</v>
      </c>
      <c r="FC128" s="285">
        <v>17932</v>
      </c>
      <c r="FD128" s="285">
        <v>16967</v>
      </c>
      <c r="FE128" s="285">
        <v>18551</v>
      </c>
      <c r="FF128" s="285">
        <v>18371</v>
      </c>
      <c r="FG128" s="285">
        <v>17897</v>
      </c>
      <c r="FH128" s="285">
        <v>18732</v>
      </c>
      <c r="FI128" s="285">
        <v>19185</v>
      </c>
      <c r="FJ128" s="285">
        <v>18257</v>
      </c>
      <c r="FK128" s="285">
        <v>19730</v>
      </c>
      <c r="FL128" s="285">
        <v>19337</v>
      </c>
      <c r="FM128" s="285">
        <v>18012</v>
      </c>
      <c r="FN128" s="285">
        <v>18871</v>
      </c>
      <c r="FO128" s="285">
        <v>20208</v>
      </c>
      <c r="FP128" s="285">
        <v>20870</v>
      </c>
      <c r="FQ128" s="285">
        <v>20777</v>
      </c>
      <c r="FR128" s="285">
        <v>20324</v>
      </c>
      <c r="FS128" s="285">
        <v>20623</v>
      </c>
      <c r="FT128" s="285">
        <v>21000</v>
      </c>
      <c r="FU128" s="285">
        <v>21528</v>
      </c>
      <c r="FV128" s="285">
        <v>21851</v>
      </c>
      <c r="FW128" s="285">
        <v>23740</v>
      </c>
      <c r="FX128" s="285">
        <v>23854</v>
      </c>
      <c r="FY128" s="285">
        <v>22827</v>
      </c>
      <c r="FZ128" s="285">
        <v>23398</v>
      </c>
      <c r="GA128" s="285">
        <v>24103</v>
      </c>
      <c r="GB128" s="285">
        <v>24169</v>
      </c>
      <c r="GC128" s="285">
        <v>25357</v>
      </c>
      <c r="GD128" s="285">
        <v>25507</v>
      </c>
      <c r="GE128" s="285">
        <v>25409</v>
      </c>
      <c r="GF128" s="285">
        <v>25785</v>
      </c>
      <c r="GG128" s="285">
        <v>25404</v>
      </c>
      <c r="GH128" s="285">
        <v>25672</v>
      </c>
      <c r="GI128" s="285">
        <v>27370</v>
      </c>
      <c r="GJ128" s="285">
        <v>27124</v>
      </c>
      <c r="GK128" s="285">
        <v>26560</v>
      </c>
      <c r="GL128" s="285">
        <v>26240</v>
      </c>
      <c r="GM128" s="285">
        <v>27743</v>
      </c>
      <c r="GN128" s="285">
        <v>27893</v>
      </c>
      <c r="GO128" s="285">
        <v>27149</v>
      </c>
      <c r="GP128" s="285">
        <v>29961</v>
      </c>
      <c r="GQ128" s="285">
        <v>27997</v>
      </c>
      <c r="GR128" s="285">
        <v>28083</v>
      </c>
      <c r="GS128" s="285">
        <v>29051</v>
      </c>
      <c r="GT128" s="285">
        <v>27212</v>
      </c>
      <c r="GU128" s="285">
        <v>29211</v>
      </c>
      <c r="GV128" s="285">
        <v>30116</v>
      </c>
      <c r="GW128" s="285">
        <v>27817</v>
      </c>
      <c r="GX128" s="285">
        <v>28029</v>
      </c>
      <c r="GY128" s="285">
        <v>30306</v>
      </c>
      <c r="GZ128" s="285">
        <v>30410</v>
      </c>
      <c r="HA128" s="285">
        <v>29539</v>
      </c>
      <c r="HB128" s="285">
        <v>31233</v>
      </c>
      <c r="HC128" s="285">
        <v>30250</v>
      </c>
      <c r="HD128" s="285">
        <v>32119</v>
      </c>
      <c r="HE128" s="285">
        <v>31333</v>
      </c>
      <c r="HF128" s="285">
        <v>30033</v>
      </c>
      <c r="HG128" s="285">
        <v>31619</v>
      </c>
      <c r="HH128" s="285">
        <v>33645</v>
      </c>
      <c r="HI128" s="285">
        <v>29662</v>
      </c>
      <c r="HJ128" s="285">
        <v>30201</v>
      </c>
      <c r="HK128" s="285">
        <v>31411</v>
      </c>
      <c r="HL128" s="285">
        <v>32465</v>
      </c>
      <c r="HM128" s="285">
        <v>30940</v>
      </c>
      <c r="HN128" s="285">
        <v>32552</v>
      </c>
      <c r="HO128" s="285">
        <v>30732</v>
      </c>
      <c r="HP128" s="286">
        <v>33485</v>
      </c>
      <c r="HQ128" s="286">
        <v>30750</v>
      </c>
      <c r="HR128" s="286">
        <v>30423</v>
      </c>
      <c r="HS128" s="286">
        <v>32068</v>
      </c>
      <c r="HT128" s="286">
        <v>33121</v>
      </c>
      <c r="HU128" s="286">
        <v>30934</v>
      </c>
      <c r="HV128" s="545">
        <v>30523</v>
      </c>
      <c r="HW128" s="545">
        <v>32860</v>
      </c>
      <c r="HX128" s="545">
        <v>32856</v>
      </c>
      <c r="HY128" s="545">
        <v>28828</v>
      </c>
      <c r="HZ128" s="545">
        <v>30921</v>
      </c>
      <c r="IA128" s="545">
        <v>31319</v>
      </c>
      <c r="IB128" s="545">
        <v>35963</v>
      </c>
      <c r="IC128" s="545">
        <v>35912</v>
      </c>
      <c r="ID128" s="545">
        <v>34822</v>
      </c>
      <c r="IE128" s="545">
        <v>37263</v>
      </c>
      <c r="IF128" s="545">
        <v>33788</v>
      </c>
      <c r="IG128" s="285">
        <v>32809</v>
      </c>
      <c r="IH128" s="545">
        <v>32420</v>
      </c>
      <c r="II128" s="545">
        <v>34988</v>
      </c>
      <c r="IJ128" s="545">
        <v>33320</v>
      </c>
      <c r="IK128" s="545">
        <v>32693</v>
      </c>
      <c r="IL128" s="545">
        <v>32897</v>
      </c>
      <c r="IM128" s="851">
        <v>32956</v>
      </c>
      <c r="IN128" s="168"/>
    </row>
    <row r="129" spans="1:248">
      <c r="A129" s="81" t="s">
        <v>142</v>
      </c>
      <c r="B129" s="284">
        <v>8586</v>
      </c>
      <c r="C129" s="284">
        <v>8475</v>
      </c>
      <c r="D129" s="284">
        <v>8679</v>
      </c>
      <c r="E129" s="284">
        <v>8608</v>
      </c>
      <c r="F129" s="284">
        <v>8906</v>
      </c>
      <c r="G129" s="284">
        <v>8615</v>
      </c>
      <c r="H129" s="284">
        <v>8729</v>
      </c>
      <c r="I129" s="284">
        <v>9206</v>
      </c>
      <c r="J129" s="284">
        <v>8433</v>
      </c>
      <c r="K129" s="284">
        <v>8747</v>
      </c>
      <c r="L129" s="284">
        <v>9219</v>
      </c>
      <c r="M129" s="284">
        <v>8802</v>
      </c>
      <c r="N129" s="284">
        <v>8467</v>
      </c>
      <c r="O129" s="284">
        <v>8115</v>
      </c>
      <c r="P129" s="284">
        <v>8171</v>
      </c>
      <c r="Q129" s="284">
        <v>8661</v>
      </c>
      <c r="R129" s="284">
        <v>8137</v>
      </c>
      <c r="S129" s="284">
        <v>8973</v>
      </c>
      <c r="T129" s="284">
        <v>8923</v>
      </c>
      <c r="U129" s="284">
        <v>9040</v>
      </c>
      <c r="V129" s="284">
        <v>10093</v>
      </c>
      <c r="W129" s="284">
        <v>10478</v>
      </c>
      <c r="X129" s="284">
        <v>10736</v>
      </c>
      <c r="Y129" s="284">
        <v>10923</v>
      </c>
      <c r="Z129" s="284">
        <v>9542</v>
      </c>
      <c r="AA129" s="284">
        <v>10160</v>
      </c>
      <c r="AB129" s="284">
        <v>11057</v>
      </c>
      <c r="AC129" s="284">
        <v>10475</v>
      </c>
      <c r="AD129" s="284">
        <v>10608</v>
      </c>
      <c r="AE129" s="284">
        <v>11151</v>
      </c>
      <c r="AF129" s="284">
        <v>10917</v>
      </c>
      <c r="AG129" s="284">
        <v>11030</v>
      </c>
      <c r="AH129" s="284">
        <v>11819</v>
      </c>
      <c r="AI129" s="284">
        <v>11526</v>
      </c>
      <c r="AJ129" s="284">
        <v>11286</v>
      </c>
      <c r="AK129" s="284">
        <v>10996</v>
      </c>
      <c r="AL129" s="284">
        <v>11887</v>
      </c>
      <c r="AM129" s="284">
        <v>11412</v>
      </c>
      <c r="AN129" s="284">
        <v>12406</v>
      </c>
      <c r="AO129" s="284">
        <v>12039</v>
      </c>
      <c r="AP129" s="284">
        <v>12346</v>
      </c>
      <c r="AQ129" s="284">
        <v>12092</v>
      </c>
      <c r="AR129" s="284">
        <v>11799</v>
      </c>
      <c r="AS129" s="284">
        <v>12325</v>
      </c>
      <c r="AT129" s="284">
        <v>12815</v>
      </c>
      <c r="AU129" s="284">
        <v>12118</v>
      </c>
      <c r="AV129" s="284">
        <v>12757</v>
      </c>
      <c r="AW129" s="284">
        <v>12142</v>
      </c>
      <c r="AX129" s="284">
        <v>12039</v>
      </c>
      <c r="AY129" s="284">
        <v>12132</v>
      </c>
      <c r="AZ129" s="284">
        <v>12829</v>
      </c>
      <c r="BA129" s="284">
        <v>12451</v>
      </c>
      <c r="BB129" s="284">
        <v>13064</v>
      </c>
      <c r="BC129" s="284">
        <v>13034</v>
      </c>
      <c r="BD129" s="284">
        <v>13254</v>
      </c>
      <c r="BE129" s="284">
        <v>13895</v>
      </c>
      <c r="BF129" s="284">
        <v>14225</v>
      </c>
      <c r="BG129" s="284">
        <v>13774</v>
      </c>
      <c r="BH129" s="284">
        <v>14585</v>
      </c>
      <c r="BI129" s="284">
        <v>13663</v>
      </c>
      <c r="BJ129" s="284">
        <v>13972</v>
      </c>
      <c r="BK129" s="284">
        <v>14650</v>
      </c>
      <c r="BL129" s="284">
        <v>14748</v>
      </c>
      <c r="BM129" s="284">
        <v>14592</v>
      </c>
      <c r="BN129" s="284">
        <v>15931</v>
      </c>
      <c r="BO129" s="284">
        <v>15687</v>
      </c>
      <c r="BP129" s="284">
        <v>15471</v>
      </c>
      <c r="BQ129" s="284">
        <v>16499</v>
      </c>
      <c r="BR129" s="284">
        <v>15928</v>
      </c>
      <c r="BS129" s="284">
        <v>16986</v>
      </c>
      <c r="BT129" s="284">
        <v>16683</v>
      </c>
      <c r="BU129" s="284">
        <v>15771</v>
      </c>
      <c r="BV129" s="284">
        <v>15769</v>
      </c>
      <c r="BW129" s="284">
        <v>17382</v>
      </c>
      <c r="BX129" s="284">
        <v>17419</v>
      </c>
      <c r="BY129" s="284">
        <v>17238</v>
      </c>
      <c r="BZ129" s="284">
        <v>17310</v>
      </c>
      <c r="CA129" s="284">
        <v>16790</v>
      </c>
      <c r="CB129" s="284">
        <v>17707</v>
      </c>
      <c r="CC129" s="284">
        <v>19874</v>
      </c>
      <c r="CD129" s="284">
        <v>18363</v>
      </c>
      <c r="CE129" s="284">
        <v>18272</v>
      </c>
      <c r="CF129" s="284">
        <v>19396</v>
      </c>
      <c r="CG129" s="284">
        <v>18066</v>
      </c>
      <c r="CH129" s="284">
        <v>18998</v>
      </c>
      <c r="CI129" s="284">
        <v>18225</v>
      </c>
      <c r="CJ129" s="284">
        <v>18183</v>
      </c>
      <c r="CK129" s="284">
        <v>19086</v>
      </c>
      <c r="CL129" s="284">
        <v>19505</v>
      </c>
      <c r="CM129" s="284">
        <v>21699</v>
      </c>
      <c r="CN129" s="284">
        <v>23032</v>
      </c>
      <c r="CO129" s="284">
        <v>23655</v>
      </c>
      <c r="CP129" s="284">
        <v>26353</v>
      </c>
      <c r="CQ129" s="284">
        <v>28134</v>
      </c>
      <c r="CR129" s="284">
        <v>26595</v>
      </c>
      <c r="CS129" s="284">
        <v>24784</v>
      </c>
      <c r="CT129" s="284">
        <v>23629</v>
      </c>
      <c r="CU129" s="284">
        <v>24513</v>
      </c>
      <c r="CV129" s="284">
        <v>25631</v>
      </c>
      <c r="CW129" s="284">
        <v>25433</v>
      </c>
      <c r="CX129" s="284">
        <v>25176</v>
      </c>
      <c r="CY129" s="284">
        <v>25086</v>
      </c>
      <c r="CZ129" s="284">
        <v>24981</v>
      </c>
      <c r="DA129" s="284">
        <v>24579</v>
      </c>
      <c r="DB129" s="284">
        <v>25139</v>
      </c>
      <c r="DC129" s="284">
        <v>25308</v>
      </c>
      <c r="DD129" s="284">
        <v>25200</v>
      </c>
      <c r="DE129" s="284">
        <v>25326</v>
      </c>
      <c r="DF129" s="284">
        <v>23537</v>
      </c>
      <c r="DG129" s="284">
        <v>24592</v>
      </c>
      <c r="DH129" s="284">
        <v>25755</v>
      </c>
      <c r="DI129" s="284">
        <v>26211</v>
      </c>
      <c r="DJ129" s="284">
        <v>26557</v>
      </c>
      <c r="DK129" s="284">
        <v>27378</v>
      </c>
      <c r="DL129" s="284">
        <v>28744</v>
      </c>
      <c r="DM129" s="284">
        <v>29014</v>
      </c>
      <c r="DN129" s="284">
        <v>29014</v>
      </c>
      <c r="DO129" s="284">
        <v>30530</v>
      </c>
      <c r="DP129" s="284">
        <v>30927</v>
      </c>
      <c r="DQ129" s="284">
        <v>27870</v>
      </c>
      <c r="DR129" s="284">
        <v>29172</v>
      </c>
      <c r="DS129" s="284">
        <v>28731</v>
      </c>
      <c r="DT129" s="284">
        <v>31120</v>
      </c>
      <c r="DU129" s="284">
        <v>30416</v>
      </c>
      <c r="DV129" s="284">
        <v>33432</v>
      </c>
      <c r="DW129" s="284">
        <v>34001</v>
      </c>
      <c r="DX129" s="284">
        <v>33338</v>
      </c>
      <c r="DY129" s="284">
        <v>36999</v>
      </c>
      <c r="DZ129" s="284">
        <v>36495</v>
      </c>
      <c r="EA129" s="284">
        <v>35496</v>
      </c>
      <c r="EB129" s="284">
        <v>37493</v>
      </c>
      <c r="EC129" s="284">
        <v>35573</v>
      </c>
      <c r="ED129" s="284">
        <v>41050</v>
      </c>
      <c r="EE129" s="284">
        <v>43486</v>
      </c>
      <c r="EF129" s="284">
        <v>46658</v>
      </c>
      <c r="EG129" s="284">
        <v>49324</v>
      </c>
      <c r="EH129" s="284">
        <v>49329</v>
      </c>
      <c r="EI129" s="284">
        <v>49069</v>
      </c>
      <c r="EJ129" s="284">
        <v>52463</v>
      </c>
      <c r="EK129" s="284">
        <v>54945</v>
      </c>
      <c r="EL129" s="284">
        <v>52042</v>
      </c>
      <c r="EM129" s="284">
        <v>51405</v>
      </c>
      <c r="EN129" s="284">
        <v>51343</v>
      </c>
      <c r="EO129" s="284">
        <v>51030</v>
      </c>
      <c r="EP129" s="284">
        <v>53332</v>
      </c>
      <c r="EQ129" s="284">
        <v>56415</v>
      </c>
      <c r="ER129" s="284">
        <v>56427</v>
      </c>
      <c r="ES129" s="284">
        <v>59274</v>
      </c>
      <c r="ET129" s="284">
        <v>59459</v>
      </c>
      <c r="EU129" s="284">
        <v>60281</v>
      </c>
      <c r="EV129" s="284">
        <v>65651</v>
      </c>
      <c r="EW129" s="284">
        <v>65161</v>
      </c>
      <c r="EX129" s="284">
        <v>61911</v>
      </c>
      <c r="EY129" s="284">
        <v>62768</v>
      </c>
      <c r="EZ129" s="284">
        <v>63917</v>
      </c>
      <c r="FA129" s="284">
        <v>58913</v>
      </c>
      <c r="FB129" s="284">
        <v>57306</v>
      </c>
      <c r="FC129" s="284">
        <v>62480</v>
      </c>
      <c r="FD129" s="284">
        <v>62418</v>
      </c>
      <c r="FE129" s="284">
        <v>62214</v>
      </c>
      <c r="FF129" s="284">
        <v>62162</v>
      </c>
      <c r="FG129" s="284">
        <v>62022</v>
      </c>
      <c r="FH129" s="284">
        <v>63270</v>
      </c>
      <c r="FI129" s="284">
        <v>61069</v>
      </c>
      <c r="FJ129" s="284">
        <v>64458</v>
      </c>
      <c r="FK129" s="284">
        <v>62320</v>
      </c>
      <c r="FL129" s="284">
        <v>64106</v>
      </c>
      <c r="FM129" s="284">
        <v>59552</v>
      </c>
      <c r="FN129" s="284">
        <v>55070</v>
      </c>
      <c r="FO129" s="284">
        <v>58670</v>
      </c>
      <c r="FP129" s="284">
        <v>58182</v>
      </c>
      <c r="FQ129" s="284">
        <v>56607</v>
      </c>
      <c r="FR129" s="284">
        <v>54140</v>
      </c>
      <c r="FS129" s="284">
        <v>50408</v>
      </c>
      <c r="FT129" s="284">
        <v>53653</v>
      </c>
      <c r="FU129" s="284">
        <v>54543</v>
      </c>
      <c r="FV129" s="284">
        <v>55606</v>
      </c>
      <c r="FW129" s="284">
        <v>54971</v>
      </c>
      <c r="FX129" s="284">
        <v>55288</v>
      </c>
      <c r="FY129" s="284">
        <v>52232</v>
      </c>
      <c r="FZ129" s="284">
        <v>49856</v>
      </c>
      <c r="GA129" s="284">
        <v>53465</v>
      </c>
      <c r="GB129" s="284">
        <v>52077</v>
      </c>
      <c r="GC129" s="284">
        <v>50175</v>
      </c>
      <c r="GD129" s="284">
        <v>53912</v>
      </c>
      <c r="GE129" s="284">
        <v>51412</v>
      </c>
      <c r="GF129" s="284">
        <v>53867</v>
      </c>
      <c r="GG129" s="284">
        <v>54737</v>
      </c>
      <c r="GH129" s="284">
        <v>50381</v>
      </c>
      <c r="GI129" s="284">
        <v>52632</v>
      </c>
      <c r="GJ129" s="284">
        <v>55827</v>
      </c>
      <c r="GK129" s="284">
        <v>49331</v>
      </c>
      <c r="GL129" s="284">
        <v>51234</v>
      </c>
      <c r="GM129" s="284">
        <v>55392</v>
      </c>
      <c r="GN129" s="284">
        <v>52566</v>
      </c>
      <c r="GO129" s="284">
        <v>52393</v>
      </c>
      <c r="GP129" s="284">
        <v>54600</v>
      </c>
      <c r="GQ129" s="284">
        <v>52104</v>
      </c>
      <c r="GR129" s="284">
        <v>54969</v>
      </c>
      <c r="GS129" s="284">
        <v>53422</v>
      </c>
      <c r="GT129" s="284">
        <v>51926</v>
      </c>
      <c r="GU129" s="284">
        <v>55081</v>
      </c>
      <c r="GV129" s="284">
        <v>55139</v>
      </c>
      <c r="GW129" s="284">
        <v>50570</v>
      </c>
      <c r="GX129" s="284">
        <v>49860</v>
      </c>
      <c r="GY129" s="284">
        <v>54447</v>
      </c>
      <c r="GZ129" s="284">
        <v>54932</v>
      </c>
      <c r="HA129" s="284">
        <v>54399</v>
      </c>
      <c r="HB129" s="284">
        <v>55357</v>
      </c>
      <c r="HC129" s="284">
        <v>54445</v>
      </c>
      <c r="HD129" s="284">
        <v>58559</v>
      </c>
      <c r="HE129" s="284">
        <v>61390</v>
      </c>
      <c r="HF129" s="284">
        <v>56342</v>
      </c>
      <c r="HG129" s="284">
        <v>60477</v>
      </c>
      <c r="HH129" s="284">
        <v>61008</v>
      </c>
      <c r="HI129" s="284">
        <v>54981</v>
      </c>
      <c r="HJ129" s="284">
        <v>59110</v>
      </c>
      <c r="HK129" s="284">
        <v>61941</v>
      </c>
      <c r="HL129" s="284">
        <v>60724</v>
      </c>
      <c r="HM129" s="284">
        <v>60796</v>
      </c>
      <c r="HN129" s="284">
        <v>63611</v>
      </c>
      <c r="HO129" s="284">
        <v>62035</v>
      </c>
      <c r="HP129" s="284">
        <v>68876</v>
      </c>
      <c r="HQ129" s="284">
        <v>66262</v>
      </c>
      <c r="HR129" s="284">
        <v>66527</v>
      </c>
      <c r="HS129" s="284">
        <v>70463</v>
      </c>
      <c r="HT129" s="284">
        <v>70678</v>
      </c>
      <c r="HU129" s="284">
        <v>64398</v>
      </c>
      <c r="HV129" s="284">
        <v>66321</v>
      </c>
      <c r="HW129" s="284">
        <v>72671</v>
      </c>
      <c r="HX129" s="284">
        <v>70852</v>
      </c>
      <c r="HY129" s="284">
        <v>61243</v>
      </c>
      <c r="HZ129" s="284">
        <v>63288</v>
      </c>
      <c r="IA129" s="284">
        <v>62433</v>
      </c>
      <c r="IB129" s="284">
        <v>78915</v>
      </c>
      <c r="IC129" s="284">
        <v>79122</v>
      </c>
      <c r="ID129" s="284">
        <v>79378</v>
      </c>
      <c r="IE129" s="284">
        <v>80745</v>
      </c>
      <c r="IF129" s="284">
        <v>74524</v>
      </c>
      <c r="IG129" s="284">
        <v>72786</v>
      </c>
      <c r="IH129" s="284">
        <v>70096</v>
      </c>
      <c r="II129" s="284">
        <v>78532</v>
      </c>
      <c r="IJ129" s="284">
        <v>78112</v>
      </c>
      <c r="IK129" s="284">
        <v>76122</v>
      </c>
      <c r="IL129" s="284">
        <v>73996</v>
      </c>
      <c r="IM129" s="850">
        <v>71467</v>
      </c>
      <c r="IN129" s="168"/>
    </row>
    <row r="130" spans="1:248">
      <c r="A130" s="81" t="s">
        <v>1203</v>
      </c>
      <c r="B130" s="285">
        <v>308</v>
      </c>
      <c r="C130" s="285">
        <v>320</v>
      </c>
      <c r="D130" s="285">
        <v>333</v>
      </c>
      <c r="E130" s="285">
        <v>405</v>
      </c>
      <c r="F130" s="285">
        <v>396</v>
      </c>
      <c r="G130" s="285">
        <v>449</v>
      </c>
      <c r="H130" s="285">
        <v>481</v>
      </c>
      <c r="I130" s="285">
        <v>560</v>
      </c>
      <c r="J130" s="285">
        <v>752</v>
      </c>
      <c r="K130" s="285">
        <v>812</v>
      </c>
      <c r="L130" s="285">
        <v>725</v>
      </c>
      <c r="M130" s="285">
        <v>498</v>
      </c>
      <c r="N130" s="285">
        <v>572</v>
      </c>
      <c r="O130" s="285">
        <v>561</v>
      </c>
      <c r="P130" s="285">
        <v>459</v>
      </c>
      <c r="Q130" s="285">
        <v>471</v>
      </c>
      <c r="R130" s="285">
        <v>582</v>
      </c>
      <c r="S130" s="285">
        <v>544</v>
      </c>
      <c r="T130" s="285">
        <v>520</v>
      </c>
      <c r="U130" s="285">
        <v>521</v>
      </c>
      <c r="V130" s="285">
        <v>499</v>
      </c>
      <c r="W130" s="285">
        <v>501</v>
      </c>
      <c r="X130" s="285">
        <v>474</v>
      </c>
      <c r="Y130" s="285">
        <v>394</v>
      </c>
      <c r="Z130" s="285">
        <v>446</v>
      </c>
      <c r="AA130" s="285">
        <v>409</v>
      </c>
      <c r="AB130" s="285">
        <v>402</v>
      </c>
      <c r="AC130" s="285">
        <v>395</v>
      </c>
      <c r="AD130" s="285">
        <v>435</v>
      </c>
      <c r="AE130" s="285">
        <v>481</v>
      </c>
      <c r="AF130" s="285">
        <v>488</v>
      </c>
      <c r="AG130" s="285">
        <v>477</v>
      </c>
      <c r="AH130" s="285">
        <v>460</v>
      </c>
      <c r="AI130" s="285">
        <v>455</v>
      </c>
      <c r="AJ130" s="285">
        <v>476</v>
      </c>
      <c r="AK130" s="285">
        <v>482</v>
      </c>
      <c r="AL130" s="285">
        <v>463</v>
      </c>
      <c r="AM130" s="285">
        <v>492</v>
      </c>
      <c r="AN130" s="285">
        <v>498</v>
      </c>
      <c r="AO130" s="285">
        <v>484</v>
      </c>
      <c r="AP130" s="285">
        <v>489</v>
      </c>
      <c r="AQ130" s="285">
        <v>485</v>
      </c>
      <c r="AR130" s="285">
        <v>481</v>
      </c>
      <c r="AS130" s="285">
        <v>466</v>
      </c>
      <c r="AT130" s="285">
        <v>470</v>
      </c>
      <c r="AU130" s="285">
        <v>476</v>
      </c>
      <c r="AV130" s="285">
        <v>502</v>
      </c>
      <c r="AW130" s="285">
        <v>491</v>
      </c>
      <c r="AX130" s="285">
        <v>541</v>
      </c>
      <c r="AY130" s="285">
        <v>546</v>
      </c>
      <c r="AZ130" s="285">
        <v>585</v>
      </c>
      <c r="BA130" s="285">
        <v>570</v>
      </c>
      <c r="BB130" s="285">
        <v>575</v>
      </c>
      <c r="BC130" s="285">
        <v>599</v>
      </c>
      <c r="BD130" s="285">
        <v>585</v>
      </c>
      <c r="BE130" s="285">
        <v>600</v>
      </c>
      <c r="BF130" s="285">
        <v>515</v>
      </c>
      <c r="BG130" s="285">
        <v>612</v>
      </c>
      <c r="BH130" s="285">
        <v>594</v>
      </c>
      <c r="BI130" s="285">
        <v>542</v>
      </c>
      <c r="BJ130" s="285">
        <v>570</v>
      </c>
      <c r="BK130" s="285">
        <v>518</v>
      </c>
      <c r="BL130" s="285">
        <v>506</v>
      </c>
      <c r="BM130" s="285">
        <v>469</v>
      </c>
      <c r="BN130" s="285">
        <v>487</v>
      </c>
      <c r="BO130" s="285">
        <v>480</v>
      </c>
      <c r="BP130" s="285">
        <v>472</v>
      </c>
      <c r="BQ130" s="285">
        <v>432</v>
      </c>
      <c r="BR130" s="285">
        <v>455</v>
      </c>
      <c r="BS130" s="285">
        <v>404</v>
      </c>
      <c r="BT130" s="285">
        <v>401</v>
      </c>
      <c r="BU130" s="285">
        <v>386</v>
      </c>
      <c r="BV130" s="285">
        <v>385</v>
      </c>
      <c r="BW130" s="285">
        <v>493</v>
      </c>
      <c r="BX130" s="285">
        <v>378</v>
      </c>
      <c r="BY130" s="285">
        <v>381</v>
      </c>
      <c r="BZ130" s="285">
        <v>386</v>
      </c>
      <c r="CA130" s="285">
        <v>395</v>
      </c>
      <c r="CB130" s="285">
        <v>487</v>
      </c>
      <c r="CC130" s="285">
        <v>414</v>
      </c>
      <c r="CD130" s="285">
        <v>424</v>
      </c>
      <c r="CE130" s="285">
        <v>427</v>
      </c>
      <c r="CF130" s="285">
        <v>547</v>
      </c>
      <c r="CG130" s="285">
        <v>453</v>
      </c>
      <c r="CH130" s="285">
        <v>465</v>
      </c>
      <c r="CI130" s="285">
        <v>470</v>
      </c>
      <c r="CJ130" s="285">
        <v>461</v>
      </c>
      <c r="CK130" s="285">
        <v>460</v>
      </c>
      <c r="CL130" s="285">
        <v>481</v>
      </c>
      <c r="CM130" s="285">
        <v>477</v>
      </c>
      <c r="CN130" s="285">
        <v>464</v>
      </c>
      <c r="CO130" s="285">
        <v>479</v>
      </c>
      <c r="CP130" s="285">
        <v>480</v>
      </c>
      <c r="CQ130" s="285">
        <v>486</v>
      </c>
      <c r="CR130" s="285">
        <v>498</v>
      </c>
      <c r="CS130" s="285">
        <v>353</v>
      </c>
      <c r="CT130" s="285">
        <v>289</v>
      </c>
      <c r="CU130" s="285">
        <v>268</v>
      </c>
      <c r="CV130" s="285">
        <v>278</v>
      </c>
      <c r="CW130" s="285">
        <v>273</v>
      </c>
      <c r="CX130" s="285">
        <v>265</v>
      </c>
      <c r="CY130" s="285">
        <v>263</v>
      </c>
      <c r="CZ130" s="285">
        <v>236</v>
      </c>
      <c r="DA130" s="285">
        <v>238</v>
      </c>
      <c r="DB130" s="285">
        <v>234</v>
      </c>
      <c r="DC130" s="285">
        <v>240</v>
      </c>
      <c r="DD130" s="285">
        <v>279</v>
      </c>
      <c r="DE130" s="285">
        <v>320</v>
      </c>
      <c r="DF130" s="285">
        <v>346</v>
      </c>
      <c r="DG130" s="285">
        <v>373</v>
      </c>
      <c r="DH130" s="285">
        <v>400</v>
      </c>
      <c r="DI130" s="285">
        <v>431</v>
      </c>
      <c r="DJ130" s="285">
        <v>448</v>
      </c>
      <c r="DK130" s="285">
        <v>525</v>
      </c>
      <c r="DL130" s="285">
        <v>521</v>
      </c>
      <c r="DM130" s="285">
        <v>553</v>
      </c>
      <c r="DN130" s="285">
        <v>503</v>
      </c>
      <c r="DO130" s="285">
        <v>508</v>
      </c>
      <c r="DP130" s="285">
        <v>472</v>
      </c>
      <c r="DQ130" s="285">
        <v>476</v>
      </c>
      <c r="DR130" s="285">
        <v>461</v>
      </c>
      <c r="DS130" s="285">
        <v>494</v>
      </c>
      <c r="DT130" s="285">
        <v>580</v>
      </c>
      <c r="DU130" s="285">
        <v>606</v>
      </c>
      <c r="DV130" s="285">
        <v>709</v>
      </c>
      <c r="DW130" s="285">
        <v>768</v>
      </c>
      <c r="DX130" s="285">
        <v>609</v>
      </c>
      <c r="DY130" s="285">
        <v>587</v>
      </c>
      <c r="DZ130" s="285">
        <v>592</v>
      </c>
      <c r="EA130" s="285">
        <v>617</v>
      </c>
      <c r="EB130" s="285">
        <v>625</v>
      </c>
      <c r="EC130" s="285">
        <v>647</v>
      </c>
      <c r="ED130" s="285">
        <v>687</v>
      </c>
      <c r="EE130" s="285">
        <v>705</v>
      </c>
      <c r="EF130" s="285">
        <v>680</v>
      </c>
      <c r="EG130" s="285">
        <v>709</v>
      </c>
      <c r="EH130" s="285">
        <v>707</v>
      </c>
      <c r="EI130" s="285">
        <v>633</v>
      </c>
      <c r="EJ130" s="285">
        <v>616</v>
      </c>
      <c r="EK130" s="285">
        <v>443</v>
      </c>
      <c r="EL130" s="285">
        <v>442</v>
      </c>
      <c r="EM130" s="285">
        <v>418</v>
      </c>
      <c r="EN130" s="285">
        <v>417</v>
      </c>
      <c r="EO130" s="285">
        <v>422</v>
      </c>
      <c r="EP130" s="285">
        <v>418</v>
      </c>
      <c r="EQ130" s="285">
        <v>434</v>
      </c>
      <c r="ER130" s="285">
        <v>422</v>
      </c>
      <c r="ES130" s="285">
        <v>431</v>
      </c>
      <c r="ET130" s="285">
        <v>385</v>
      </c>
      <c r="EU130" s="285">
        <v>374</v>
      </c>
      <c r="EV130" s="285">
        <v>355</v>
      </c>
      <c r="EW130" s="285">
        <v>370</v>
      </c>
      <c r="EX130" s="285">
        <v>374</v>
      </c>
      <c r="EY130" s="285">
        <v>365</v>
      </c>
      <c r="EZ130" s="285">
        <v>372</v>
      </c>
      <c r="FA130" s="285">
        <v>373</v>
      </c>
      <c r="FB130" s="285">
        <v>371</v>
      </c>
      <c r="FC130" s="285">
        <v>375</v>
      </c>
      <c r="FD130" s="285">
        <v>360</v>
      </c>
      <c r="FE130" s="285">
        <v>411</v>
      </c>
      <c r="FF130" s="285">
        <v>496</v>
      </c>
      <c r="FG130" s="285">
        <v>445</v>
      </c>
      <c r="FH130" s="285">
        <v>493</v>
      </c>
      <c r="FI130" s="285">
        <v>472</v>
      </c>
      <c r="FJ130" s="285">
        <v>472</v>
      </c>
      <c r="FK130" s="285">
        <v>541</v>
      </c>
      <c r="FL130" s="285">
        <v>536</v>
      </c>
      <c r="FM130" s="285">
        <v>487</v>
      </c>
      <c r="FN130" s="285">
        <v>595</v>
      </c>
      <c r="FO130" s="285">
        <v>687</v>
      </c>
      <c r="FP130" s="285">
        <v>679</v>
      </c>
      <c r="FQ130" s="285">
        <v>613</v>
      </c>
      <c r="FR130" s="285">
        <v>562</v>
      </c>
      <c r="FS130" s="285">
        <v>633</v>
      </c>
      <c r="FT130" s="285">
        <v>706</v>
      </c>
      <c r="FU130" s="285">
        <v>716</v>
      </c>
      <c r="FV130" s="285">
        <v>682</v>
      </c>
      <c r="FW130" s="285">
        <v>701</v>
      </c>
      <c r="FX130" s="285">
        <v>791</v>
      </c>
      <c r="FY130" s="285">
        <v>649</v>
      </c>
      <c r="FZ130" s="285">
        <v>636</v>
      </c>
      <c r="GA130" s="285">
        <v>752</v>
      </c>
      <c r="GB130" s="285">
        <v>847</v>
      </c>
      <c r="GC130" s="285">
        <v>809</v>
      </c>
      <c r="GD130" s="285">
        <v>914</v>
      </c>
      <c r="GE130" s="285">
        <v>890</v>
      </c>
      <c r="GF130" s="285">
        <v>926</v>
      </c>
      <c r="GG130" s="285">
        <v>985</v>
      </c>
      <c r="GH130" s="285">
        <v>919</v>
      </c>
      <c r="GI130" s="285">
        <v>929</v>
      </c>
      <c r="GJ130" s="285">
        <v>878</v>
      </c>
      <c r="GK130" s="285">
        <v>900</v>
      </c>
      <c r="GL130" s="285">
        <v>950</v>
      </c>
      <c r="GM130" s="285">
        <v>1076</v>
      </c>
      <c r="GN130" s="285">
        <v>1179</v>
      </c>
      <c r="GO130" s="285">
        <v>1377</v>
      </c>
      <c r="GP130" s="285">
        <v>1409</v>
      </c>
      <c r="GQ130" s="285">
        <v>1480</v>
      </c>
      <c r="GR130" s="285">
        <v>1508</v>
      </c>
      <c r="GS130" s="285">
        <v>1725</v>
      </c>
      <c r="GT130" s="285">
        <v>1732</v>
      </c>
      <c r="GU130" s="285">
        <v>1916</v>
      </c>
      <c r="GV130" s="285">
        <v>2159</v>
      </c>
      <c r="GW130" s="285">
        <v>2319</v>
      </c>
      <c r="GX130" s="285">
        <v>2567</v>
      </c>
      <c r="GY130" s="285">
        <v>2874</v>
      </c>
      <c r="GZ130" s="285">
        <v>3105</v>
      </c>
      <c r="HA130" s="285">
        <v>3105</v>
      </c>
      <c r="HB130" s="285">
        <v>3554</v>
      </c>
      <c r="HC130" s="285">
        <v>3092</v>
      </c>
      <c r="HD130" s="285">
        <v>3175</v>
      </c>
      <c r="HE130" s="285">
        <v>3045</v>
      </c>
      <c r="HF130" s="285">
        <v>2993</v>
      </c>
      <c r="HG130" s="285">
        <v>3375</v>
      </c>
      <c r="HH130" s="285">
        <v>3435</v>
      </c>
      <c r="HI130" s="285">
        <v>3328</v>
      </c>
      <c r="HJ130" s="285">
        <v>3216</v>
      </c>
      <c r="HK130" s="285">
        <v>3861</v>
      </c>
      <c r="HL130" s="285">
        <v>3987</v>
      </c>
      <c r="HM130" s="285">
        <v>4081</v>
      </c>
      <c r="HN130" s="285">
        <v>4230</v>
      </c>
      <c r="HO130" s="285">
        <v>4549</v>
      </c>
      <c r="HP130" s="286">
        <v>4530</v>
      </c>
      <c r="HQ130" s="286">
        <v>3531</v>
      </c>
      <c r="HR130" s="286">
        <v>3184</v>
      </c>
      <c r="HS130" s="286">
        <v>2901</v>
      </c>
      <c r="HT130" s="286">
        <v>2537</v>
      </c>
      <c r="HU130" s="286">
        <v>2185</v>
      </c>
      <c r="HV130" s="545">
        <v>2056</v>
      </c>
      <c r="HW130" s="545">
        <v>2104</v>
      </c>
      <c r="HX130" s="545">
        <v>2286</v>
      </c>
      <c r="HY130" s="545">
        <v>2267</v>
      </c>
      <c r="HZ130" s="545">
        <v>2227</v>
      </c>
      <c r="IA130" s="545">
        <v>2144</v>
      </c>
      <c r="IB130" s="545">
        <v>2996</v>
      </c>
      <c r="IC130" s="545">
        <v>2616</v>
      </c>
      <c r="ID130" s="545">
        <v>2737</v>
      </c>
      <c r="IE130" s="545">
        <v>2851</v>
      </c>
      <c r="IF130" s="545">
        <v>2235</v>
      </c>
      <c r="IG130" s="285">
        <v>2114</v>
      </c>
      <c r="IH130" s="545">
        <v>2164</v>
      </c>
      <c r="II130" s="545">
        <v>2857</v>
      </c>
      <c r="IJ130" s="545">
        <v>2264</v>
      </c>
      <c r="IK130" s="545">
        <v>2187</v>
      </c>
      <c r="IL130" s="545">
        <v>2004</v>
      </c>
      <c r="IM130" s="851">
        <v>2008</v>
      </c>
      <c r="IN130" s="168"/>
    </row>
    <row r="131" spans="1:248">
      <c r="A131" s="81" t="s">
        <v>192</v>
      </c>
      <c r="B131" s="284">
        <v>2249</v>
      </c>
      <c r="C131" s="284">
        <v>2315</v>
      </c>
      <c r="D131" s="284">
        <v>2274</v>
      </c>
      <c r="E131" s="284">
        <v>2337</v>
      </c>
      <c r="F131" s="284">
        <v>2363</v>
      </c>
      <c r="G131" s="284">
        <v>2503</v>
      </c>
      <c r="H131" s="284">
        <v>2310</v>
      </c>
      <c r="I131" s="284">
        <v>2185</v>
      </c>
      <c r="J131" s="284">
        <v>2153</v>
      </c>
      <c r="K131" s="284">
        <v>2098</v>
      </c>
      <c r="L131" s="284">
        <v>2080</v>
      </c>
      <c r="M131" s="284">
        <v>2250</v>
      </c>
      <c r="N131" s="284">
        <v>2166</v>
      </c>
      <c r="O131" s="284">
        <v>2339</v>
      </c>
      <c r="P131" s="284">
        <v>2398</v>
      </c>
      <c r="Q131" s="284">
        <v>2669</v>
      </c>
      <c r="R131" s="284">
        <v>2153</v>
      </c>
      <c r="S131" s="284">
        <v>2132</v>
      </c>
      <c r="T131" s="284">
        <v>1980</v>
      </c>
      <c r="U131" s="284">
        <v>1933</v>
      </c>
      <c r="V131" s="284">
        <v>1916</v>
      </c>
      <c r="W131" s="284">
        <v>2010</v>
      </c>
      <c r="X131" s="284">
        <v>1957</v>
      </c>
      <c r="Y131" s="284">
        <v>2045</v>
      </c>
      <c r="Z131" s="284">
        <v>2085</v>
      </c>
      <c r="AA131" s="284">
        <v>2099</v>
      </c>
      <c r="AB131" s="284">
        <v>2338</v>
      </c>
      <c r="AC131" s="284">
        <v>2136</v>
      </c>
      <c r="AD131" s="284">
        <v>1968</v>
      </c>
      <c r="AE131" s="284">
        <v>2136</v>
      </c>
      <c r="AF131" s="284">
        <v>2202</v>
      </c>
      <c r="AG131" s="284">
        <v>2393</v>
      </c>
      <c r="AH131" s="284">
        <v>2164</v>
      </c>
      <c r="AI131" s="284">
        <v>2479</v>
      </c>
      <c r="AJ131" s="284">
        <v>2283</v>
      </c>
      <c r="AK131" s="284">
        <v>2231</v>
      </c>
      <c r="AL131" s="284">
        <v>2454</v>
      </c>
      <c r="AM131" s="284">
        <v>2494</v>
      </c>
      <c r="AN131" s="284">
        <v>2477</v>
      </c>
      <c r="AO131" s="284">
        <v>2366</v>
      </c>
      <c r="AP131" s="284">
        <v>2510</v>
      </c>
      <c r="AQ131" s="284">
        <v>2091</v>
      </c>
      <c r="AR131" s="284">
        <v>2580</v>
      </c>
      <c r="AS131" s="284">
        <v>2311</v>
      </c>
      <c r="AT131" s="284">
        <v>2359</v>
      </c>
      <c r="AU131" s="284">
        <v>2342</v>
      </c>
      <c r="AV131" s="284">
        <v>2527</v>
      </c>
      <c r="AW131" s="284">
        <v>2395</v>
      </c>
      <c r="AX131" s="284">
        <v>2819</v>
      </c>
      <c r="AY131" s="284">
        <v>3026</v>
      </c>
      <c r="AZ131" s="284">
        <v>2436</v>
      </c>
      <c r="BA131" s="284">
        <v>2451</v>
      </c>
      <c r="BB131" s="284">
        <v>2440</v>
      </c>
      <c r="BC131" s="284">
        <v>2685</v>
      </c>
      <c r="BD131" s="284">
        <v>2643</v>
      </c>
      <c r="BE131" s="284">
        <v>2784</v>
      </c>
      <c r="BF131" s="284">
        <v>2322</v>
      </c>
      <c r="BG131" s="284">
        <v>2479</v>
      </c>
      <c r="BH131" s="284">
        <v>2707</v>
      </c>
      <c r="BI131" s="284">
        <v>2747</v>
      </c>
      <c r="BJ131" s="284">
        <v>2671</v>
      </c>
      <c r="BK131" s="284">
        <v>2849</v>
      </c>
      <c r="BL131" s="284">
        <v>3485</v>
      </c>
      <c r="BM131" s="284">
        <v>3345</v>
      </c>
      <c r="BN131" s="284">
        <v>3216</v>
      </c>
      <c r="BO131" s="284">
        <v>2722</v>
      </c>
      <c r="BP131" s="284">
        <v>3046</v>
      </c>
      <c r="BQ131" s="284">
        <v>2593</v>
      </c>
      <c r="BR131" s="284">
        <v>2652</v>
      </c>
      <c r="BS131" s="284">
        <v>2744</v>
      </c>
      <c r="BT131" s="284">
        <v>2927</v>
      </c>
      <c r="BU131" s="284">
        <v>2561</v>
      </c>
      <c r="BV131" s="284">
        <v>2864</v>
      </c>
      <c r="BW131" s="284">
        <v>3132</v>
      </c>
      <c r="BX131" s="284">
        <v>3258</v>
      </c>
      <c r="BY131" s="284">
        <v>3020</v>
      </c>
      <c r="BZ131" s="284">
        <v>2824</v>
      </c>
      <c r="CA131" s="284">
        <v>2912</v>
      </c>
      <c r="CB131" s="284">
        <v>3130</v>
      </c>
      <c r="CC131" s="284">
        <v>2455</v>
      </c>
      <c r="CD131" s="284">
        <v>2668</v>
      </c>
      <c r="CE131" s="284">
        <v>2554</v>
      </c>
      <c r="CF131" s="284">
        <v>2755</v>
      </c>
      <c r="CG131" s="284">
        <v>2507</v>
      </c>
      <c r="CH131" s="284">
        <v>2451</v>
      </c>
      <c r="CI131" s="284">
        <v>3050</v>
      </c>
      <c r="CJ131" s="284">
        <v>2659</v>
      </c>
      <c r="CK131" s="284">
        <v>2836</v>
      </c>
      <c r="CL131" s="284">
        <v>2447</v>
      </c>
      <c r="CM131" s="284">
        <v>3152</v>
      </c>
      <c r="CN131" s="284">
        <v>2461</v>
      </c>
      <c r="CO131" s="284">
        <v>2479</v>
      </c>
      <c r="CP131" s="284">
        <v>2647</v>
      </c>
      <c r="CQ131" s="284">
        <v>2708</v>
      </c>
      <c r="CR131" s="284">
        <v>2807</v>
      </c>
      <c r="CS131" s="284">
        <v>2562</v>
      </c>
      <c r="CT131" s="284">
        <v>2556</v>
      </c>
      <c r="CU131" s="284">
        <v>2415</v>
      </c>
      <c r="CV131" s="284">
        <v>2652</v>
      </c>
      <c r="CW131" s="284">
        <v>2215</v>
      </c>
      <c r="CX131" s="284">
        <v>2201</v>
      </c>
      <c r="CY131" s="284">
        <v>2052</v>
      </c>
      <c r="CZ131" s="284">
        <v>1944</v>
      </c>
      <c r="DA131" s="284">
        <v>1932</v>
      </c>
      <c r="DB131" s="284">
        <v>1797</v>
      </c>
      <c r="DC131" s="284">
        <v>1823</v>
      </c>
      <c r="DD131" s="284">
        <v>1853</v>
      </c>
      <c r="DE131" s="284">
        <v>1677</v>
      </c>
      <c r="DF131" s="284">
        <v>1757</v>
      </c>
      <c r="DG131" s="284">
        <v>1837</v>
      </c>
      <c r="DH131" s="284">
        <v>1835</v>
      </c>
      <c r="DI131" s="284">
        <v>1764</v>
      </c>
      <c r="DJ131" s="284">
        <v>1780</v>
      </c>
      <c r="DK131" s="284">
        <v>1732</v>
      </c>
      <c r="DL131" s="284">
        <v>1583</v>
      </c>
      <c r="DM131" s="284">
        <v>1713</v>
      </c>
      <c r="DN131" s="284">
        <v>1625</v>
      </c>
      <c r="DO131" s="284">
        <v>1856</v>
      </c>
      <c r="DP131" s="284">
        <v>2187</v>
      </c>
      <c r="DQ131" s="284">
        <v>1732</v>
      </c>
      <c r="DR131" s="284">
        <v>1779</v>
      </c>
      <c r="DS131" s="284">
        <v>1899</v>
      </c>
      <c r="DT131" s="284">
        <v>1879</v>
      </c>
      <c r="DU131" s="284">
        <v>1943</v>
      </c>
      <c r="DV131" s="284">
        <v>2161</v>
      </c>
      <c r="DW131" s="284">
        <v>2090</v>
      </c>
      <c r="DX131" s="284">
        <v>2092</v>
      </c>
      <c r="DY131" s="284">
        <v>1938</v>
      </c>
      <c r="DZ131" s="284">
        <v>2136</v>
      </c>
      <c r="EA131" s="284">
        <v>2217</v>
      </c>
      <c r="EB131" s="284">
        <v>2046</v>
      </c>
      <c r="EC131" s="284">
        <v>2054</v>
      </c>
      <c r="ED131" s="284">
        <v>2010</v>
      </c>
      <c r="EE131" s="284">
        <v>2619</v>
      </c>
      <c r="EF131" s="284">
        <v>2512</v>
      </c>
      <c r="EG131" s="284">
        <v>2106</v>
      </c>
      <c r="EH131" s="284">
        <v>2314</v>
      </c>
      <c r="EI131" s="284">
        <v>2367</v>
      </c>
      <c r="EJ131" s="284">
        <v>2208</v>
      </c>
      <c r="EK131" s="284">
        <v>2244</v>
      </c>
      <c r="EL131" s="284">
        <v>1981</v>
      </c>
      <c r="EM131" s="284">
        <v>2035</v>
      </c>
      <c r="EN131" s="284">
        <v>2044</v>
      </c>
      <c r="EO131" s="284">
        <v>1991</v>
      </c>
      <c r="EP131" s="284">
        <v>2149</v>
      </c>
      <c r="EQ131" s="284">
        <v>2192</v>
      </c>
      <c r="ER131" s="284">
        <v>2139</v>
      </c>
      <c r="ES131" s="284">
        <v>2567</v>
      </c>
      <c r="ET131" s="284">
        <v>2399</v>
      </c>
      <c r="EU131" s="284">
        <v>4951</v>
      </c>
      <c r="EV131" s="284">
        <v>2144</v>
      </c>
      <c r="EW131" s="284">
        <v>2062</v>
      </c>
      <c r="EX131" s="284">
        <v>2666</v>
      </c>
      <c r="EY131" s="284">
        <v>2237</v>
      </c>
      <c r="EZ131" s="284">
        <v>2326</v>
      </c>
      <c r="FA131" s="284">
        <v>2174</v>
      </c>
      <c r="FB131" s="284">
        <v>2183</v>
      </c>
      <c r="FC131" s="284">
        <v>2545</v>
      </c>
      <c r="FD131" s="284">
        <v>2722</v>
      </c>
      <c r="FE131" s="284">
        <v>2360</v>
      </c>
      <c r="FF131" s="284">
        <v>2181</v>
      </c>
      <c r="FG131" s="284">
        <v>2028</v>
      </c>
      <c r="FH131" s="284">
        <v>2112</v>
      </c>
      <c r="FI131" s="284">
        <v>2075</v>
      </c>
      <c r="FJ131" s="284">
        <v>2131</v>
      </c>
      <c r="FK131" s="284">
        <v>2247</v>
      </c>
      <c r="FL131" s="284">
        <v>2079</v>
      </c>
      <c r="FM131" s="284">
        <v>2184</v>
      </c>
      <c r="FN131" s="284">
        <v>2502</v>
      </c>
      <c r="FO131" s="284">
        <v>2452</v>
      </c>
      <c r="FP131" s="284">
        <v>2281</v>
      </c>
      <c r="FQ131" s="284">
        <v>2325</v>
      </c>
      <c r="FR131" s="284">
        <v>2213</v>
      </c>
      <c r="FS131" s="284">
        <v>2285</v>
      </c>
      <c r="FT131" s="284">
        <v>2363</v>
      </c>
      <c r="FU131" s="284">
        <v>2204</v>
      </c>
      <c r="FV131" s="284">
        <v>2143</v>
      </c>
      <c r="FW131" s="284">
        <v>2257</v>
      </c>
      <c r="FX131" s="284">
        <v>2402</v>
      </c>
      <c r="FY131" s="284">
        <v>2188</v>
      </c>
      <c r="FZ131" s="284">
        <v>2358</v>
      </c>
      <c r="GA131" s="284">
        <v>2444</v>
      </c>
      <c r="GB131" s="284">
        <v>2386</v>
      </c>
      <c r="GC131" s="284">
        <v>2453</v>
      </c>
      <c r="GD131" s="284">
        <v>2366</v>
      </c>
      <c r="GE131" s="284">
        <v>2465</v>
      </c>
      <c r="GF131" s="284">
        <v>2499</v>
      </c>
      <c r="GG131" s="284">
        <v>2192</v>
      </c>
      <c r="GH131" s="284">
        <v>2453</v>
      </c>
      <c r="GI131" s="284">
        <v>2368</v>
      </c>
      <c r="GJ131" s="284">
        <v>2407</v>
      </c>
      <c r="GK131" s="284">
        <v>2367</v>
      </c>
      <c r="GL131" s="284">
        <v>2372</v>
      </c>
      <c r="GM131" s="284">
        <v>2415</v>
      </c>
      <c r="GN131" s="284">
        <v>2584</v>
      </c>
      <c r="GO131" s="284">
        <v>2495</v>
      </c>
      <c r="GP131" s="284">
        <v>2319</v>
      </c>
      <c r="GQ131" s="284">
        <v>2255</v>
      </c>
      <c r="GR131" s="284">
        <v>2119</v>
      </c>
      <c r="GS131" s="284">
        <v>2122</v>
      </c>
      <c r="GT131" s="284">
        <v>2150</v>
      </c>
      <c r="GU131" s="284">
        <v>2158</v>
      </c>
      <c r="GV131" s="284">
        <v>2239</v>
      </c>
      <c r="GW131" s="284">
        <v>2100</v>
      </c>
      <c r="GX131" s="284">
        <v>2296</v>
      </c>
      <c r="GY131" s="284">
        <v>2241</v>
      </c>
      <c r="GZ131" s="284">
        <v>2452</v>
      </c>
      <c r="HA131" s="284">
        <v>2432</v>
      </c>
      <c r="HB131" s="284">
        <v>2655</v>
      </c>
      <c r="HC131" s="284">
        <v>2763</v>
      </c>
      <c r="HD131" s="284">
        <v>2844</v>
      </c>
      <c r="HE131" s="284">
        <v>2843</v>
      </c>
      <c r="HF131" s="284">
        <v>2894</v>
      </c>
      <c r="HG131" s="284">
        <v>3414</v>
      </c>
      <c r="HH131" s="284">
        <v>3379</v>
      </c>
      <c r="HI131" s="284">
        <v>3061</v>
      </c>
      <c r="HJ131" s="284">
        <v>3360</v>
      </c>
      <c r="HK131" s="284">
        <v>3591</v>
      </c>
      <c r="HL131" s="284">
        <v>3211</v>
      </c>
      <c r="HM131" s="284">
        <v>2708</v>
      </c>
      <c r="HN131" s="284">
        <v>2910</v>
      </c>
      <c r="HO131" s="284">
        <v>2793</v>
      </c>
      <c r="HP131" s="284">
        <v>3023</v>
      </c>
      <c r="HQ131" s="284">
        <v>3177</v>
      </c>
      <c r="HR131" s="284">
        <v>2942</v>
      </c>
      <c r="HS131" s="284">
        <v>3112</v>
      </c>
      <c r="HT131" s="284">
        <v>3266</v>
      </c>
      <c r="HU131" s="284">
        <v>2939</v>
      </c>
      <c r="HV131" s="284">
        <v>2968</v>
      </c>
      <c r="HW131" s="284">
        <v>3408</v>
      </c>
      <c r="HX131" s="284">
        <v>3269</v>
      </c>
      <c r="HY131" s="284">
        <v>2849</v>
      </c>
      <c r="HZ131" s="284">
        <v>3059</v>
      </c>
      <c r="IA131" s="284">
        <v>2975</v>
      </c>
      <c r="IB131" s="284">
        <v>2850</v>
      </c>
      <c r="IC131" s="284">
        <v>3240</v>
      </c>
      <c r="ID131" s="284">
        <v>2936</v>
      </c>
      <c r="IE131" s="284">
        <v>2924</v>
      </c>
      <c r="IF131" s="284">
        <v>2835</v>
      </c>
      <c r="IG131" s="284">
        <v>2577</v>
      </c>
      <c r="IH131" s="284">
        <v>2778</v>
      </c>
      <c r="II131" s="284">
        <v>2749</v>
      </c>
      <c r="IJ131" s="284">
        <v>2816</v>
      </c>
      <c r="IK131" s="284">
        <v>2803</v>
      </c>
      <c r="IL131" s="284">
        <v>2690</v>
      </c>
      <c r="IM131" s="850">
        <v>2964</v>
      </c>
      <c r="IN131" s="168"/>
    </row>
    <row r="132" spans="1:248">
      <c r="A132" s="81" t="s">
        <v>144</v>
      </c>
      <c r="B132" s="285">
        <v>4697</v>
      </c>
      <c r="C132" s="285">
        <v>5090</v>
      </c>
      <c r="D132" s="285">
        <v>7427</v>
      </c>
      <c r="E132" s="285">
        <v>5361</v>
      </c>
      <c r="F132" s="285">
        <v>5213</v>
      </c>
      <c r="G132" s="285">
        <v>4836</v>
      </c>
      <c r="H132" s="285">
        <v>5304</v>
      </c>
      <c r="I132" s="285">
        <v>5151</v>
      </c>
      <c r="J132" s="285">
        <v>5034</v>
      </c>
      <c r="K132" s="285">
        <v>5426</v>
      </c>
      <c r="L132" s="285">
        <v>5475</v>
      </c>
      <c r="M132" s="285">
        <v>4635</v>
      </c>
      <c r="N132" s="285">
        <v>4456</v>
      </c>
      <c r="O132" s="285">
        <v>4972</v>
      </c>
      <c r="P132" s="285">
        <v>4789</v>
      </c>
      <c r="Q132" s="285">
        <v>4963</v>
      </c>
      <c r="R132" s="285">
        <v>4935</v>
      </c>
      <c r="S132" s="285">
        <v>4327</v>
      </c>
      <c r="T132" s="285">
        <v>5009</v>
      </c>
      <c r="U132" s="285">
        <v>4796</v>
      </c>
      <c r="V132" s="285">
        <v>4585</v>
      </c>
      <c r="W132" s="285">
        <v>4672</v>
      </c>
      <c r="X132" s="285">
        <v>5170</v>
      </c>
      <c r="Y132" s="285">
        <v>5104</v>
      </c>
      <c r="Z132" s="285">
        <v>4762</v>
      </c>
      <c r="AA132" s="285">
        <v>5239</v>
      </c>
      <c r="AB132" s="285">
        <v>5824</v>
      </c>
      <c r="AC132" s="285">
        <v>6192</v>
      </c>
      <c r="AD132" s="285">
        <v>5996</v>
      </c>
      <c r="AE132" s="285">
        <v>5953</v>
      </c>
      <c r="AF132" s="285">
        <v>6180</v>
      </c>
      <c r="AG132" s="285">
        <v>5664</v>
      </c>
      <c r="AH132" s="285">
        <v>5709</v>
      </c>
      <c r="AI132" s="285">
        <v>5261</v>
      </c>
      <c r="AJ132" s="285">
        <v>5820</v>
      </c>
      <c r="AK132" s="285">
        <v>5178</v>
      </c>
      <c r="AL132" s="285">
        <v>5006</v>
      </c>
      <c r="AM132" s="285">
        <v>5506</v>
      </c>
      <c r="AN132" s="285">
        <v>6598</v>
      </c>
      <c r="AO132" s="285">
        <v>6294</v>
      </c>
      <c r="AP132" s="285">
        <v>5937</v>
      </c>
      <c r="AQ132" s="285">
        <v>6725</v>
      </c>
      <c r="AR132" s="285">
        <v>6405</v>
      </c>
      <c r="AS132" s="285">
        <v>7030</v>
      </c>
      <c r="AT132" s="285">
        <v>7289</v>
      </c>
      <c r="AU132" s="285">
        <v>7789</v>
      </c>
      <c r="AV132" s="285">
        <v>7615</v>
      </c>
      <c r="AW132" s="285">
        <v>7603</v>
      </c>
      <c r="AX132" s="285">
        <v>7966</v>
      </c>
      <c r="AY132" s="285">
        <v>8805</v>
      </c>
      <c r="AZ132" s="285">
        <v>9432</v>
      </c>
      <c r="BA132" s="285">
        <v>9864</v>
      </c>
      <c r="BB132" s="285">
        <v>10010</v>
      </c>
      <c r="BC132" s="285">
        <v>9802</v>
      </c>
      <c r="BD132" s="285">
        <v>10624</v>
      </c>
      <c r="BE132" s="285">
        <v>10071</v>
      </c>
      <c r="BF132" s="285">
        <v>8776</v>
      </c>
      <c r="BG132" s="285">
        <v>9318</v>
      </c>
      <c r="BH132" s="285">
        <v>9253</v>
      </c>
      <c r="BI132" s="285">
        <v>8681</v>
      </c>
      <c r="BJ132" s="285">
        <v>8801</v>
      </c>
      <c r="BK132" s="285">
        <v>9634</v>
      </c>
      <c r="BL132" s="285">
        <v>9764</v>
      </c>
      <c r="BM132" s="285">
        <v>9818</v>
      </c>
      <c r="BN132" s="285">
        <v>10563</v>
      </c>
      <c r="BO132" s="285">
        <v>10706</v>
      </c>
      <c r="BP132" s="285">
        <v>10549</v>
      </c>
      <c r="BQ132" s="285">
        <v>11896</v>
      </c>
      <c r="BR132" s="285">
        <v>10897</v>
      </c>
      <c r="BS132" s="285">
        <v>11733</v>
      </c>
      <c r="BT132" s="285">
        <v>11777</v>
      </c>
      <c r="BU132" s="285">
        <v>11603</v>
      </c>
      <c r="BV132" s="285">
        <v>10742</v>
      </c>
      <c r="BW132" s="285">
        <v>12071</v>
      </c>
      <c r="BX132" s="285">
        <v>12469</v>
      </c>
      <c r="BY132" s="285">
        <v>11972</v>
      </c>
      <c r="BZ132" s="285">
        <v>12489</v>
      </c>
      <c r="CA132" s="285">
        <v>12546</v>
      </c>
      <c r="CB132" s="285">
        <v>12613</v>
      </c>
      <c r="CC132" s="285">
        <v>14245</v>
      </c>
      <c r="CD132" s="285">
        <v>13622</v>
      </c>
      <c r="CE132" s="285">
        <v>13009</v>
      </c>
      <c r="CF132" s="285">
        <v>13035</v>
      </c>
      <c r="CG132" s="285">
        <v>11666</v>
      </c>
      <c r="CH132" s="285">
        <v>12021</v>
      </c>
      <c r="CI132" s="285">
        <v>12591</v>
      </c>
      <c r="CJ132" s="285">
        <v>12336</v>
      </c>
      <c r="CK132" s="285">
        <v>12957</v>
      </c>
      <c r="CL132" s="285">
        <v>13185</v>
      </c>
      <c r="CM132" s="285">
        <v>13656</v>
      </c>
      <c r="CN132" s="285">
        <v>14204</v>
      </c>
      <c r="CO132" s="285">
        <v>13899</v>
      </c>
      <c r="CP132" s="285">
        <v>12932</v>
      </c>
      <c r="CQ132" s="285">
        <v>12778</v>
      </c>
      <c r="CR132" s="285">
        <v>11298</v>
      </c>
      <c r="CS132" s="285">
        <v>10364</v>
      </c>
      <c r="CT132" s="285">
        <v>9324</v>
      </c>
      <c r="CU132" s="285">
        <v>8019</v>
      </c>
      <c r="CV132" s="285">
        <v>7544</v>
      </c>
      <c r="CW132" s="285">
        <v>7081</v>
      </c>
      <c r="CX132" s="285">
        <v>6803</v>
      </c>
      <c r="CY132" s="285">
        <v>6757</v>
      </c>
      <c r="CZ132" s="285">
        <v>7024</v>
      </c>
      <c r="DA132" s="285">
        <v>8029</v>
      </c>
      <c r="DB132" s="285">
        <v>6755</v>
      </c>
      <c r="DC132" s="285">
        <v>7120</v>
      </c>
      <c r="DD132" s="285">
        <v>6882</v>
      </c>
      <c r="DE132" s="285">
        <v>6813</v>
      </c>
      <c r="DF132" s="285">
        <v>6891</v>
      </c>
      <c r="DG132" s="285">
        <v>7531</v>
      </c>
      <c r="DH132" s="285">
        <v>7760</v>
      </c>
      <c r="DI132" s="285">
        <v>6980</v>
      </c>
      <c r="DJ132" s="285">
        <v>7299</v>
      </c>
      <c r="DK132" s="285">
        <v>8062</v>
      </c>
      <c r="DL132" s="285">
        <v>7838</v>
      </c>
      <c r="DM132" s="285">
        <v>8130</v>
      </c>
      <c r="DN132" s="285">
        <v>8442</v>
      </c>
      <c r="DO132" s="285">
        <v>9064</v>
      </c>
      <c r="DP132" s="285">
        <v>9000</v>
      </c>
      <c r="DQ132" s="285">
        <v>8675</v>
      </c>
      <c r="DR132" s="285">
        <v>8539</v>
      </c>
      <c r="DS132" s="285">
        <v>9703</v>
      </c>
      <c r="DT132" s="285">
        <v>9723</v>
      </c>
      <c r="DU132" s="285">
        <v>9437</v>
      </c>
      <c r="DV132" s="285">
        <v>10261</v>
      </c>
      <c r="DW132" s="285">
        <v>10142</v>
      </c>
      <c r="DX132" s="285">
        <v>9304</v>
      </c>
      <c r="DY132" s="285">
        <v>9533</v>
      </c>
      <c r="DZ132" s="285">
        <v>9103</v>
      </c>
      <c r="EA132" s="285">
        <v>9322</v>
      </c>
      <c r="EB132" s="285">
        <v>9235</v>
      </c>
      <c r="EC132" s="285">
        <v>8538</v>
      </c>
      <c r="ED132" s="285">
        <v>8216</v>
      </c>
      <c r="EE132" s="285">
        <v>8974</v>
      </c>
      <c r="EF132" s="285">
        <v>8389</v>
      </c>
      <c r="EG132" s="285">
        <v>7795</v>
      </c>
      <c r="EH132" s="285">
        <v>7966</v>
      </c>
      <c r="EI132" s="285">
        <v>8007</v>
      </c>
      <c r="EJ132" s="285">
        <v>8041</v>
      </c>
      <c r="EK132" s="285">
        <v>8169</v>
      </c>
      <c r="EL132" s="285">
        <v>7800</v>
      </c>
      <c r="EM132" s="285">
        <v>8954</v>
      </c>
      <c r="EN132" s="285">
        <v>8221</v>
      </c>
      <c r="EO132" s="285">
        <v>7105</v>
      </c>
      <c r="EP132" s="285">
        <v>7081</v>
      </c>
      <c r="EQ132" s="285">
        <v>7332</v>
      </c>
      <c r="ER132" s="285">
        <v>7271</v>
      </c>
      <c r="ES132" s="285">
        <v>7442</v>
      </c>
      <c r="ET132" s="285">
        <v>7133</v>
      </c>
      <c r="EU132" s="285">
        <v>7103</v>
      </c>
      <c r="EV132" s="285">
        <v>6918</v>
      </c>
      <c r="EW132" s="285">
        <v>6648</v>
      </c>
      <c r="EX132" s="285">
        <v>6730</v>
      </c>
      <c r="EY132" s="285">
        <v>7259</v>
      </c>
      <c r="EZ132" s="285">
        <v>6907</v>
      </c>
      <c r="FA132" s="285">
        <v>6108</v>
      </c>
      <c r="FB132" s="285">
        <v>6147</v>
      </c>
      <c r="FC132" s="285">
        <v>6112</v>
      </c>
      <c r="FD132" s="285">
        <v>6391</v>
      </c>
      <c r="FE132" s="285">
        <v>5801</v>
      </c>
      <c r="FF132" s="285">
        <v>6670</v>
      </c>
      <c r="FG132" s="285">
        <v>6038</v>
      </c>
      <c r="FH132" s="285">
        <v>6251</v>
      </c>
      <c r="FI132" s="285">
        <v>6058</v>
      </c>
      <c r="FJ132" s="285">
        <v>5946</v>
      </c>
      <c r="FK132" s="285">
        <v>6285</v>
      </c>
      <c r="FL132" s="285">
        <v>6273</v>
      </c>
      <c r="FM132" s="285">
        <v>5902</v>
      </c>
      <c r="FN132" s="285">
        <v>5756</v>
      </c>
      <c r="FO132" s="285">
        <v>6217</v>
      </c>
      <c r="FP132" s="285">
        <v>6006</v>
      </c>
      <c r="FQ132" s="285">
        <v>5966</v>
      </c>
      <c r="FR132" s="285">
        <v>6252</v>
      </c>
      <c r="FS132" s="285">
        <v>6275</v>
      </c>
      <c r="FT132" s="285">
        <v>6050</v>
      </c>
      <c r="FU132" s="285">
        <v>5956</v>
      </c>
      <c r="FV132" s="285">
        <v>5977</v>
      </c>
      <c r="FW132" s="285">
        <v>7032</v>
      </c>
      <c r="FX132" s="285">
        <v>5743</v>
      </c>
      <c r="FY132" s="285">
        <v>5278</v>
      </c>
      <c r="FZ132" s="285">
        <v>5116</v>
      </c>
      <c r="GA132" s="285">
        <v>5246</v>
      </c>
      <c r="GB132" s="285">
        <v>5396</v>
      </c>
      <c r="GC132" s="285">
        <v>5159</v>
      </c>
      <c r="GD132" s="285">
        <v>5491</v>
      </c>
      <c r="GE132" s="285">
        <v>5292</v>
      </c>
      <c r="GF132" s="285">
        <v>5496</v>
      </c>
      <c r="GG132" s="285">
        <v>5392</v>
      </c>
      <c r="GH132" s="285">
        <v>5509</v>
      </c>
      <c r="GI132" s="285">
        <v>5756</v>
      </c>
      <c r="GJ132" s="285">
        <v>5987</v>
      </c>
      <c r="GK132" s="285">
        <v>5583</v>
      </c>
      <c r="GL132" s="285">
        <v>5746</v>
      </c>
      <c r="GM132" s="285">
        <v>5803</v>
      </c>
      <c r="GN132" s="285">
        <v>7298</v>
      </c>
      <c r="GO132" s="285">
        <v>6033</v>
      </c>
      <c r="GP132" s="285">
        <v>6208</v>
      </c>
      <c r="GQ132" s="285">
        <v>5987</v>
      </c>
      <c r="GR132" s="285">
        <v>5900</v>
      </c>
      <c r="GS132" s="285">
        <v>5923</v>
      </c>
      <c r="GT132" s="285">
        <v>5532</v>
      </c>
      <c r="GU132" s="285">
        <v>5966</v>
      </c>
      <c r="GV132" s="285">
        <v>5792</v>
      </c>
      <c r="GW132" s="285">
        <v>4947</v>
      </c>
      <c r="GX132" s="285">
        <v>5054</v>
      </c>
      <c r="GY132" s="285">
        <v>4943</v>
      </c>
      <c r="GZ132" s="285">
        <v>5360</v>
      </c>
      <c r="HA132" s="285">
        <v>5135</v>
      </c>
      <c r="HB132" s="285">
        <v>5866</v>
      </c>
      <c r="HC132" s="285">
        <v>5273</v>
      </c>
      <c r="HD132" s="285">
        <v>5603</v>
      </c>
      <c r="HE132" s="285">
        <v>5752</v>
      </c>
      <c r="HF132" s="285">
        <v>5685</v>
      </c>
      <c r="HG132" s="285">
        <v>6513</v>
      </c>
      <c r="HH132" s="285">
        <v>6210</v>
      </c>
      <c r="HI132" s="285">
        <v>5508</v>
      </c>
      <c r="HJ132" s="285">
        <v>5947</v>
      </c>
      <c r="HK132" s="285">
        <v>6336</v>
      </c>
      <c r="HL132" s="285">
        <v>6408</v>
      </c>
      <c r="HM132" s="285">
        <v>5967</v>
      </c>
      <c r="HN132" s="285">
        <v>6361</v>
      </c>
      <c r="HO132" s="285">
        <v>6477</v>
      </c>
      <c r="HP132" s="286">
        <v>6873</v>
      </c>
      <c r="HQ132" s="286">
        <v>6731</v>
      </c>
      <c r="HR132" s="286">
        <v>6901</v>
      </c>
      <c r="HS132" s="286">
        <v>8381</v>
      </c>
      <c r="HT132" s="286">
        <v>9369</v>
      </c>
      <c r="HU132" s="286">
        <v>7331</v>
      </c>
      <c r="HV132" s="545">
        <v>7763</v>
      </c>
      <c r="HW132" s="545">
        <v>7178</v>
      </c>
      <c r="HX132" s="545">
        <v>7363</v>
      </c>
      <c r="HY132" s="545">
        <v>6326</v>
      </c>
      <c r="HZ132" s="545">
        <v>6799</v>
      </c>
      <c r="IA132" s="545">
        <v>6666</v>
      </c>
      <c r="IB132" s="545">
        <v>7976</v>
      </c>
      <c r="IC132" s="545">
        <v>7788</v>
      </c>
      <c r="ID132" s="545">
        <v>7357</v>
      </c>
      <c r="IE132" s="545">
        <v>7654</v>
      </c>
      <c r="IF132" s="545">
        <v>7592</v>
      </c>
      <c r="IG132" s="285">
        <v>7065</v>
      </c>
      <c r="IH132" s="545">
        <v>6921</v>
      </c>
      <c r="II132" s="545">
        <v>7238</v>
      </c>
      <c r="IJ132" s="545">
        <v>7080</v>
      </c>
      <c r="IK132" s="545">
        <v>6878</v>
      </c>
      <c r="IL132" s="545">
        <v>7106</v>
      </c>
      <c r="IM132" s="851">
        <v>7481</v>
      </c>
      <c r="IN132" s="168"/>
    </row>
    <row r="133" spans="1:248">
      <c r="A133" s="81" t="s">
        <v>147</v>
      </c>
      <c r="B133" s="284">
        <v>681</v>
      </c>
      <c r="C133" s="284">
        <v>664</v>
      </c>
      <c r="D133" s="284">
        <v>686</v>
      </c>
      <c r="E133" s="284">
        <v>661</v>
      </c>
      <c r="F133" s="284">
        <v>723</v>
      </c>
      <c r="G133" s="284">
        <v>700</v>
      </c>
      <c r="H133" s="284">
        <v>720</v>
      </c>
      <c r="I133" s="284">
        <v>693</v>
      </c>
      <c r="J133" s="284">
        <v>629</v>
      </c>
      <c r="K133" s="284">
        <v>874</v>
      </c>
      <c r="L133" s="284">
        <v>774</v>
      </c>
      <c r="M133" s="284">
        <v>729</v>
      </c>
      <c r="N133" s="284">
        <v>653</v>
      </c>
      <c r="O133" s="284">
        <v>808</v>
      </c>
      <c r="P133" s="284">
        <v>584</v>
      </c>
      <c r="Q133" s="284">
        <v>631</v>
      </c>
      <c r="R133" s="284">
        <v>620</v>
      </c>
      <c r="S133" s="284">
        <v>691</v>
      </c>
      <c r="T133" s="284">
        <v>626</v>
      </c>
      <c r="U133" s="284">
        <v>679</v>
      </c>
      <c r="V133" s="284">
        <v>684</v>
      </c>
      <c r="W133" s="284">
        <v>698</v>
      </c>
      <c r="X133" s="284">
        <v>650</v>
      </c>
      <c r="Y133" s="284">
        <v>630</v>
      </c>
      <c r="Z133" s="284">
        <v>689</v>
      </c>
      <c r="AA133" s="284">
        <v>676</v>
      </c>
      <c r="AB133" s="284">
        <v>628</v>
      </c>
      <c r="AC133" s="284">
        <v>646</v>
      </c>
      <c r="AD133" s="284">
        <v>698</v>
      </c>
      <c r="AE133" s="284">
        <v>670</v>
      </c>
      <c r="AF133" s="284">
        <v>645</v>
      </c>
      <c r="AG133" s="284">
        <v>711</v>
      </c>
      <c r="AH133" s="284">
        <v>688</v>
      </c>
      <c r="AI133" s="284">
        <v>662</v>
      </c>
      <c r="AJ133" s="284">
        <v>682</v>
      </c>
      <c r="AK133" s="284">
        <v>573</v>
      </c>
      <c r="AL133" s="284">
        <v>654</v>
      </c>
      <c r="AM133" s="284">
        <v>663</v>
      </c>
      <c r="AN133" s="284">
        <v>637</v>
      </c>
      <c r="AO133" s="284">
        <v>642</v>
      </c>
      <c r="AP133" s="284">
        <v>647</v>
      </c>
      <c r="AQ133" s="284">
        <v>761</v>
      </c>
      <c r="AR133" s="284">
        <v>747</v>
      </c>
      <c r="AS133" s="284">
        <v>656</v>
      </c>
      <c r="AT133" s="284">
        <v>690</v>
      </c>
      <c r="AU133" s="284">
        <v>695</v>
      </c>
      <c r="AV133" s="284">
        <v>715</v>
      </c>
      <c r="AW133" s="284">
        <v>706</v>
      </c>
      <c r="AX133" s="284">
        <v>775</v>
      </c>
      <c r="AY133" s="284">
        <v>882</v>
      </c>
      <c r="AZ133" s="284">
        <v>852</v>
      </c>
      <c r="BA133" s="284">
        <v>805</v>
      </c>
      <c r="BB133" s="284">
        <v>813</v>
      </c>
      <c r="BC133" s="284">
        <v>880</v>
      </c>
      <c r="BD133" s="284">
        <v>813</v>
      </c>
      <c r="BE133" s="284">
        <v>855</v>
      </c>
      <c r="BF133" s="284">
        <v>1177</v>
      </c>
      <c r="BG133" s="284">
        <v>831</v>
      </c>
      <c r="BH133" s="284">
        <v>823</v>
      </c>
      <c r="BI133" s="284">
        <v>725</v>
      </c>
      <c r="BJ133" s="284">
        <v>714</v>
      </c>
      <c r="BK133" s="284">
        <v>828</v>
      </c>
      <c r="BL133" s="284">
        <v>814</v>
      </c>
      <c r="BM133" s="284">
        <v>810</v>
      </c>
      <c r="BN133" s="284">
        <v>830</v>
      </c>
      <c r="BO133" s="284">
        <v>840</v>
      </c>
      <c r="BP133" s="284">
        <v>789</v>
      </c>
      <c r="BQ133" s="284">
        <v>877</v>
      </c>
      <c r="BR133" s="284">
        <v>873</v>
      </c>
      <c r="BS133" s="284">
        <v>940</v>
      </c>
      <c r="BT133" s="284">
        <v>926</v>
      </c>
      <c r="BU133" s="284">
        <v>816</v>
      </c>
      <c r="BV133" s="284">
        <v>841</v>
      </c>
      <c r="BW133" s="284">
        <v>874</v>
      </c>
      <c r="BX133" s="284">
        <v>844</v>
      </c>
      <c r="BY133" s="284">
        <v>829</v>
      </c>
      <c r="BZ133" s="284">
        <v>931</v>
      </c>
      <c r="CA133" s="284">
        <v>859</v>
      </c>
      <c r="CB133" s="284">
        <v>871</v>
      </c>
      <c r="CC133" s="284">
        <v>936</v>
      </c>
      <c r="CD133" s="284">
        <v>858</v>
      </c>
      <c r="CE133" s="284">
        <v>878</v>
      </c>
      <c r="CF133" s="284">
        <v>858</v>
      </c>
      <c r="CG133" s="284">
        <v>798</v>
      </c>
      <c r="CH133" s="284">
        <v>804</v>
      </c>
      <c r="CI133" s="284">
        <v>785</v>
      </c>
      <c r="CJ133" s="284">
        <v>790</v>
      </c>
      <c r="CK133" s="284">
        <v>856</v>
      </c>
      <c r="CL133" s="284">
        <v>813</v>
      </c>
      <c r="CM133" s="284">
        <v>871</v>
      </c>
      <c r="CN133" s="284">
        <v>935</v>
      </c>
      <c r="CO133" s="284">
        <v>1005</v>
      </c>
      <c r="CP133" s="284">
        <v>886</v>
      </c>
      <c r="CQ133" s="284">
        <v>947</v>
      </c>
      <c r="CR133" s="284">
        <v>875</v>
      </c>
      <c r="CS133" s="284">
        <v>831</v>
      </c>
      <c r="CT133" s="284">
        <v>766</v>
      </c>
      <c r="CU133" s="284">
        <v>861</v>
      </c>
      <c r="CV133" s="284">
        <v>903</v>
      </c>
      <c r="CW133" s="284">
        <v>926</v>
      </c>
      <c r="CX133" s="284">
        <v>1153</v>
      </c>
      <c r="CY133" s="284">
        <v>965</v>
      </c>
      <c r="CZ133" s="284">
        <v>888</v>
      </c>
      <c r="DA133" s="284">
        <v>912</v>
      </c>
      <c r="DB133" s="284">
        <v>959</v>
      </c>
      <c r="DC133" s="284">
        <v>931</v>
      </c>
      <c r="DD133" s="284">
        <v>959</v>
      </c>
      <c r="DE133" s="284">
        <v>855</v>
      </c>
      <c r="DF133" s="284">
        <v>963</v>
      </c>
      <c r="DG133" s="284">
        <v>981</v>
      </c>
      <c r="DH133" s="284">
        <v>910</v>
      </c>
      <c r="DI133" s="284">
        <v>1029</v>
      </c>
      <c r="DJ133" s="284">
        <v>1152</v>
      </c>
      <c r="DK133" s="284">
        <v>1295</v>
      </c>
      <c r="DL133" s="284">
        <v>1722</v>
      </c>
      <c r="DM133" s="284">
        <v>1966</v>
      </c>
      <c r="DN133" s="284">
        <v>1446</v>
      </c>
      <c r="DO133" s="284">
        <v>1594</v>
      </c>
      <c r="DP133" s="284">
        <v>1408</v>
      </c>
      <c r="DQ133" s="284">
        <v>1043</v>
      </c>
      <c r="DR133" s="284">
        <v>948</v>
      </c>
      <c r="DS133" s="284">
        <v>943</v>
      </c>
      <c r="DT133" s="284">
        <v>1104</v>
      </c>
      <c r="DU133" s="284">
        <v>1109</v>
      </c>
      <c r="DV133" s="284">
        <v>1078</v>
      </c>
      <c r="DW133" s="284">
        <v>1185</v>
      </c>
      <c r="DX133" s="284">
        <v>1126</v>
      </c>
      <c r="DY133" s="284">
        <v>1199</v>
      </c>
      <c r="DZ133" s="284">
        <v>1123</v>
      </c>
      <c r="EA133" s="284">
        <v>1036</v>
      </c>
      <c r="EB133" s="284">
        <v>1026</v>
      </c>
      <c r="EC133" s="284">
        <v>962</v>
      </c>
      <c r="ED133" s="284">
        <v>1125</v>
      </c>
      <c r="EE133" s="284">
        <v>1162</v>
      </c>
      <c r="EF133" s="284">
        <v>1164</v>
      </c>
      <c r="EG133" s="284">
        <v>1141</v>
      </c>
      <c r="EH133" s="284">
        <v>1063</v>
      </c>
      <c r="EI133" s="284">
        <v>1034</v>
      </c>
      <c r="EJ133" s="284">
        <v>991</v>
      </c>
      <c r="EK133" s="284">
        <v>1192</v>
      </c>
      <c r="EL133" s="284">
        <v>1106</v>
      </c>
      <c r="EM133" s="284">
        <v>1140</v>
      </c>
      <c r="EN133" s="284">
        <v>1177</v>
      </c>
      <c r="EO133" s="284">
        <v>1141</v>
      </c>
      <c r="EP133" s="284">
        <v>1054</v>
      </c>
      <c r="EQ133" s="284">
        <v>1164</v>
      </c>
      <c r="ER133" s="284">
        <v>1143</v>
      </c>
      <c r="ES133" s="284">
        <v>1146</v>
      </c>
      <c r="ET133" s="284">
        <v>1190</v>
      </c>
      <c r="EU133" s="284">
        <v>1194</v>
      </c>
      <c r="EV133" s="284">
        <v>1246</v>
      </c>
      <c r="EW133" s="284">
        <v>1227</v>
      </c>
      <c r="EX133" s="284">
        <v>1243</v>
      </c>
      <c r="EY133" s="284">
        <v>1211</v>
      </c>
      <c r="EZ133" s="284">
        <v>1193</v>
      </c>
      <c r="FA133" s="284">
        <v>967</v>
      </c>
      <c r="FB133" s="284">
        <v>945</v>
      </c>
      <c r="FC133" s="284">
        <v>927</v>
      </c>
      <c r="FD133" s="284">
        <v>1049</v>
      </c>
      <c r="FE133" s="284">
        <v>937</v>
      </c>
      <c r="FF133" s="284">
        <v>980</v>
      </c>
      <c r="FG133" s="284">
        <v>944</v>
      </c>
      <c r="FH133" s="284">
        <v>1238</v>
      </c>
      <c r="FI133" s="284">
        <v>1164</v>
      </c>
      <c r="FJ133" s="284">
        <v>1037</v>
      </c>
      <c r="FK133" s="284">
        <v>1092</v>
      </c>
      <c r="FL133" s="284">
        <v>964</v>
      </c>
      <c r="FM133" s="284">
        <v>865</v>
      </c>
      <c r="FN133" s="284">
        <v>867</v>
      </c>
      <c r="FO133" s="284">
        <v>882</v>
      </c>
      <c r="FP133" s="284">
        <v>918</v>
      </c>
      <c r="FQ133" s="284">
        <v>876</v>
      </c>
      <c r="FR133" s="284">
        <v>825</v>
      </c>
      <c r="FS133" s="284">
        <v>957</v>
      </c>
      <c r="FT133" s="284">
        <v>937</v>
      </c>
      <c r="FU133" s="284">
        <v>1026</v>
      </c>
      <c r="FV133" s="284">
        <v>978</v>
      </c>
      <c r="FW133" s="284">
        <v>872</v>
      </c>
      <c r="FX133" s="284">
        <v>945</v>
      </c>
      <c r="FY133" s="284">
        <v>827</v>
      </c>
      <c r="FZ133" s="284">
        <v>678</v>
      </c>
      <c r="GA133" s="284">
        <v>880</v>
      </c>
      <c r="GB133" s="284">
        <v>827</v>
      </c>
      <c r="GC133" s="284">
        <v>823</v>
      </c>
      <c r="GD133" s="284">
        <v>821</v>
      </c>
      <c r="GE133" s="284">
        <v>809</v>
      </c>
      <c r="GF133" s="284">
        <v>829</v>
      </c>
      <c r="GG133" s="284">
        <v>902</v>
      </c>
      <c r="GH133" s="284">
        <v>902</v>
      </c>
      <c r="GI133" s="284">
        <v>925</v>
      </c>
      <c r="GJ133" s="284">
        <v>849</v>
      </c>
      <c r="GK133" s="284">
        <v>777</v>
      </c>
      <c r="GL133" s="284">
        <v>731</v>
      </c>
      <c r="GM133" s="284">
        <v>761</v>
      </c>
      <c r="GN133" s="284">
        <v>841</v>
      </c>
      <c r="GO133" s="284">
        <v>838</v>
      </c>
      <c r="GP133" s="284">
        <v>946</v>
      </c>
      <c r="GQ133" s="284">
        <v>834</v>
      </c>
      <c r="GR133" s="284">
        <v>894</v>
      </c>
      <c r="GS133" s="284">
        <v>989</v>
      </c>
      <c r="GT133" s="284">
        <v>970</v>
      </c>
      <c r="GU133" s="284">
        <v>1048</v>
      </c>
      <c r="GV133" s="284">
        <v>985</v>
      </c>
      <c r="GW133" s="284">
        <v>868</v>
      </c>
      <c r="GX133" s="284">
        <v>934</v>
      </c>
      <c r="GY133" s="284">
        <v>927</v>
      </c>
      <c r="GZ133" s="284">
        <v>1063</v>
      </c>
      <c r="HA133" s="284">
        <v>987</v>
      </c>
      <c r="HB133" s="284">
        <v>1030</v>
      </c>
      <c r="HC133" s="284">
        <v>1036</v>
      </c>
      <c r="HD133" s="284">
        <v>936</v>
      </c>
      <c r="HE133" s="284">
        <v>1134</v>
      </c>
      <c r="HF133" s="284">
        <v>1088</v>
      </c>
      <c r="HG133" s="284">
        <v>1205</v>
      </c>
      <c r="HH133" s="284">
        <v>1024</v>
      </c>
      <c r="HI133" s="284">
        <v>902</v>
      </c>
      <c r="HJ133" s="284">
        <v>975</v>
      </c>
      <c r="HK133" s="284">
        <v>903</v>
      </c>
      <c r="HL133" s="284">
        <v>883</v>
      </c>
      <c r="HM133" s="284">
        <v>974</v>
      </c>
      <c r="HN133" s="284">
        <v>1315</v>
      </c>
      <c r="HO133" s="284">
        <v>1130</v>
      </c>
      <c r="HP133" s="284">
        <v>1323</v>
      </c>
      <c r="HQ133" s="284">
        <v>1347</v>
      </c>
      <c r="HR133" s="284">
        <v>1210</v>
      </c>
      <c r="HS133" s="284">
        <v>1067</v>
      </c>
      <c r="HT133" s="284">
        <v>997</v>
      </c>
      <c r="HU133" s="284">
        <v>815</v>
      </c>
      <c r="HV133" s="284">
        <v>942</v>
      </c>
      <c r="HW133" s="284">
        <v>958</v>
      </c>
      <c r="HX133" s="284">
        <v>824</v>
      </c>
      <c r="HY133" s="284">
        <v>695</v>
      </c>
      <c r="HZ133" s="284">
        <v>770</v>
      </c>
      <c r="IA133" s="284">
        <v>840</v>
      </c>
      <c r="IB133" s="284">
        <v>929</v>
      </c>
      <c r="IC133" s="284">
        <v>903</v>
      </c>
      <c r="ID133" s="284">
        <v>764</v>
      </c>
      <c r="IE133" s="284">
        <v>965</v>
      </c>
      <c r="IF133" s="284">
        <v>934</v>
      </c>
      <c r="IG133" s="284">
        <v>838</v>
      </c>
      <c r="IH133" s="284">
        <v>755</v>
      </c>
      <c r="II133" s="284">
        <v>811</v>
      </c>
      <c r="IJ133" s="284">
        <v>881</v>
      </c>
      <c r="IK133" s="284">
        <v>869</v>
      </c>
      <c r="IL133" s="284">
        <v>1027</v>
      </c>
      <c r="IM133" s="850">
        <v>864</v>
      </c>
      <c r="IN133" s="168"/>
    </row>
    <row r="134" spans="1:248" ht="15.75" thickBot="1">
      <c r="A134" s="82" t="s">
        <v>48</v>
      </c>
      <c r="B134" s="285">
        <v>1404</v>
      </c>
      <c r="C134" s="285">
        <v>1419</v>
      </c>
      <c r="D134" s="285">
        <v>1507</v>
      </c>
      <c r="E134" s="285">
        <v>1481</v>
      </c>
      <c r="F134" s="285">
        <v>1618</v>
      </c>
      <c r="G134" s="285">
        <v>1619</v>
      </c>
      <c r="H134" s="285">
        <v>1567</v>
      </c>
      <c r="I134" s="285">
        <v>1577</v>
      </c>
      <c r="J134" s="285">
        <v>1503</v>
      </c>
      <c r="K134" s="285">
        <v>1478</v>
      </c>
      <c r="L134" s="285">
        <v>1426</v>
      </c>
      <c r="M134" s="285">
        <v>1534</v>
      </c>
      <c r="N134" s="285">
        <v>1456</v>
      </c>
      <c r="O134" s="285">
        <v>1456</v>
      </c>
      <c r="P134" s="285">
        <v>1349</v>
      </c>
      <c r="Q134" s="285">
        <v>1377</v>
      </c>
      <c r="R134" s="285">
        <v>1235</v>
      </c>
      <c r="S134" s="285">
        <v>1502</v>
      </c>
      <c r="T134" s="285">
        <v>1660</v>
      </c>
      <c r="U134" s="285">
        <v>1697</v>
      </c>
      <c r="V134" s="285">
        <v>1635</v>
      </c>
      <c r="W134" s="285">
        <v>1836</v>
      </c>
      <c r="X134" s="285">
        <v>1821</v>
      </c>
      <c r="Y134" s="285">
        <v>1642</v>
      </c>
      <c r="Z134" s="285">
        <v>1515</v>
      </c>
      <c r="AA134" s="285">
        <v>1438</v>
      </c>
      <c r="AB134" s="285">
        <v>1404</v>
      </c>
      <c r="AC134" s="285">
        <v>1601</v>
      </c>
      <c r="AD134" s="285">
        <v>1679</v>
      </c>
      <c r="AE134" s="285">
        <v>1572</v>
      </c>
      <c r="AF134" s="285">
        <v>1530</v>
      </c>
      <c r="AG134" s="285">
        <v>1530</v>
      </c>
      <c r="AH134" s="285">
        <v>1637</v>
      </c>
      <c r="AI134" s="285">
        <v>1577</v>
      </c>
      <c r="AJ134" s="285">
        <v>1678</v>
      </c>
      <c r="AK134" s="285">
        <v>1565</v>
      </c>
      <c r="AL134" s="285">
        <v>1514</v>
      </c>
      <c r="AM134" s="285">
        <v>1589</v>
      </c>
      <c r="AN134" s="285">
        <v>1646</v>
      </c>
      <c r="AO134" s="285">
        <v>1705</v>
      </c>
      <c r="AP134" s="285">
        <v>1659</v>
      </c>
      <c r="AQ134" s="285">
        <v>1741</v>
      </c>
      <c r="AR134" s="285">
        <v>1662</v>
      </c>
      <c r="AS134" s="285">
        <v>1816</v>
      </c>
      <c r="AT134" s="285">
        <v>1889</v>
      </c>
      <c r="AU134" s="285">
        <v>2111</v>
      </c>
      <c r="AV134" s="285">
        <v>1923</v>
      </c>
      <c r="AW134" s="285">
        <v>1855</v>
      </c>
      <c r="AX134" s="285">
        <v>1666</v>
      </c>
      <c r="AY134" s="285">
        <v>1737</v>
      </c>
      <c r="AZ134" s="285">
        <v>1766</v>
      </c>
      <c r="BA134" s="285">
        <v>1770</v>
      </c>
      <c r="BB134" s="285">
        <v>1989</v>
      </c>
      <c r="BC134" s="285">
        <v>1779</v>
      </c>
      <c r="BD134" s="285">
        <v>1847</v>
      </c>
      <c r="BE134" s="285">
        <v>1798</v>
      </c>
      <c r="BF134" s="285">
        <v>1965</v>
      </c>
      <c r="BG134" s="285">
        <v>2130</v>
      </c>
      <c r="BH134" s="285">
        <v>2003</v>
      </c>
      <c r="BI134" s="285">
        <v>1751</v>
      </c>
      <c r="BJ134" s="285">
        <v>1643</v>
      </c>
      <c r="BK134" s="285">
        <v>1697</v>
      </c>
      <c r="BL134" s="285">
        <v>1685</v>
      </c>
      <c r="BM134" s="285">
        <v>1725</v>
      </c>
      <c r="BN134" s="285">
        <v>1779</v>
      </c>
      <c r="BO134" s="285">
        <v>1715</v>
      </c>
      <c r="BP134" s="285">
        <v>1645</v>
      </c>
      <c r="BQ134" s="285">
        <v>1628</v>
      </c>
      <c r="BR134" s="285">
        <v>1646</v>
      </c>
      <c r="BS134" s="285">
        <v>1684</v>
      </c>
      <c r="BT134" s="285">
        <v>1983</v>
      </c>
      <c r="BU134" s="285">
        <v>1590</v>
      </c>
      <c r="BV134" s="285">
        <v>1578</v>
      </c>
      <c r="BW134" s="285">
        <v>1624</v>
      </c>
      <c r="BX134" s="285">
        <v>1734</v>
      </c>
      <c r="BY134" s="285">
        <v>1688</v>
      </c>
      <c r="BZ134" s="285">
        <v>1798</v>
      </c>
      <c r="CA134" s="285">
        <v>1776</v>
      </c>
      <c r="CB134" s="285">
        <v>1783</v>
      </c>
      <c r="CC134" s="285">
        <v>1856</v>
      </c>
      <c r="CD134" s="285">
        <v>2019</v>
      </c>
      <c r="CE134" s="285">
        <v>1766</v>
      </c>
      <c r="CF134" s="285">
        <v>1910</v>
      </c>
      <c r="CG134" s="285">
        <v>1793</v>
      </c>
      <c r="CH134" s="285">
        <v>2048</v>
      </c>
      <c r="CI134" s="285">
        <v>2041</v>
      </c>
      <c r="CJ134" s="285">
        <v>2050</v>
      </c>
      <c r="CK134" s="285">
        <v>2134</v>
      </c>
      <c r="CL134" s="285">
        <v>2211</v>
      </c>
      <c r="CM134" s="285">
        <v>2106</v>
      </c>
      <c r="CN134" s="285">
        <v>2222</v>
      </c>
      <c r="CO134" s="285">
        <v>2367</v>
      </c>
      <c r="CP134" s="285">
        <v>2367</v>
      </c>
      <c r="CQ134" s="285">
        <v>2451</v>
      </c>
      <c r="CR134" s="285">
        <v>2429</v>
      </c>
      <c r="CS134" s="285">
        <v>2721</v>
      </c>
      <c r="CT134" s="285">
        <v>2922</v>
      </c>
      <c r="CU134" s="285">
        <v>2493</v>
      </c>
      <c r="CV134" s="285">
        <v>2270</v>
      </c>
      <c r="CW134" s="285">
        <v>2228</v>
      </c>
      <c r="CX134" s="285">
        <v>2498</v>
      </c>
      <c r="CY134" s="285">
        <v>2274</v>
      </c>
      <c r="CZ134" s="285">
        <v>2248</v>
      </c>
      <c r="DA134" s="285">
        <v>2318</v>
      </c>
      <c r="DB134" s="285">
        <v>2246</v>
      </c>
      <c r="DC134" s="285">
        <v>2344</v>
      </c>
      <c r="DD134" s="285">
        <v>2363</v>
      </c>
      <c r="DE134" s="285">
        <v>2275</v>
      </c>
      <c r="DF134" s="285">
        <v>2241</v>
      </c>
      <c r="DG134" s="285">
        <v>2309</v>
      </c>
      <c r="DH134" s="285">
        <v>2468</v>
      </c>
      <c r="DI134" s="285">
        <v>2531</v>
      </c>
      <c r="DJ134" s="285">
        <v>2726</v>
      </c>
      <c r="DK134" s="285">
        <v>2674</v>
      </c>
      <c r="DL134" s="285">
        <v>2938</v>
      </c>
      <c r="DM134" s="285">
        <v>2989</v>
      </c>
      <c r="DN134" s="285">
        <v>3216</v>
      </c>
      <c r="DO134" s="285">
        <v>3396</v>
      </c>
      <c r="DP134" s="285">
        <v>3512</v>
      </c>
      <c r="DQ134" s="285">
        <v>3368</v>
      </c>
      <c r="DR134" s="285">
        <v>3320</v>
      </c>
      <c r="DS134" s="285">
        <v>3486</v>
      </c>
      <c r="DT134" s="285">
        <v>3841</v>
      </c>
      <c r="DU134" s="285">
        <v>3668</v>
      </c>
      <c r="DV134" s="285">
        <v>3885</v>
      </c>
      <c r="DW134" s="285">
        <v>3847</v>
      </c>
      <c r="DX134" s="285">
        <v>3859</v>
      </c>
      <c r="DY134" s="285">
        <v>4201</v>
      </c>
      <c r="DZ134" s="285">
        <v>3936</v>
      </c>
      <c r="EA134" s="285">
        <v>4138</v>
      </c>
      <c r="EB134" s="285">
        <v>4191</v>
      </c>
      <c r="EC134" s="285">
        <v>3700</v>
      </c>
      <c r="ED134" s="285">
        <v>3714</v>
      </c>
      <c r="EE134" s="285">
        <v>3940</v>
      </c>
      <c r="EF134" s="285">
        <v>3899</v>
      </c>
      <c r="EG134" s="285">
        <v>3648</v>
      </c>
      <c r="EH134" s="285">
        <v>3824</v>
      </c>
      <c r="EI134" s="285">
        <v>3578</v>
      </c>
      <c r="EJ134" s="285">
        <v>3529</v>
      </c>
      <c r="EK134" s="285">
        <v>3544</v>
      </c>
      <c r="EL134" s="285">
        <v>3346</v>
      </c>
      <c r="EM134" s="285">
        <v>3433</v>
      </c>
      <c r="EN134" s="285">
        <v>3342</v>
      </c>
      <c r="EO134" s="285">
        <v>3026</v>
      </c>
      <c r="EP134" s="285">
        <v>3034</v>
      </c>
      <c r="EQ134" s="285">
        <v>4309</v>
      </c>
      <c r="ER134" s="285">
        <v>5081</v>
      </c>
      <c r="ES134" s="285">
        <v>3127</v>
      </c>
      <c r="ET134" s="285">
        <v>3501</v>
      </c>
      <c r="EU134" s="285">
        <v>3226</v>
      </c>
      <c r="EV134" s="285">
        <v>3434</v>
      </c>
      <c r="EW134" s="285">
        <v>3517</v>
      </c>
      <c r="EX134" s="285">
        <v>3530</v>
      </c>
      <c r="EY134" s="285">
        <v>3763</v>
      </c>
      <c r="EZ134" s="285">
        <v>3585</v>
      </c>
      <c r="FA134" s="285">
        <v>3354</v>
      </c>
      <c r="FB134" s="285">
        <v>3424</v>
      </c>
      <c r="FC134" s="285">
        <v>3423</v>
      </c>
      <c r="FD134" s="285">
        <v>3527</v>
      </c>
      <c r="FE134" s="285">
        <v>3410</v>
      </c>
      <c r="FF134" s="285">
        <v>3512</v>
      </c>
      <c r="FG134" s="285">
        <v>3455</v>
      </c>
      <c r="FH134" s="285">
        <v>3696</v>
      </c>
      <c r="FI134" s="285">
        <v>3402</v>
      </c>
      <c r="FJ134" s="285">
        <v>3816</v>
      </c>
      <c r="FK134" s="285">
        <v>3389</v>
      </c>
      <c r="FL134" s="285">
        <v>3378</v>
      </c>
      <c r="FM134" s="285">
        <v>3179</v>
      </c>
      <c r="FN134" s="285">
        <v>2974</v>
      </c>
      <c r="FO134" s="285">
        <v>2994</v>
      </c>
      <c r="FP134" s="285">
        <v>3158</v>
      </c>
      <c r="FQ134" s="285">
        <v>2936</v>
      </c>
      <c r="FR134" s="285">
        <v>2979</v>
      </c>
      <c r="FS134" s="285">
        <v>2909</v>
      </c>
      <c r="FT134" s="285">
        <v>2926</v>
      </c>
      <c r="FU134" s="285">
        <v>3065</v>
      </c>
      <c r="FV134" s="285">
        <v>3117</v>
      </c>
      <c r="FW134" s="285">
        <v>3064</v>
      </c>
      <c r="FX134" s="285">
        <v>3132</v>
      </c>
      <c r="FY134" s="285">
        <v>2922</v>
      </c>
      <c r="FZ134" s="285">
        <v>2763</v>
      </c>
      <c r="GA134" s="285">
        <v>2688</v>
      </c>
      <c r="GB134" s="285">
        <v>2781</v>
      </c>
      <c r="GC134" s="285">
        <v>2462</v>
      </c>
      <c r="GD134" s="285">
        <v>2476</v>
      </c>
      <c r="GE134" s="285">
        <v>2425</v>
      </c>
      <c r="GF134" s="285">
        <v>2392</v>
      </c>
      <c r="GG134" s="285">
        <v>2581</v>
      </c>
      <c r="GH134" s="285">
        <v>2603</v>
      </c>
      <c r="GI134" s="285">
        <v>2654</v>
      </c>
      <c r="GJ134" s="285">
        <v>2665</v>
      </c>
      <c r="GK134" s="285">
        <v>3210</v>
      </c>
      <c r="GL134" s="285">
        <v>3225</v>
      </c>
      <c r="GM134" s="285">
        <v>3333</v>
      </c>
      <c r="GN134" s="285">
        <v>3511</v>
      </c>
      <c r="GO134" s="285">
        <v>2774</v>
      </c>
      <c r="GP134" s="285">
        <v>3520</v>
      </c>
      <c r="GQ134" s="285">
        <v>3520</v>
      </c>
      <c r="GR134" s="285">
        <v>3467</v>
      </c>
      <c r="GS134" s="285">
        <v>3840</v>
      </c>
      <c r="GT134" s="285">
        <v>3949</v>
      </c>
      <c r="GU134" s="285">
        <v>3838</v>
      </c>
      <c r="GV134" s="285">
        <v>3982</v>
      </c>
      <c r="GW134" s="285">
        <v>3680</v>
      </c>
      <c r="GX134" s="285">
        <v>3821</v>
      </c>
      <c r="GY134" s="285">
        <v>4324</v>
      </c>
      <c r="GZ134" s="285">
        <v>4011</v>
      </c>
      <c r="HA134" s="285">
        <v>3838</v>
      </c>
      <c r="HB134" s="285">
        <v>3393</v>
      </c>
      <c r="HC134" s="285">
        <v>3787</v>
      </c>
      <c r="HD134" s="285">
        <v>3873</v>
      </c>
      <c r="HE134" s="285">
        <v>3754</v>
      </c>
      <c r="HF134" s="285">
        <v>3825</v>
      </c>
      <c r="HG134" s="285">
        <v>3844</v>
      </c>
      <c r="HH134" s="285">
        <v>4003</v>
      </c>
      <c r="HI134" s="285">
        <v>3455</v>
      </c>
      <c r="HJ134" s="285">
        <v>4102</v>
      </c>
      <c r="HK134" s="285">
        <v>4117</v>
      </c>
      <c r="HL134" s="285">
        <v>4203</v>
      </c>
      <c r="HM134" s="285">
        <v>3938</v>
      </c>
      <c r="HN134" s="285">
        <v>3877</v>
      </c>
      <c r="HO134" s="285">
        <v>3611</v>
      </c>
      <c r="HP134" s="286">
        <v>3513</v>
      </c>
      <c r="HQ134" s="286">
        <v>3500</v>
      </c>
      <c r="HR134" s="286">
        <v>3550</v>
      </c>
      <c r="HS134" s="286">
        <v>3589</v>
      </c>
      <c r="HT134" s="286">
        <v>3530</v>
      </c>
      <c r="HU134" s="286">
        <v>3459</v>
      </c>
      <c r="HV134" s="545">
        <v>3311</v>
      </c>
      <c r="HW134" s="545">
        <v>3871</v>
      </c>
      <c r="HX134" s="545">
        <v>3470</v>
      </c>
      <c r="HY134" s="545">
        <v>3261</v>
      </c>
      <c r="HZ134" s="545">
        <v>3304</v>
      </c>
      <c r="IA134" s="545">
        <v>3469</v>
      </c>
      <c r="IB134" s="545">
        <v>4147</v>
      </c>
      <c r="IC134" s="545">
        <v>4177</v>
      </c>
      <c r="ID134" s="545">
        <v>4185</v>
      </c>
      <c r="IE134" s="545">
        <v>4211</v>
      </c>
      <c r="IF134" s="545">
        <v>3933</v>
      </c>
      <c r="IG134" s="855">
        <v>3822</v>
      </c>
      <c r="IH134" s="545">
        <v>3567</v>
      </c>
      <c r="II134" s="545">
        <v>3746</v>
      </c>
      <c r="IJ134" s="545">
        <v>3849</v>
      </c>
      <c r="IK134" s="545">
        <v>3677</v>
      </c>
      <c r="IL134" s="545">
        <v>3824</v>
      </c>
      <c r="IM134" s="851">
        <v>3516</v>
      </c>
      <c r="IN134" s="168"/>
    </row>
    <row r="135" spans="1:248" ht="16.5" thickTop="1" thickBot="1">
      <c r="A135" s="50" t="s">
        <v>97</v>
      </c>
      <c r="B135" s="287">
        <v>39421</v>
      </c>
      <c r="C135" s="267">
        <v>39287</v>
      </c>
      <c r="D135" s="267">
        <v>42555</v>
      </c>
      <c r="E135" s="267">
        <v>40464</v>
      </c>
      <c r="F135" s="267">
        <v>41111</v>
      </c>
      <c r="G135" s="267">
        <v>41350</v>
      </c>
      <c r="H135" s="267">
        <v>41772</v>
      </c>
      <c r="I135" s="267">
        <v>41667</v>
      </c>
      <c r="J135" s="267">
        <v>40381</v>
      </c>
      <c r="K135" s="267">
        <v>41952</v>
      </c>
      <c r="L135" s="267">
        <v>41719</v>
      </c>
      <c r="M135" s="267">
        <v>41725</v>
      </c>
      <c r="N135" s="267">
        <v>40618</v>
      </c>
      <c r="O135" s="267">
        <v>41004</v>
      </c>
      <c r="P135" s="267">
        <v>39594</v>
      </c>
      <c r="Q135" s="267">
        <v>41403</v>
      </c>
      <c r="R135" s="267">
        <v>39645</v>
      </c>
      <c r="S135" s="267">
        <v>40152</v>
      </c>
      <c r="T135" s="267">
        <v>42993</v>
      </c>
      <c r="U135" s="267">
        <v>40583</v>
      </c>
      <c r="V135" s="267">
        <v>41710</v>
      </c>
      <c r="W135" s="267">
        <v>42750</v>
      </c>
      <c r="X135" s="267">
        <v>43438</v>
      </c>
      <c r="Y135" s="267">
        <v>42762</v>
      </c>
      <c r="Z135" s="267">
        <v>41835</v>
      </c>
      <c r="AA135" s="267">
        <v>42295</v>
      </c>
      <c r="AB135" s="267">
        <v>44662</v>
      </c>
      <c r="AC135" s="267">
        <v>43807</v>
      </c>
      <c r="AD135" s="267">
        <v>43900</v>
      </c>
      <c r="AE135" s="267">
        <v>44565</v>
      </c>
      <c r="AF135" s="267">
        <v>45205</v>
      </c>
      <c r="AG135" s="267">
        <v>44693</v>
      </c>
      <c r="AH135" s="267">
        <v>45218</v>
      </c>
      <c r="AI135" s="267">
        <v>45275</v>
      </c>
      <c r="AJ135" s="267">
        <v>45401</v>
      </c>
      <c r="AK135" s="267">
        <v>43876</v>
      </c>
      <c r="AL135" s="267">
        <v>44177</v>
      </c>
      <c r="AM135" s="267">
        <v>45790</v>
      </c>
      <c r="AN135" s="267">
        <v>47893</v>
      </c>
      <c r="AO135" s="267">
        <v>46842</v>
      </c>
      <c r="AP135" s="267">
        <v>47638</v>
      </c>
      <c r="AQ135" s="267">
        <v>47803</v>
      </c>
      <c r="AR135" s="267">
        <v>48040</v>
      </c>
      <c r="AS135" s="267">
        <v>49216</v>
      </c>
      <c r="AT135" s="267">
        <v>49257</v>
      </c>
      <c r="AU135" s="267">
        <v>48933</v>
      </c>
      <c r="AV135" s="267">
        <v>50278</v>
      </c>
      <c r="AW135" s="267">
        <v>49973</v>
      </c>
      <c r="AX135" s="267">
        <v>49605</v>
      </c>
      <c r="AY135" s="267">
        <v>51703</v>
      </c>
      <c r="AZ135" s="267">
        <v>53076</v>
      </c>
      <c r="BA135" s="267">
        <v>53366</v>
      </c>
      <c r="BB135" s="267">
        <v>54938</v>
      </c>
      <c r="BC135" s="267">
        <v>54304</v>
      </c>
      <c r="BD135" s="267">
        <v>56105</v>
      </c>
      <c r="BE135" s="267">
        <v>56831</v>
      </c>
      <c r="BF135" s="267">
        <v>55474</v>
      </c>
      <c r="BG135" s="267">
        <v>55769</v>
      </c>
      <c r="BH135" s="267">
        <v>57005</v>
      </c>
      <c r="BI135" s="267">
        <v>54537</v>
      </c>
      <c r="BJ135" s="267">
        <v>53235</v>
      </c>
      <c r="BK135" s="267">
        <v>56535</v>
      </c>
      <c r="BL135" s="267">
        <v>57525</v>
      </c>
      <c r="BM135" s="267">
        <v>55705</v>
      </c>
      <c r="BN135" s="267">
        <v>60091</v>
      </c>
      <c r="BO135" s="267">
        <v>57729</v>
      </c>
      <c r="BP135" s="267">
        <v>57910</v>
      </c>
      <c r="BQ135" s="267">
        <v>60163</v>
      </c>
      <c r="BR135" s="267">
        <v>58745</v>
      </c>
      <c r="BS135" s="267">
        <v>60781</v>
      </c>
      <c r="BT135" s="267">
        <v>61914</v>
      </c>
      <c r="BU135" s="267">
        <v>58160</v>
      </c>
      <c r="BV135" s="267">
        <v>58993</v>
      </c>
      <c r="BW135" s="267">
        <v>62769</v>
      </c>
      <c r="BX135" s="267">
        <v>63632</v>
      </c>
      <c r="BY135" s="267">
        <v>61745</v>
      </c>
      <c r="BZ135" s="267">
        <v>63943</v>
      </c>
      <c r="CA135" s="267">
        <v>62634</v>
      </c>
      <c r="CB135" s="267">
        <v>64528</v>
      </c>
      <c r="CC135" s="267">
        <v>68264</v>
      </c>
      <c r="CD135" s="267">
        <v>65528</v>
      </c>
      <c r="CE135" s="267">
        <v>65076</v>
      </c>
      <c r="CF135" s="267">
        <v>67170</v>
      </c>
      <c r="CG135" s="267">
        <v>62462</v>
      </c>
      <c r="CH135" s="267">
        <v>64595</v>
      </c>
      <c r="CI135" s="267">
        <v>65750</v>
      </c>
      <c r="CJ135" s="267">
        <v>64637</v>
      </c>
      <c r="CK135" s="267">
        <v>67094</v>
      </c>
      <c r="CL135" s="267">
        <v>67134</v>
      </c>
      <c r="CM135" s="267">
        <v>70789</v>
      </c>
      <c r="CN135" s="267">
        <v>72185</v>
      </c>
      <c r="CO135" s="267">
        <v>71948</v>
      </c>
      <c r="CP135" s="267">
        <v>74354</v>
      </c>
      <c r="CQ135" s="267">
        <v>77264</v>
      </c>
      <c r="CR135" s="267">
        <v>73796</v>
      </c>
      <c r="CS135" s="267">
        <v>70431</v>
      </c>
      <c r="CT135" s="267">
        <v>68248</v>
      </c>
      <c r="CU135" s="267">
        <v>68420</v>
      </c>
      <c r="CV135" s="267">
        <v>68558</v>
      </c>
      <c r="CW135" s="267">
        <v>67180</v>
      </c>
      <c r="CX135" s="267">
        <v>67472</v>
      </c>
      <c r="CY135" s="267">
        <v>66922</v>
      </c>
      <c r="CZ135" s="267">
        <v>67201</v>
      </c>
      <c r="DA135" s="267">
        <v>66657</v>
      </c>
      <c r="DB135" s="267">
        <v>66991</v>
      </c>
      <c r="DC135" s="267">
        <v>68502</v>
      </c>
      <c r="DD135" s="267">
        <v>66932</v>
      </c>
      <c r="DE135" s="267">
        <v>66684</v>
      </c>
      <c r="DF135" s="267">
        <v>64091</v>
      </c>
      <c r="DG135" s="267">
        <v>68925</v>
      </c>
      <c r="DH135" s="267">
        <v>71631</v>
      </c>
      <c r="DI135" s="267">
        <v>70392</v>
      </c>
      <c r="DJ135" s="267">
        <v>73161</v>
      </c>
      <c r="DK135" s="267">
        <v>74180</v>
      </c>
      <c r="DL135" s="267">
        <v>77287</v>
      </c>
      <c r="DM135" s="267">
        <v>78284</v>
      </c>
      <c r="DN135" s="267">
        <v>78663</v>
      </c>
      <c r="DO135" s="267">
        <v>81244</v>
      </c>
      <c r="DP135" s="267">
        <v>83253</v>
      </c>
      <c r="DQ135" s="267">
        <v>76493</v>
      </c>
      <c r="DR135" s="267">
        <v>78522</v>
      </c>
      <c r="DS135" s="267">
        <v>81360</v>
      </c>
      <c r="DT135" s="267">
        <v>85625</v>
      </c>
      <c r="DU135" s="267">
        <v>83294</v>
      </c>
      <c r="DV135" s="267">
        <v>90010</v>
      </c>
      <c r="DW135" s="267">
        <v>89366</v>
      </c>
      <c r="DX135" s="267">
        <v>88434</v>
      </c>
      <c r="DY135" s="267">
        <v>93509</v>
      </c>
      <c r="DZ135" s="267">
        <v>93117</v>
      </c>
      <c r="EA135" s="267">
        <v>92758</v>
      </c>
      <c r="EB135" s="267">
        <v>96199</v>
      </c>
      <c r="EC135" s="267">
        <v>90038</v>
      </c>
      <c r="ED135" s="267">
        <v>95140</v>
      </c>
      <c r="EE135" s="267">
        <v>100352</v>
      </c>
      <c r="EF135" s="267">
        <v>103306</v>
      </c>
      <c r="EG135" s="267">
        <v>104410</v>
      </c>
      <c r="EH135" s="267">
        <v>103943</v>
      </c>
      <c r="EI135" s="267">
        <v>101967</v>
      </c>
      <c r="EJ135" s="267">
        <v>105969</v>
      </c>
      <c r="EK135" s="267">
        <v>108285</v>
      </c>
      <c r="EL135" s="267">
        <v>104603</v>
      </c>
      <c r="EM135" s="267">
        <v>104457</v>
      </c>
      <c r="EN135" s="267">
        <v>103241</v>
      </c>
      <c r="EO135" s="267">
        <v>99650</v>
      </c>
      <c r="EP135" s="267">
        <v>102161</v>
      </c>
      <c r="EQ135" s="267">
        <v>108327</v>
      </c>
      <c r="ER135" s="267">
        <v>107624</v>
      </c>
      <c r="ES135" s="267">
        <v>109578</v>
      </c>
      <c r="ET135" s="267">
        <v>110378</v>
      </c>
      <c r="EU135" s="267">
        <v>111501</v>
      </c>
      <c r="EV135" s="267">
        <v>114362</v>
      </c>
      <c r="EW135" s="267">
        <v>111598</v>
      </c>
      <c r="EX135" s="267">
        <v>108649</v>
      </c>
      <c r="EY135" s="267">
        <v>109321</v>
      </c>
      <c r="EZ135" s="267">
        <v>111551</v>
      </c>
      <c r="FA135" s="267">
        <v>102654</v>
      </c>
      <c r="FB135" s="267">
        <v>100693</v>
      </c>
      <c r="FC135" s="267">
        <v>107724</v>
      </c>
      <c r="FD135" s="267">
        <v>107269</v>
      </c>
      <c r="FE135" s="267">
        <v>107041</v>
      </c>
      <c r="FF135" s="267">
        <v>107859</v>
      </c>
      <c r="FG135" s="267">
        <v>105731</v>
      </c>
      <c r="FH135" s="267">
        <v>109956</v>
      </c>
      <c r="FI135" s="267">
        <v>107523</v>
      </c>
      <c r="FJ135" s="267">
        <v>109714</v>
      </c>
      <c r="FK135" s="267">
        <v>109723</v>
      </c>
      <c r="FL135" s="267">
        <v>110763</v>
      </c>
      <c r="FM135" s="267">
        <v>103846</v>
      </c>
      <c r="FN135" s="267">
        <v>99605</v>
      </c>
      <c r="FO135" s="267">
        <v>105717</v>
      </c>
      <c r="FP135" s="267">
        <v>105804</v>
      </c>
      <c r="FQ135" s="267">
        <v>104051</v>
      </c>
      <c r="FR135" s="267">
        <v>101473</v>
      </c>
      <c r="FS135" s="267">
        <v>97990</v>
      </c>
      <c r="FT135" s="267">
        <v>102004</v>
      </c>
      <c r="FU135" s="267">
        <v>102734</v>
      </c>
      <c r="FV135" s="267">
        <v>104021</v>
      </c>
      <c r="FW135" s="267">
        <v>106345</v>
      </c>
      <c r="FX135" s="267">
        <v>106628</v>
      </c>
      <c r="FY135" s="267">
        <v>99994</v>
      </c>
      <c r="FZ135" s="267">
        <v>97577</v>
      </c>
      <c r="GA135" s="267">
        <v>102947</v>
      </c>
      <c r="GB135" s="267">
        <v>100828</v>
      </c>
      <c r="GC135" s="267">
        <v>99770</v>
      </c>
      <c r="GD135" s="267">
        <v>104476</v>
      </c>
      <c r="GE135" s="267">
        <v>101308</v>
      </c>
      <c r="GF135" s="267">
        <v>103981</v>
      </c>
      <c r="GG135" s="267">
        <v>105334</v>
      </c>
      <c r="GH135" s="267">
        <v>101137</v>
      </c>
      <c r="GI135" s="267">
        <v>105986</v>
      </c>
      <c r="GJ135" s="267">
        <v>108817</v>
      </c>
      <c r="GK135" s="267">
        <v>102590</v>
      </c>
      <c r="GL135" s="267">
        <v>103375</v>
      </c>
      <c r="GM135" s="267">
        <v>110543</v>
      </c>
      <c r="GN135" s="267">
        <v>110009</v>
      </c>
      <c r="GO135" s="267">
        <v>105319</v>
      </c>
      <c r="GP135" s="267">
        <v>112961</v>
      </c>
      <c r="GQ135" s="267">
        <v>107822</v>
      </c>
      <c r="GR135" s="267">
        <v>110383</v>
      </c>
      <c r="GS135" s="267">
        <v>110877</v>
      </c>
      <c r="GT135" s="267">
        <v>107026</v>
      </c>
      <c r="GU135" s="267">
        <v>113411</v>
      </c>
      <c r="GV135" s="267">
        <v>114888</v>
      </c>
      <c r="GW135" s="267">
        <v>105694</v>
      </c>
      <c r="GX135" s="267">
        <v>106582</v>
      </c>
      <c r="GY135" s="267">
        <v>114801</v>
      </c>
      <c r="GZ135" s="267">
        <v>115568</v>
      </c>
      <c r="HA135" s="267">
        <v>113062</v>
      </c>
      <c r="HB135" s="267">
        <v>117370</v>
      </c>
      <c r="HC135" s="267">
        <v>114762</v>
      </c>
      <c r="HD135" s="267">
        <v>121210</v>
      </c>
      <c r="HE135" s="267">
        <v>123332</v>
      </c>
      <c r="HF135" s="267">
        <v>117187</v>
      </c>
      <c r="HG135" s="267">
        <v>125640</v>
      </c>
      <c r="HH135" s="267">
        <v>127451</v>
      </c>
      <c r="HI135" s="267">
        <v>114744</v>
      </c>
      <c r="HJ135" s="267">
        <v>121466</v>
      </c>
      <c r="HK135" s="267">
        <v>127122</v>
      </c>
      <c r="HL135" s="267">
        <v>127223</v>
      </c>
      <c r="HM135" s="267">
        <v>123993</v>
      </c>
      <c r="HN135" s="267">
        <v>131310</v>
      </c>
      <c r="HO135" s="267">
        <v>125765</v>
      </c>
      <c r="HP135" s="267">
        <v>136612</v>
      </c>
      <c r="HQ135" s="267">
        <v>130715</v>
      </c>
      <c r="HR135" s="267">
        <v>129847</v>
      </c>
      <c r="HS135" s="267">
        <v>137088</v>
      </c>
      <c r="HT135" s="267">
        <v>138635</v>
      </c>
      <c r="HU135" s="469">
        <v>125944</v>
      </c>
      <c r="HV135" s="469">
        <v>130569</v>
      </c>
      <c r="HW135" s="469">
        <v>140666</v>
      </c>
      <c r="HX135" s="469">
        <v>137887</v>
      </c>
      <c r="HY135" s="469">
        <v>120315</v>
      </c>
      <c r="HZ135" s="469">
        <v>125899</v>
      </c>
      <c r="IA135" s="853">
        <v>125915</v>
      </c>
      <c r="IB135" s="853">
        <v>149930</v>
      </c>
      <c r="IC135" s="853">
        <v>150755</v>
      </c>
      <c r="ID135" s="853">
        <v>148330</v>
      </c>
      <c r="IE135" s="853">
        <v>153868</v>
      </c>
      <c r="IF135" s="853">
        <v>142194</v>
      </c>
      <c r="IG135" s="853">
        <v>137411</v>
      </c>
      <c r="IH135" s="853">
        <v>134551</v>
      </c>
      <c r="II135" s="853">
        <v>147717</v>
      </c>
      <c r="IJ135" s="853">
        <v>144920</v>
      </c>
      <c r="IK135" s="853">
        <v>141871</v>
      </c>
      <c r="IL135" s="853">
        <v>139652</v>
      </c>
      <c r="IM135" s="854">
        <v>137495</v>
      </c>
      <c r="IN135" s="168"/>
    </row>
    <row r="136" spans="1:248" ht="15.75" thickBot="1">
      <c r="GK136" s="205"/>
      <c r="GL136" s="205"/>
      <c r="GM136" s="205"/>
      <c r="GN136" s="205"/>
      <c r="GO136" s="205"/>
      <c r="GP136" s="205"/>
      <c r="GQ136" s="205"/>
      <c r="GR136" s="205"/>
      <c r="GS136" s="205"/>
      <c r="GT136" s="205"/>
      <c r="GU136" s="205"/>
      <c r="GV136" s="205"/>
      <c r="GW136" s="205"/>
      <c r="GX136" s="205"/>
      <c r="GY136" s="205"/>
      <c r="GZ136" s="205"/>
      <c r="HA136" s="205"/>
      <c r="HB136" s="205"/>
      <c r="HC136" s="181"/>
      <c r="HD136" s="205"/>
      <c r="HE136" s="205"/>
      <c r="HF136" s="205"/>
      <c r="HG136" s="205"/>
      <c r="HH136" s="205"/>
      <c r="HI136" s="205"/>
      <c r="HV136" s="55"/>
      <c r="HW136" s="55"/>
      <c r="HX136" s="55"/>
      <c r="HY136" s="55"/>
      <c r="HZ136" s="55"/>
      <c r="IA136" s="55"/>
      <c r="IB136" s="55"/>
      <c r="IC136" s="55"/>
      <c r="ID136" s="55"/>
      <c r="IE136" s="55"/>
      <c r="IF136" s="55"/>
      <c r="IG136" s="856"/>
      <c r="IH136" s="55"/>
      <c r="II136" s="55"/>
      <c r="IJ136" s="55"/>
      <c r="IK136" s="55"/>
      <c r="IL136" s="55"/>
      <c r="IM136" s="857"/>
      <c r="IN136" s="168"/>
    </row>
    <row r="137" spans="1:248" ht="15.75" thickBot="1">
      <c r="A137" s="209" t="s">
        <v>197</v>
      </c>
      <c r="B137" s="624">
        <f t="shared" ref="B137:BM137" si="72">ABS(1-(B135/B56))</f>
        <v>1.8572459979585232E-2</v>
      </c>
      <c r="C137" s="624">
        <f t="shared" si="72"/>
        <v>1.5807405180620293E-2</v>
      </c>
      <c r="D137" s="624">
        <f t="shared" si="72"/>
        <v>7.1662303664921434E-2</v>
      </c>
      <c r="E137" s="624">
        <f t="shared" si="72"/>
        <v>2.9710092799079213E-2</v>
      </c>
      <c r="F137" s="624">
        <f t="shared" si="72"/>
        <v>6.9992082343626305E-2</v>
      </c>
      <c r="G137" s="624">
        <f t="shared" si="72"/>
        <v>4.1648318538948237E-2</v>
      </c>
      <c r="H137" s="624">
        <f t="shared" si="72"/>
        <v>4.2212184440419187E-2</v>
      </c>
      <c r="I137" s="624">
        <f t="shared" si="72"/>
        <v>6.816504528681655E-2</v>
      </c>
      <c r="J137" s="624">
        <f t="shared" si="72"/>
        <v>4.773022049286646E-2</v>
      </c>
      <c r="K137" s="624">
        <f t="shared" si="72"/>
        <v>4.2344830734814098E-2</v>
      </c>
      <c r="L137" s="624">
        <f t="shared" si="72"/>
        <v>5.3175071490172976E-2</v>
      </c>
      <c r="M137" s="624">
        <f t="shared" si="72"/>
        <v>1.3966348426127206E-2</v>
      </c>
      <c r="N137" s="624">
        <f t="shared" si="72"/>
        <v>4.6928527852081237E-2</v>
      </c>
      <c r="O137" s="624">
        <f t="shared" si="72"/>
        <v>4.012987671858359E-2</v>
      </c>
      <c r="P137" s="624">
        <f t="shared" si="72"/>
        <v>7.5899733930822055E-2</v>
      </c>
      <c r="Q137" s="624">
        <f t="shared" si="72"/>
        <v>1.6397000313471688E-3</v>
      </c>
      <c r="R137" s="624">
        <f t="shared" si="72"/>
        <v>5.9452919266446802E-2</v>
      </c>
      <c r="S137" s="624">
        <f t="shared" si="72"/>
        <v>5.9124160737549225E-3</v>
      </c>
      <c r="T137" s="624">
        <f t="shared" si="72"/>
        <v>7.5026547855394643E-3</v>
      </c>
      <c r="U137" s="624">
        <f t="shared" si="72"/>
        <v>2.0089339611251922E-2</v>
      </c>
      <c r="V137" s="624">
        <f t="shared" si="72"/>
        <v>2.5125628140703515E-2</v>
      </c>
      <c r="W137" s="624">
        <f t="shared" si="72"/>
        <v>1.0966129927817869E-2</v>
      </c>
      <c r="X137" s="624">
        <f t="shared" si="72"/>
        <v>1.4524495677232796E-3</v>
      </c>
      <c r="Y137" s="624">
        <f t="shared" si="72"/>
        <v>1.9550808259024333E-2</v>
      </c>
      <c r="Z137" s="624">
        <f t="shared" si="72"/>
        <v>4.7312551035112449E-3</v>
      </c>
      <c r="AA137" s="624">
        <f t="shared" si="72"/>
        <v>2.7550351060469769E-2</v>
      </c>
      <c r="AB137" s="624">
        <f t="shared" si="72"/>
        <v>7.3346372688477546E-3</v>
      </c>
      <c r="AC137" s="624">
        <f t="shared" si="72"/>
        <v>2.703146246541932E-2</v>
      </c>
      <c r="AD137" s="624">
        <f t="shared" si="72"/>
        <v>3.7555082980729182E-2</v>
      </c>
      <c r="AE137" s="624">
        <f t="shared" si="72"/>
        <v>1.8698425034859634E-2</v>
      </c>
      <c r="AF137" s="624">
        <f t="shared" si="72"/>
        <v>7.879027302256203E-3</v>
      </c>
      <c r="AG137" s="624">
        <f t="shared" si="72"/>
        <v>5.7174638487208496E-3</v>
      </c>
      <c r="AH137" s="624">
        <f t="shared" si="72"/>
        <v>1.9939549781206267E-2</v>
      </c>
      <c r="AI137" s="624">
        <f t="shared" si="72"/>
        <v>7.1054189784863775E-3</v>
      </c>
      <c r="AJ137" s="624">
        <f t="shared" si="72"/>
        <v>1.3075979024880002E-2</v>
      </c>
      <c r="AK137" s="624">
        <f t="shared" si="72"/>
        <v>2.2792022791984223E-5</v>
      </c>
      <c r="AL137" s="624">
        <f t="shared" si="72"/>
        <v>1.8978333069745723E-3</v>
      </c>
      <c r="AM137" s="624">
        <f t="shared" si="72"/>
        <v>1.7939966745428304E-3</v>
      </c>
      <c r="AN137" s="624">
        <f t="shared" si="72"/>
        <v>2.2970684836492006E-2</v>
      </c>
      <c r="AO137" s="624">
        <f t="shared" si="72"/>
        <v>7.0083412159256397E-3</v>
      </c>
      <c r="AP137" s="624">
        <f t="shared" si="72"/>
        <v>2.9914268841509384E-2</v>
      </c>
      <c r="AQ137" s="624">
        <f t="shared" si="72"/>
        <v>3.8401190859349899E-2</v>
      </c>
      <c r="AR137" s="624">
        <f t="shared" si="72"/>
        <v>3.2095581568714393E-2</v>
      </c>
      <c r="AS137" s="624">
        <f t="shared" si="72"/>
        <v>1.0574564754131321E-2</v>
      </c>
      <c r="AT137" s="624">
        <f t="shared" si="72"/>
        <v>1.8706669854171687E-2</v>
      </c>
      <c r="AU137" s="624">
        <f t="shared" si="72"/>
        <v>2.67125467419842E-2</v>
      </c>
      <c r="AV137" s="624">
        <f t="shared" si="72"/>
        <v>7.8538164022416979E-3</v>
      </c>
      <c r="AW137" s="624">
        <f t="shared" si="72"/>
        <v>2.9776623804813607E-2</v>
      </c>
      <c r="AX137" s="624">
        <f t="shared" si="72"/>
        <v>5.2000933132568372E-2</v>
      </c>
      <c r="AY137" s="624">
        <f t="shared" si="72"/>
        <v>8.7499737080116935E-2</v>
      </c>
      <c r="AZ137" s="624">
        <f t="shared" si="72"/>
        <v>3.9381180847938957E-2</v>
      </c>
      <c r="BA137" s="624">
        <f t="shared" si="72"/>
        <v>5.6773401453494188E-2</v>
      </c>
      <c r="BB137" s="624">
        <f t="shared" si="72"/>
        <v>3.0886436988666111E-2</v>
      </c>
      <c r="BC137" s="624">
        <f t="shared" si="72"/>
        <v>3.3397400521418152E-2</v>
      </c>
      <c r="BD137" s="624">
        <f t="shared" si="72"/>
        <v>2.9373990899750568E-2</v>
      </c>
      <c r="BE137" s="624">
        <f t="shared" si="72"/>
        <v>5.1141197795287141E-2</v>
      </c>
      <c r="BF137" s="624">
        <f t="shared" si="72"/>
        <v>2.1808804568060447E-2</v>
      </c>
      <c r="BG137" s="624">
        <f t="shared" si="72"/>
        <v>1.781249429671683E-2</v>
      </c>
      <c r="BH137" s="624">
        <f t="shared" si="72"/>
        <v>7.0131430186546329E-3</v>
      </c>
      <c r="BI137" s="624">
        <f t="shared" si="72"/>
        <v>2.830153103552302E-2</v>
      </c>
      <c r="BJ137" s="624">
        <f t="shared" si="72"/>
        <v>2.7048405455983637E-2</v>
      </c>
      <c r="BK137" s="624">
        <f t="shared" si="72"/>
        <v>3.9169913976913495E-2</v>
      </c>
      <c r="BL137" s="624">
        <f t="shared" si="72"/>
        <v>2.6155408836973093E-2</v>
      </c>
      <c r="BM137" s="624">
        <f t="shared" si="72"/>
        <v>1.4340772609123809E-3</v>
      </c>
      <c r="BN137" s="624">
        <f t="shared" ref="BN137:DY137" si="73">ABS(1-(BN135/BN56))</f>
        <v>3.5008270302387956E-2</v>
      </c>
      <c r="BO137" s="624">
        <f t="shared" si="73"/>
        <v>6.6719477496120061E-2</v>
      </c>
      <c r="BP137" s="624">
        <f t="shared" si="73"/>
        <v>5.9337589136331914E-2</v>
      </c>
      <c r="BQ137" s="624">
        <f t="shared" si="73"/>
        <v>3.2873585390946536E-2</v>
      </c>
      <c r="BR137" s="624">
        <f t="shared" si="73"/>
        <v>4.9710440324824523E-2</v>
      </c>
      <c r="BS137" s="624">
        <f t="shared" si="73"/>
        <v>2.5601975055307924E-2</v>
      </c>
      <c r="BT137" s="624">
        <f t="shared" si="73"/>
        <v>1.9355043081601631E-2</v>
      </c>
      <c r="BU137" s="624">
        <f t="shared" si="73"/>
        <v>2.6855182799297217E-2</v>
      </c>
      <c r="BV137" s="624">
        <f t="shared" si="73"/>
        <v>4.97571177978684E-3</v>
      </c>
      <c r="BW137" s="624">
        <f t="shared" si="73"/>
        <v>1.0024780355936125E-2</v>
      </c>
      <c r="BX137" s="624">
        <f t="shared" si="73"/>
        <v>3.3506485616209503E-2</v>
      </c>
      <c r="BY137" s="624">
        <f t="shared" si="73"/>
        <v>5.2520500716920493E-3</v>
      </c>
      <c r="BZ137" s="624">
        <f t="shared" si="73"/>
        <v>4.7829647829647826E-2</v>
      </c>
      <c r="CA137" s="624">
        <f t="shared" si="73"/>
        <v>5.2364021484227252E-2</v>
      </c>
      <c r="CB137" s="624">
        <f t="shared" si="73"/>
        <v>3.693864453830431E-2</v>
      </c>
      <c r="CC137" s="624">
        <f t="shared" si="73"/>
        <v>1.4522881478273408E-2</v>
      </c>
      <c r="CD137" s="624">
        <f t="shared" si="73"/>
        <v>1.6273344142196611E-2</v>
      </c>
      <c r="CE137" s="624">
        <f t="shared" si="73"/>
        <v>6.4429448227426578E-3</v>
      </c>
      <c r="CF137" s="624">
        <f t="shared" si="73"/>
        <v>7.5207967020789468E-3</v>
      </c>
      <c r="CG137" s="624">
        <f t="shared" si="73"/>
        <v>1.463588960543194E-2</v>
      </c>
      <c r="CH137" s="624">
        <f t="shared" si="73"/>
        <v>2.0974268192451184E-2</v>
      </c>
      <c r="CI137" s="624">
        <f t="shared" si="73"/>
        <v>5.2901963182681033E-3</v>
      </c>
      <c r="CJ137" s="624">
        <f t="shared" si="73"/>
        <v>2.9736707796691575E-2</v>
      </c>
      <c r="CK137" s="624">
        <f t="shared" si="73"/>
        <v>1.1011040521218707E-2</v>
      </c>
      <c r="CL137" s="624">
        <f t="shared" si="73"/>
        <v>5.92867652210467E-2</v>
      </c>
      <c r="CM137" s="624">
        <f t="shared" si="73"/>
        <v>6.8743949830946116E-3</v>
      </c>
      <c r="CN137" s="624">
        <f t="shared" si="73"/>
        <v>3.0592374736446271E-2</v>
      </c>
      <c r="CO137" s="624">
        <f t="shared" si="73"/>
        <v>6.7318287292101431E-2</v>
      </c>
      <c r="CP137" s="624">
        <f t="shared" si="73"/>
        <v>9.8279443882171025E-3</v>
      </c>
      <c r="CQ137" s="624">
        <f t="shared" si="73"/>
        <v>6.5446877451043051E-3</v>
      </c>
      <c r="CR137" s="624">
        <f t="shared" si="73"/>
        <v>6.7800287473218646E-4</v>
      </c>
      <c r="CS137" s="624">
        <f t="shared" si="73"/>
        <v>2.888070821281441E-2</v>
      </c>
      <c r="CT137" s="624">
        <f t="shared" si="73"/>
        <v>1.7761009290603536E-2</v>
      </c>
      <c r="CU137" s="624">
        <f t="shared" si="73"/>
        <v>2.4757739601899198E-2</v>
      </c>
      <c r="CV137" s="624">
        <f t="shared" si="73"/>
        <v>3.1844435343792776E-2</v>
      </c>
      <c r="CW137" s="624">
        <f t="shared" si="73"/>
        <v>2.0585491019360913E-2</v>
      </c>
      <c r="CX137" s="624">
        <f t="shared" si="73"/>
        <v>4.0172982815522951E-2</v>
      </c>
      <c r="CY137" s="624">
        <f t="shared" si="73"/>
        <v>1.8249567232931363E-2</v>
      </c>
      <c r="CZ137" s="624">
        <f t="shared" si="73"/>
        <v>2.3439997674891688E-2</v>
      </c>
      <c r="DA137" s="624">
        <f t="shared" si="73"/>
        <v>9.8926072813154686E-3</v>
      </c>
      <c r="DB137" s="624">
        <f t="shared" si="73"/>
        <v>1.9200048684751003E-2</v>
      </c>
      <c r="DC137" s="624">
        <f t="shared" si="73"/>
        <v>1.1965963481652242E-2</v>
      </c>
      <c r="DD137" s="624">
        <f t="shared" si="73"/>
        <v>1.5706329574942668E-2</v>
      </c>
      <c r="DE137" s="624">
        <f t="shared" si="73"/>
        <v>4.1384264609426236E-2</v>
      </c>
      <c r="DF137" s="624">
        <f t="shared" si="73"/>
        <v>3.1762130139411981E-2</v>
      </c>
      <c r="DG137" s="624">
        <f t="shared" si="73"/>
        <v>6.1397024854476623E-2</v>
      </c>
      <c r="DH137" s="624">
        <f t="shared" si="73"/>
        <v>2.0093990316149224E-2</v>
      </c>
      <c r="DI137" s="624">
        <f t="shared" si="73"/>
        <v>3.3489451043150043E-2</v>
      </c>
      <c r="DJ137" s="624">
        <f t="shared" si="73"/>
        <v>3.4340892382514365E-2</v>
      </c>
      <c r="DK137" s="624">
        <f t="shared" si="73"/>
        <v>2.9277091716386927E-2</v>
      </c>
      <c r="DL137" s="624">
        <f t="shared" si="73"/>
        <v>3.7200563644903761E-2</v>
      </c>
      <c r="DM137" s="624">
        <f t="shared" si="73"/>
        <v>2.5706873509603989E-2</v>
      </c>
      <c r="DN137" s="624">
        <f t="shared" si="73"/>
        <v>5.299582351681309E-2</v>
      </c>
      <c r="DO137" s="624">
        <f t="shared" si="73"/>
        <v>4.5867071742124788E-2</v>
      </c>
      <c r="DP137" s="624">
        <f t="shared" si="73"/>
        <v>4.7128518602369551E-2</v>
      </c>
      <c r="DQ137" s="624">
        <f t="shared" si="73"/>
        <v>3.2600772159075531E-2</v>
      </c>
      <c r="DR137" s="624">
        <f t="shared" si="73"/>
        <v>5.050369914511621E-2</v>
      </c>
      <c r="DS137" s="624">
        <f t="shared" si="73"/>
        <v>8.5291999039564637E-2</v>
      </c>
      <c r="DT137" s="624">
        <f t="shared" si="73"/>
        <v>4.1122040781586211E-2</v>
      </c>
      <c r="DU137" s="624">
        <f t="shared" si="73"/>
        <v>4.460915258913678E-2</v>
      </c>
      <c r="DV137" s="624">
        <f t="shared" si="73"/>
        <v>1.3922995471647104E-2</v>
      </c>
      <c r="DW137" s="624">
        <f t="shared" si="73"/>
        <v>3.0714046803455464E-2</v>
      </c>
      <c r="DX137" s="624">
        <f t="shared" si="73"/>
        <v>1.290760869565144E-3</v>
      </c>
      <c r="DY137" s="624">
        <f t="shared" si="73"/>
        <v>1.2495262844458788E-2</v>
      </c>
      <c r="DZ137" s="624">
        <f t="shared" ref="DZ137:GK137" si="74">ABS(1-(DZ135/DZ56))</f>
        <v>2.6388016269303316E-2</v>
      </c>
      <c r="EA137" s="624">
        <f t="shared" si="74"/>
        <v>2.7349872979838263E-3</v>
      </c>
      <c r="EB137" s="624">
        <f t="shared" si="74"/>
        <v>2.7745133650990406E-2</v>
      </c>
      <c r="EC137" s="624">
        <f t="shared" si="74"/>
        <v>3.2178927216241826E-2</v>
      </c>
      <c r="ED137" s="624">
        <f t="shared" si="74"/>
        <v>7.0383871112911223E-2</v>
      </c>
      <c r="EE137" s="624">
        <f t="shared" si="74"/>
        <v>7.2962107604140014E-2</v>
      </c>
      <c r="EF137" s="624">
        <f t="shared" si="74"/>
        <v>4.05519742143432E-2</v>
      </c>
      <c r="EG137" s="624">
        <f t="shared" si="74"/>
        <v>8.547843805880162E-2</v>
      </c>
      <c r="EH137" s="624">
        <f t="shared" si="74"/>
        <v>1.1571325690484136E-2</v>
      </c>
      <c r="EI137" s="624">
        <f t="shared" si="74"/>
        <v>3.3393465218096274E-2</v>
      </c>
      <c r="EJ137" s="624">
        <f t="shared" si="74"/>
        <v>3.6148701501877323E-2</v>
      </c>
      <c r="EK137" s="624">
        <f t="shared" si="74"/>
        <v>3.3549680251980574E-2</v>
      </c>
      <c r="EL137" s="624">
        <f t="shared" si="74"/>
        <v>4.4588467914278285E-2</v>
      </c>
      <c r="EM137" s="624">
        <f t="shared" si="74"/>
        <v>1.0114978097107707E-2</v>
      </c>
      <c r="EN137" s="624">
        <f t="shared" si="74"/>
        <v>3.6077715111494602E-2</v>
      </c>
      <c r="EO137" s="624">
        <f t="shared" si="74"/>
        <v>6.4488906455300032E-2</v>
      </c>
      <c r="EP137" s="624">
        <f t="shared" si="74"/>
        <v>3.743082000507747E-2</v>
      </c>
      <c r="EQ137" s="624">
        <f t="shared" si="74"/>
        <v>7.8352711634944727E-2</v>
      </c>
      <c r="ER137" s="624">
        <f t="shared" si="74"/>
        <v>4.6213667735977459E-2</v>
      </c>
      <c r="ES137" s="624">
        <f t="shared" si="74"/>
        <v>4.9517278369473505E-2</v>
      </c>
      <c r="ET137" s="624">
        <f t="shared" si="74"/>
        <v>5.4815466065251117E-2</v>
      </c>
      <c r="EU137" s="624">
        <f t="shared" si="74"/>
        <v>9.6587332808812043E-2</v>
      </c>
      <c r="EV137" s="624">
        <f t="shared" si="74"/>
        <v>8.2266322194778141E-2</v>
      </c>
      <c r="EW137" s="624">
        <f t="shared" si="74"/>
        <v>4.0084997716618442E-2</v>
      </c>
      <c r="EX137" s="624">
        <f t="shared" si="74"/>
        <v>8.1945827524397608E-2</v>
      </c>
      <c r="EY137" s="624">
        <f t="shared" si="74"/>
        <v>6.2121697902396855E-2</v>
      </c>
      <c r="EZ137" s="624">
        <f t="shared" si="74"/>
        <v>0.10294742878612606</v>
      </c>
      <c r="FA137" s="624">
        <f t="shared" si="74"/>
        <v>0.13861375156671141</v>
      </c>
      <c r="FB137" s="624">
        <f t="shared" si="74"/>
        <v>0.10392045080799006</v>
      </c>
      <c r="FC137" s="624">
        <f t="shared" si="74"/>
        <v>0.18780046751642931</v>
      </c>
      <c r="FD137" s="624">
        <f t="shared" si="74"/>
        <v>8.4072764022233404E-2</v>
      </c>
      <c r="FE137" s="624">
        <f t="shared" si="74"/>
        <v>0.13494285047818977</v>
      </c>
      <c r="FF137" s="624">
        <f t="shared" si="74"/>
        <v>8.5024193467260867E-2</v>
      </c>
      <c r="FG137" s="624">
        <f t="shared" si="74"/>
        <v>0.11862165278938619</v>
      </c>
      <c r="FH137" s="624">
        <f t="shared" si="74"/>
        <v>0.13839049995341091</v>
      </c>
      <c r="FI137" s="624">
        <f t="shared" si="74"/>
        <v>0.12046309515125619</v>
      </c>
      <c r="FJ137" s="624">
        <f t="shared" si="74"/>
        <v>0.15867735428613683</v>
      </c>
      <c r="FK137" s="624">
        <f t="shared" si="74"/>
        <v>9.9516995350328763E-2</v>
      </c>
      <c r="FL137" s="624">
        <f t="shared" si="74"/>
        <v>0.14519230769230762</v>
      </c>
      <c r="FM137" s="624">
        <f t="shared" si="74"/>
        <v>0.15444732249063398</v>
      </c>
      <c r="FN137" s="624">
        <f t="shared" si="74"/>
        <v>0.1490321389843805</v>
      </c>
      <c r="FO137" s="624">
        <f t="shared" si="74"/>
        <v>0.23091343075042214</v>
      </c>
      <c r="FP137" s="624">
        <f t="shared" si="74"/>
        <v>0.14931890764518019</v>
      </c>
      <c r="FQ137" s="624">
        <f t="shared" si="74"/>
        <v>0.1988271078645989</v>
      </c>
      <c r="FR137" s="624">
        <f t="shared" si="74"/>
        <v>0.15303675927504123</v>
      </c>
      <c r="FS137" s="624">
        <f t="shared" si="74"/>
        <v>0.12296584918633968</v>
      </c>
      <c r="FT137" s="624">
        <f t="shared" si="74"/>
        <v>0.1495869538267347</v>
      </c>
      <c r="FU137" s="624">
        <f t="shared" si="74"/>
        <v>0.16714003317352488</v>
      </c>
      <c r="FV137" s="624">
        <f t="shared" si="74"/>
        <v>0.20133274818681568</v>
      </c>
      <c r="FW137" s="624">
        <f t="shared" si="74"/>
        <v>0.20178779283300741</v>
      </c>
      <c r="FX137" s="624">
        <f t="shared" si="74"/>
        <v>0.24276506719192525</v>
      </c>
      <c r="FY137" s="624">
        <f t="shared" si="74"/>
        <v>0.22438134420649214</v>
      </c>
      <c r="FZ137" s="624">
        <f t="shared" si="74"/>
        <v>0.1882824297335477</v>
      </c>
      <c r="GA137" s="624">
        <f t="shared" si="74"/>
        <v>0.23707611334086365</v>
      </c>
      <c r="GB137" s="624">
        <f t="shared" si="74"/>
        <v>0.20243759913181392</v>
      </c>
      <c r="GC137" s="624">
        <f t="shared" si="74"/>
        <v>0.22004010956759923</v>
      </c>
      <c r="GD137" s="624">
        <f t="shared" si="74"/>
        <v>0.21325715347454488</v>
      </c>
      <c r="GE137" s="624">
        <f t="shared" si="74"/>
        <v>0.22882476377618466</v>
      </c>
      <c r="GF137" s="624">
        <f t="shared" si="74"/>
        <v>0.22050589823346445</v>
      </c>
      <c r="GG137" s="624">
        <f t="shared" si="74"/>
        <v>0.22313569753129436</v>
      </c>
      <c r="GH137" s="624">
        <f t="shared" si="74"/>
        <v>0.24466044030830725</v>
      </c>
      <c r="GI137" s="624">
        <f t="shared" si="74"/>
        <v>0.25277330909409002</v>
      </c>
      <c r="GJ137" s="624">
        <f t="shared" si="74"/>
        <v>0.26287630852076216</v>
      </c>
      <c r="GK137" s="624">
        <f t="shared" si="74"/>
        <v>0.28075804297074947</v>
      </c>
      <c r="GL137" s="624">
        <f t="shared" ref="GL137:IM137" si="75">ABS(1-(GL135/GL56))</f>
        <v>0.26215299186727803</v>
      </c>
      <c r="GM137" s="624">
        <f t="shared" si="75"/>
        <v>0.34923221323490838</v>
      </c>
      <c r="GN137" s="624">
        <f t="shared" si="75"/>
        <v>0.25180073872959485</v>
      </c>
      <c r="GO137" s="624">
        <f t="shared" si="75"/>
        <v>0.25837119913208362</v>
      </c>
      <c r="GP137" s="624">
        <f t="shared" si="75"/>
        <v>0.25250726538704171</v>
      </c>
      <c r="GQ137" s="624">
        <f t="shared" si="75"/>
        <v>0.25472316190888478</v>
      </c>
      <c r="GR137" s="624">
        <f t="shared" si="75"/>
        <v>0.24784363377383878</v>
      </c>
      <c r="GS137" s="624">
        <f t="shared" si="75"/>
        <v>0.24013779681680414</v>
      </c>
      <c r="GT137" s="624">
        <f t="shared" si="75"/>
        <v>0.23903517657750495</v>
      </c>
      <c r="GU137" s="624">
        <f t="shared" si="75"/>
        <v>0.24819502531366977</v>
      </c>
      <c r="GV137" s="624">
        <f t="shared" si="75"/>
        <v>0.26033107715260484</v>
      </c>
      <c r="GW137" s="624">
        <f t="shared" si="75"/>
        <v>0.26125588599604299</v>
      </c>
      <c r="GX137" s="624">
        <f t="shared" si="75"/>
        <v>0.22635756316347844</v>
      </c>
      <c r="GY137" s="624">
        <f t="shared" si="75"/>
        <v>0.32213216139085232</v>
      </c>
      <c r="GZ137" s="624">
        <f t="shared" si="75"/>
        <v>0.22507563438539546</v>
      </c>
      <c r="HA137" s="624">
        <f t="shared" si="75"/>
        <v>0.2419018578769192</v>
      </c>
      <c r="HB137" s="624">
        <f t="shared" si="75"/>
        <v>0.21673216653380112</v>
      </c>
      <c r="HC137" s="624">
        <f t="shared" si="75"/>
        <v>0.23899862671768246</v>
      </c>
      <c r="HD137" s="624">
        <f t="shared" si="75"/>
        <v>0.23459430829717465</v>
      </c>
      <c r="HE137" s="624">
        <f t="shared" si="75"/>
        <v>0.26539523850564084</v>
      </c>
      <c r="HF137" s="624">
        <f t="shared" si="75"/>
        <v>0.26353845108798191</v>
      </c>
      <c r="HG137" s="624">
        <f t="shared" si="75"/>
        <v>0.24622952088009753</v>
      </c>
      <c r="HH137" s="624">
        <f t="shared" si="75"/>
        <v>0.26469595935540235</v>
      </c>
      <c r="HI137" s="624">
        <f t="shared" si="75"/>
        <v>0.23486471739759796</v>
      </c>
      <c r="HJ137" s="624">
        <f t="shared" si="75"/>
        <v>0.26176680177756362</v>
      </c>
      <c r="HK137" s="624">
        <f t="shared" si="75"/>
        <v>0.33600417862574061</v>
      </c>
      <c r="HL137" s="624">
        <f t="shared" si="75"/>
        <v>0.26286584972429461</v>
      </c>
      <c r="HM137" s="624">
        <f t="shared" si="75"/>
        <v>0.25726517219421385</v>
      </c>
      <c r="HN137" s="624">
        <f t="shared" si="75"/>
        <v>0.24350005824023579</v>
      </c>
      <c r="HO137" s="624">
        <f t="shared" si="75"/>
        <v>0.25418093553231746</v>
      </c>
      <c r="HP137" s="624">
        <f t="shared" si="75"/>
        <v>0.26334090099920937</v>
      </c>
      <c r="HQ137" s="624">
        <f t="shared" si="75"/>
        <v>0.25232088692849652</v>
      </c>
      <c r="HR137" s="624">
        <f t="shared" si="75"/>
        <v>0.28587740259637351</v>
      </c>
      <c r="HS137" s="624">
        <f t="shared" si="75"/>
        <v>0.28144296939410762</v>
      </c>
      <c r="HT137" s="624">
        <f t="shared" si="75"/>
        <v>0.29408558037593702</v>
      </c>
      <c r="HU137" s="624">
        <f t="shared" si="75"/>
        <v>0.29272508550149268</v>
      </c>
      <c r="HV137" s="625">
        <f t="shared" si="75"/>
        <v>0.29684574029603117</v>
      </c>
      <c r="HW137" s="625">
        <f t="shared" si="75"/>
        <v>0.36154973463549012</v>
      </c>
      <c r="HX137" s="625">
        <f t="shared" si="75"/>
        <v>0.27971027374994129</v>
      </c>
      <c r="HY137" s="625">
        <f t="shared" si="75"/>
        <v>0.19014929821763249</v>
      </c>
      <c r="HZ137" s="625">
        <f t="shared" si="75"/>
        <v>0.17141962183386172</v>
      </c>
      <c r="IA137" s="625">
        <f t="shared" si="75"/>
        <v>0.20912838530092515</v>
      </c>
      <c r="IB137" s="625">
        <f t="shared" si="75"/>
        <v>0.25164152727865385</v>
      </c>
      <c r="IC137" s="625">
        <f t="shared" si="75"/>
        <v>0.24527990963269986</v>
      </c>
      <c r="ID137" s="625">
        <f t="shared" si="75"/>
        <v>0.28009245538309568</v>
      </c>
      <c r="IE137" s="625">
        <f t="shared" si="75"/>
        <v>0.24046508556518797</v>
      </c>
      <c r="IF137" s="625">
        <f t="shared" si="75"/>
        <v>0.32250955023791583</v>
      </c>
      <c r="IG137" s="625">
        <f t="shared" ref="IG137:IL137" si="76">ABS(1-(IG135/IG56))</f>
        <v>0.25584444718106436</v>
      </c>
      <c r="IH137" s="625">
        <f t="shared" si="76"/>
        <v>0.26619217432952635</v>
      </c>
      <c r="II137" s="625">
        <f t="shared" si="76"/>
        <v>0.277542037521739</v>
      </c>
      <c r="IJ137" s="625">
        <f t="shared" si="76"/>
        <v>0.27403421659066796</v>
      </c>
      <c r="IK137" s="625">
        <f t="shared" si="76"/>
        <v>0.27522296757327269</v>
      </c>
      <c r="IL137" s="625">
        <f t="shared" si="76"/>
        <v>0.23141363156372941</v>
      </c>
      <c r="IM137" s="858">
        <f t="shared" si="75"/>
        <v>0.21969635811964872</v>
      </c>
      <c r="IN137" s="168"/>
    </row>
    <row r="138" spans="1:248" s="8" customFormat="1" ht="14.25" customHeight="1">
      <c r="IN138" s="168"/>
    </row>
    <row r="139" spans="1:248" s="55" customFormat="1" hidden="1">
      <c r="D139" s="960"/>
      <c r="E139" s="960"/>
      <c r="F139" s="960"/>
      <c r="G139" s="960"/>
      <c r="H139" s="960"/>
      <c r="I139" s="960"/>
      <c r="J139" s="960"/>
      <c r="K139" s="960"/>
      <c r="L139" s="960"/>
      <c r="M139" s="960"/>
      <c r="N139" s="960"/>
      <c r="O139" s="960"/>
      <c r="P139" s="960"/>
      <c r="Q139" s="960"/>
      <c r="R139" s="960"/>
      <c r="S139" s="960"/>
      <c r="T139" s="960"/>
      <c r="U139" s="960"/>
      <c r="V139" s="960"/>
      <c r="W139" s="960"/>
      <c r="X139" s="960"/>
      <c r="Y139" s="960"/>
      <c r="Z139" s="960"/>
      <c r="AA139" s="960"/>
      <c r="AB139" s="960"/>
      <c r="AC139" s="960"/>
      <c r="AD139" s="960"/>
      <c r="AE139" s="960"/>
      <c r="AF139" s="960"/>
      <c r="AG139" s="960"/>
      <c r="AH139" s="960"/>
      <c r="AI139" s="960"/>
      <c r="AJ139" s="960"/>
      <c r="AK139" s="960"/>
      <c r="AL139" s="960"/>
      <c r="AM139" s="960"/>
      <c r="AN139" s="960"/>
      <c r="AO139" s="960"/>
      <c r="AP139" s="960"/>
      <c r="AQ139" s="960"/>
      <c r="AR139" s="960"/>
      <c r="AS139" s="960"/>
      <c r="AT139" s="960"/>
      <c r="AU139" s="960"/>
      <c r="AV139" s="960"/>
      <c r="AW139" s="960"/>
      <c r="AX139" s="960"/>
      <c r="AY139" s="960"/>
      <c r="AZ139" s="960"/>
      <c r="BA139" s="960"/>
      <c r="BB139" s="960"/>
      <c r="BC139" s="960"/>
      <c r="BD139" s="960"/>
      <c r="BE139" s="960"/>
      <c r="BF139" s="960"/>
      <c r="BG139" s="960"/>
      <c r="BH139" s="960"/>
      <c r="BI139" s="960"/>
      <c r="BJ139" s="960"/>
      <c r="BK139" s="960"/>
      <c r="BL139" s="960"/>
      <c r="BM139" s="960"/>
      <c r="BN139" s="960"/>
      <c r="BO139" s="960"/>
      <c r="BP139" s="960"/>
      <c r="BQ139" s="960"/>
      <c r="BR139" s="960"/>
      <c r="BS139" s="960"/>
      <c r="BT139" s="960"/>
      <c r="BU139" s="960"/>
      <c r="BV139" s="960"/>
      <c r="BW139" s="960"/>
      <c r="BX139" s="960"/>
      <c r="BY139" s="960"/>
      <c r="BZ139" s="960"/>
      <c r="CA139" s="960"/>
      <c r="CB139" s="960"/>
      <c r="CC139" s="960"/>
      <c r="CD139" s="960"/>
      <c r="CE139" s="960"/>
      <c r="CF139" s="960"/>
      <c r="CG139" s="960"/>
      <c r="CH139" s="960"/>
      <c r="CI139" s="960"/>
      <c r="CJ139" s="960"/>
      <c r="CK139" s="960"/>
      <c r="CL139" s="960"/>
      <c r="CM139" s="960"/>
      <c r="CN139" s="960"/>
      <c r="CO139" s="960"/>
      <c r="CP139" s="960"/>
      <c r="CQ139" s="960"/>
      <c r="CR139" s="960"/>
      <c r="CS139" s="960"/>
      <c r="CT139" s="960"/>
      <c r="CU139" s="960"/>
      <c r="CV139" s="960"/>
      <c r="CW139" s="960"/>
      <c r="CX139" s="960"/>
      <c r="CY139" s="960"/>
      <c r="CZ139" s="960"/>
      <c r="DA139" s="960"/>
      <c r="DB139" s="960"/>
      <c r="DC139" s="960"/>
      <c r="DD139" s="960"/>
      <c r="DE139" s="960"/>
      <c r="DF139" s="960"/>
      <c r="DG139" s="960"/>
      <c r="DH139" s="960"/>
      <c r="DI139" s="960"/>
      <c r="DJ139" s="960"/>
      <c r="DK139" s="960"/>
      <c r="DL139" s="960"/>
      <c r="DM139" s="960"/>
      <c r="DN139" s="960"/>
      <c r="DO139" s="960"/>
      <c r="DP139" s="960"/>
      <c r="DQ139" s="960"/>
      <c r="DR139" s="960"/>
      <c r="DS139" s="960"/>
      <c r="DT139" s="960"/>
      <c r="DU139" s="960"/>
      <c r="DV139" s="960"/>
      <c r="DW139" s="960"/>
      <c r="DX139" s="960"/>
      <c r="DY139" s="960"/>
      <c r="DZ139" s="960"/>
      <c r="EA139" s="960"/>
      <c r="EB139" s="960"/>
      <c r="EC139" s="960"/>
      <c r="ED139" s="960"/>
      <c r="EE139" s="960"/>
      <c r="EF139" s="960"/>
      <c r="EG139" s="960"/>
      <c r="EH139" s="960"/>
      <c r="EI139" s="960"/>
      <c r="EJ139" s="960"/>
      <c r="EK139" s="960"/>
      <c r="EL139" s="960"/>
      <c r="EM139" s="960"/>
      <c r="EN139" s="960"/>
      <c r="EO139" s="960"/>
      <c r="EP139" s="960"/>
      <c r="EQ139" s="960"/>
      <c r="ER139" s="960"/>
      <c r="ES139" s="960"/>
      <c r="ET139" s="960"/>
      <c r="EU139" s="960"/>
      <c r="EV139" s="960"/>
      <c r="EW139" s="960"/>
      <c r="EX139" s="960"/>
      <c r="EY139" s="960"/>
      <c r="EZ139" s="960"/>
      <c r="FA139" s="960"/>
      <c r="FB139" s="960"/>
      <c r="FC139" s="960"/>
      <c r="FD139" s="960"/>
      <c r="FE139" s="960"/>
      <c r="FF139" s="960"/>
      <c r="FG139" s="960"/>
      <c r="FH139" s="960"/>
      <c r="FI139" s="960"/>
      <c r="FJ139" s="960"/>
      <c r="FK139" s="960"/>
      <c r="FL139" s="960"/>
      <c r="FM139" s="960"/>
      <c r="FN139" s="960"/>
      <c r="FO139" s="960"/>
      <c r="FP139" s="960"/>
      <c r="FQ139" s="960"/>
      <c r="FR139" s="960"/>
      <c r="FS139" s="960"/>
      <c r="FT139" s="960"/>
      <c r="FU139" s="960"/>
      <c r="FV139" s="960"/>
      <c r="FW139" s="960"/>
      <c r="FX139" s="960"/>
      <c r="FY139" s="960"/>
      <c r="FZ139" s="960"/>
      <c r="GA139" s="960"/>
      <c r="GB139" s="960"/>
      <c r="GC139" s="960"/>
      <c r="GD139" s="960"/>
      <c r="GE139" s="960"/>
      <c r="GF139" s="960"/>
      <c r="GG139" s="960"/>
      <c r="GH139" s="960"/>
      <c r="GI139" s="960"/>
      <c r="GJ139" s="960"/>
      <c r="GK139" s="960"/>
      <c r="GL139" s="960"/>
      <c r="GM139" s="960"/>
      <c r="GN139" s="960"/>
      <c r="GO139" s="960"/>
      <c r="GP139" s="960"/>
      <c r="GQ139" s="960"/>
      <c r="GR139" s="960"/>
      <c r="GS139" s="960"/>
      <c r="GT139" s="960"/>
      <c r="GU139" s="960"/>
      <c r="GV139" s="960"/>
      <c r="GW139" s="960"/>
      <c r="GX139" s="960"/>
      <c r="GY139" s="960"/>
      <c r="GZ139" s="960"/>
      <c r="HA139" s="960"/>
      <c r="HB139" s="960"/>
      <c r="HC139" s="960"/>
      <c r="IN139" s="168"/>
    </row>
    <row r="140" spans="1:248" s="8" customFormat="1" ht="15.75" hidden="1" thickBot="1">
      <c r="A140" s="961" t="s">
        <v>344</v>
      </c>
      <c r="IN140" s="168"/>
    </row>
    <row r="141" spans="1:248" ht="15.75" hidden="1" thickBot="1">
      <c r="A141" s="2" t="s">
        <v>95</v>
      </c>
      <c r="B141" s="80" t="s">
        <v>201</v>
      </c>
      <c r="C141" s="80" t="s">
        <v>202</v>
      </c>
      <c r="D141" s="80" t="s">
        <v>203</v>
      </c>
      <c r="E141" s="80" t="s">
        <v>204</v>
      </c>
      <c r="F141" s="80" t="s">
        <v>205</v>
      </c>
      <c r="G141" s="80" t="s">
        <v>206</v>
      </c>
      <c r="H141" s="80" t="s">
        <v>207</v>
      </c>
      <c r="I141" s="80" t="s">
        <v>208</v>
      </c>
      <c r="J141" s="80" t="s">
        <v>209</v>
      </c>
      <c r="K141" s="80" t="s">
        <v>210</v>
      </c>
      <c r="L141" s="80" t="s">
        <v>211</v>
      </c>
      <c r="M141" s="80" t="s">
        <v>212</v>
      </c>
      <c r="N141" s="80" t="s">
        <v>213</v>
      </c>
      <c r="O141" s="80" t="s">
        <v>214</v>
      </c>
      <c r="P141" s="80" t="s">
        <v>215</v>
      </c>
      <c r="Q141" s="80" t="s">
        <v>216</v>
      </c>
      <c r="R141" s="80" t="s">
        <v>217</v>
      </c>
      <c r="S141" s="80" t="s">
        <v>218</v>
      </c>
      <c r="T141" s="80" t="s">
        <v>219</v>
      </c>
      <c r="U141" s="80" t="s">
        <v>220</v>
      </c>
      <c r="V141" s="80" t="s">
        <v>221</v>
      </c>
      <c r="W141" s="80" t="s">
        <v>222</v>
      </c>
      <c r="X141" s="80" t="s">
        <v>223</v>
      </c>
      <c r="Y141" s="80" t="s">
        <v>224</v>
      </c>
      <c r="Z141" s="80" t="s">
        <v>225</v>
      </c>
      <c r="AA141" s="80" t="s">
        <v>226</v>
      </c>
      <c r="AB141" s="80" t="s">
        <v>227</v>
      </c>
      <c r="AC141" s="80" t="s">
        <v>228</v>
      </c>
      <c r="AD141" s="80" t="s">
        <v>229</v>
      </c>
      <c r="AE141" s="80" t="s">
        <v>230</v>
      </c>
      <c r="AF141" s="80" t="s">
        <v>231</v>
      </c>
      <c r="AG141" s="80" t="s">
        <v>232</v>
      </c>
      <c r="AH141" s="80" t="s">
        <v>233</v>
      </c>
      <c r="AI141" s="80" t="s">
        <v>234</v>
      </c>
      <c r="AJ141" s="80" t="s">
        <v>235</v>
      </c>
      <c r="AK141" s="80" t="s">
        <v>236</v>
      </c>
      <c r="AL141" s="80" t="s">
        <v>237</v>
      </c>
      <c r="AM141" s="80" t="s">
        <v>238</v>
      </c>
      <c r="AN141" s="80" t="s">
        <v>239</v>
      </c>
      <c r="AO141" s="80" t="s">
        <v>240</v>
      </c>
      <c r="AP141" s="80" t="s">
        <v>241</v>
      </c>
      <c r="AQ141" s="80" t="s">
        <v>242</v>
      </c>
      <c r="AR141" s="80" t="s">
        <v>243</v>
      </c>
      <c r="AS141" s="80" t="s">
        <v>244</v>
      </c>
      <c r="AT141" s="80" t="s">
        <v>245</v>
      </c>
      <c r="AU141" s="80" t="s">
        <v>246</v>
      </c>
      <c r="AV141" s="80" t="s">
        <v>247</v>
      </c>
      <c r="AW141" s="80" t="s">
        <v>248</v>
      </c>
      <c r="AX141" s="80" t="s">
        <v>249</v>
      </c>
      <c r="AY141" s="80" t="s">
        <v>250</v>
      </c>
      <c r="AZ141" s="80" t="s">
        <v>251</v>
      </c>
      <c r="BA141" s="80" t="s">
        <v>252</v>
      </c>
      <c r="BB141" s="80" t="s">
        <v>253</v>
      </c>
      <c r="BC141" s="80" t="s">
        <v>254</v>
      </c>
      <c r="BD141" s="80" t="s">
        <v>255</v>
      </c>
      <c r="BE141" s="80" t="s">
        <v>256</v>
      </c>
      <c r="BF141" s="80" t="s">
        <v>257</v>
      </c>
      <c r="BG141" s="80" t="s">
        <v>258</v>
      </c>
      <c r="BH141" s="80" t="s">
        <v>259</v>
      </c>
      <c r="BI141" s="80" t="s">
        <v>260</v>
      </c>
      <c r="BJ141" s="80" t="s">
        <v>261</v>
      </c>
      <c r="BK141" s="80" t="s">
        <v>262</v>
      </c>
      <c r="BL141" s="80" t="s">
        <v>263</v>
      </c>
      <c r="BM141" s="80" t="s">
        <v>264</v>
      </c>
      <c r="BN141" s="80" t="s">
        <v>265</v>
      </c>
      <c r="BO141" s="80" t="s">
        <v>266</v>
      </c>
      <c r="BP141" s="80" t="s">
        <v>267</v>
      </c>
      <c r="BQ141" s="80" t="s">
        <v>268</v>
      </c>
      <c r="BR141" s="80" t="s">
        <v>269</v>
      </c>
      <c r="BS141" s="149" t="s">
        <v>270</v>
      </c>
      <c r="GK141" s="205"/>
      <c r="GL141" s="205"/>
      <c r="GM141" s="205"/>
      <c r="GN141" s="205"/>
      <c r="GO141" s="205"/>
      <c r="GP141" s="205"/>
      <c r="GQ141" s="205"/>
      <c r="GR141" s="205"/>
      <c r="GS141" s="205"/>
      <c r="GT141" s="205"/>
      <c r="GU141" s="205"/>
      <c r="GV141" s="205"/>
      <c r="GW141" s="205"/>
      <c r="GX141" s="205"/>
      <c r="GY141" s="205"/>
      <c r="GZ141" s="205"/>
      <c r="HA141" s="205"/>
      <c r="HB141" s="205"/>
      <c r="HC141" s="205"/>
      <c r="IA141" s="722"/>
      <c r="IB141" s="722"/>
      <c r="IC141" s="722"/>
      <c r="ID141" s="722"/>
      <c r="IE141" s="722"/>
      <c r="IF141" s="722"/>
      <c r="IG141" s="722"/>
      <c r="IH141" s="722"/>
      <c r="II141" s="722"/>
      <c r="IJ141" s="722"/>
      <c r="IK141" s="722"/>
      <c r="IL141" s="722"/>
      <c r="IM141" s="722"/>
      <c r="IN141" s="168"/>
    </row>
    <row r="142" spans="1:248" hidden="1">
      <c r="A142" s="940" t="s">
        <v>189</v>
      </c>
      <c r="B142" s="128">
        <f t="shared" ref="B142:AG142" si="77">AVERAGEIFS($B124:$YO124,$B$60:$YO$60,RIGHT(LEFT(B$61,2),1),$B$59:$YO$59,RIGHT(B$61,4))</f>
        <v>1092</v>
      </c>
      <c r="C142" s="128">
        <f t="shared" si="77"/>
        <v>1113.6666666666667</v>
      </c>
      <c r="D142" s="128">
        <f t="shared" si="77"/>
        <v>1053</v>
      </c>
      <c r="E142" s="128">
        <f t="shared" si="77"/>
        <v>1125.5</v>
      </c>
      <c r="F142" s="128">
        <f t="shared" si="77"/>
        <v>1167.5</v>
      </c>
      <c r="G142" s="128">
        <f t="shared" si="77"/>
        <v>1031.3333333333333</v>
      </c>
      <c r="H142" s="128">
        <f t="shared" si="77"/>
        <v>797.33333333333337</v>
      </c>
      <c r="I142" s="128">
        <f t="shared" si="77"/>
        <v>1039.8333333333333</v>
      </c>
      <c r="J142" s="128">
        <f t="shared" si="77"/>
        <v>1184.6666666666667</v>
      </c>
      <c r="K142" s="128">
        <f t="shared" si="77"/>
        <v>1815</v>
      </c>
      <c r="L142" s="128">
        <f t="shared" si="77"/>
        <v>1947.1666666666667</v>
      </c>
      <c r="M142" s="128">
        <f t="shared" si="77"/>
        <v>2096</v>
      </c>
      <c r="N142" s="128">
        <f t="shared" si="77"/>
        <v>2148.5</v>
      </c>
      <c r="O142" s="128">
        <f t="shared" si="77"/>
        <v>2332.6666666666665</v>
      </c>
      <c r="P142" s="128">
        <f t="shared" si="77"/>
        <v>2431.8333333333335</v>
      </c>
      <c r="Q142" s="128">
        <f t="shared" si="77"/>
        <v>2274.6666666666665</v>
      </c>
      <c r="R142" s="128">
        <f t="shared" si="77"/>
        <v>1579</v>
      </c>
      <c r="S142" s="128">
        <f t="shared" si="77"/>
        <v>1707.6666666666667</v>
      </c>
      <c r="T142" s="128">
        <f t="shared" si="77"/>
        <v>2151</v>
      </c>
      <c r="U142" s="128">
        <f t="shared" si="77"/>
        <v>2250.6666666666665</v>
      </c>
      <c r="V142" s="128">
        <f t="shared" si="77"/>
        <v>2380.8333333333335</v>
      </c>
      <c r="W142" s="128">
        <f t="shared" si="77"/>
        <v>2775.6666666666665</v>
      </c>
      <c r="X142" s="128">
        <f t="shared" si="77"/>
        <v>3039.6666666666665</v>
      </c>
      <c r="Y142" s="128">
        <f t="shared" si="77"/>
        <v>3039.3333333333335</v>
      </c>
      <c r="Z142" s="128">
        <f t="shared" si="77"/>
        <v>2800.6666666666665</v>
      </c>
      <c r="AA142" s="128">
        <f t="shared" si="77"/>
        <v>2808.3333333333335</v>
      </c>
      <c r="AB142" s="128">
        <f t="shared" si="77"/>
        <v>2490</v>
      </c>
      <c r="AC142" s="128">
        <f t="shared" si="77"/>
        <v>2526</v>
      </c>
      <c r="AD142" s="128">
        <f t="shared" si="77"/>
        <v>2536.6666666666665</v>
      </c>
      <c r="AE142" s="128">
        <f t="shared" si="77"/>
        <v>2461.1666666666665</v>
      </c>
      <c r="AF142" s="128">
        <f t="shared" si="77"/>
        <v>2255.5</v>
      </c>
      <c r="AG142" s="128">
        <f t="shared" si="77"/>
        <v>2213.1666666666665</v>
      </c>
      <c r="AH142" s="128">
        <f t="shared" ref="AH142:BM142" si="78">AVERAGEIFS($B124:$YO124,$B$60:$YO$60,RIGHT(LEFT(AH$61,2),1),$B$59:$YO$59,RIGHT(AH$61,4))</f>
        <v>2284.6666666666665</v>
      </c>
      <c r="AI142" s="128">
        <f t="shared" si="78"/>
        <v>2545</v>
      </c>
      <c r="AJ142" s="128">
        <f t="shared" si="78"/>
        <v>2539</v>
      </c>
      <c r="AK142" s="128">
        <f t="shared" si="78"/>
        <v>2521.8333333333335</v>
      </c>
      <c r="AL142" s="128">
        <f t="shared" si="78"/>
        <v>2737.8333333333335</v>
      </c>
      <c r="AM142" s="128">
        <f t="shared" si="78"/>
        <v>2960</v>
      </c>
      <c r="AN142" s="128">
        <f t="shared" si="78"/>
        <v>2312</v>
      </c>
      <c r="AO142" s="128">
        <f t="shared" si="78"/>
        <v>2367</v>
      </c>
      <c r="AP142" s="128">
        <f t="shared" si="78"/>
        <v>2270.1666666666665</v>
      </c>
      <c r="AQ142" s="128" t="e">
        <f t="shared" si="78"/>
        <v>#DIV/0!</v>
      </c>
      <c r="AR142" s="128" t="e">
        <f t="shared" si="78"/>
        <v>#DIV/0!</v>
      </c>
      <c r="AS142" s="128" t="e">
        <f t="shared" si="78"/>
        <v>#DIV/0!</v>
      </c>
      <c r="AT142" s="128" t="e">
        <f t="shared" si="78"/>
        <v>#DIV/0!</v>
      </c>
      <c r="AU142" s="128" t="e">
        <f t="shared" si="78"/>
        <v>#DIV/0!</v>
      </c>
      <c r="AV142" s="128" t="e">
        <f t="shared" si="78"/>
        <v>#DIV/0!</v>
      </c>
      <c r="AW142" s="128" t="e">
        <f t="shared" si="78"/>
        <v>#DIV/0!</v>
      </c>
      <c r="AX142" s="128" t="e">
        <f t="shared" si="78"/>
        <v>#DIV/0!</v>
      </c>
      <c r="AY142" s="128" t="e">
        <f t="shared" si="78"/>
        <v>#DIV/0!</v>
      </c>
      <c r="AZ142" s="128" t="e">
        <f t="shared" si="78"/>
        <v>#DIV/0!</v>
      </c>
      <c r="BA142" s="128" t="e">
        <f t="shared" si="78"/>
        <v>#DIV/0!</v>
      </c>
      <c r="BB142" s="128" t="e">
        <f t="shared" si="78"/>
        <v>#DIV/0!</v>
      </c>
      <c r="BC142" s="128" t="e">
        <f t="shared" si="78"/>
        <v>#DIV/0!</v>
      </c>
      <c r="BD142" s="128" t="e">
        <f t="shared" si="78"/>
        <v>#DIV/0!</v>
      </c>
      <c r="BE142" s="128" t="e">
        <f t="shared" si="78"/>
        <v>#DIV/0!</v>
      </c>
      <c r="BF142" s="128" t="e">
        <f t="shared" si="78"/>
        <v>#DIV/0!</v>
      </c>
      <c r="BG142" s="128" t="e">
        <f t="shared" si="78"/>
        <v>#DIV/0!</v>
      </c>
      <c r="BH142" s="128" t="e">
        <f t="shared" si="78"/>
        <v>#DIV/0!</v>
      </c>
      <c r="BI142" s="128" t="e">
        <f t="shared" si="78"/>
        <v>#DIV/0!</v>
      </c>
      <c r="BJ142" s="128" t="e">
        <f t="shared" si="78"/>
        <v>#DIV/0!</v>
      </c>
      <c r="BK142" s="128" t="e">
        <f t="shared" si="78"/>
        <v>#DIV/0!</v>
      </c>
      <c r="BL142" s="128" t="e">
        <f t="shared" si="78"/>
        <v>#DIV/0!</v>
      </c>
      <c r="BM142" s="128" t="e">
        <f t="shared" si="78"/>
        <v>#DIV/0!</v>
      </c>
      <c r="BN142" s="128" t="e">
        <f t="shared" ref="BN142:BS142" si="79">AVERAGEIFS($B124:$YO124,$B$60:$YO$60,RIGHT(LEFT(BN$61,2),1),$B$59:$YO$59,RIGHT(BN$61,4))</f>
        <v>#DIV/0!</v>
      </c>
      <c r="BO142" s="128" t="e">
        <f t="shared" si="79"/>
        <v>#DIV/0!</v>
      </c>
      <c r="BP142" s="128" t="e">
        <f t="shared" si="79"/>
        <v>#DIV/0!</v>
      </c>
      <c r="BQ142" s="128" t="e">
        <f t="shared" si="79"/>
        <v>#DIV/0!</v>
      </c>
      <c r="BR142" s="128" t="e">
        <f t="shared" si="79"/>
        <v>#DIV/0!</v>
      </c>
      <c r="BS142" s="1" t="e">
        <f t="shared" si="79"/>
        <v>#DIV/0!</v>
      </c>
      <c r="GK142" s="205"/>
      <c r="GL142" s="205"/>
      <c r="GM142" s="205"/>
      <c r="GN142" s="205"/>
      <c r="GO142" s="205"/>
      <c r="GP142" s="205"/>
      <c r="GQ142" s="205"/>
      <c r="GR142" s="205"/>
      <c r="GS142" s="205"/>
      <c r="GT142" s="205"/>
      <c r="GU142" s="205"/>
      <c r="GV142" s="205"/>
      <c r="GW142" s="205"/>
      <c r="GX142" s="205"/>
      <c r="GY142" s="205"/>
      <c r="GZ142" s="205"/>
      <c r="HA142" s="205"/>
      <c r="HB142" s="205"/>
      <c r="HC142" s="205"/>
      <c r="IA142" s="722"/>
      <c r="IB142" s="722"/>
      <c r="IC142" s="722"/>
      <c r="ID142" s="722"/>
      <c r="IE142" s="722"/>
      <c r="IF142" s="722"/>
      <c r="IG142" s="722"/>
      <c r="IH142" s="722"/>
      <c r="II142" s="722"/>
      <c r="IJ142" s="722"/>
      <c r="IK142" s="722"/>
      <c r="IL142" s="722"/>
      <c r="IM142" s="722"/>
      <c r="IN142" s="168"/>
    </row>
    <row r="143" spans="1:248" hidden="1">
      <c r="A143" s="940" t="s">
        <v>143</v>
      </c>
      <c r="B143" s="170">
        <f t="shared" ref="B143:AG143" si="80">AVERAGEIFS($B123:$YO123,$B$60:$YO$60,RIGHT(LEFT(B$61,2),1),$B$59:$YO$59,RIGHT(B$61,4))</f>
        <v>6228</v>
      </c>
      <c r="C143" s="170">
        <f t="shared" si="80"/>
        <v>6503.666666666667</v>
      </c>
      <c r="D143" s="170">
        <f t="shared" si="80"/>
        <v>6383.666666666667</v>
      </c>
      <c r="E143" s="170">
        <f t="shared" si="80"/>
        <v>6551.166666666667</v>
      </c>
      <c r="F143" s="170">
        <f t="shared" si="80"/>
        <v>6702.833333333333</v>
      </c>
      <c r="G143" s="170">
        <f t="shared" si="80"/>
        <v>6895.5</v>
      </c>
      <c r="H143" s="170">
        <f t="shared" si="80"/>
        <v>7014.833333333333</v>
      </c>
      <c r="I143" s="170">
        <f t="shared" si="80"/>
        <v>7783.833333333333</v>
      </c>
      <c r="J143" s="170">
        <f t="shared" si="80"/>
        <v>9141.8333333333339</v>
      </c>
      <c r="K143" s="170">
        <f t="shared" si="80"/>
        <v>10101</v>
      </c>
      <c r="L143" s="170">
        <f t="shared" si="80"/>
        <v>9413.8333333333339</v>
      </c>
      <c r="M143" s="170">
        <f t="shared" si="80"/>
        <v>8418</v>
      </c>
      <c r="N143" s="170">
        <f t="shared" si="80"/>
        <v>8539.3333333333339</v>
      </c>
      <c r="O143" s="170">
        <f t="shared" si="80"/>
        <v>8396.1666666666661</v>
      </c>
      <c r="P143" s="170">
        <f t="shared" si="80"/>
        <v>8139.333333333333</v>
      </c>
      <c r="Q143" s="170">
        <f t="shared" si="80"/>
        <v>8089.333333333333</v>
      </c>
      <c r="R143" s="170">
        <f t="shared" si="80"/>
        <v>8218.1666666666661</v>
      </c>
      <c r="S143" s="170">
        <f t="shared" si="80"/>
        <v>8502.1666666666661</v>
      </c>
      <c r="T143" s="170">
        <f t="shared" si="80"/>
        <v>9137.8333333333339</v>
      </c>
      <c r="U143" s="170">
        <f t="shared" si="80"/>
        <v>10163.166666666666</v>
      </c>
      <c r="V143" s="170">
        <f t="shared" si="80"/>
        <v>11452</v>
      </c>
      <c r="W143" s="170">
        <f t="shared" si="80"/>
        <v>11127.666666666666</v>
      </c>
      <c r="X143" s="170">
        <f t="shared" si="80"/>
        <v>9184</v>
      </c>
      <c r="Y143" s="170">
        <f t="shared" si="80"/>
        <v>7396.5</v>
      </c>
      <c r="Z143" s="170">
        <f t="shared" si="80"/>
        <v>7386.666666666667</v>
      </c>
      <c r="AA143" s="170">
        <f t="shared" si="80"/>
        <v>7325.666666666667</v>
      </c>
      <c r="AB143" s="170">
        <f t="shared" si="80"/>
        <v>7489.833333333333</v>
      </c>
      <c r="AC143" s="170">
        <f t="shared" si="80"/>
        <v>7416.833333333333</v>
      </c>
      <c r="AD143" s="170">
        <f t="shared" si="80"/>
        <v>7545.833333333333</v>
      </c>
      <c r="AE143" s="170">
        <f t="shared" si="80"/>
        <v>7647.166666666667</v>
      </c>
      <c r="AF143" s="170">
        <f t="shared" si="80"/>
        <v>6821.166666666667</v>
      </c>
      <c r="AG143" s="170">
        <f t="shared" si="80"/>
        <v>6616.5</v>
      </c>
      <c r="AH143" s="170">
        <f t="shared" ref="AH143:BM143" si="81">AVERAGEIFS($B123:$YO123,$B$60:$YO$60,RIGHT(LEFT(AH$61,2),1),$B$59:$YO$59,RIGHT(AH$61,4))</f>
        <v>6673</v>
      </c>
      <c r="AI143" s="170">
        <f t="shared" si="81"/>
        <v>6704</v>
      </c>
      <c r="AJ143" s="170">
        <f t="shared" si="81"/>
        <v>6995.166666666667</v>
      </c>
      <c r="AK143" s="170">
        <f t="shared" si="81"/>
        <v>7103.166666666667</v>
      </c>
      <c r="AL143" s="170">
        <f t="shared" si="81"/>
        <v>7557</v>
      </c>
      <c r="AM143" s="170">
        <f t="shared" si="81"/>
        <v>7211.833333333333</v>
      </c>
      <c r="AN143" s="170">
        <f t="shared" si="81"/>
        <v>9656.3333333333339</v>
      </c>
      <c r="AO143" s="170">
        <f t="shared" si="81"/>
        <v>10185.666666666666</v>
      </c>
      <c r="AP143" s="170">
        <f t="shared" si="81"/>
        <v>9971.3333333333339</v>
      </c>
      <c r="AQ143" s="170" t="e">
        <f t="shared" si="81"/>
        <v>#DIV/0!</v>
      </c>
      <c r="AR143" s="170" t="e">
        <f t="shared" si="81"/>
        <v>#DIV/0!</v>
      </c>
      <c r="AS143" s="170" t="e">
        <f t="shared" si="81"/>
        <v>#DIV/0!</v>
      </c>
      <c r="AT143" s="170" t="e">
        <f t="shared" si="81"/>
        <v>#DIV/0!</v>
      </c>
      <c r="AU143" s="170" t="e">
        <f t="shared" si="81"/>
        <v>#DIV/0!</v>
      </c>
      <c r="AV143" s="170" t="e">
        <f t="shared" si="81"/>
        <v>#DIV/0!</v>
      </c>
      <c r="AW143" s="170" t="e">
        <f t="shared" si="81"/>
        <v>#DIV/0!</v>
      </c>
      <c r="AX143" s="170" t="e">
        <f t="shared" si="81"/>
        <v>#DIV/0!</v>
      </c>
      <c r="AY143" s="170" t="e">
        <f t="shared" si="81"/>
        <v>#DIV/0!</v>
      </c>
      <c r="AZ143" s="170" t="e">
        <f t="shared" si="81"/>
        <v>#DIV/0!</v>
      </c>
      <c r="BA143" s="170" t="e">
        <f t="shared" si="81"/>
        <v>#DIV/0!</v>
      </c>
      <c r="BB143" s="170" t="e">
        <f t="shared" si="81"/>
        <v>#DIV/0!</v>
      </c>
      <c r="BC143" s="170" t="e">
        <f t="shared" si="81"/>
        <v>#DIV/0!</v>
      </c>
      <c r="BD143" s="170" t="e">
        <f t="shared" si="81"/>
        <v>#DIV/0!</v>
      </c>
      <c r="BE143" s="170" t="e">
        <f t="shared" si="81"/>
        <v>#DIV/0!</v>
      </c>
      <c r="BF143" s="170" t="e">
        <f t="shared" si="81"/>
        <v>#DIV/0!</v>
      </c>
      <c r="BG143" s="170" t="e">
        <f t="shared" si="81"/>
        <v>#DIV/0!</v>
      </c>
      <c r="BH143" s="170" t="e">
        <f t="shared" si="81"/>
        <v>#DIV/0!</v>
      </c>
      <c r="BI143" s="170" t="e">
        <f t="shared" si="81"/>
        <v>#DIV/0!</v>
      </c>
      <c r="BJ143" s="170" t="e">
        <f t="shared" si="81"/>
        <v>#DIV/0!</v>
      </c>
      <c r="BK143" s="170" t="e">
        <f t="shared" si="81"/>
        <v>#DIV/0!</v>
      </c>
      <c r="BL143" s="170" t="e">
        <f t="shared" si="81"/>
        <v>#DIV/0!</v>
      </c>
      <c r="BM143" s="170" t="e">
        <f t="shared" si="81"/>
        <v>#DIV/0!</v>
      </c>
      <c r="BN143" s="170" t="e">
        <f t="shared" ref="BN143:BS143" si="82">AVERAGEIFS($B123:$YO123,$B$60:$YO$60,RIGHT(LEFT(BN$61,2),1),$B$59:$YO$59,RIGHT(BN$61,4))</f>
        <v>#DIV/0!</v>
      </c>
      <c r="BO143" s="170" t="e">
        <f t="shared" si="82"/>
        <v>#DIV/0!</v>
      </c>
      <c r="BP143" s="170" t="e">
        <f t="shared" si="82"/>
        <v>#DIV/0!</v>
      </c>
      <c r="BQ143" s="170" t="e">
        <f t="shared" si="82"/>
        <v>#DIV/0!</v>
      </c>
      <c r="BR143" s="170" t="e">
        <f t="shared" si="82"/>
        <v>#DIV/0!</v>
      </c>
      <c r="BS143" s="166" t="e">
        <f t="shared" si="82"/>
        <v>#DIV/0!</v>
      </c>
      <c r="GK143" s="205"/>
      <c r="GL143" s="205"/>
      <c r="GM143" s="205"/>
      <c r="GN143" s="205"/>
      <c r="GO143" s="205"/>
      <c r="GP143" s="205"/>
      <c r="GQ143" s="205"/>
      <c r="GR143" s="205"/>
      <c r="GS143" s="205"/>
      <c r="GT143" s="205"/>
      <c r="GU143" s="205"/>
      <c r="GV143" s="205"/>
      <c r="GW143" s="205"/>
      <c r="GX143" s="205"/>
      <c r="GY143" s="205"/>
      <c r="GZ143" s="205"/>
      <c r="HA143" s="205"/>
      <c r="HB143" s="205"/>
      <c r="HC143" s="205"/>
      <c r="IA143" s="722"/>
      <c r="IB143" s="722"/>
      <c r="IC143" s="722"/>
      <c r="ID143" s="722"/>
      <c r="IE143" s="722"/>
      <c r="IF143" s="722"/>
      <c r="IG143" s="722"/>
      <c r="IH143" s="722"/>
      <c r="II143" s="722"/>
      <c r="IJ143" s="722"/>
      <c r="IK143" s="722"/>
      <c r="IL143" s="722"/>
      <c r="IM143" s="722"/>
      <c r="IN143" s="168"/>
    </row>
    <row r="144" spans="1:248" hidden="1">
      <c r="A144" s="940" t="s">
        <v>146</v>
      </c>
      <c r="B144" s="128">
        <f t="shared" ref="B144:AG144" si="83">AVERAGEIFS($B125:$YO125,$B$60:$YO$60,RIGHT(LEFT(B$61,2),1),$B$59:$YO$59,RIGHT(B$61,4))</f>
        <v>686.16666666666663</v>
      </c>
      <c r="C144" s="128">
        <f t="shared" si="83"/>
        <v>666.83333333333337</v>
      </c>
      <c r="D144" s="128">
        <f t="shared" si="83"/>
        <v>657.33333333333337</v>
      </c>
      <c r="E144" s="128">
        <f t="shared" si="83"/>
        <v>640.16666666666663</v>
      </c>
      <c r="F144" s="128">
        <f t="shared" si="83"/>
        <v>639.66666666666663</v>
      </c>
      <c r="G144" s="128">
        <f t="shared" si="83"/>
        <v>641.33333333333337</v>
      </c>
      <c r="H144" s="128">
        <f t="shared" si="83"/>
        <v>640.16666666666663</v>
      </c>
      <c r="I144" s="128">
        <f t="shared" si="83"/>
        <v>661.16666666666663</v>
      </c>
      <c r="J144" s="128">
        <f t="shared" si="83"/>
        <v>703</v>
      </c>
      <c r="K144" s="128">
        <f t="shared" si="83"/>
        <v>730.66666666666663</v>
      </c>
      <c r="L144" s="128">
        <f t="shared" si="83"/>
        <v>770.5</v>
      </c>
      <c r="M144" s="128">
        <f t="shared" si="83"/>
        <v>771.5</v>
      </c>
      <c r="N144" s="128">
        <f t="shared" si="83"/>
        <v>771.33333333333337</v>
      </c>
      <c r="O144" s="128">
        <f t="shared" si="83"/>
        <v>845.16666666666663</v>
      </c>
      <c r="P144" s="128">
        <f t="shared" si="83"/>
        <v>874.83333333333337</v>
      </c>
      <c r="Q144" s="128">
        <f t="shared" si="83"/>
        <v>918.5</v>
      </c>
      <c r="R144" s="128">
        <f t="shared" si="83"/>
        <v>912</v>
      </c>
      <c r="S144" s="128">
        <f t="shared" si="83"/>
        <v>942.33333333333337</v>
      </c>
      <c r="T144" s="128">
        <f t="shared" si="83"/>
        <v>994.66666666666663</v>
      </c>
      <c r="U144" s="128">
        <f t="shared" si="83"/>
        <v>1045.1666666666667</v>
      </c>
      <c r="V144" s="128">
        <f t="shared" si="83"/>
        <v>924</v>
      </c>
      <c r="W144" s="128">
        <f t="shared" si="83"/>
        <v>675.33333333333337</v>
      </c>
      <c r="X144" s="128">
        <f t="shared" si="83"/>
        <v>502.83333333333331</v>
      </c>
      <c r="Y144" s="128">
        <f t="shared" si="83"/>
        <v>413.66666666666669</v>
      </c>
      <c r="Z144" s="128">
        <f t="shared" si="83"/>
        <v>422.16666666666669</v>
      </c>
      <c r="AA144" s="128">
        <f t="shared" si="83"/>
        <v>464</v>
      </c>
      <c r="AB144" s="128">
        <f t="shared" si="83"/>
        <v>812.83333333333337</v>
      </c>
      <c r="AC144" s="128">
        <f t="shared" si="83"/>
        <v>980.33333333333337</v>
      </c>
      <c r="AD144" s="128">
        <f t="shared" si="83"/>
        <v>935.5</v>
      </c>
      <c r="AE144" s="128">
        <f t="shared" si="83"/>
        <v>1135.1666666666667</v>
      </c>
      <c r="AF144" s="128">
        <f t="shared" si="83"/>
        <v>1121</v>
      </c>
      <c r="AG144" s="128">
        <f t="shared" si="83"/>
        <v>1094</v>
      </c>
      <c r="AH144" s="128">
        <f t="shared" ref="AH144:BM144" si="84">AVERAGEIFS($B125:$YO125,$B$60:$YO$60,RIGHT(LEFT(AH$61,2),1),$B$59:$YO$59,RIGHT(AH$61,4))</f>
        <v>1101.5</v>
      </c>
      <c r="AI144" s="128">
        <f t="shared" si="84"/>
        <v>1113.8333333333333</v>
      </c>
      <c r="AJ144" s="128">
        <f t="shared" si="84"/>
        <v>1191.8333333333333</v>
      </c>
      <c r="AK144" s="128">
        <f t="shared" si="84"/>
        <v>1156.5</v>
      </c>
      <c r="AL144" s="128">
        <f t="shared" si="84"/>
        <v>1122.3333333333333</v>
      </c>
      <c r="AM144" s="128">
        <f t="shared" si="84"/>
        <v>1356.1666666666667</v>
      </c>
      <c r="AN144" s="128">
        <f t="shared" si="84"/>
        <v>1204.3333333333333</v>
      </c>
      <c r="AO144" s="128">
        <f t="shared" si="84"/>
        <v>997.33333333333337</v>
      </c>
      <c r="AP144" s="128">
        <f t="shared" si="84"/>
        <v>1006.6666666666666</v>
      </c>
      <c r="AQ144" s="128" t="e">
        <f t="shared" si="84"/>
        <v>#DIV/0!</v>
      </c>
      <c r="AR144" s="128" t="e">
        <f t="shared" si="84"/>
        <v>#DIV/0!</v>
      </c>
      <c r="AS144" s="128" t="e">
        <f t="shared" si="84"/>
        <v>#DIV/0!</v>
      </c>
      <c r="AT144" s="128" t="e">
        <f t="shared" si="84"/>
        <v>#DIV/0!</v>
      </c>
      <c r="AU144" s="128" t="e">
        <f t="shared" si="84"/>
        <v>#DIV/0!</v>
      </c>
      <c r="AV144" s="128" t="e">
        <f t="shared" si="84"/>
        <v>#DIV/0!</v>
      </c>
      <c r="AW144" s="128" t="e">
        <f t="shared" si="84"/>
        <v>#DIV/0!</v>
      </c>
      <c r="AX144" s="128" t="e">
        <f t="shared" si="84"/>
        <v>#DIV/0!</v>
      </c>
      <c r="AY144" s="128" t="e">
        <f t="shared" si="84"/>
        <v>#DIV/0!</v>
      </c>
      <c r="AZ144" s="128" t="e">
        <f t="shared" si="84"/>
        <v>#DIV/0!</v>
      </c>
      <c r="BA144" s="128" t="e">
        <f t="shared" si="84"/>
        <v>#DIV/0!</v>
      </c>
      <c r="BB144" s="128" t="e">
        <f t="shared" si="84"/>
        <v>#DIV/0!</v>
      </c>
      <c r="BC144" s="128" t="e">
        <f t="shared" si="84"/>
        <v>#DIV/0!</v>
      </c>
      <c r="BD144" s="128" t="e">
        <f t="shared" si="84"/>
        <v>#DIV/0!</v>
      </c>
      <c r="BE144" s="128" t="e">
        <f t="shared" si="84"/>
        <v>#DIV/0!</v>
      </c>
      <c r="BF144" s="128" t="e">
        <f t="shared" si="84"/>
        <v>#DIV/0!</v>
      </c>
      <c r="BG144" s="128" t="e">
        <f t="shared" si="84"/>
        <v>#DIV/0!</v>
      </c>
      <c r="BH144" s="128" t="e">
        <f t="shared" si="84"/>
        <v>#DIV/0!</v>
      </c>
      <c r="BI144" s="128" t="e">
        <f t="shared" si="84"/>
        <v>#DIV/0!</v>
      </c>
      <c r="BJ144" s="128" t="e">
        <f t="shared" si="84"/>
        <v>#DIV/0!</v>
      </c>
      <c r="BK144" s="128" t="e">
        <f t="shared" si="84"/>
        <v>#DIV/0!</v>
      </c>
      <c r="BL144" s="128" t="e">
        <f t="shared" si="84"/>
        <v>#DIV/0!</v>
      </c>
      <c r="BM144" s="128" t="e">
        <f t="shared" si="84"/>
        <v>#DIV/0!</v>
      </c>
      <c r="BN144" s="128" t="e">
        <f t="shared" ref="BN144:BS144" si="85">AVERAGEIFS($B125:$YO125,$B$60:$YO$60,RIGHT(LEFT(BN$61,2),1),$B$59:$YO$59,RIGHT(BN$61,4))</f>
        <v>#DIV/0!</v>
      </c>
      <c r="BO144" s="128" t="e">
        <f t="shared" si="85"/>
        <v>#DIV/0!</v>
      </c>
      <c r="BP144" s="128" t="e">
        <f t="shared" si="85"/>
        <v>#DIV/0!</v>
      </c>
      <c r="BQ144" s="128" t="e">
        <f t="shared" si="85"/>
        <v>#DIV/0!</v>
      </c>
      <c r="BR144" s="128" t="e">
        <f t="shared" si="85"/>
        <v>#DIV/0!</v>
      </c>
      <c r="BS144" s="1" t="e">
        <f t="shared" si="85"/>
        <v>#DIV/0!</v>
      </c>
      <c r="GK144" s="205"/>
      <c r="GL144" s="205"/>
      <c r="GM144" s="205"/>
      <c r="GN144" s="205"/>
      <c r="GO144" s="205"/>
      <c r="GP144" s="205"/>
      <c r="GQ144" s="205"/>
      <c r="GR144" s="205"/>
      <c r="GS144" s="205"/>
      <c r="GT144" s="205"/>
      <c r="GU144" s="205"/>
      <c r="GV144" s="205"/>
      <c r="GW144" s="205"/>
      <c r="GX144" s="205"/>
      <c r="GY144" s="205"/>
      <c r="GZ144" s="205"/>
      <c r="HA144" s="205"/>
      <c r="HB144" s="205"/>
      <c r="HC144" s="205"/>
      <c r="IA144" s="722"/>
      <c r="IB144" s="722"/>
      <c r="IC144" s="722"/>
      <c r="ID144" s="722"/>
      <c r="IE144" s="722"/>
      <c r="IF144" s="722"/>
      <c r="IG144" s="722"/>
      <c r="IH144" s="722"/>
      <c r="II144" s="722"/>
      <c r="IJ144" s="722"/>
      <c r="IK144" s="722"/>
      <c r="IL144" s="722"/>
      <c r="IM144" s="722"/>
      <c r="IN144" s="168"/>
    </row>
    <row r="145" spans="1:248" hidden="1">
      <c r="A145" s="940" t="s">
        <v>148</v>
      </c>
      <c r="B145" s="170">
        <f t="shared" ref="B145:AG145" si="86">AVERAGEIFS($B126:$YO126,$B$60:$YO$60,RIGHT(LEFT(B$61,2),1),$B$59:$YO$59,RIGHT(B$61,4))</f>
        <v>693</v>
      </c>
      <c r="C145" s="170">
        <f t="shared" si="86"/>
        <v>691.66666666666663</v>
      </c>
      <c r="D145" s="170">
        <f t="shared" si="86"/>
        <v>508</v>
      </c>
      <c r="E145" s="170">
        <f t="shared" si="86"/>
        <v>304.66666666666669</v>
      </c>
      <c r="F145" s="170">
        <f t="shared" si="86"/>
        <v>312.5</v>
      </c>
      <c r="G145" s="170">
        <f t="shared" si="86"/>
        <v>296</v>
      </c>
      <c r="H145" s="170">
        <f t="shared" si="86"/>
        <v>286.83333333333331</v>
      </c>
      <c r="I145" s="170">
        <f t="shared" si="86"/>
        <v>318.83333333333331</v>
      </c>
      <c r="J145" s="170">
        <f t="shared" si="86"/>
        <v>325.5</v>
      </c>
      <c r="K145" s="170">
        <f t="shared" si="86"/>
        <v>358.66666666666669</v>
      </c>
      <c r="L145" s="170">
        <f t="shared" si="86"/>
        <v>385.66666666666669</v>
      </c>
      <c r="M145" s="170">
        <f t="shared" si="86"/>
        <v>448.16666666666669</v>
      </c>
      <c r="N145" s="170">
        <f t="shared" si="86"/>
        <v>487.16666666666669</v>
      </c>
      <c r="O145" s="170">
        <f t="shared" si="86"/>
        <v>559.33333333333337</v>
      </c>
      <c r="P145" s="170">
        <f t="shared" si="86"/>
        <v>590.83333333333337</v>
      </c>
      <c r="Q145" s="170">
        <f t="shared" si="86"/>
        <v>611.66666666666663</v>
      </c>
      <c r="R145" s="170">
        <f t="shared" si="86"/>
        <v>591</v>
      </c>
      <c r="S145" s="170">
        <f t="shared" si="86"/>
        <v>548.16666666666663</v>
      </c>
      <c r="T145" s="170">
        <f t="shared" si="86"/>
        <v>607</v>
      </c>
      <c r="U145" s="170">
        <f t="shared" si="86"/>
        <v>704.16666666666663</v>
      </c>
      <c r="V145" s="170">
        <f t="shared" si="86"/>
        <v>690.5</v>
      </c>
      <c r="W145" s="170">
        <f t="shared" si="86"/>
        <v>882.83333333333337</v>
      </c>
      <c r="X145" s="170">
        <f t="shared" si="86"/>
        <v>984.83333333333337</v>
      </c>
      <c r="Y145" s="170">
        <f t="shared" si="86"/>
        <v>938.83333333333337</v>
      </c>
      <c r="Z145" s="170">
        <f t="shared" si="86"/>
        <v>910.33333333333337</v>
      </c>
      <c r="AA145" s="170">
        <f t="shared" si="86"/>
        <v>959.83333333333337</v>
      </c>
      <c r="AB145" s="170">
        <f t="shared" si="86"/>
        <v>1100.8333333333333</v>
      </c>
      <c r="AC145" s="170">
        <f t="shared" si="86"/>
        <v>1533.3333333333333</v>
      </c>
      <c r="AD145" s="170">
        <f t="shared" si="86"/>
        <v>1375.1666666666667</v>
      </c>
      <c r="AE145" s="170">
        <f t="shared" si="86"/>
        <v>1525.5</v>
      </c>
      <c r="AF145" s="170">
        <f t="shared" si="86"/>
        <v>1656.3333333333333</v>
      </c>
      <c r="AG145" s="170">
        <f t="shared" si="86"/>
        <v>2298.5</v>
      </c>
      <c r="AH145" s="170">
        <f t="shared" ref="AH145:BM145" si="87">AVERAGEIFS($B126:$YO126,$B$60:$YO$60,RIGHT(LEFT(AH$61,2),1),$B$59:$YO$59,RIGHT(AH$61,4))</f>
        <v>2618.6666666666665</v>
      </c>
      <c r="AI145" s="170">
        <f t="shared" si="87"/>
        <v>2625.1666666666665</v>
      </c>
      <c r="AJ145" s="170">
        <f t="shared" si="87"/>
        <v>2618</v>
      </c>
      <c r="AK145" s="170">
        <f t="shared" si="87"/>
        <v>2693</v>
      </c>
      <c r="AL145" s="170">
        <f t="shared" si="87"/>
        <v>2745.6666666666665</v>
      </c>
      <c r="AM145" s="170">
        <f t="shared" si="87"/>
        <v>2718.3333333333335</v>
      </c>
      <c r="AN145" s="170">
        <f t="shared" si="87"/>
        <v>2543</v>
      </c>
      <c r="AO145" s="170">
        <f t="shared" si="87"/>
        <v>2685.6666666666665</v>
      </c>
      <c r="AP145" s="170">
        <f t="shared" si="87"/>
        <v>2634.3333333333335</v>
      </c>
      <c r="AQ145" s="170" t="e">
        <f t="shared" si="87"/>
        <v>#DIV/0!</v>
      </c>
      <c r="AR145" s="170" t="e">
        <f t="shared" si="87"/>
        <v>#DIV/0!</v>
      </c>
      <c r="AS145" s="170" t="e">
        <f t="shared" si="87"/>
        <v>#DIV/0!</v>
      </c>
      <c r="AT145" s="170" t="e">
        <f t="shared" si="87"/>
        <v>#DIV/0!</v>
      </c>
      <c r="AU145" s="170" t="e">
        <f t="shared" si="87"/>
        <v>#DIV/0!</v>
      </c>
      <c r="AV145" s="170" t="e">
        <f t="shared" si="87"/>
        <v>#DIV/0!</v>
      </c>
      <c r="AW145" s="170" t="e">
        <f t="shared" si="87"/>
        <v>#DIV/0!</v>
      </c>
      <c r="AX145" s="170" t="e">
        <f t="shared" si="87"/>
        <v>#DIV/0!</v>
      </c>
      <c r="AY145" s="170" t="e">
        <f t="shared" si="87"/>
        <v>#DIV/0!</v>
      </c>
      <c r="AZ145" s="170" t="e">
        <f t="shared" si="87"/>
        <v>#DIV/0!</v>
      </c>
      <c r="BA145" s="170" t="e">
        <f t="shared" si="87"/>
        <v>#DIV/0!</v>
      </c>
      <c r="BB145" s="170" t="e">
        <f t="shared" si="87"/>
        <v>#DIV/0!</v>
      </c>
      <c r="BC145" s="170" t="e">
        <f t="shared" si="87"/>
        <v>#DIV/0!</v>
      </c>
      <c r="BD145" s="170" t="e">
        <f t="shared" si="87"/>
        <v>#DIV/0!</v>
      </c>
      <c r="BE145" s="170" t="e">
        <f t="shared" si="87"/>
        <v>#DIV/0!</v>
      </c>
      <c r="BF145" s="170" t="e">
        <f t="shared" si="87"/>
        <v>#DIV/0!</v>
      </c>
      <c r="BG145" s="170" t="e">
        <f t="shared" si="87"/>
        <v>#DIV/0!</v>
      </c>
      <c r="BH145" s="170" t="e">
        <f t="shared" si="87"/>
        <v>#DIV/0!</v>
      </c>
      <c r="BI145" s="170" t="e">
        <f t="shared" si="87"/>
        <v>#DIV/0!</v>
      </c>
      <c r="BJ145" s="170" t="e">
        <f t="shared" si="87"/>
        <v>#DIV/0!</v>
      </c>
      <c r="BK145" s="170" t="e">
        <f t="shared" si="87"/>
        <v>#DIV/0!</v>
      </c>
      <c r="BL145" s="170" t="e">
        <f t="shared" si="87"/>
        <v>#DIV/0!</v>
      </c>
      <c r="BM145" s="170" t="e">
        <f t="shared" si="87"/>
        <v>#DIV/0!</v>
      </c>
      <c r="BN145" s="170" t="e">
        <f t="shared" ref="BN145:BS145" si="88">AVERAGEIFS($B126:$YO126,$B$60:$YO$60,RIGHT(LEFT(BN$61,2),1),$B$59:$YO$59,RIGHT(BN$61,4))</f>
        <v>#DIV/0!</v>
      </c>
      <c r="BO145" s="170" t="e">
        <f t="shared" si="88"/>
        <v>#DIV/0!</v>
      </c>
      <c r="BP145" s="170" t="e">
        <f t="shared" si="88"/>
        <v>#DIV/0!</v>
      </c>
      <c r="BQ145" s="170" t="e">
        <f t="shared" si="88"/>
        <v>#DIV/0!</v>
      </c>
      <c r="BR145" s="170" t="e">
        <f t="shared" si="88"/>
        <v>#DIV/0!</v>
      </c>
      <c r="BS145" s="166" t="e">
        <f t="shared" si="88"/>
        <v>#DIV/0!</v>
      </c>
      <c r="GK145" s="205"/>
      <c r="GL145" s="205"/>
      <c r="GM145" s="205"/>
      <c r="GN145" s="205"/>
      <c r="GO145" s="205"/>
      <c r="GP145" s="205"/>
      <c r="GQ145" s="205"/>
      <c r="GR145" s="205"/>
      <c r="GS145" s="205"/>
      <c r="GT145" s="205"/>
      <c r="GU145" s="205"/>
      <c r="GV145" s="205"/>
      <c r="GW145" s="205"/>
      <c r="GX145" s="205"/>
      <c r="GY145" s="205"/>
      <c r="GZ145" s="205"/>
      <c r="HA145" s="205"/>
      <c r="HB145" s="205"/>
      <c r="HC145" s="205"/>
      <c r="IA145" s="722"/>
      <c r="IB145" s="722"/>
      <c r="IC145" s="722"/>
      <c r="ID145" s="722"/>
      <c r="IE145" s="722"/>
      <c r="IF145" s="722"/>
      <c r="IG145" s="722"/>
      <c r="IH145" s="722"/>
      <c r="II145" s="722"/>
      <c r="IJ145" s="722"/>
      <c r="IK145" s="722"/>
      <c r="IL145" s="722"/>
      <c r="IM145" s="722"/>
      <c r="IN145" s="168"/>
    </row>
    <row r="146" spans="1:248" hidden="1">
      <c r="A146" s="940" t="s">
        <v>145</v>
      </c>
      <c r="B146" s="128">
        <f t="shared" ref="B146:AG146" si="89">AVERAGEIFS($B127:$YO127,$B$60:$YO$60,RIGHT(LEFT(B$61,2),1),$B$59:$YO$59,RIGHT(B$61,4))</f>
        <v>981</v>
      </c>
      <c r="C146" s="128">
        <f t="shared" si="89"/>
        <v>1037</v>
      </c>
      <c r="D146" s="128">
        <f t="shared" si="89"/>
        <v>1082.6666666666667</v>
      </c>
      <c r="E146" s="128">
        <f t="shared" si="89"/>
        <v>1118.6666666666667</v>
      </c>
      <c r="F146" s="128">
        <f t="shared" si="89"/>
        <v>1070.8333333333333</v>
      </c>
      <c r="G146" s="128">
        <f t="shared" si="89"/>
        <v>1116.6666666666667</v>
      </c>
      <c r="H146" s="128">
        <f t="shared" si="89"/>
        <v>1310</v>
      </c>
      <c r="I146" s="128">
        <f t="shared" si="89"/>
        <v>1484.3333333333333</v>
      </c>
      <c r="J146" s="128">
        <f t="shared" si="89"/>
        <v>1483.6666666666667</v>
      </c>
      <c r="K146" s="128">
        <f t="shared" si="89"/>
        <v>1472.6666666666667</v>
      </c>
      <c r="L146" s="128">
        <f t="shared" si="89"/>
        <v>1494</v>
      </c>
      <c r="M146" s="128">
        <f t="shared" si="89"/>
        <v>1738.3333333333333</v>
      </c>
      <c r="N146" s="128">
        <f t="shared" si="89"/>
        <v>1700.1666666666667</v>
      </c>
      <c r="O146" s="128">
        <f t="shared" si="89"/>
        <v>2027.3333333333333</v>
      </c>
      <c r="P146" s="128">
        <f t="shared" si="89"/>
        <v>2155.3333333333335</v>
      </c>
      <c r="Q146" s="128">
        <f t="shared" si="89"/>
        <v>2280.5</v>
      </c>
      <c r="R146" s="128">
        <f t="shared" si="89"/>
        <v>1461.8333333333333</v>
      </c>
      <c r="S146" s="128">
        <f t="shared" si="89"/>
        <v>1293.6666666666667</v>
      </c>
      <c r="T146" s="128">
        <f t="shared" si="89"/>
        <v>1378</v>
      </c>
      <c r="U146" s="128">
        <f t="shared" si="89"/>
        <v>1627.8333333333333</v>
      </c>
      <c r="V146" s="128">
        <f t="shared" si="89"/>
        <v>1744.5</v>
      </c>
      <c r="W146" s="128">
        <f t="shared" si="89"/>
        <v>2140.5</v>
      </c>
      <c r="X146" s="128">
        <f t="shared" si="89"/>
        <v>2326.1666666666665</v>
      </c>
      <c r="Y146" s="128">
        <f t="shared" si="89"/>
        <v>2588.8333333333335</v>
      </c>
      <c r="Z146" s="128">
        <f t="shared" si="89"/>
        <v>2193.1666666666665</v>
      </c>
      <c r="AA146" s="128">
        <f t="shared" si="89"/>
        <v>1618.8333333333333</v>
      </c>
      <c r="AB146" s="128">
        <f t="shared" si="89"/>
        <v>1527.5</v>
      </c>
      <c r="AC146" s="128">
        <f t="shared" si="89"/>
        <v>1499</v>
      </c>
      <c r="AD146" s="128">
        <f t="shared" si="89"/>
        <v>1326.1666666666667</v>
      </c>
      <c r="AE146" s="128">
        <f t="shared" si="89"/>
        <v>1061.6666666666667</v>
      </c>
      <c r="AF146" s="128">
        <f t="shared" si="89"/>
        <v>914.83333333333337</v>
      </c>
      <c r="AG146" s="128">
        <f t="shared" si="89"/>
        <v>831.16666666666663</v>
      </c>
      <c r="AH146" s="128">
        <f t="shared" ref="AH146:BM146" si="90">AVERAGEIFS($B127:$YO127,$B$60:$YO$60,RIGHT(LEFT(AH$61,2),1),$B$59:$YO$59,RIGHT(AH$61,4))</f>
        <v>811.66666666666663</v>
      </c>
      <c r="AI146" s="128">
        <f t="shared" si="90"/>
        <v>822.83333333333337</v>
      </c>
      <c r="AJ146" s="128">
        <f t="shared" si="90"/>
        <v>826</v>
      </c>
      <c r="AK146" s="128">
        <f t="shared" si="90"/>
        <v>908.16666666666663</v>
      </c>
      <c r="AL146" s="128">
        <f t="shared" si="90"/>
        <v>893.83333333333337</v>
      </c>
      <c r="AM146" s="128">
        <f t="shared" si="90"/>
        <v>760.83333333333337</v>
      </c>
      <c r="AN146" s="128">
        <f t="shared" si="90"/>
        <v>570</v>
      </c>
      <c r="AO146" s="128">
        <f t="shared" si="90"/>
        <v>149.33333333333334</v>
      </c>
      <c r="AP146" s="128">
        <f t="shared" si="90"/>
        <v>489.66666666666669</v>
      </c>
      <c r="AQ146" s="128" t="e">
        <f t="shared" si="90"/>
        <v>#DIV/0!</v>
      </c>
      <c r="AR146" s="128" t="e">
        <f t="shared" si="90"/>
        <v>#DIV/0!</v>
      </c>
      <c r="AS146" s="128" t="e">
        <f t="shared" si="90"/>
        <v>#DIV/0!</v>
      </c>
      <c r="AT146" s="128" t="e">
        <f t="shared" si="90"/>
        <v>#DIV/0!</v>
      </c>
      <c r="AU146" s="128" t="e">
        <f t="shared" si="90"/>
        <v>#DIV/0!</v>
      </c>
      <c r="AV146" s="128" t="e">
        <f t="shared" si="90"/>
        <v>#DIV/0!</v>
      </c>
      <c r="AW146" s="128" t="e">
        <f t="shared" si="90"/>
        <v>#DIV/0!</v>
      </c>
      <c r="AX146" s="128" t="e">
        <f t="shared" si="90"/>
        <v>#DIV/0!</v>
      </c>
      <c r="AY146" s="128" t="e">
        <f t="shared" si="90"/>
        <v>#DIV/0!</v>
      </c>
      <c r="AZ146" s="128" t="e">
        <f t="shared" si="90"/>
        <v>#DIV/0!</v>
      </c>
      <c r="BA146" s="128" t="e">
        <f t="shared" si="90"/>
        <v>#DIV/0!</v>
      </c>
      <c r="BB146" s="128" t="e">
        <f t="shared" si="90"/>
        <v>#DIV/0!</v>
      </c>
      <c r="BC146" s="128" t="e">
        <f t="shared" si="90"/>
        <v>#DIV/0!</v>
      </c>
      <c r="BD146" s="128" t="e">
        <f t="shared" si="90"/>
        <v>#DIV/0!</v>
      </c>
      <c r="BE146" s="128" t="e">
        <f t="shared" si="90"/>
        <v>#DIV/0!</v>
      </c>
      <c r="BF146" s="128" t="e">
        <f t="shared" si="90"/>
        <v>#DIV/0!</v>
      </c>
      <c r="BG146" s="128" t="e">
        <f t="shared" si="90"/>
        <v>#DIV/0!</v>
      </c>
      <c r="BH146" s="128" t="e">
        <f t="shared" si="90"/>
        <v>#DIV/0!</v>
      </c>
      <c r="BI146" s="128" t="e">
        <f t="shared" si="90"/>
        <v>#DIV/0!</v>
      </c>
      <c r="BJ146" s="128" t="e">
        <f t="shared" si="90"/>
        <v>#DIV/0!</v>
      </c>
      <c r="BK146" s="128" t="e">
        <f t="shared" si="90"/>
        <v>#DIV/0!</v>
      </c>
      <c r="BL146" s="128" t="e">
        <f t="shared" si="90"/>
        <v>#DIV/0!</v>
      </c>
      <c r="BM146" s="128" t="e">
        <f t="shared" si="90"/>
        <v>#DIV/0!</v>
      </c>
      <c r="BN146" s="128" t="e">
        <f t="shared" ref="BN146:BS146" si="91">AVERAGEIFS($B127:$YO127,$B$60:$YO$60,RIGHT(LEFT(BN$61,2),1),$B$59:$YO$59,RIGHT(BN$61,4))</f>
        <v>#DIV/0!</v>
      </c>
      <c r="BO146" s="128" t="e">
        <f t="shared" si="91"/>
        <v>#DIV/0!</v>
      </c>
      <c r="BP146" s="128" t="e">
        <f t="shared" si="91"/>
        <v>#DIV/0!</v>
      </c>
      <c r="BQ146" s="128" t="e">
        <f t="shared" si="91"/>
        <v>#DIV/0!</v>
      </c>
      <c r="BR146" s="128" t="e">
        <f t="shared" si="91"/>
        <v>#DIV/0!</v>
      </c>
      <c r="BS146" s="1" t="e">
        <f t="shared" si="91"/>
        <v>#DIV/0!</v>
      </c>
      <c r="GK146" s="205"/>
      <c r="GL146" s="205"/>
      <c r="GM146" s="205"/>
      <c r="GN146" s="205"/>
      <c r="GO146" s="205"/>
      <c r="GP146" s="205"/>
      <c r="GQ146" s="205"/>
      <c r="GR146" s="205"/>
      <c r="GS146" s="205"/>
      <c r="GT146" s="205"/>
      <c r="GU146" s="205"/>
      <c r="GV146" s="205"/>
      <c r="GW146" s="205"/>
      <c r="GX146" s="205"/>
      <c r="GY146" s="205"/>
      <c r="GZ146" s="205"/>
      <c r="HA146" s="205"/>
      <c r="HB146" s="205"/>
      <c r="HC146" s="205"/>
      <c r="IA146" s="722"/>
      <c r="IB146" s="722"/>
      <c r="IC146" s="722"/>
      <c r="ID146" s="722"/>
      <c r="IE146" s="722"/>
      <c r="IF146" s="722"/>
      <c r="IG146" s="722"/>
      <c r="IH146" s="722"/>
      <c r="II146" s="722"/>
      <c r="IJ146" s="722"/>
      <c r="IK146" s="722"/>
      <c r="IL146" s="722"/>
      <c r="IM146" s="722"/>
      <c r="IN146" s="168"/>
    </row>
    <row r="147" spans="1:248" hidden="1">
      <c r="A147" s="940" t="s">
        <v>8</v>
      </c>
      <c r="B147" s="170">
        <f t="shared" ref="B147:AG147" si="92">AVERAGEIFS($B128:$YO128,$B$60:$YO$60,RIGHT(LEFT(B$61,2),1),$B$59:$YO$59,RIGHT(B$61,4))</f>
        <v>12033.166666666666</v>
      </c>
      <c r="C147" s="170">
        <f t="shared" si="92"/>
        <v>12428.333333333334</v>
      </c>
      <c r="D147" s="170">
        <f t="shared" si="92"/>
        <v>12655.666666666666</v>
      </c>
      <c r="E147" s="170">
        <f t="shared" si="92"/>
        <v>12876.333333333334</v>
      </c>
      <c r="F147" s="170">
        <f t="shared" si="92"/>
        <v>12699.833333333334</v>
      </c>
      <c r="G147" s="170">
        <f t="shared" si="92"/>
        <v>13054.833333333334</v>
      </c>
      <c r="H147" s="170">
        <f t="shared" si="92"/>
        <v>13406.5</v>
      </c>
      <c r="I147" s="170">
        <f t="shared" si="92"/>
        <v>12902.833333333334</v>
      </c>
      <c r="J147" s="170">
        <f t="shared" si="92"/>
        <v>12257.5</v>
      </c>
      <c r="K147" s="170">
        <f t="shared" si="92"/>
        <v>12147.666666666666</v>
      </c>
      <c r="L147" s="170">
        <f t="shared" si="92"/>
        <v>11914.833333333334</v>
      </c>
      <c r="M147" s="170">
        <f t="shared" si="92"/>
        <v>12763</v>
      </c>
      <c r="N147" s="170">
        <f t="shared" si="92"/>
        <v>13639.333333333334</v>
      </c>
      <c r="O147" s="170">
        <f t="shared" si="92"/>
        <v>13841.5</v>
      </c>
      <c r="P147" s="170">
        <f t="shared" si="92"/>
        <v>14247.666666666666</v>
      </c>
      <c r="Q147" s="170">
        <f t="shared" si="92"/>
        <v>14740.333333333334</v>
      </c>
      <c r="R147" s="170">
        <f t="shared" si="92"/>
        <v>16541</v>
      </c>
      <c r="S147" s="170">
        <f t="shared" si="92"/>
        <v>16662.666666666668</v>
      </c>
      <c r="T147" s="170">
        <f t="shared" si="92"/>
        <v>17284.833333333332</v>
      </c>
      <c r="U147" s="170">
        <f t="shared" si="92"/>
        <v>18483.833333333332</v>
      </c>
      <c r="V147" s="170">
        <f t="shared" si="92"/>
        <v>19427.666666666668</v>
      </c>
      <c r="W147" s="170">
        <f t="shared" si="92"/>
        <v>21892.833333333332</v>
      </c>
      <c r="X147" s="170">
        <f t="shared" si="92"/>
        <v>22881.5</v>
      </c>
      <c r="Y147" s="170">
        <f t="shared" si="92"/>
        <v>22699.333333333332</v>
      </c>
      <c r="Z147" s="170">
        <f t="shared" si="92"/>
        <v>21785.166666666668</v>
      </c>
      <c r="AA147" s="170">
        <f t="shared" si="92"/>
        <v>19349.333333333332</v>
      </c>
      <c r="AB147" s="170">
        <f t="shared" si="92"/>
        <v>17836.666666666668</v>
      </c>
      <c r="AC147" s="170">
        <f t="shared" si="92"/>
        <v>18875.5</v>
      </c>
      <c r="AD147" s="170">
        <f t="shared" si="92"/>
        <v>20278.833333333332</v>
      </c>
      <c r="AE147" s="170">
        <f t="shared" si="92"/>
        <v>22466.666666666668</v>
      </c>
      <c r="AF147" s="170">
        <f t="shared" si="92"/>
        <v>24657.166666666668</v>
      </c>
      <c r="AG147" s="170">
        <f t="shared" si="92"/>
        <v>26319.166666666668</v>
      </c>
      <c r="AH147" s="170">
        <f t="shared" ref="AH147:BM147" si="93">AVERAGEIFS($B128:$YO128,$B$60:$YO$60,RIGHT(LEFT(AH$61,2),1),$B$59:$YO$59,RIGHT(AH$61,4))</f>
        <v>27830.5</v>
      </c>
      <c r="AI147" s="170">
        <f t="shared" si="93"/>
        <v>28581.666666666668</v>
      </c>
      <c r="AJ147" s="170">
        <f t="shared" si="93"/>
        <v>29961.166666666668</v>
      </c>
      <c r="AK147" s="170">
        <f t="shared" si="93"/>
        <v>31401.833333333332</v>
      </c>
      <c r="AL147" s="170">
        <f t="shared" si="93"/>
        <v>31383.5</v>
      </c>
      <c r="AM147" s="170">
        <f t="shared" si="93"/>
        <v>31796.833333333332</v>
      </c>
      <c r="AN147" s="170">
        <f t="shared" si="93"/>
        <v>31217.833333333332</v>
      </c>
      <c r="AO147" s="170">
        <f t="shared" si="93"/>
        <v>35092.833333333336</v>
      </c>
      <c r="AP147" s="170">
        <f t="shared" si="93"/>
        <v>33212.333333333336</v>
      </c>
      <c r="AQ147" s="170" t="e">
        <f t="shared" si="93"/>
        <v>#DIV/0!</v>
      </c>
      <c r="AR147" s="170" t="e">
        <f t="shared" si="93"/>
        <v>#DIV/0!</v>
      </c>
      <c r="AS147" s="170" t="e">
        <f t="shared" si="93"/>
        <v>#DIV/0!</v>
      </c>
      <c r="AT147" s="170" t="e">
        <f t="shared" si="93"/>
        <v>#DIV/0!</v>
      </c>
      <c r="AU147" s="170" t="e">
        <f t="shared" si="93"/>
        <v>#DIV/0!</v>
      </c>
      <c r="AV147" s="170" t="e">
        <f t="shared" si="93"/>
        <v>#DIV/0!</v>
      </c>
      <c r="AW147" s="170" t="e">
        <f t="shared" si="93"/>
        <v>#DIV/0!</v>
      </c>
      <c r="AX147" s="170" t="e">
        <f t="shared" si="93"/>
        <v>#DIV/0!</v>
      </c>
      <c r="AY147" s="170" t="e">
        <f t="shared" si="93"/>
        <v>#DIV/0!</v>
      </c>
      <c r="AZ147" s="170" t="e">
        <f t="shared" si="93"/>
        <v>#DIV/0!</v>
      </c>
      <c r="BA147" s="170" t="e">
        <f t="shared" si="93"/>
        <v>#DIV/0!</v>
      </c>
      <c r="BB147" s="170" t="e">
        <f t="shared" si="93"/>
        <v>#DIV/0!</v>
      </c>
      <c r="BC147" s="170" t="e">
        <f t="shared" si="93"/>
        <v>#DIV/0!</v>
      </c>
      <c r="BD147" s="170" t="e">
        <f t="shared" si="93"/>
        <v>#DIV/0!</v>
      </c>
      <c r="BE147" s="170" t="e">
        <f t="shared" si="93"/>
        <v>#DIV/0!</v>
      </c>
      <c r="BF147" s="170" t="e">
        <f t="shared" si="93"/>
        <v>#DIV/0!</v>
      </c>
      <c r="BG147" s="170" t="e">
        <f t="shared" si="93"/>
        <v>#DIV/0!</v>
      </c>
      <c r="BH147" s="170" t="e">
        <f t="shared" si="93"/>
        <v>#DIV/0!</v>
      </c>
      <c r="BI147" s="170" t="e">
        <f t="shared" si="93"/>
        <v>#DIV/0!</v>
      </c>
      <c r="BJ147" s="170" t="e">
        <f t="shared" si="93"/>
        <v>#DIV/0!</v>
      </c>
      <c r="BK147" s="170" t="e">
        <f t="shared" si="93"/>
        <v>#DIV/0!</v>
      </c>
      <c r="BL147" s="170" t="e">
        <f t="shared" si="93"/>
        <v>#DIV/0!</v>
      </c>
      <c r="BM147" s="170" t="e">
        <f t="shared" si="93"/>
        <v>#DIV/0!</v>
      </c>
      <c r="BN147" s="170" t="e">
        <f t="shared" ref="BN147:BS147" si="94">AVERAGEIFS($B128:$YO128,$B$60:$YO$60,RIGHT(LEFT(BN$61,2),1),$B$59:$YO$59,RIGHT(BN$61,4))</f>
        <v>#DIV/0!</v>
      </c>
      <c r="BO147" s="170" t="e">
        <f t="shared" si="94"/>
        <v>#DIV/0!</v>
      </c>
      <c r="BP147" s="170" t="e">
        <f t="shared" si="94"/>
        <v>#DIV/0!</v>
      </c>
      <c r="BQ147" s="170" t="e">
        <f t="shared" si="94"/>
        <v>#DIV/0!</v>
      </c>
      <c r="BR147" s="170" t="e">
        <f t="shared" si="94"/>
        <v>#DIV/0!</v>
      </c>
      <c r="BS147" s="166" t="e">
        <f t="shared" si="94"/>
        <v>#DIV/0!</v>
      </c>
      <c r="GK147" s="205"/>
      <c r="GL147" s="205"/>
      <c r="GM147" s="205"/>
      <c r="GN147" s="205"/>
      <c r="GO147" s="205"/>
      <c r="GP147" s="205"/>
      <c r="GQ147" s="205"/>
      <c r="GR147" s="205"/>
      <c r="GS147" s="205"/>
      <c r="GT147" s="205"/>
      <c r="GU147" s="205"/>
      <c r="GV147" s="205"/>
      <c r="GW147" s="205"/>
      <c r="GX147" s="205"/>
      <c r="GY147" s="205"/>
      <c r="GZ147" s="205"/>
      <c r="HA147" s="205"/>
      <c r="HB147" s="205"/>
      <c r="HC147" s="205"/>
      <c r="IA147" s="722"/>
      <c r="IB147" s="722"/>
      <c r="IC147" s="722"/>
      <c r="ID147" s="722"/>
      <c r="IE147" s="722"/>
      <c r="IF147" s="722"/>
      <c r="IG147" s="722"/>
      <c r="IH147" s="722"/>
      <c r="II147" s="722"/>
      <c r="IJ147" s="722"/>
      <c r="IK147" s="722"/>
      <c r="IL147" s="722"/>
      <c r="IM147" s="722"/>
      <c r="IN147" s="168"/>
    </row>
    <row r="148" spans="1:248" hidden="1">
      <c r="A148" s="940" t="s">
        <v>192</v>
      </c>
      <c r="B148" s="128">
        <f t="shared" ref="B148:AG148" si="95">AVERAGEIFS($B131:$YO131,$B$60:$YO$60,RIGHT(LEFT(B$61,2),1),$B$59:$YO$59,RIGHT(B$61,4))</f>
        <v>2340.1666666666665</v>
      </c>
      <c r="C148" s="128">
        <f t="shared" si="95"/>
        <v>2179.3333333333335</v>
      </c>
      <c r="D148" s="128">
        <f t="shared" si="95"/>
        <v>2309.5</v>
      </c>
      <c r="E148" s="128">
        <f t="shared" si="95"/>
        <v>1973.5</v>
      </c>
      <c r="F148" s="128">
        <f t="shared" si="95"/>
        <v>2127</v>
      </c>
      <c r="G148" s="128">
        <f t="shared" si="95"/>
        <v>2292</v>
      </c>
      <c r="H148" s="128">
        <f t="shared" si="95"/>
        <v>2398.6666666666665</v>
      </c>
      <c r="I148" s="128">
        <f t="shared" si="95"/>
        <v>2419</v>
      </c>
      <c r="J148" s="128">
        <f t="shared" si="95"/>
        <v>2642.8333333333335</v>
      </c>
      <c r="K148" s="128">
        <f t="shared" si="95"/>
        <v>2613.6666666666665</v>
      </c>
      <c r="L148" s="128">
        <f t="shared" si="95"/>
        <v>3048</v>
      </c>
      <c r="M148" s="128">
        <f t="shared" si="95"/>
        <v>2753.8333333333335</v>
      </c>
      <c r="N148" s="128">
        <f t="shared" si="95"/>
        <v>3001.6666666666665</v>
      </c>
      <c r="O148" s="128">
        <f t="shared" si="95"/>
        <v>2678.1666666666665</v>
      </c>
      <c r="P148" s="128">
        <f t="shared" si="95"/>
        <v>2765.8333333333335</v>
      </c>
      <c r="Q148" s="128">
        <f t="shared" si="95"/>
        <v>2610.6666666666665</v>
      </c>
      <c r="R148" s="128">
        <f t="shared" si="95"/>
        <v>2348.5</v>
      </c>
      <c r="S148" s="128">
        <f t="shared" si="95"/>
        <v>1837.6666666666667</v>
      </c>
      <c r="T148" s="128">
        <f t="shared" si="95"/>
        <v>1784.1666666666667</v>
      </c>
      <c r="U148" s="128">
        <f t="shared" si="95"/>
        <v>1782.6666666666667</v>
      </c>
      <c r="V148" s="128">
        <f t="shared" si="95"/>
        <v>1958.5</v>
      </c>
      <c r="W148" s="128">
        <f t="shared" si="95"/>
        <v>2080.5</v>
      </c>
      <c r="X148" s="128">
        <f t="shared" si="95"/>
        <v>2321.3333333333335</v>
      </c>
      <c r="Y148" s="128">
        <f t="shared" si="95"/>
        <v>2083.8333333333335</v>
      </c>
      <c r="Z148" s="128">
        <f t="shared" si="95"/>
        <v>2732.8333333333335</v>
      </c>
      <c r="AA148" s="128">
        <f t="shared" si="95"/>
        <v>2268.1666666666665</v>
      </c>
      <c r="AB148" s="128">
        <f t="shared" si="95"/>
        <v>2336.5</v>
      </c>
      <c r="AC148" s="128">
        <f t="shared" si="95"/>
        <v>2138</v>
      </c>
      <c r="AD148" s="128">
        <f t="shared" si="95"/>
        <v>2343</v>
      </c>
      <c r="AE148" s="128">
        <f t="shared" si="95"/>
        <v>2259.5</v>
      </c>
      <c r="AF148" s="128">
        <f t="shared" si="95"/>
        <v>2412</v>
      </c>
      <c r="AG148" s="128">
        <f t="shared" si="95"/>
        <v>2381</v>
      </c>
      <c r="AH148" s="128">
        <f t="shared" ref="AH148:BM148" si="96">AVERAGEIFS($B131:$YO131,$B$60:$YO$60,RIGHT(LEFT(AH$61,2),1),$B$59:$YO$59,RIGHT(AH$61,4))</f>
        <v>2406.6666666666665</v>
      </c>
      <c r="AI148" s="128">
        <f t="shared" si="96"/>
        <v>2148</v>
      </c>
      <c r="AJ148" s="128">
        <f t="shared" si="96"/>
        <v>2473.1666666666665</v>
      </c>
      <c r="AK148" s="128">
        <f t="shared" si="96"/>
        <v>3072.5</v>
      </c>
      <c r="AL148" s="128">
        <f t="shared" si="96"/>
        <v>3095.5</v>
      </c>
      <c r="AM148" s="128">
        <f t="shared" si="96"/>
        <v>3076.5</v>
      </c>
      <c r="AN148" s="128">
        <f t="shared" si="96"/>
        <v>3088</v>
      </c>
      <c r="AO148" s="128">
        <f t="shared" si="96"/>
        <v>2893.6666666666665</v>
      </c>
      <c r="AP148" s="128">
        <f t="shared" si="96"/>
        <v>2800</v>
      </c>
      <c r="AQ148" s="128" t="e">
        <f t="shared" si="96"/>
        <v>#DIV/0!</v>
      </c>
      <c r="AR148" s="128" t="e">
        <f t="shared" si="96"/>
        <v>#DIV/0!</v>
      </c>
      <c r="AS148" s="128" t="e">
        <f t="shared" si="96"/>
        <v>#DIV/0!</v>
      </c>
      <c r="AT148" s="128" t="e">
        <f t="shared" si="96"/>
        <v>#DIV/0!</v>
      </c>
      <c r="AU148" s="128" t="e">
        <f t="shared" si="96"/>
        <v>#DIV/0!</v>
      </c>
      <c r="AV148" s="128" t="e">
        <f t="shared" si="96"/>
        <v>#DIV/0!</v>
      </c>
      <c r="AW148" s="128" t="e">
        <f t="shared" si="96"/>
        <v>#DIV/0!</v>
      </c>
      <c r="AX148" s="128" t="e">
        <f t="shared" si="96"/>
        <v>#DIV/0!</v>
      </c>
      <c r="AY148" s="128" t="e">
        <f t="shared" si="96"/>
        <v>#DIV/0!</v>
      </c>
      <c r="AZ148" s="128" t="e">
        <f t="shared" si="96"/>
        <v>#DIV/0!</v>
      </c>
      <c r="BA148" s="128" t="e">
        <f t="shared" si="96"/>
        <v>#DIV/0!</v>
      </c>
      <c r="BB148" s="128" t="e">
        <f t="shared" si="96"/>
        <v>#DIV/0!</v>
      </c>
      <c r="BC148" s="128" t="e">
        <f t="shared" si="96"/>
        <v>#DIV/0!</v>
      </c>
      <c r="BD148" s="128" t="e">
        <f t="shared" si="96"/>
        <v>#DIV/0!</v>
      </c>
      <c r="BE148" s="128" t="e">
        <f t="shared" si="96"/>
        <v>#DIV/0!</v>
      </c>
      <c r="BF148" s="128" t="e">
        <f t="shared" si="96"/>
        <v>#DIV/0!</v>
      </c>
      <c r="BG148" s="128" t="e">
        <f t="shared" si="96"/>
        <v>#DIV/0!</v>
      </c>
      <c r="BH148" s="128" t="e">
        <f t="shared" si="96"/>
        <v>#DIV/0!</v>
      </c>
      <c r="BI148" s="128" t="e">
        <f t="shared" si="96"/>
        <v>#DIV/0!</v>
      </c>
      <c r="BJ148" s="128" t="e">
        <f t="shared" si="96"/>
        <v>#DIV/0!</v>
      </c>
      <c r="BK148" s="128" t="e">
        <f t="shared" si="96"/>
        <v>#DIV/0!</v>
      </c>
      <c r="BL148" s="128" t="e">
        <f t="shared" si="96"/>
        <v>#DIV/0!</v>
      </c>
      <c r="BM148" s="128" t="e">
        <f t="shared" si="96"/>
        <v>#DIV/0!</v>
      </c>
      <c r="BN148" s="128" t="e">
        <f t="shared" ref="BN148:BS148" si="97">AVERAGEIFS($B131:$YO131,$B$60:$YO$60,RIGHT(LEFT(BN$61,2),1),$B$59:$YO$59,RIGHT(BN$61,4))</f>
        <v>#DIV/0!</v>
      </c>
      <c r="BO148" s="128" t="e">
        <f t="shared" si="97"/>
        <v>#DIV/0!</v>
      </c>
      <c r="BP148" s="128" t="e">
        <f t="shared" si="97"/>
        <v>#DIV/0!</v>
      </c>
      <c r="BQ148" s="128" t="e">
        <f t="shared" si="97"/>
        <v>#DIV/0!</v>
      </c>
      <c r="BR148" s="128" t="e">
        <f t="shared" si="97"/>
        <v>#DIV/0!</v>
      </c>
      <c r="BS148" s="1" t="e">
        <f t="shared" si="97"/>
        <v>#DIV/0!</v>
      </c>
      <c r="GK148" s="205"/>
      <c r="GL148" s="205"/>
      <c r="GM148" s="205"/>
      <c r="GN148" s="205"/>
      <c r="GO148" s="205"/>
      <c r="GP148" s="205"/>
      <c r="GQ148" s="205"/>
      <c r="GR148" s="205"/>
      <c r="GS148" s="205"/>
      <c r="GT148" s="205"/>
      <c r="GU148" s="205"/>
      <c r="GV148" s="205"/>
      <c r="GW148" s="205"/>
      <c r="GX148" s="205"/>
      <c r="GY148" s="205"/>
      <c r="GZ148" s="205"/>
      <c r="HA148" s="205"/>
      <c r="HB148" s="205"/>
      <c r="HC148" s="205"/>
      <c r="IA148" s="722"/>
      <c r="IB148" s="722"/>
      <c r="IC148" s="722"/>
      <c r="ID148" s="722"/>
      <c r="IE148" s="722"/>
      <c r="IF148" s="722"/>
      <c r="IG148" s="722"/>
      <c r="IH148" s="722"/>
      <c r="II148" s="722"/>
      <c r="IJ148" s="722"/>
      <c r="IK148" s="722"/>
      <c r="IL148" s="722"/>
      <c r="IM148" s="722"/>
      <c r="IN148" s="168"/>
    </row>
    <row r="149" spans="1:248" hidden="1">
      <c r="A149" s="940" t="s">
        <v>142</v>
      </c>
      <c r="B149" s="170">
        <f t="shared" ref="B149:AG149" si="98">AVERAGEIFS($B129:$YO129,$B$60:$YO$60,RIGHT(LEFT(B$61,2),1),$B$59:$YO$59,RIGHT(B$61,4))</f>
        <v>8644.8333333333339</v>
      </c>
      <c r="C149" s="170">
        <f t="shared" si="98"/>
        <v>8856</v>
      </c>
      <c r="D149" s="170">
        <f t="shared" si="98"/>
        <v>8420.6666666666661</v>
      </c>
      <c r="E149" s="170">
        <f t="shared" si="98"/>
        <v>10032.166666666666</v>
      </c>
      <c r="F149" s="170">
        <f t="shared" si="98"/>
        <v>10498.833333333334</v>
      </c>
      <c r="G149" s="170">
        <f t="shared" si="98"/>
        <v>11262.333333333334</v>
      </c>
      <c r="H149" s="170">
        <f t="shared" si="98"/>
        <v>12030.333333333334</v>
      </c>
      <c r="I149" s="170">
        <f t="shared" si="98"/>
        <v>12326</v>
      </c>
      <c r="J149" s="170">
        <f t="shared" si="98"/>
        <v>12591.5</v>
      </c>
      <c r="K149" s="170">
        <f t="shared" si="98"/>
        <v>13899.333333333334</v>
      </c>
      <c r="L149" s="170">
        <f t="shared" si="98"/>
        <v>14930</v>
      </c>
      <c r="M149" s="170">
        <f t="shared" si="98"/>
        <v>16223</v>
      </c>
      <c r="N149" s="170">
        <f t="shared" si="98"/>
        <v>16984.666666666668</v>
      </c>
      <c r="O149" s="170">
        <f t="shared" si="98"/>
        <v>18613</v>
      </c>
      <c r="P149" s="170">
        <f t="shared" si="98"/>
        <v>19282.666666666668</v>
      </c>
      <c r="Q149" s="170">
        <f t="shared" si="98"/>
        <v>25425.5</v>
      </c>
      <c r="R149" s="170">
        <f t="shared" si="98"/>
        <v>24911.333333333332</v>
      </c>
      <c r="S149" s="170">
        <f t="shared" si="98"/>
        <v>25088.833333333332</v>
      </c>
      <c r="T149" s="170">
        <f t="shared" si="98"/>
        <v>25671.666666666668</v>
      </c>
      <c r="U149" s="170">
        <f t="shared" si="98"/>
        <v>29349.833333333332</v>
      </c>
      <c r="V149" s="170">
        <f t="shared" si="98"/>
        <v>31145.333333333332</v>
      </c>
      <c r="W149" s="170">
        <f t="shared" si="98"/>
        <v>35899</v>
      </c>
      <c r="X149" s="170">
        <f t="shared" si="98"/>
        <v>46486</v>
      </c>
      <c r="Y149" s="170">
        <f t="shared" si="98"/>
        <v>52204.666666666664</v>
      </c>
      <c r="Z149" s="170">
        <f t="shared" si="98"/>
        <v>57531.333333333336</v>
      </c>
      <c r="AA149" s="170">
        <f t="shared" si="98"/>
        <v>63053.5</v>
      </c>
      <c r="AB149" s="170">
        <f t="shared" si="98"/>
        <v>61433.666666666664</v>
      </c>
      <c r="AC149" s="170">
        <f t="shared" si="98"/>
        <v>62462.5</v>
      </c>
      <c r="AD149" s="170">
        <f t="shared" si="98"/>
        <v>55512.833333333336</v>
      </c>
      <c r="AE149" s="170">
        <f t="shared" si="98"/>
        <v>54382.166666666664</v>
      </c>
      <c r="AF149" s="170">
        <f t="shared" si="98"/>
        <v>51816.166666666664</v>
      </c>
      <c r="AG149" s="170">
        <f t="shared" si="98"/>
        <v>52795.833333333336</v>
      </c>
      <c r="AH149" s="170">
        <f t="shared" ref="AH149:BM149" si="99">AVERAGEIFS($B129:$YO129,$B$60:$YO$60,RIGHT(LEFT(AH$61,2),1),$B$59:$YO$59,RIGHT(AH$61,4))</f>
        <v>53048.166666666664</v>
      </c>
      <c r="AI149" s="170">
        <f t="shared" si="99"/>
        <v>53517.833333333336</v>
      </c>
      <c r="AJ149" s="170">
        <f t="shared" si="99"/>
        <v>53906.666666666664</v>
      </c>
      <c r="AK149" s="170">
        <f t="shared" si="99"/>
        <v>58792.833333333336</v>
      </c>
      <c r="AL149" s="170">
        <f t="shared" si="99"/>
        <v>61369.5</v>
      </c>
      <c r="AM149" s="170">
        <f t="shared" si="99"/>
        <v>67867.333333333328</v>
      </c>
      <c r="AN149" s="170">
        <f t="shared" si="99"/>
        <v>66134.666666666672</v>
      </c>
      <c r="AO149" s="170">
        <f t="shared" si="99"/>
        <v>77578.333333333328</v>
      </c>
      <c r="AP149" s="170">
        <f t="shared" si="99"/>
        <v>74720.833333333328</v>
      </c>
      <c r="AQ149" s="170" t="e">
        <f t="shared" si="99"/>
        <v>#DIV/0!</v>
      </c>
      <c r="AR149" s="170" t="e">
        <f t="shared" si="99"/>
        <v>#DIV/0!</v>
      </c>
      <c r="AS149" s="170" t="e">
        <f t="shared" si="99"/>
        <v>#DIV/0!</v>
      </c>
      <c r="AT149" s="170" t="e">
        <f t="shared" si="99"/>
        <v>#DIV/0!</v>
      </c>
      <c r="AU149" s="170" t="e">
        <f t="shared" si="99"/>
        <v>#DIV/0!</v>
      </c>
      <c r="AV149" s="170" t="e">
        <f t="shared" si="99"/>
        <v>#DIV/0!</v>
      </c>
      <c r="AW149" s="170" t="e">
        <f t="shared" si="99"/>
        <v>#DIV/0!</v>
      </c>
      <c r="AX149" s="170" t="e">
        <f t="shared" si="99"/>
        <v>#DIV/0!</v>
      </c>
      <c r="AY149" s="170" t="e">
        <f t="shared" si="99"/>
        <v>#DIV/0!</v>
      </c>
      <c r="AZ149" s="170" t="e">
        <f t="shared" si="99"/>
        <v>#DIV/0!</v>
      </c>
      <c r="BA149" s="170" t="e">
        <f t="shared" si="99"/>
        <v>#DIV/0!</v>
      </c>
      <c r="BB149" s="170" t="e">
        <f t="shared" si="99"/>
        <v>#DIV/0!</v>
      </c>
      <c r="BC149" s="170" t="e">
        <f t="shared" si="99"/>
        <v>#DIV/0!</v>
      </c>
      <c r="BD149" s="170" t="e">
        <f t="shared" si="99"/>
        <v>#DIV/0!</v>
      </c>
      <c r="BE149" s="170" t="e">
        <f t="shared" si="99"/>
        <v>#DIV/0!</v>
      </c>
      <c r="BF149" s="170" t="e">
        <f t="shared" si="99"/>
        <v>#DIV/0!</v>
      </c>
      <c r="BG149" s="170" t="e">
        <f t="shared" si="99"/>
        <v>#DIV/0!</v>
      </c>
      <c r="BH149" s="170" t="e">
        <f t="shared" si="99"/>
        <v>#DIV/0!</v>
      </c>
      <c r="BI149" s="170" t="e">
        <f t="shared" si="99"/>
        <v>#DIV/0!</v>
      </c>
      <c r="BJ149" s="170" t="e">
        <f t="shared" si="99"/>
        <v>#DIV/0!</v>
      </c>
      <c r="BK149" s="170" t="e">
        <f t="shared" si="99"/>
        <v>#DIV/0!</v>
      </c>
      <c r="BL149" s="170" t="e">
        <f t="shared" si="99"/>
        <v>#DIV/0!</v>
      </c>
      <c r="BM149" s="170" t="e">
        <f t="shared" si="99"/>
        <v>#DIV/0!</v>
      </c>
      <c r="BN149" s="170" t="e">
        <f t="shared" ref="BN149:BS149" si="100">AVERAGEIFS($B129:$YO129,$B$60:$YO$60,RIGHT(LEFT(BN$61,2),1),$B$59:$YO$59,RIGHT(BN$61,4))</f>
        <v>#DIV/0!</v>
      </c>
      <c r="BO149" s="170" t="e">
        <f t="shared" si="100"/>
        <v>#DIV/0!</v>
      </c>
      <c r="BP149" s="170" t="e">
        <f t="shared" si="100"/>
        <v>#DIV/0!</v>
      </c>
      <c r="BQ149" s="170" t="e">
        <f t="shared" si="100"/>
        <v>#DIV/0!</v>
      </c>
      <c r="BR149" s="170" t="e">
        <f t="shared" si="100"/>
        <v>#DIV/0!</v>
      </c>
      <c r="BS149" s="166" t="e">
        <f t="shared" si="100"/>
        <v>#DIV/0!</v>
      </c>
      <c r="GK149" s="205"/>
      <c r="GL149" s="205"/>
      <c r="GM149" s="205"/>
      <c r="GN149" s="205"/>
      <c r="GO149" s="205"/>
      <c r="GP149" s="205"/>
      <c r="GQ149" s="205"/>
      <c r="GR149" s="205"/>
      <c r="GS149" s="205"/>
      <c r="GT149" s="205"/>
      <c r="GU149" s="205"/>
      <c r="GV149" s="205"/>
      <c r="GW149" s="205"/>
      <c r="GX149" s="205"/>
      <c r="GY149" s="205"/>
      <c r="GZ149" s="205"/>
      <c r="HA149" s="205"/>
      <c r="HB149" s="205"/>
      <c r="HC149" s="205"/>
      <c r="IA149" s="722"/>
      <c r="IB149" s="722"/>
      <c r="IC149" s="722"/>
      <c r="ID149" s="722"/>
      <c r="IE149" s="722"/>
      <c r="IF149" s="722"/>
      <c r="IG149" s="722"/>
      <c r="IH149" s="722"/>
      <c r="II149" s="722"/>
      <c r="IJ149" s="722"/>
      <c r="IK149" s="722"/>
      <c r="IL149" s="722"/>
      <c r="IM149" s="722"/>
      <c r="IN149" s="168"/>
    </row>
    <row r="150" spans="1:248" hidden="1">
      <c r="A150" s="940" t="s">
        <v>1203</v>
      </c>
      <c r="B150" s="128">
        <f t="shared" ref="B150:AG150" si="101">AVERAGEIFS($B130:$YO130,$B$60:$YO$60,RIGHT(LEFT(B$61,2),1),$B$59:$YO$59,RIGHT(B$61,4))</f>
        <v>368.5</v>
      </c>
      <c r="C150" s="128">
        <f t="shared" si="101"/>
        <v>638</v>
      </c>
      <c r="D150" s="128">
        <f t="shared" si="101"/>
        <v>531.5</v>
      </c>
      <c r="E150" s="128">
        <f t="shared" si="101"/>
        <v>484.83333333333331</v>
      </c>
      <c r="F150" s="128">
        <f t="shared" si="101"/>
        <v>428</v>
      </c>
      <c r="G150" s="128">
        <f t="shared" si="101"/>
        <v>473</v>
      </c>
      <c r="H150" s="128">
        <f t="shared" si="101"/>
        <v>485.16666666666669</v>
      </c>
      <c r="I150" s="128">
        <f t="shared" si="101"/>
        <v>481</v>
      </c>
      <c r="J150" s="128">
        <f t="shared" si="101"/>
        <v>569.33333333333337</v>
      </c>
      <c r="K150" s="128">
        <f t="shared" si="101"/>
        <v>574.66666666666663</v>
      </c>
      <c r="L150" s="128">
        <f t="shared" si="101"/>
        <v>505</v>
      </c>
      <c r="M150" s="128">
        <f t="shared" si="101"/>
        <v>425</v>
      </c>
      <c r="N150" s="128">
        <f t="shared" si="101"/>
        <v>403</v>
      </c>
      <c r="O150" s="128">
        <f t="shared" si="101"/>
        <v>458.66666666666669</v>
      </c>
      <c r="P150" s="128">
        <f t="shared" si="101"/>
        <v>469</v>
      </c>
      <c r="Q150" s="128">
        <f t="shared" si="101"/>
        <v>460</v>
      </c>
      <c r="R150" s="128">
        <f t="shared" si="101"/>
        <v>272.66666666666669</v>
      </c>
      <c r="S150" s="128">
        <f t="shared" si="101"/>
        <v>257.83333333333331</v>
      </c>
      <c r="T150" s="128">
        <f t="shared" si="101"/>
        <v>420.5</v>
      </c>
      <c r="U150" s="128">
        <f t="shared" si="101"/>
        <v>505.5</v>
      </c>
      <c r="V150" s="128">
        <f t="shared" si="101"/>
        <v>603</v>
      </c>
      <c r="W150" s="128">
        <f t="shared" si="101"/>
        <v>612.83333333333337</v>
      </c>
      <c r="X150" s="128">
        <f t="shared" si="101"/>
        <v>686.83333333333337</v>
      </c>
      <c r="Y150" s="128">
        <f t="shared" si="101"/>
        <v>459.66666666666669</v>
      </c>
      <c r="Z150" s="128">
        <f t="shared" si="101"/>
        <v>410.66666666666669</v>
      </c>
      <c r="AA150" s="128">
        <f t="shared" si="101"/>
        <v>368.16666666666669</v>
      </c>
      <c r="AB150" s="128">
        <f t="shared" si="101"/>
        <v>409.66666666666669</v>
      </c>
      <c r="AC150" s="128">
        <f t="shared" si="101"/>
        <v>500.16666666666669</v>
      </c>
      <c r="AD150" s="128">
        <f t="shared" si="101"/>
        <v>628.16666666666663</v>
      </c>
      <c r="AE150" s="128">
        <f t="shared" si="101"/>
        <v>707.5</v>
      </c>
      <c r="AF150" s="128">
        <f t="shared" si="101"/>
        <v>808</v>
      </c>
      <c r="AG150" s="128">
        <f t="shared" si="101"/>
        <v>922.83333333333337</v>
      </c>
      <c r="AH150" s="128">
        <f t="shared" ref="AH150:BM150" si="102">AVERAGEIFS($B130:$YO130,$B$60:$YO$60,RIGHT(LEFT(AH$61,2),1),$B$59:$YO$59,RIGHT(AH$61,4))</f>
        <v>1245.1666666666667</v>
      </c>
      <c r="AI150" s="128">
        <f t="shared" si="102"/>
        <v>1893.1666666666667</v>
      </c>
      <c r="AJ150" s="128">
        <f t="shared" si="102"/>
        <v>3049.5</v>
      </c>
      <c r="AK150" s="128">
        <f t="shared" si="102"/>
        <v>3225.1666666666665</v>
      </c>
      <c r="AL150" s="128">
        <f t="shared" si="102"/>
        <v>3987.3333333333335</v>
      </c>
      <c r="AM150" s="128">
        <f t="shared" si="102"/>
        <v>3144.6666666666665</v>
      </c>
      <c r="AN150" s="128">
        <f t="shared" si="102"/>
        <v>2180.6666666666665</v>
      </c>
      <c r="AO150" s="128">
        <f t="shared" si="102"/>
        <v>2591.5</v>
      </c>
      <c r="AP150" s="128">
        <f t="shared" si="102"/>
        <v>2247.3333333333335</v>
      </c>
      <c r="AQ150" s="128" t="e">
        <f t="shared" si="102"/>
        <v>#DIV/0!</v>
      </c>
      <c r="AR150" s="128" t="e">
        <f t="shared" si="102"/>
        <v>#DIV/0!</v>
      </c>
      <c r="AS150" s="128" t="e">
        <f t="shared" si="102"/>
        <v>#DIV/0!</v>
      </c>
      <c r="AT150" s="128" t="e">
        <f t="shared" si="102"/>
        <v>#DIV/0!</v>
      </c>
      <c r="AU150" s="128" t="e">
        <f t="shared" si="102"/>
        <v>#DIV/0!</v>
      </c>
      <c r="AV150" s="128" t="e">
        <f t="shared" si="102"/>
        <v>#DIV/0!</v>
      </c>
      <c r="AW150" s="128" t="e">
        <f t="shared" si="102"/>
        <v>#DIV/0!</v>
      </c>
      <c r="AX150" s="128" t="e">
        <f t="shared" si="102"/>
        <v>#DIV/0!</v>
      </c>
      <c r="AY150" s="128" t="e">
        <f t="shared" si="102"/>
        <v>#DIV/0!</v>
      </c>
      <c r="AZ150" s="128" t="e">
        <f t="shared" si="102"/>
        <v>#DIV/0!</v>
      </c>
      <c r="BA150" s="128" t="e">
        <f t="shared" si="102"/>
        <v>#DIV/0!</v>
      </c>
      <c r="BB150" s="128" t="e">
        <f t="shared" si="102"/>
        <v>#DIV/0!</v>
      </c>
      <c r="BC150" s="128" t="e">
        <f t="shared" si="102"/>
        <v>#DIV/0!</v>
      </c>
      <c r="BD150" s="128" t="e">
        <f t="shared" si="102"/>
        <v>#DIV/0!</v>
      </c>
      <c r="BE150" s="128" t="e">
        <f t="shared" si="102"/>
        <v>#DIV/0!</v>
      </c>
      <c r="BF150" s="128" t="e">
        <f t="shared" si="102"/>
        <v>#DIV/0!</v>
      </c>
      <c r="BG150" s="128" t="e">
        <f t="shared" si="102"/>
        <v>#DIV/0!</v>
      </c>
      <c r="BH150" s="128" t="e">
        <f t="shared" si="102"/>
        <v>#DIV/0!</v>
      </c>
      <c r="BI150" s="128" t="e">
        <f t="shared" si="102"/>
        <v>#DIV/0!</v>
      </c>
      <c r="BJ150" s="128" t="e">
        <f t="shared" si="102"/>
        <v>#DIV/0!</v>
      </c>
      <c r="BK150" s="128" t="e">
        <f t="shared" si="102"/>
        <v>#DIV/0!</v>
      </c>
      <c r="BL150" s="128" t="e">
        <f t="shared" si="102"/>
        <v>#DIV/0!</v>
      </c>
      <c r="BM150" s="128" t="e">
        <f t="shared" si="102"/>
        <v>#DIV/0!</v>
      </c>
      <c r="BN150" s="128" t="e">
        <f t="shared" ref="BN150:BS150" si="103">AVERAGEIFS($B130:$YO130,$B$60:$YO$60,RIGHT(LEFT(BN$61,2),1),$B$59:$YO$59,RIGHT(BN$61,4))</f>
        <v>#DIV/0!</v>
      </c>
      <c r="BO150" s="128" t="e">
        <f t="shared" si="103"/>
        <v>#DIV/0!</v>
      </c>
      <c r="BP150" s="128" t="e">
        <f t="shared" si="103"/>
        <v>#DIV/0!</v>
      </c>
      <c r="BQ150" s="128" t="e">
        <f t="shared" si="103"/>
        <v>#DIV/0!</v>
      </c>
      <c r="BR150" s="128" t="e">
        <f t="shared" si="103"/>
        <v>#DIV/0!</v>
      </c>
      <c r="BS150" s="1" t="e">
        <f t="shared" si="103"/>
        <v>#DIV/0!</v>
      </c>
      <c r="GK150" s="205"/>
      <c r="GL150" s="205"/>
      <c r="GM150" s="205"/>
      <c r="GN150" s="205"/>
      <c r="GO150" s="205"/>
      <c r="GP150" s="205"/>
      <c r="GQ150" s="205"/>
      <c r="GR150" s="205"/>
      <c r="GS150" s="205"/>
      <c r="GT150" s="205"/>
      <c r="GU150" s="205"/>
      <c r="GV150" s="205"/>
      <c r="GW150" s="205"/>
      <c r="GX150" s="205"/>
      <c r="GY150" s="205"/>
      <c r="GZ150" s="205"/>
      <c r="HA150" s="205"/>
      <c r="HB150" s="205"/>
      <c r="HC150" s="205"/>
      <c r="IA150" s="722"/>
      <c r="IB150" s="722"/>
      <c r="IC150" s="722"/>
      <c r="ID150" s="722"/>
      <c r="IE150" s="722"/>
      <c r="IF150" s="722"/>
      <c r="IG150" s="722"/>
      <c r="IH150" s="722"/>
      <c r="II150" s="722"/>
      <c r="IJ150" s="722"/>
      <c r="IK150" s="722"/>
      <c r="IL150" s="722"/>
      <c r="IM150" s="722"/>
      <c r="IN150" s="168"/>
    </row>
    <row r="151" spans="1:248" hidden="1">
      <c r="A151" s="940" t="s">
        <v>144</v>
      </c>
      <c r="B151" s="128">
        <f t="shared" ref="B151:AG151" si="104">AVERAGEIFS($B132:$YO132,$B$60:$YO$60,RIGHT(LEFT(B$61,2),1),$B$59:$YO$59,RIGHT(B$61,4))</f>
        <v>5437.333333333333</v>
      </c>
      <c r="C151" s="128">
        <f t="shared" si="104"/>
        <v>5170.833333333333</v>
      </c>
      <c r="D151" s="128">
        <f t="shared" si="104"/>
        <v>4740.333333333333</v>
      </c>
      <c r="E151" s="128">
        <f t="shared" si="104"/>
        <v>4889.333333333333</v>
      </c>
      <c r="F151" s="128">
        <f t="shared" si="104"/>
        <v>5661</v>
      </c>
      <c r="G151" s="128">
        <f t="shared" si="104"/>
        <v>5635.333333333333</v>
      </c>
      <c r="H151" s="128">
        <f t="shared" si="104"/>
        <v>6011</v>
      </c>
      <c r="I151" s="128">
        <f t="shared" si="104"/>
        <v>7288.5</v>
      </c>
      <c r="J151" s="128">
        <f t="shared" si="104"/>
        <v>9313.1666666666661</v>
      </c>
      <c r="K151" s="128">
        <f t="shared" si="104"/>
        <v>9453.8333333333339</v>
      </c>
      <c r="L151" s="128">
        <f t="shared" si="104"/>
        <v>9881</v>
      </c>
      <c r="M151" s="128">
        <f t="shared" si="104"/>
        <v>11409.166666666666</v>
      </c>
      <c r="N151" s="128">
        <f t="shared" si="104"/>
        <v>12048.166666666666</v>
      </c>
      <c r="O151" s="128">
        <f t="shared" si="104"/>
        <v>13031.666666666666</v>
      </c>
      <c r="P151" s="128">
        <f t="shared" si="104"/>
        <v>12791</v>
      </c>
      <c r="Q151" s="128">
        <f t="shared" si="104"/>
        <v>12579.166666666666</v>
      </c>
      <c r="R151" s="128">
        <f t="shared" si="104"/>
        <v>7588</v>
      </c>
      <c r="S151" s="128">
        <f t="shared" si="104"/>
        <v>7103.833333333333</v>
      </c>
      <c r="T151" s="128">
        <f t="shared" si="104"/>
        <v>7420.5</v>
      </c>
      <c r="U151" s="128">
        <f t="shared" si="104"/>
        <v>8524.8333333333339</v>
      </c>
      <c r="V151" s="128">
        <f t="shared" si="104"/>
        <v>9634.1666666666661</v>
      </c>
      <c r="W151" s="128">
        <f t="shared" si="104"/>
        <v>9172.5</v>
      </c>
      <c r="X151" s="128">
        <f t="shared" si="104"/>
        <v>8224.5</v>
      </c>
      <c r="Y151" s="128">
        <f t="shared" si="104"/>
        <v>8048.333333333333</v>
      </c>
      <c r="Z151" s="128">
        <f t="shared" si="104"/>
        <v>7227</v>
      </c>
      <c r="AA151" s="128">
        <f t="shared" si="104"/>
        <v>6761.666666666667</v>
      </c>
      <c r="AB151" s="128">
        <f t="shared" si="104"/>
        <v>6193.166666666667</v>
      </c>
      <c r="AC151" s="128">
        <f t="shared" si="104"/>
        <v>6119.166666666667</v>
      </c>
      <c r="AD151" s="128">
        <f t="shared" si="104"/>
        <v>6078.666666666667</v>
      </c>
      <c r="AE151" s="128">
        <f t="shared" si="104"/>
        <v>6006</v>
      </c>
      <c r="AF151" s="128">
        <f t="shared" si="104"/>
        <v>5283.333333333333</v>
      </c>
      <c r="AG151" s="128">
        <f t="shared" si="104"/>
        <v>5620.5</v>
      </c>
      <c r="AH151" s="128">
        <f t="shared" ref="AH151:BM151" si="105">AVERAGEIFS($B132:$YO132,$B$60:$YO$60,RIGHT(LEFT(AH$61,2),1),$B$59:$YO$59,RIGHT(AH$61,4))</f>
        <v>6179.166666666667</v>
      </c>
      <c r="AI151" s="128">
        <f t="shared" si="105"/>
        <v>5676.666666666667</v>
      </c>
      <c r="AJ151" s="128">
        <f t="shared" si="105"/>
        <v>5271.833333333333</v>
      </c>
      <c r="AK151" s="128">
        <f t="shared" si="105"/>
        <v>5878.5</v>
      </c>
      <c r="AL151" s="128">
        <f t="shared" si="105"/>
        <v>6249.333333333333</v>
      </c>
      <c r="AM151" s="128">
        <f t="shared" si="105"/>
        <v>7597.666666666667</v>
      </c>
      <c r="AN151" s="128">
        <f t="shared" si="105"/>
        <v>7015.833333333333</v>
      </c>
      <c r="AO151" s="128">
        <f t="shared" si="105"/>
        <v>7572</v>
      </c>
      <c r="AP151" s="128">
        <f t="shared" si="105"/>
        <v>7117.333333333333</v>
      </c>
      <c r="AQ151" s="128" t="e">
        <f t="shared" si="105"/>
        <v>#DIV/0!</v>
      </c>
      <c r="AR151" s="128" t="e">
        <f t="shared" si="105"/>
        <v>#DIV/0!</v>
      </c>
      <c r="AS151" s="128" t="e">
        <f t="shared" si="105"/>
        <v>#DIV/0!</v>
      </c>
      <c r="AT151" s="128" t="e">
        <f t="shared" si="105"/>
        <v>#DIV/0!</v>
      </c>
      <c r="AU151" s="128" t="e">
        <f t="shared" si="105"/>
        <v>#DIV/0!</v>
      </c>
      <c r="AV151" s="128" t="e">
        <f t="shared" si="105"/>
        <v>#DIV/0!</v>
      </c>
      <c r="AW151" s="128" t="e">
        <f t="shared" si="105"/>
        <v>#DIV/0!</v>
      </c>
      <c r="AX151" s="128" t="e">
        <f t="shared" si="105"/>
        <v>#DIV/0!</v>
      </c>
      <c r="AY151" s="128" t="e">
        <f t="shared" si="105"/>
        <v>#DIV/0!</v>
      </c>
      <c r="AZ151" s="128" t="e">
        <f t="shared" si="105"/>
        <v>#DIV/0!</v>
      </c>
      <c r="BA151" s="128" t="e">
        <f t="shared" si="105"/>
        <v>#DIV/0!</v>
      </c>
      <c r="BB151" s="128" t="e">
        <f t="shared" si="105"/>
        <v>#DIV/0!</v>
      </c>
      <c r="BC151" s="128" t="e">
        <f t="shared" si="105"/>
        <v>#DIV/0!</v>
      </c>
      <c r="BD151" s="128" t="e">
        <f t="shared" si="105"/>
        <v>#DIV/0!</v>
      </c>
      <c r="BE151" s="128" t="e">
        <f t="shared" si="105"/>
        <v>#DIV/0!</v>
      </c>
      <c r="BF151" s="128" t="e">
        <f t="shared" si="105"/>
        <v>#DIV/0!</v>
      </c>
      <c r="BG151" s="128" t="e">
        <f t="shared" si="105"/>
        <v>#DIV/0!</v>
      </c>
      <c r="BH151" s="128" t="e">
        <f t="shared" si="105"/>
        <v>#DIV/0!</v>
      </c>
      <c r="BI151" s="128" t="e">
        <f t="shared" si="105"/>
        <v>#DIV/0!</v>
      </c>
      <c r="BJ151" s="128" t="e">
        <f t="shared" si="105"/>
        <v>#DIV/0!</v>
      </c>
      <c r="BK151" s="128" t="e">
        <f t="shared" si="105"/>
        <v>#DIV/0!</v>
      </c>
      <c r="BL151" s="128" t="e">
        <f t="shared" si="105"/>
        <v>#DIV/0!</v>
      </c>
      <c r="BM151" s="128" t="e">
        <f t="shared" si="105"/>
        <v>#DIV/0!</v>
      </c>
      <c r="BN151" s="128" t="e">
        <f t="shared" ref="BN151:BS151" si="106">AVERAGEIFS($B132:$YO132,$B$60:$YO$60,RIGHT(LEFT(BN$61,2),1),$B$59:$YO$59,RIGHT(BN$61,4))</f>
        <v>#DIV/0!</v>
      </c>
      <c r="BO151" s="128" t="e">
        <f t="shared" si="106"/>
        <v>#DIV/0!</v>
      </c>
      <c r="BP151" s="128" t="e">
        <f t="shared" si="106"/>
        <v>#DIV/0!</v>
      </c>
      <c r="BQ151" s="128" t="e">
        <f t="shared" si="106"/>
        <v>#DIV/0!</v>
      </c>
      <c r="BR151" s="128" t="e">
        <f t="shared" si="106"/>
        <v>#DIV/0!</v>
      </c>
      <c r="BS151" s="1" t="e">
        <f t="shared" si="106"/>
        <v>#DIV/0!</v>
      </c>
      <c r="GK151" s="205"/>
      <c r="GL151" s="205"/>
      <c r="GM151" s="205"/>
      <c r="GN151" s="205"/>
      <c r="GO151" s="205"/>
      <c r="GP151" s="205"/>
      <c r="GQ151" s="205"/>
      <c r="GR151" s="205"/>
      <c r="GS151" s="205"/>
      <c r="GT151" s="205"/>
      <c r="GU151" s="205"/>
      <c r="GV151" s="205"/>
      <c r="GW151" s="205"/>
      <c r="GX151" s="205"/>
      <c r="GY151" s="205"/>
      <c r="GZ151" s="205"/>
      <c r="HA151" s="205"/>
      <c r="HB151" s="205"/>
      <c r="HC151" s="205"/>
      <c r="IA151" s="722"/>
      <c r="IB151" s="722"/>
      <c r="IC151" s="722"/>
      <c r="ID151" s="722"/>
      <c r="IE151" s="722"/>
      <c r="IF151" s="722"/>
      <c r="IG151" s="722"/>
      <c r="IH151" s="722"/>
      <c r="II151" s="722"/>
      <c r="IJ151" s="722"/>
      <c r="IK151" s="722"/>
      <c r="IL151" s="722"/>
      <c r="IM151" s="722"/>
      <c r="IN151" s="168"/>
    </row>
    <row r="152" spans="1:248" hidden="1">
      <c r="A152" s="940" t="s">
        <v>147</v>
      </c>
      <c r="B152" s="170">
        <f t="shared" ref="B152:AG152" si="107">AVERAGEIFS($B133:$YO133,$B$60:$YO$60,RIGHT(LEFT(B$61,2),1),$B$59:$YO$59,RIGHT(B$61,4))</f>
        <v>685.83333333333337</v>
      </c>
      <c r="C152" s="170">
        <f t="shared" si="107"/>
        <v>736.5</v>
      </c>
      <c r="D152" s="170">
        <f t="shared" si="107"/>
        <v>664.5</v>
      </c>
      <c r="E152" s="170">
        <f t="shared" si="107"/>
        <v>661.16666666666663</v>
      </c>
      <c r="F152" s="170">
        <f t="shared" si="107"/>
        <v>667.83333333333337</v>
      </c>
      <c r="G152" s="170">
        <f t="shared" si="107"/>
        <v>660.16666666666663</v>
      </c>
      <c r="H152" s="170">
        <f t="shared" si="107"/>
        <v>667.33333333333337</v>
      </c>
      <c r="I152" s="170">
        <f t="shared" si="107"/>
        <v>701.5</v>
      </c>
      <c r="J152" s="170">
        <f t="shared" si="107"/>
        <v>834.5</v>
      </c>
      <c r="K152" s="170">
        <f t="shared" si="107"/>
        <v>870.66666666666663</v>
      </c>
      <c r="L152" s="170">
        <f t="shared" si="107"/>
        <v>806</v>
      </c>
      <c r="M152" s="170">
        <f t="shared" si="107"/>
        <v>870.16666666666663</v>
      </c>
      <c r="N152" s="170">
        <f t="shared" si="107"/>
        <v>863</v>
      </c>
      <c r="O152" s="170">
        <f t="shared" si="107"/>
        <v>866.5</v>
      </c>
      <c r="P152" s="170">
        <f t="shared" si="107"/>
        <v>819.83333333333337</v>
      </c>
      <c r="Q152" s="170">
        <f t="shared" si="107"/>
        <v>913.16666666666663</v>
      </c>
      <c r="R152" s="170">
        <f t="shared" si="107"/>
        <v>929</v>
      </c>
      <c r="S152" s="170">
        <f t="shared" si="107"/>
        <v>917.33333333333337</v>
      </c>
      <c r="T152" s="170">
        <f t="shared" si="107"/>
        <v>1055</v>
      </c>
      <c r="U152" s="170">
        <f t="shared" si="107"/>
        <v>1529.8333333333333</v>
      </c>
      <c r="V152" s="170">
        <f t="shared" si="107"/>
        <v>1061.1666666666667</v>
      </c>
      <c r="W152" s="170">
        <f t="shared" si="107"/>
        <v>1078.6666666666667</v>
      </c>
      <c r="X152" s="170">
        <f t="shared" si="107"/>
        <v>1114.8333333333333</v>
      </c>
      <c r="Y152" s="170">
        <f t="shared" si="107"/>
        <v>1124.5</v>
      </c>
      <c r="Z152" s="170">
        <f t="shared" si="107"/>
        <v>1148.5</v>
      </c>
      <c r="AA152" s="170">
        <f t="shared" si="107"/>
        <v>1181.1666666666667</v>
      </c>
      <c r="AB152" s="170">
        <f t="shared" si="107"/>
        <v>963.66666666666663</v>
      </c>
      <c r="AC152" s="170">
        <f t="shared" si="107"/>
        <v>1060</v>
      </c>
      <c r="AD152" s="170">
        <f t="shared" si="107"/>
        <v>887.5</v>
      </c>
      <c r="AE152" s="170">
        <f t="shared" si="107"/>
        <v>930.83333333333337</v>
      </c>
      <c r="AF152" s="170">
        <f t="shared" si="107"/>
        <v>806.33333333333337</v>
      </c>
      <c r="AG152" s="170">
        <f t="shared" si="107"/>
        <v>864</v>
      </c>
      <c r="AH152" s="170">
        <f t="shared" ref="AH152:BM152" si="108">AVERAGEIFS($B133:$YO133,$B$60:$YO$60,RIGHT(LEFT(AH$61,2),1),$B$59:$YO$59,RIGHT(AH$61,4))</f>
        <v>825.16666666666663</v>
      </c>
      <c r="AI152" s="170">
        <f t="shared" si="108"/>
        <v>959</v>
      </c>
      <c r="AJ152" s="170">
        <f t="shared" si="108"/>
        <v>996.16666666666663</v>
      </c>
      <c r="AK152" s="170">
        <f t="shared" si="108"/>
        <v>1048.1666666666667</v>
      </c>
      <c r="AL152" s="170">
        <f t="shared" si="108"/>
        <v>1030</v>
      </c>
      <c r="AM152" s="170">
        <f t="shared" si="108"/>
        <v>1126.5</v>
      </c>
      <c r="AN152" s="170">
        <f t="shared" si="108"/>
        <v>838.16666666666663</v>
      </c>
      <c r="AO152" s="170">
        <f t="shared" si="108"/>
        <v>888.83333333333337</v>
      </c>
      <c r="AP152" s="170">
        <f t="shared" si="108"/>
        <v>867.83333333333337</v>
      </c>
      <c r="AQ152" s="170" t="e">
        <f t="shared" si="108"/>
        <v>#DIV/0!</v>
      </c>
      <c r="AR152" s="170" t="e">
        <f t="shared" si="108"/>
        <v>#DIV/0!</v>
      </c>
      <c r="AS152" s="170" t="e">
        <f t="shared" si="108"/>
        <v>#DIV/0!</v>
      </c>
      <c r="AT152" s="170" t="e">
        <f t="shared" si="108"/>
        <v>#DIV/0!</v>
      </c>
      <c r="AU152" s="170" t="e">
        <f t="shared" si="108"/>
        <v>#DIV/0!</v>
      </c>
      <c r="AV152" s="170" t="e">
        <f t="shared" si="108"/>
        <v>#DIV/0!</v>
      </c>
      <c r="AW152" s="170" t="e">
        <f t="shared" si="108"/>
        <v>#DIV/0!</v>
      </c>
      <c r="AX152" s="170" t="e">
        <f t="shared" si="108"/>
        <v>#DIV/0!</v>
      </c>
      <c r="AY152" s="170" t="e">
        <f t="shared" si="108"/>
        <v>#DIV/0!</v>
      </c>
      <c r="AZ152" s="170" t="e">
        <f t="shared" si="108"/>
        <v>#DIV/0!</v>
      </c>
      <c r="BA152" s="170" t="e">
        <f t="shared" si="108"/>
        <v>#DIV/0!</v>
      </c>
      <c r="BB152" s="170" t="e">
        <f t="shared" si="108"/>
        <v>#DIV/0!</v>
      </c>
      <c r="BC152" s="170" t="e">
        <f t="shared" si="108"/>
        <v>#DIV/0!</v>
      </c>
      <c r="BD152" s="170" t="e">
        <f t="shared" si="108"/>
        <v>#DIV/0!</v>
      </c>
      <c r="BE152" s="170" t="e">
        <f t="shared" si="108"/>
        <v>#DIV/0!</v>
      </c>
      <c r="BF152" s="170" t="e">
        <f t="shared" si="108"/>
        <v>#DIV/0!</v>
      </c>
      <c r="BG152" s="170" t="e">
        <f t="shared" si="108"/>
        <v>#DIV/0!</v>
      </c>
      <c r="BH152" s="170" t="e">
        <f t="shared" si="108"/>
        <v>#DIV/0!</v>
      </c>
      <c r="BI152" s="170" t="e">
        <f t="shared" si="108"/>
        <v>#DIV/0!</v>
      </c>
      <c r="BJ152" s="170" t="e">
        <f t="shared" si="108"/>
        <v>#DIV/0!</v>
      </c>
      <c r="BK152" s="170" t="e">
        <f t="shared" si="108"/>
        <v>#DIV/0!</v>
      </c>
      <c r="BL152" s="170" t="e">
        <f t="shared" si="108"/>
        <v>#DIV/0!</v>
      </c>
      <c r="BM152" s="170" t="e">
        <f t="shared" si="108"/>
        <v>#DIV/0!</v>
      </c>
      <c r="BN152" s="170" t="e">
        <f t="shared" ref="BN152:BS152" si="109">AVERAGEIFS($B133:$YO133,$B$60:$YO$60,RIGHT(LEFT(BN$61,2),1),$B$59:$YO$59,RIGHT(BN$61,4))</f>
        <v>#DIV/0!</v>
      </c>
      <c r="BO152" s="170" t="e">
        <f t="shared" si="109"/>
        <v>#DIV/0!</v>
      </c>
      <c r="BP152" s="170" t="e">
        <f t="shared" si="109"/>
        <v>#DIV/0!</v>
      </c>
      <c r="BQ152" s="170" t="e">
        <f t="shared" si="109"/>
        <v>#DIV/0!</v>
      </c>
      <c r="BR152" s="170" t="e">
        <f t="shared" si="109"/>
        <v>#DIV/0!</v>
      </c>
      <c r="BS152" s="166" t="e">
        <f t="shared" si="109"/>
        <v>#DIV/0!</v>
      </c>
      <c r="GK152" s="205"/>
      <c r="GL152" s="205"/>
      <c r="GM152" s="205"/>
      <c r="GN152" s="205"/>
      <c r="GO152" s="205"/>
      <c r="GP152" s="205"/>
      <c r="GQ152" s="205"/>
      <c r="GR152" s="205"/>
      <c r="GS152" s="205"/>
      <c r="GT152" s="205"/>
      <c r="GU152" s="205"/>
      <c r="GV152" s="205"/>
      <c r="GW152" s="205"/>
      <c r="GX152" s="205"/>
      <c r="GY152" s="205"/>
      <c r="GZ152" s="205"/>
      <c r="HA152" s="205"/>
      <c r="HB152" s="205"/>
      <c r="HC152" s="205"/>
      <c r="IA152" s="722"/>
      <c r="IB152" s="722"/>
      <c r="IC152" s="722"/>
      <c r="ID152" s="722"/>
      <c r="IE152" s="722"/>
      <c r="IF152" s="722"/>
      <c r="IG152" s="722"/>
      <c r="IH152" s="722"/>
      <c r="II152" s="722"/>
      <c r="IJ152" s="722"/>
      <c r="IK152" s="722"/>
      <c r="IL152" s="722"/>
      <c r="IM152" s="722"/>
      <c r="IN152" s="168"/>
    </row>
    <row r="153" spans="1:248" hidden="1">
      <c r="A153" s="940" t="s">
        <v>184</v>
      </c>
      <c r="B153" s="170">
        <f t="shared" ref="B153:AG153" si="110">AVERAGEIFS($B162:$YO162,$B$60:$YO$60,RIGHT(LEFT(B$61,2),1),$B$59:$YO$59,RIGHT(B$61,4))</f>
        <v>565.33333333333337</v>
      </c>
      <c r="C153" s="170">
        <f t="shared" si="110"/>
        <v>715.33333333333337</v>
      </c>
      <c r="D153" s="170">
        <f t="shared" si="110"/>
        <v>464.16666666666669</v>
      </c>
      <c r="E153" s="170">
        <f t="shared" si="110"/>
        <v>584.5</v>
      </c>
      <c r="F153" s="170">
        <f t="shared" si="110"/>
        <v>544</v>
      </c>
      <c r="G153" s="170">
        <f t="shared" si="110"/>
        <v>526.5</v>
      </c>
      <c r="H153" s="170">
        <f t="shared" si="110"/>
        <v>543.5</v>
      </c>
      <c r="I153" s="170">
        <f t="shared" si="110"/>
        <v>743.16666666666663</v>
      </c>
      <c r="J153" s="170">
        <f t="shared" si="110"/>
        <v>701.33333333333337</v>
      </c>
      <c r="K153" s="170">
        <f t="shared" si="110"/>
        <v>768</v>
      </c>
      <c r="L153" s="170">
        <f t="shared" si="110"/>
        <v>735.33333333333337</v>
      </c>
      <c r="M153" s="170">
        <f t="shared" si="110"/>
        <v>1099.6666666666667</v>
      </c>
      <c r="N153" s="170">
        <f t="shared" si="110"/>
        <v>1236.5</v>
      </c>
      <c r="O153" s="170">
        <f t="shared" si="110"/>
        <v>1705.1666666666667</v>
      </c>
      <c r="P153" s="170">
        <f t="shared" si="110"/>
        <v>1923</v>
      </c>
      <c r="Q153" s="170">
        <f t="shared" si="110"/>
        <v>2668.8333333333335</v>
      </c>
      <c r="R153" s="170">
        <f t="shared" si="110"/>
        <v>1969.5</v>
      </c>
      <c r="S153" s="170">
        <f t="shared" si="110"/>
        <v>2739.5</v>
      </c>
      <c r="T153" s="170">
        <f t="shared" si="110"/>
        <v>2887.1666666666665</v>
      </c>
      <c r="U153" s="170">
        <f t="shared" si="110"/>
        <v>3566.5</v>
      </c>
      <c r="V153" s="170">
        <f t="shared" si="110"/>
        <v>3110.3333333333335</v>
      </c>
      <c r="W153" s="170">
        <f t="shared" si="110"/>
        <v>3935.3333333333335</v>
      </c>
      <c r="X153" s="170">
        <f t="shared" si="110"/>
        <v>3370</v>
      </c>
      <c r="Y153" s="170">
        <f t="shared" si="110"/>
        <v>3108.8333333333335</v>
      </c>
      <c r="Z153" s="170">
        <f t="shared" si="110"/>
        <v>2184</v>
      </c>
      <c r="AA153" s="170">
        <f t="shared" si="110"/>
        <v>2451.6666666666665</v>
      </c>
      <c r="AB153" s="170">
        <f t="shared" si="110"/>
        <v>2187.5</v>
      </c>
      <c r="AC153" s="170">
        <f t="shared" si="110"/>
        <v>2294</v>
      </c>
      <c r="AD153" s="170">
        <f t="shared" si="110"/>
        <v>2062.8333333333335</v>
      </c>
      <c r="AE153" s="170">
        <f t="shared" si="110"/>
        <v>2447.1666666666665</v>
      </c>
      <c r="AF153" s="170">
        <f t="shared" si="110"/>
        <v>1887.3333333333333</v>
      </c>
      <c r="AG153" s="170">
        <f t="shared" si="110"/>
        <v>2399.1666666666665</v>
      </c>
      <c r="AH153" s="170">
        <f t="shared" ref="AH153:BM153" si="111">AVERAGEIFS($B162:$YO162,$B$60:$YO$60,RIGHT(LEFT(AH$61,2),1),$B$59:$YO$59,RIGHT(AH$61,4))</f>
        <v>2183.8333333333335</v>
      </c>
      <c r="AI153" s="170">
        <f t="shared" si="111"/>
        <v>2681.8333333333335</v>
      </c>
      <c r="AJ153" s="170">
        <f t="shared" si="111"/>
        <v>2723</v>
      </c>
      <c r="AK153" s="170">
        <f t="shared" si="111"/>
        <v>3013.8333333333335</v>
      </c>
      <c r="AL153" s="170">
        <f t="shared" si="111"/>
        <v>3200.3333333333335</v>
      </c>
      <c r="AM153" s="170">
        <f t="shared" si="111"/>
        <v>3700.5</v>
      </c>
      <c r="AN153" s="170">
        <f t="shared" si="111"/>
        <v>3283.6666666666665</v>
      </c>
      <c r="AO153" s="170">
        <f t="shared" si="111"/>
        <v>4411.666666666667</v>
      </c>
      <c r="AP153" s="170">
        <f t="shared" si="111"/>
        <v>4263.5</v>
      </c>
      <c r="AQ153" s="170" t="e">
        <f t="shared" si="111"/>
        <v>#DIV/0!</v>
      </c>
      <c r="AR153" s="170" t="e">
        <f t="shared" si="111"/>
        <v>#DIV/0!</v>
      </c>
      <c r="AS153" s="170" t="e">
        <f t="shared" si="111"/>
        <v>#DIV/0!</v>
      </c>
      <c r="AT153" s="170" t="e">
        <f t="shared" si="111"/>
        <v>#DIV/0!</v>
      </c>
      <c r="AU153" s="170" t="e">
        <f t="shared" si="111"/>
        <v>#DIV/0!</v>
      </c>
      <c r="AV153" s="170" t="e">
        <f t="shared" si="111"/>
        <v>#DIV/0!</v>
      </c>
      <c r="AW153" s="170" t="e">
        <f t="shared" si="111"/>
        <v>#DIV/0!</v>
      </c>
      <c r="AX153" s="170" t="e">
        <f t="shared" si="111"/>
        <v>#DIV/0!</v>
      </c>
      <c r="AY153" s="170" t="e">
        <f t="shared" si="111"/>
        <v>#DIV/0!</v>
      </c>
      <c r="AZ153" s="170" t="e">
        <f t="shared" si="111"/>
        <v>#DIV/0!</v>
      </c>
      <c r="BA153" s="170" t="e">
        <f t="shared" si="111"/>
        <v>#DIV/0!</v>
      </c>
      <c r="BB153" s="170" t="e">
        <f t="shared" si="111"/>
        <v>#DIV/0!</v>
      </c>
      <c r="BC153" s="170" t="e">
        <f t="shared" si="111"/>
        <v>#DIV/0!</v>
      </c>
      <c r="BD153" s="170" t="e">
        <f t="shared" si="111"/>
        <v>#DIV/0!</v>
      </c>
      <c r="BE153" s="170" t="e">
        <f t="shared" si="111"/>
        <v>#DIV/0!</v>
      </c>
      <c r="BF153" s="170" t="e">
        <f t="shared" si="111"/>
        <v>#DIV/0!</v>
      </c>
      <c r="BG153" s="170" t="e">
        <f t="shared" si="111"/>
        <v>#DIV/0!</v>
      </c>
      <c r="BH153" s="170" t="e">
        <f t="shared" si="111"/>
        <v>#DIV/0!</v>
      </c>
      <c r="BI153" s="170" t="e">
        <f t="shared" si="111"/>
        <v>#DIV/0!</v>
      </c>
      <c r="BJ153" s="170" t="e">
        <f t="shared" si="111"/>
        <v>#DIV/0!</v>
      </c>
      <c r="BK153" s="170" t="e">
        <f t="shared" si="111"/>
        <v>#DIV/0!</v>
      </c>
      <c r="BL153" s="170" t="e">
        <f t="shared" si="111"/>
        <v>#DIV/0!</v>
      </c>
      <c r="BM153" s="170" t="e">
        <f t="shared" si="111"/>
        <v>#DIV/0!</v>
      </c>
      <c r="BN153" s="170" t="e">
        <f t="shared" ref="BN153:BS153" si="112">AVERAGEIFS($B162:$YO162,$B$60:$YO$60,RIGHT(LEFT(BN$61,2),1),$B$59:$YO$59,RIGHT(BN$61,4))</f>
        <v>#DIV/0!</v>
      </c>
      <c r="BO153" s="170" t="e">
        <f t="shared" si="112"/>
        <v>#DIV/0!</v>
      </c>
      <c r="BP153" s="170" t="e">
        <f t="shared" si="112"/>
        <v>#DIV/0!</v>
      </c>
      <c r="BQ153" s="170" t="e">
        <f t="shared" si="112"/>
        <v>#DIV/0!</v>
      </c>
      <c r="BR153" s="170" t="e">
        <f t="shared" si="112"/>
        <v>#DIV/0!</v>
      </c>
      <c r="BS153" s="166" t="e">
        <f t="shared" si="112"/>
        <v>#DIV/0!</v>
      </c>
      <c r="GK153" s="205"/>
      <c r="GL153" s="205"/>
      <c r="GM153" s="205"/>
      <c r="GN153" s="205"/>
      <c r="GO153" s="205"/>
      <c r="GP153" s="205"/>
      <c r="GQ153" s="205"/>
      <c r="GR153" s="205"/>
      <c r="GS153" s="205"/>
      <c r="GT153" s="205"/>
      <c r="GU153" s="205"/>
      <c r="GV153" s="205"/>
      <c r="GW153" s="205"/>
      <c r="GX153" s="205"/>
      <c r="GY153" s="205"/>
      <c r="GZ153" s="205"/>
      <c r="HA153" s="205"/>
      <c r="HB153" s="205"/>
      <c r="HC153" s="205"/>
      <c r="IA153" s="722"/>
      <c r="IB153" s="722"/>
      <c r="IC153" s="722"/>
      <c r="ID153" s="722"/>
      <c r="IE153" s="722"/>
      <c r="IF153" s="722"/>
      <c r="IG153" s="722"/>
      <c r="IH153" s="722"/>
      <c r="II153" s="722"/>
      <c r="IJ153" s="722"/>
      <c r="IK153" s="722"/>
      <c r="IL153" s="722"/>
      <c r="IM153" s="722"/>
      <c r="IN153" s="168"/>
    </row>
    <row r="154" spans="1:248" ht="15.75" hidden="1" thickBot="1">
      <c r="A154" s="962" t="s">
        <v>48</v>
      </c>
      <c r="B154" s="192">
        <f t="shared" ref="B154:BM155" si="113">AVERAGEIFS($B134:$YO134,$B$60:$YO$60,RIGHT(LEFT(B$61,2),1),$B$59:$YO$59,RIGHT(B$61,4))</f>
        <v>1508</v>
      </c>
      <c r="C154" s="193">
        <f t="shared" si="113"/>
        <v>1514.1666666666667</v>
      </c>
      <c r="D154" s="193">
        <f t="shared" si="113"/>
        <v>1395.8333333333333</v>
      </c>
      <c r="E154" s="193">
        <f t="shared" si="113"/>
        <v>1715.1666666666667</v>
      </c>
      <c r="F154" s="193">
        <f t="shared" si="113"/>
        <v>1534.8333333333333</v>
      </c>
      <c r="G154" s="193">
        <f t="shared" si="113"/>
        <v>1586.1666666666667</v>
      </c>
      <c r="H154" s="193">
        <f t="shared" si="113"/>
        <v>1642.3333333333333</v>
      </c>
      <c r="I154" s="193">
        <f t="shared" si="113"/>
        <v>1876</v>
      </c>
      <c r="J154" s="193">
        <f t="shared" si="113"/>
        <v>1784.5</v>
      </c>
      <c r="K154" s="193">
        <f t="shared" si="113"/>
        <v>1915.6666666666667</v>
      </c>
      <c r="L154" s="193">
        <f t="shared" si="113"/>
        <v>1707.3333333333333</v>
      </c>
      <c r="M154" s="193">
        <f t="shared" si="113"/>
        <v>1696</v>
      </c>
      <c r="N154" s="193">
        <f t="shared" si="113"/>
        <v>1699.6666666666667</v>
      </c>
      <c r="O154" s="193">
        <f t="shared" si="113"/>
        <v>1854.5</v>
      </c>
      <c r="P154" s="193">
        <f t="shared" si="113"/>
        <v>2098.3333333333335</v>
      </c>
      <c r="Q154" s="193">
        <f t="shared" si="113"/>
        <v>2426.1666666666665</v>
      </c>
      <c r="R154" s="193">
        <f t="shared" si="113"/>
        <v>2447.5</v>
      </c>
      <c r="S154" s="193">
        <f t="shared" si="113"/>
        <v>2299</v>
      </c>
      <c r="T154" s="193">
        <f t="shared" si="113"/>
        <v>2491.5</v>
      </c>
      <c r="U154" s="193">
        <f t="shared" si="113"/>
        <v>3236.5</v>
      </c>
      <c r="V154" s="193">
        <f t="shared" si="113"/>
        <v>3674.5</v>
      </c>
      <c r="W154" s="193">
        <f t="shared" si="113"/>
        <v>4004.1666666666665</v>
      </c>
      <c r="X154" s="193">
        <f t="shared" si="113"/>
        <v>3767.1666666666665</v>
      </c>
      <c r="Y154" s="193">
        <f t="shared" si="113"/>
        <v>3370</v>
      </c>
      <c r="Z154" s="193">
        <f t="shared" si="113"/>
        <v>3713</v>
      </c>
      <c r="AA154" s="193">
        <f t="shared" si="113"/>
        <v>3530.5</v>
      </c>
      <c r="AB154" s="193">
        <f t="shared" si="113"/>
        <v>3458.5</v>
      </c>
      <c r="AC154" s="193">
        <f t="shared" si="113"/>
        <v>3476.6666666666665</v>
      </c>
      <c r="AD154" s="193">
        <f t="shared" si="113"/>
        <v>2991.6666666666665</v>
      </c>
      <c r="AE154" s="193">
        <f t="shared" si="113"/>
        <v>3037.6666666666665</v>
      </c>
      <c r="AF154" s="193">
        <f t="shared" si="113"/>
        <v>2599.1666666666665</v>
      </c>
      <c r="AG154" s="193">
        <f t="shared" si="113"/>
        <v>2684.1666666666665</v>
      </c>
      <c r="AH154" s="193">
        <f t="shared" si="113"/>
        <v>3313.8333333333335</v>
      </c>
      <c r="AI154" s="193">
        <f t="shared" si="113"/>
        <v>3792.6666666666665</v>
      </c>
      <c r="AJ154" s="193">
        <f t="shared" si="113"/>
        <v>3862.3333333333335</v>
      </c>
      <c r="AK154" s="193">
        <f t="shared" si="113"/>
        <v>3792.3333333333335</v>
      </c>
      <c r="AL154" s="193">
        <f t="shared" si="113"/>
        <v>3974.6666666666665</v>
      </c>
      <c r="AM154" s="193">
        <f t="shared" si="113"/>
        <v>3523.5</v>
      </c>
      <c r="AN154" s="193">
        <f t="shared" si="113"/>
        <v>3447.6666666666665</v>
      </c>
      <c r="AO154" s="193">
        <f t="shared" si="113"/>
        <v>4079.1666666666665</v>
      </c>
      <c r="AP154" s="193">
        <f t="shared" si="113"/>
        <v>3696.5</v>
      </c>
      <c r="AQ154" s="193" t="e">
        <f t="shared" si="113"/>
        <v>#DIV/0!</v>
      </c>
      <c r="AR154" s="193" t="e">
        <f t="shared" si="113"/>
        <v>#DIV/0!</v>
      </c>
      <c r="AS154" s="193" t="e">
        <f t="shared" si="113"/>
        <v>#DIV/0!</v>
      </c>
      <c r="AT154" s="193" t="e">
        <f t="shared" si="113"/>
        <v>#DIV/0!</v>
      </c>
      <c r="AU154" s="193" t="e">
        <f t="shared" si="113"/>
        <v>#DIV/0!</v>
      </c>
      <c r="AV154" s="193" t="e">
        <f t="shared" si="113"/>
        <v>#DIV/0!</v>
      </c>
      <c r="AW154" s="193" t="e">
        <f t="shared" si="113"/>
        <v>#DIV/0!</v>
      </c>
      <c r="AX154" s="193" t="e">
        <f t="shared" si="113"/>
        <v>#DIV/0!</v>
      </c>
      <c r="AY154" s="193" t="e">
        <f t="shared" si="113"/>
        <v>#DIV/0!</v>
      </c>
      <c r="AZ154" s="193" t="e">
        <f t="shared" si="113"/>
        <v>#DIV/0!</v>
      </c>
      <c r="BA154" s="193" t="e">
        <f t="shared" si="113"/>
        <v>#DIV/0!</v>
      </c>
      <c r="BB154" s="193" t="e">
        <f t="shared" si="113"/>
        <v>#DIV/0!</v>
      </c>
      <c r="BC154" s="193" t="e">
        <f t="shared" si="113"/>
        <v>#DIV/0!</v>
      </c>
      <c r="BD154" s="193" t="e">
        <f t="shared" si="113"/>
        <v>#DIV/0!</v>
      </c>
      <c r="BE154" s="193" t="e">
        <f t="shared" si="113"/>
        <v>#DIV/0!</v>
      </c>
      <c r="BF154" s="193" t="e">
        <f t="shared" si="113"/>
        <v>#DIV/0!</v>
      </c>
      <c r="BG154" s="193" t="e">
        <f t="shared" si="113"/>
        <v>#DIV/0!</v>
      </c>
      <c r="BH154" s="193" t="e">
        <f t="shared" si="113"/>
        <v>#DIV/0!</v>
      </c>
      <c r="BI154" s="193" t="e">
        <f t="shared" si="113"/>
        <v>#DIV/0!</v>
      </c>
      <c r="BJ154" s="193" t="e">
        <f t="shared" si="113"/>
        <v>#DIV/0!</v>
      </c>
      <c r="BK154" s="193" t="e">
        <f t="shared" si="113"/>
        <v>#DIV/0!</v>
      </c>
      <c r="BL154" s="193" t="e">
        <f t="shared" si="113"/>
        <v>#DIV/0!</v>
      </c>
      <c r="BM154" s="193" t="e">
        <f t="shared" si="113"/>
        <v>#DIV/0!</v>
      </c>
      <c r="BN154" s="193" t="e">
        <f t="shared" ref="BN154:BS155" si="114">AVERAGEIFS($B134:$YO134,$B$60:$YO$60,RIGHT(LEFT(BN$61,2),1),$B$59:$YO$59,RIGHT(BN$61,4))</f>
        <v>#DIV/0!</v>
      </c>
      <c r="BO154" s="193" t="e">
        <f t="shared" si="114"/>
        <v>#DIV/0!</v>
      </c>
      <c r="BP154" s="193" t="e">
        <f t="shared" si="114"/>
        <v>#DIV/0!</v>
      </c>
      <c r="BQ154" s="193" t="e">
        <f t="shared" si="114"/>
        <v>#DIV/0!</v>
      </c>
      <c r="BR154" s="193" t="e">
        <f t="shared" si="114"/>
        <v>#DIV/0!</v>
      </c>
      <c r="BS154" s="194" t="e">
        <f t="shared" si="114"/>
        <v>#DIV/0!</v>
      </c>
      <c r="GK154" s="205"/>
      <c r="GL154" s="205"/>
      <c r="GM154" s="205"/>
      <c r="GN154" s="205"/>
      <c r="GO154" s="205"/>
      <c r="GP154" s="205"/>
      <c r="GQ154" s="205"/>
      <c r="GR154" s="205"/>
      <c r="GS154" s="205"/>
      <c r="GT154" s="205"/>
      <c r="GU154" s="205"/>
      <c r="GV154" s="205"/>
      <c r="GW154" s="205"/>
      <c r="GX154" s="205"/>
      <c r="GY154" s="205"/>
      <c r="GZ154" s="205"/>
      <c r="HA154" s="205"/>
      <c r="HB154" s="205"/>
      <c r="HC154" s="205"/>
      <c r="IA154" s="722"/>
      <c r="IB154" s="722"/>
      <c r="IC154" s="722"/>
      <c r="ID154" s="722"/>
      <c r="IE154" s="722"/>
      <c r="IF154" s="722"/>
      <c r="IG154" s="722"/>
      <c r="IH154" s="722"/>
      <c r="II154" s="722"/>
      <c r="IJ154" s="722"/>
      <c r="IK154" s="722"/>
      <c r="IL154" s="722"/>
      <c r="IM154" s="722"/>
      <c r="IN154" s="168"/>
    </row>
    <row r="155" spans="1:248" ht="16.5" hidden="1" thickTop="1" thickBot="1">
      <c r="A155" s="50" t="s">
        <v>97</v>
      </c>
      <c r="B155" s="150">
        <f>AVERAGEIFS($B135:$YO135,$B$60:$YO$60,RIGHT(LEFT(B$61,2),1),$B$59:$YO$59,RIGHT(B$61,4))</f>
        <v>40698</v>
      </c>
      <c r="C155" s="150">
        <f t="shared" si="113"/>
        <v>41536</v>
      </c>
      <c r="D155" s="150">
        <f t="shared" si="113"/>
        <v>40402.666666666664</v>
      </c>
      <c r="E155" s="150">
        <f t="shared" si="113"/>
        <v>42372.666666666664</v>
      </c>
      <c r="F155" s="150">
        <f t="shared" si="113"/>
        <v>43510.666666666664</v>
      </c>
      <c r="G155" s="150">
        <f t="shared" si="113"/>
        <v>44944.666666666664</v>
      </c>
      <c r="H155" s="150">
        <f t="shared" si="113"/>
        <v>46690.5</v>
      </c>
      <c r="I155" s="150">
        <f t="shared" si="113"/>
        <v>49282.833333333336</v>
      </c>
      <c r="J155" s="150">
        <f t="shared" si="113"/>
        <v>52832</v>
      </c>
      <c r="K155" s="150">
        <f t="shared" si="113"/>
        <v>55953.5</v>
      </c>
      <c r="L155" s="150">
        <f t="shared" si="113"/>
        <v>56803.333333333336</v>
      </c>
      <c r="M155" s="150">
        <f t="shared" si="113"/>
        <v>59612.166666666664</v>
      </c>
      <c r="N155" s="150">
        <f t="shared" si="113"/>
        <v>62286</v>
      </c>
      <c r="O155" s="150">
        <f t="shared" si="113"/>
        <v>65504.666666666664</v>
      </c>
      <c r="P155" s="150">
        <f t="shared" si="113"/>
        <v>66666.5</v>
      </c>
      <c r="Q155" s="150">
        <f t="shared" si="113"/>
        <v>73329.666666666672</v>
      </c>
      <c r="R155" s="150">
        <f t="shared" si="113"/>
        <v>67800</v>
      </c>
      <c r="S155" s="150">
        <f t="shared" si="113"/>
        <v>67161.166666666672</v>
      </c>
      <c r="T155" s="150">
        <f t="shared" si="113"/>
        <v>70396.666666666672</v>
      </c>
      <c r="U155" s="150">
        <f t="shared" si="113"/>
        <v>79204</v>
      </c>
      <c r="V155" s="150">
        <f t="shared" si="113"/>
        <v>84696.166666666672</v>
      </c>
      <c r="W155" s="150">
        <f t="shared" si="113"/>
        <v>92342.5</v>
      </c>
      <c r="X155" s="150">
        <f t="shared" si="113"/>
        <v>101519.66666666667</v>
      </c>
      <c r="Y155" s="150">
        <f t="shared" si="113"/>
        <v>104367.5</v>
      </c>
      <c r="Z155" s="150">
        <f t="shared" si="113"/>
        <v>108261.5</v>
      </c>
      <c r="AA155" s="150">
        <f t="shared" si="113"/>
        <v>109689.16666666667</v>
      </c>
      <c r="AB155" s="150">
        <f t="shared" si="113"/>
        <v>106052.83333333333</v>
      </c>
      <c r="AC155" s="150">
        <f t="shared" si="113"/>
        <v>108587.5</v>
      </c>
      <c r="AD155" s="150">
        <f t="shared" si="113"/>
        <v>102440</v>
      </c>
      <c r="AE155" s="150">
        <f t="shared" si="113"/>
        <v>103621</v>
      </c>
      <c r="AF155" s="150">
        <f t="shared" si="113"/>
        <v>101151</v>
      </c>
      <c r="AG155" s="150">
        <f t="shared" si="113"/>
        <v>104640.83333333333</v>
      </c>
      <c r="AH155" s="150">
        <f t="shared" si="113"/>
        <v>108338.16666666667</v>
      </c>
      <c r="AI155" s="150">
        <f t="shared" si="113"/>
        <v>110379.83333333333</v>
      </c>
      <c r="AJ155" s="150">
        <f t="shared" si="113"/>
        <v>113690.83333333333</v>
      </c>
      <c r="AK155" s="150">
        <f t="shared" si="113"/>
        <v>121594</v>
      </c>
      <c r="AL155" s="150">
        <f t="shared" si="113"/>
        <v>126146.5</v>
      </c>
      <c r="AM155" s="150">
        <f t="shared" si="113"/>
        <v>133140.16666666666</v>
      </c>
      <c r="AN155" s="150">
        <f t="shared" si="113"/>
        <v>130208.5</v>
      </c>
      <c r="AO155" s="150">
        <f t="shared" si="113"/>
        <v>147081.33333333334</v>
      </c>
      <c r="AP155" s="150">
        <f t="shared" si="113"/>
        <v>141034.33333333334</v>
      </c>
      <c r="AQ155" s="150" t="e">
        <f t="shared" si="113"/>
        <v>#DIV/0!</v>
      </c>
      <c r="AR155" s="150" t="e">
        <f t="shared" si="113"/>
        <v>#DIV/0!</v>
      </c>
      <c r="AS155" s="150" t="e">
        <f t="shared" si="113"/>
        <v>#DIV/0!</v>
      </c>
      <c r="AT155" s="150" t="e">
        <f t="shared" si="113"/>
        <v>#DIV/0!</v>
      </c>
      <c r="AU155" s="150" t="e">
        <f t="shared" si="113"/>
        <v>#DIV/0!</v>
      </c>
      <c r="AV155" s="150" t="e">
        <f t="shared" si="113"/>
        <v>#DIV/0!</v>
      </c>
      <c r="AW155" s="150" t="e">
        <f t="shared" si="113"/>
        <v>#DIV/0!</v>
      </c>
      <c r="AX155" s="150" t="e">
        <f t="shared" si="113"/>
        <v>#DIV/0!</v>
      </c>
      <c r="AY155" s="150" t="e">
        <f t="shared" si="113"/>
        <v>#DIV/0!</v>
      </c>
      <c r="AZ155" s="150" t="e">
        <f t="shared" si="113"/>
        <v>#DIV/0!</v>
      </c>
      <c r="BA155" s="150" t="e">
        <f t="shared" si="113"/>
        <v>#DIV/0!</v>
      </c>
      <c r="BB155" s="150" t="e">
        <f t="shared" si="113"/>
        <v>#DIV/0!</v>
      </c>
      <c r="BC155" s="150" t="e">
        <f t="shared" si="113"/>
        <v>#DIV/0!</v>
      </c>
      <c r="BD155" s="150" t="e">
        <f t="shared" si="113"/>
        <v>#DIV/0!</v>
      </c>
      <c r="BE155" s="150" t="e">
        <f t="shared" si="113"/>
        <v>#DIV/0!</v>
      </c>
      <c r="BF155" s="150" t="e">
        <f t="shared" si="113"/>
        <v>#DIV/0!</v>
      </c>
      <c r="BG155" s="150" t="e">
        <f t="shared" si="113"/>
        <v>#DIV/0!</v>
      </c>
      <c r="BH155" s="150" t="e">
        <f t="shared" si="113"/>
        <v>#DIV/0!</v>
      </c>
      <c r="BI155" s="150" t="e">
        <f t="shared" si="113"/>
        <v>#DIV/0!</v>
      </c>
      <c r="BJ155" s="150" t="e">
        <f t="shared" si="113"/>
        <v>#DIV/0!</v>
      </c>
      <c r="BK155" s="150" t="e">
        <f t="shared" si="113"/>
        <v>#DIV/0!</v>
      </c>
      <c r="BL155" s="150" t="e">
        <f t="shared" si="113"/>
        <v>#DIV/0!</v>
      </c>
      <c r="BM155" s="150" t="e">
        <f t="shared" si="113"/>
        <v>#DIV/0!</v>
      </c>
      <c r="BN155" s="150" t="e">
        <f t="shared" si="114"/>
        <v>#DIV/0!</v>
      </c>
      <c r="BO155" s="150" t="e">
        <f t="shared" si="114"/>
        <v>#DIV/0!</v>
      </c>
      <c r="BP155" s="150" t="e">
        <f t="shared" si="114"/>
        <v>#DIV/0!</v>
      </c>
      <c r="BQ155" s="150" t="e">
        <f t="shared" si="114"/>
        <v>#DIV/0!</v>
      </c>
      <c r="BR155" s="150" t="e">
        <f t="shared" si="114"/>
        <v>#DIV/0!</v>
      </c>
      <c r="BS155" s="151" t="e">
        <f t="shared" si="114"/>
        <v>#DIV/0!</v>
      </c>
      <c r="GK155" s="205"/>
      <c r="GL155" s="205"/>
      <c r="GM155" s="205"/>
      <c r="GN155" s="205"/>
      <c r="GO155" s="205"/>
      <c r="GP155" s="205"/>
      <c r="GQ155" s="205"/>
      <c r="GR155" s="205"/>
      <c r="GS155" s="205"/>
      <c r="GT155" s="205"/>
      <c r="GU155" s="205"/>
      <c r="GV155" s="205"/>
      <c r="GW155" s="205"/>
      <c r="GX155" s="205"/>
      <c r="GY155" s="205"/>
      <c r="GZ155" s="205"/>
      <c r="HA155" s="205"/>
      <c r="HB155" s="205"/>
      <c r="HC155" s="205"/>
      <c r="IA155" s="722"/>
      <c r="IB155" s="722"/>
      <c r="IC155" s="722"/>
      <c r="ID155" s="722"/>
      <c r="IE155" s="722"/>
      <c r="IF155" s="722"/>
      <c r="IG155" s="722"/>
      <c r="IH155" s="722"/>
      <c r="II155" s="722"/>
      <c r="IJ155" s="722"/>
      <c r="IK155" s="722"/>
      <c r="IL155" s="722"/>
      <c r="IM155" s="722"/>
      <c r="IN155" s="168"/>
    </row>
    <row r="156" spans="1:248" s="55" customFormat="1" hidden="1">
      <c r="IN156" s="168"/>
    </row>
    <row r="157" spans="1:248" s="8" customFormat="1">
      <c r="IN157" s="168"/>
    </row>
    <row r="158" spans="1:248" ht="15.75" thickBot="1">
      <c r="A158" s="134" t="s">
        <v>1070</v>
      </c>
      <c r="GK158" s="205"/>
      <c r="GL158" s="205"/>
      <c r="GM158" s="205"/>
      <c r="GN158" s="205"/>
      <c r="GO158" s="205"/>
      <c r="GP158" s="205"/>
      <c r="GQ158" s="205"/>
      <c r="GR158" s="205"/>
      <c r="GS158" s="205"/>
      <c r="GT158" s="205"/>
      <c r="GU158" s="205"/>
      <c r="GV158" s="205"/>
      <c r="GW158" s="205"/>
      <c r="GX158" s="205"/>
      <c r="GY158" s="205"/>
      <c r="GZ158" s="205"/>
      <c r="HA158" s="205"/>
      <c r="HB158" s="205"/>
      <c r="HC158" s="205"/>
      <c r="IA158" s="722"/>
      <c r="IB158" s="722"/>
      <c r="IC158" s="722"/>
      <c r="ID158" s="722"/>
      <c r="IE158" s="722"/>
      <c r="IF158" s="722"/>
      <c r="IG158" s="722"/>
      <c r="IH158" s="722"/>
      <c r="II158" s="722"/>
      <c r="IJ158" s="722"/>
      <c r="IK158" s="722"/>
      <c r="IL158" s="722"/>
      <c r="IM158" s="722"/>
      <c r="IN158" s="168"/>
    </row>
    <row r="159" spans="1:248" ht="15.75" thickBot="1">
      <c r="A159" s="83"/>
      <c r="B159" s="80">
        <v>36892</v>
      </c>
      <c r="C159" s="80">
        <v>36923</v>
      </c>
      <c r="D159" s="80">
        <v>36951</v>
      </c>
      <c r="E159" s="80">
        <v>36982</v>
      </c>
      <c r="F159" s="80">
        <v>37012</v>
      </c>
      <c r="G159" s="80">
        <v>37043</v>
      </c>
      <c r="H159" s="80">
        <v>37073</v>
      </c>
      <c r="I159" s="80">
        <v>37104</v>
      </c>
      <c r="J159" s="80">
        <v>37135</v>
      </c>
      <c r="K159" s="80">
        <v>37165</v>
      </c>
      <c r="L159" s="80">
        <v>37196</v>
      </c>
      <c r="M159" s="80">
        <v>37226</v>
      </c>
      <c r="N159" s="80">
        <v>37257</v>
      </c>
      <c r="O159" s="80">
        <v>37288</v>
      </c>
      <c r="P159" s="80">
        <v>37316</v>
      </c>
      <c r="Q159" s="80">
        <v>37347</v>
      </c>
      <c r="R159" s="80">
        <v>37377</v>
      </c>
      <c r="S159" s="80">
        <v>37408</v>
      </c>
      <c r="T159" s="80">
        <v>37438</v>
      </c>
      <c r="U159" s="80">
        <v>37469</v>
      </c>
      <c r="V159" s="80">
        <v>37500</v>
      </c>
      <c r="W159" s="80">
        <v>37530</v>
      </c>
      <c r="X159" s="80">
        <v>37561</v>
      </c>
      <c r="Y159" s="80">
        <v>37591</v>
      </c>
      <c r="Z159" s="80">
        <v>37622</v>
      </c>
      <c r="AA159" s="80">
        <v>37653</v>
      </c>
      <c r="AB159" s="80">
        <v>37681</v>
      </c>
      <c r="AC159" s="80">
        <v>37712</v>
      </c>
      <c r="AD159" s="80">
        <v>37742</v>
      </c>
      <c r="AE159" s="80">
        <v>37773</v>
      </c>
      <c r="AF159" s="80">
        <v>37803</v>
      </c>
      <c r="AG159" s="80">
        <v>37834</v>
      </c>
      <c r="AH159" s="80">
        <v>37865</v>
      </c>
      <c r="AI159" s="80">
        <v>37895</v>
      </c>
      <c r="AJ159" s="80">
        <v>37926</v>
      </c>
      <c r="AK159" s="80">
        <v>37956</v>
      </c>
      <c r="AL159" s="80">
        <v>37987</v>
      </c>
      <c r="AM159" s="80">
        <v>38018</v>
      </c>
      <c r="AN159" s="80">
        <v>38047</v>
      </c>
      <c r="AO159" s="80">
        <v>38078</v>
      </c>
      <c r="AP159" s="80">
        <v>38108</v>
      </c>
      <c r="AQ159" s="80">
        <v>38139</v>
      </c>
      <c r="AR159" s="80">
        <v>38169</v>
      </c>
      <c r="AS159" s="80">
        <v>38200</v>
      </c>
      <c r="AT159" s="80">
        <v>38231</v>
      </c>
      <c r="AU159" s="80">
        <v>38261</v>
      </c>
      <c r="AV159" s="80">
        <v>38292</v>
      </c>
      <c r="AW159" s="80">
        <v>38322</v>
      </c>
      <c r="AX159" s="80">
        <v>38353</v>
      </c>
      <c r="AY159" s="80">
        <v>38384</v>
      </c>
      <c r="AZ159" s="80">
        <v>38412</v>
      </c>
      <c r="BA159" s="80">
        <v>38443</v>
      </c>
      <c r="BB159" s="80">
        <v>38473</v>
      </c>
      <c r="BC159" s="80">
        <v>38504</v>
      </c>
      <c r="BD159" s="80">
        <v>38534</v>
      </c>
      <c r="BE159" s="80">
        <v>38565</v>
      </c>
      <c r="BF159" s="80">
        <v>38596</v>
      </c>
      <c r="BG159" s="80">
        <v>38626</v>
      </c>
      <c r="BH159" s="80">
        <v>38657</v>
      </c>
      <c r="BI159" s="80">
        <v>38687</v>
      </c>
      <c r="BJ159" s="80">
        <v>38718</v>
      </c>
      <c r="BK159" s="80">
        <v>38749</v>
      </c>
      <c r="BL159" s="80">
        <v>38777</v>
      </c>
      <c r="BM159" s="80">
        <v>38808</v>
      </c>
      <c r="BN159" s="80">
        <v>38838</v>
      </c>
      <c r="BO159" s="80">
        <v>38869</v>
      </c>
      <c r="BP159" s="80">
        <v>38899</v>
      </c>
      <c r="BQ159" s="80">
        <v>38930</v>
      </c>
      <c r="BR159" s="80">
        <v>38961</v>
      </c>
      <c r="BS159" s="80">
        <v>38991</v>
      </c>
      <c r="BT159" s="80">
        <v>39022</v>
      </c>
      <c r="BU159" s="80">
        <v>39052</v>
      </c>
      <c r="BV159" s="80">
        <v>39083</v>
      </c>
      <c r="BW159" s="80">
        <v>39114</v>
      </c>
      <c r="BX159" s="80">
        <v>39142</v>
      </c>
      <c r="BY159" s="80">
        <v>39173</v>
      </c>
      <c r="BZ159" s="80">
        <v>39203</v>
      </c>
      <c r="CA159" s="80">
        <v>39234</v>
      </c>
      <c r="CB159" s="80">
        <v>39264</v>
      </c>
      <c r="CC159" s="80">
        <v>39295</v>
      </c>
      <c r="CD159" s="80">
        <v>39326</v>
      </c>
      <c r="CE159" s="80">
        <v>39356</v>
      </c>
      <c r="CF159" s="169">
        <v>39387</v>
      </c>
      <c r="CG159" s="169">
        <v>39417</v>
      </c>
      <c r="CH159" s="169">
        <v>39448</v>
      </c>
      <c r="CI159" s="169">
        <v>39479</v>
      </c>
      <c r="CJ159" s="169">
        <v>39508</v>
      </c>
      <c r="CK159" s="169">
        <v>39539</v>
      </c>
      <c r="CL159" s="169">
        <v>39569</v>
      </c>
      <c r="CM159" s="169">
        <v>39600</v>
      </c>
      <c r="CN159" s="169">
        <v>39630</v>
      </c>
      <c r="CO159" s="169">
        <v>39661</v>
      </c>
      <c r="CP159" s="169">
        <v>39692</v>
      </c>
      <c r="CQ159" s="169">
        <v>39722</v>
      </c>
      <c r="CR159" s="169">
        <v>39753</v>
      </c>
      <c r="CS159" s="169">
        <v>39783</v>
      </c>
      <c r="CT159" s="169">
        <v>39814</v>
      </c>
      <c r="CU159" s="169">
        <v>39845</v>
      </c>
      <c r="CV159" s="169">
        <v>39873</v>
      </c>
      <c r="CW159" s="169">
        <v>39904</v>
      </c>
      <c r="CX159" s="169">
        <v>39934</v>
      </c>
      <c r="CY159" s="169">
        <v>39965</v>
      </c>
      <c r="CZ159" s="169">
        <v>39995</v>
      </c>
      <c r="DA159" s="169">
        <v>40026</v>
      </c>
      <c r="DB159" s="169">
        <v>40057</v>
      </c>
      <c r="DC159" s="169">
        <v>40087</v>
      </c>
      <c r="DD159" s="169">
        <v>40118</v>
      </c>
      <c r="DE159" s="169">
        <v>40148</v>
      </c>
      <c r="DF159" s="169">
        <v>40179</v>
      </c>
      <c r="DG159" s="169">
        <v>40210</v>
      </c>
      <c r="DH159" s="169">
        <v>40238</v>
      </c>
      <c r="DI159" s="169">
        <v>40269</v>
      </c>
      <c r="DJ159" s="169">
        <v>40299</v>
      </c>
      <c r="DK159" s="169">
        <v>40330</v>
      </c>
      <c r="DL159" s="169">
        <v>40360</v>
      </c>
      <c r="DM159" s="169">
        <v>40391</v>
      </c>
      <c r="DN159" s="169">
        <v>40422</v>
      </c>
      <c r="DO159" s="169">
        <v>40452</v>
      </c>
      <c r="DP159" s="169">
        <v>40483</v>
      </c>
      <c r="DQ159" s="169">
        <v>40513</v>
      </c>
      <c r="DR159" s="169">
        <v>40544</v>
      </c>
      <c r="DS159" s="169">
        <v>40575</v>
      </c>
      <c r="DT159" s="169">
        <v>40603</v>
      </c>
      <c r="DU159" s="169">
        <v>40634</v>
      </c>
      <c r="DV159" s="169">
        <v>40664</v>
      </c>
      <c r="DW159" s="169">
        <v>40695</v>
      </c>
      <c r="DX159" s="169">
        <v>40725</v>
      </c>
      <c r="DY159" s="169">
        <v>40756</v>
      </c>
      <c r="DZ159" s="169">
        <v>40787</v>
      </c>
      <c r="EA159" s="169">
        <v>40817</v>
      </c>
      <c r="EB159" s="169">
        <v>40848</v>
      </c>
      <c r="EC159" s="169">
        <v>40878</v>
      </c>
      <c r="ED159" s="169">
        <v>40909</v>
      </c>
      <c r="EE159" s="169">
        <v>40940</v>
      </c>
      <c r="EF159" s="169">
        <v>40969</v>
      </c>
      <c r="EG159" s="169">
        <v>41000</v>
      </c>
      <c r="EH159" s="169">
        <v>41030</v>
      </c>
      <c r="EI159" s="169">
        <v>41061</v>
      </c>
      <c r="EJ159" s="169">
        <v>41091</v>
      </c>
      <c r="EK159" s="169">
        <v>41122</v>
      </c>
      <c r="EL159" s="169">
        <v>41153</v>
      </c>
      <c r="EM159" s="169">
        <v>41183</v>
      </c>
      <c r="EN159" s="169">
        <v>41214</v>
      </c>
      <c r="EO159" s="169">
        <v>41244</v>
      </c>
      <c r="EP159" s="169">
        <v>41275</v>
      </c>
      <c r="EQ159" s="169">
        <v>41306</v>
      </c>
      <c r="ER159" s="169">
        <v>41334</v>
      </c>
      <c r="ES159" s="169">
        <v>41365</v>
      </c>
      <c r="ET159" s="169">
        <v>41395</v>
      </c>
      <c r="EU159" s="169">
        <v>41426</v>
      </c>
      <c r="EV159" s="169">
        <v>41456</v>
      </c>
      <c r="EW159" s="169">
        <v>41487</v>
      </c>
      <c r="EX159" s="169">
        <v>41518</v>
      </c>
      <c r="EY159" s="169">
        <v>41548</v>
      </c>
      <c r="EZ159" s="169">
        <v>41579</v>
      </c>
      <c r="FA159" s="169">
        <v>41609</v>
      </c>
      <c r="FB159" s="169">
        <v>41640</v>
      </c>
      <c r="FC159" s="169">
        <v>41671</v>
      </c>
      <c r="FD159" s="169">
        <v>41699</v>
      </c>
      <c r="FE159" s="169">
        <v>41730</v>
      </c>
      <c r="FF159" s="169">
        <v>41760</v>
      </c>
      <c r="FG159" s="169">
        <v>41791</v>
      </c>
      <c r="FH159" s="169">
        <v>41821</v>
      </c>
      <c r="FI159" s="169">
        <v>41852</v>
      </c>
      <c r="FJ159" s="169">
        <v>41883</v>
      </c>
      <c r="FK159" s="169">
        <v>41913</v>
      </c>
      <c r="FL159" s="169">
        <v>41944</v>
      </c>
      <c r="FM159" s="169">
        <v>41974</v>
      </c>
      <c r="FN159" s="169">
        <v>42005</v>
      </c>
      <c r="FO159" s="169">
        <v>42036</v>
      </c>
      <c r="FP159" s="169">
        <v>42064</v>
      </c>
      <c r="FQ159" s="169">
        <v>42095</v>
      </c>
      <c r="FR159" s="169">
        <v>42125</v>
      </c>
      <c r="FS159" s="169">
        <v>42156</v>
      </c>
      <c r="FT159" s="169">
        <v>42186</v>
      </c>
      <c r="FU159" s="169">
        <v>42217</v>
      </c>
      <c r="FV159" s="169">
        <v>42248</v>
      </c>
      <c r="FW159" s="169">
        <v>42278</v>
      </c>
      <c r="FX159" s="169">
        <v>42309</v>
      </c>
      <c r="FY159" s="169">
        <v>42339</v>
      </c>
      <c r="FZ159" s="169">
        <v>42370</v>
      </c>
      <c r="GA159" s="169">
        <v>42401</v>
      </c>
      <c r="GB159" s="169">
        <v>42430</v>
      </c>
      <c r="GC159" s="169">
        <v>42461</v>
      </c>
      <c r="GD159" s="169">
        <v>42491</v>
      </c>
      <c r="GE159" s="169">
        <v>42522</v>
      </c>
      <c r="GF159" s="169">
        <v>42552</v>
      </c>
      <c r="GG159" s="169">
        <v>42583</v>
      </c>
      <c r="GH159" s="169">
        <v>42614</v>
      </c>
      <c r="GI159" s="169">
        <v>42644</v>
      </c>
      <c r="GJ159" s="169">
        <v>42675</v>
      </c>
      <c r="GK159" s="169">
        <v>42705</v>
      </c>
      <c r="GL159" s="169">
        <v>42736</v>
      </c>
      <c r="GM159" s="169">
        <v>42767</v>
      </c>
      <c r="GN159" s="169">
        <v>42795</v>
      </c>
      <c r="GO159" s="169">
        <v>42826</v>
      </c>
      <c r="GP159" s="169">
        <v>42856</v>
      </c>
      <c r="GQ159" s="169">
        <v>42887</v>
      </c>
      <c r="GR159" s="169">
        <v>42917</v>
      </c>
      <c r="GS159" s="169">
        <v>42948</v>
      </c>
      <c r="GT159" s="169">
        <v>42979</v>
      </c>
      <c r="GU159" s="169">
        <v>43009</v>
      </c>
      <c r="GV159" s="169">
        <v>43040</v>
      </c>
      <c r="GW159" s="169">
        <v>43070</v>
      </c>
      <c r="GX159" s="169">
        <v>43101</v>
      </c>
      <c r="GY159" s="169">
        <v>43132</v>
      </c>
      <c r="GZ159" s="169">
        <v>43160</v>
      </c>
      <c r="HA159" s="169">
        <v>43191</v>
      </c>
      <c r="HB159" s="169">
        <v>43221</v>
      </c>
      <c r="HC159" s="169">
        <v>43252</v>
      </c>
      <c r="HD159" s="169">
        <v>43282</v>
      </c>
      <c r="HE159" s="169">
        <v>43313</v>
      </c>
      <c r="HF159" s="169">
        <v>43344</v>
      </c>
      <c r="HG159" s="169">
        <v>43374</v>
      </c>
      <c r="HH159" s="169">
        <v>43405</v>
      </c>
      <c r="HI159" s="169">
        <v>43435</v>
      </c>
      <c r="HJ159" s="169">
        <v>43466</v>
      </c>
      <c r="HK159" s="169">
        <v>43497</v>
      </c>
      <c r="HL159" s="169">
        <v>43525</v>
      </c>
      <c r="HM159" s="169">
        <v>43556</v>
      </c>
      <c r="HN159" s="169">
        <v>43586</v>
      </c>
      <c r="HO159" s="169">
        <v>43617</v>
      </c>
      <c r="HP159" s="169">
        <v>43647</v>
      </c>
      <c r="HQ159" s="169">
        <v>43678</v>
      </c>
      <c r="HR159" s="169">
        <v>43709</v>
      </c>
      <c r="HS159" s="169">
        <v>43739</v>
      </c>
      <c r="HT159" s="169">
        <v>43770</v>
      </c>
      <c r="HU159" s="169">
        <v>43800</v>
      </c>
      <c r="HV159" s="169">
        <v>43831</v>
      </c>
      <c r="HW159" s="169">
        <v>43862</v>
      </c>
      <c r="HX159" s="169">
        <v>43891</v>
      </c>
      <c r="HY159" s="169">
        <v>43922</v>
      </c>
      <c r="HZ159" s="169">
        <v>43952</v>
      </c>
      <c r="IA159" s="169">
        <v>43983</v>
      </c>
      <c r="IB159" s="169">
        <v>44013</v>
      </c>
      <c r="IC159" s="169">
        <v>44044</v>
      </c>
      <c r="ID159" s="169">
        <v>44075</v>
      </c>
      <c r="IE159" s="169">
        <v>44105</v>
      </c>
      <c r="IF159" s="169">
        <v>44136</v>
      </c>
      <c r="IG159" s="169">
        <v>44166</v>
      </c>
      <c r="IH159" s="169">
        <v>44197</v>
      </c>
      <c r="II159" s="169">
        <v>44228</v>
      </c>
      <c r="IJ159" s="169">
        <v>44256</v>
      </c>
      <c r="IK159" s="169">
        <v>44287</v>
      </c>
      <c r="IL159" s="169">
        <v>44317</v>
      </c>
      <c r="IM159" s="169">
        <v>44348</v>
      </c>
      <c r="IN159" s="199">
        <v>44378</v>
      </c>
    </row>
    <row r="160" spans="1:248">
      <c r="A160" s="470" t="s">
        <v>1035</v>
      </c>
      <c r="B160" s="284">
        <v>287</v>
      </c>
      <c r="C160" s="284">
        <v>345</v>
      </c>
      <c r="D160" s="284">
        <v>295</v>
      </c>
      <c r="E160" s="284">
        <v>360</v>
      </c>
      <c r="F160" s="284">
        <v>351</v>
      </c>
      <c r="G160" s="284">
        <v>389</v>
      </c>
      <c r="H160" s="284">
        <v>414</v>
      </c>
      <c r="I160" s="284">
        <v>355</v>
      </c>
      <c r="J160" s="284">
        <v>396</v>
      </c>
      <c r="K160" s="284">
        <v>451</v>
      </c>
      <c r="L160" s="284">
        <v>411</v>
      </c>
      <c r="M160" s="284">
        <v>415</v>
      </c>
      <c r="N160" s="284">
        <v>322</v>
      </c>
      <c r="O160" s="284">
        <v>327</v>
      </c>
      <c r="P160" s="284">
        <v>279</v>
      </c>
      <c r="Q160" s="284">
        <v>287</v>
      </c>
      <c r="R160" s="284">
        <v>288</v>
      </c>
      <c r="S160" s="284">
        <v>210</v>
      </c>
      <c r="T160" s="284">
        <v>331</v>
      </c>
      <c r="U160" s="284">
        <v>312</v>
      </c>
      <c r="V160" s="284">
        <v>294</v>
      </c>
      <c r="W160" s="284">
        <v>383</v>
      </c>
      <c r="X160" s="284">
        <v>374</v>
      </c>
      <c r="Y160" s="284">
        <v>355</v>
      </c>
      <c r="Z160" s="284">
        <v>298</v>
      </c>
      <c r="AA160" s="284">
        <v>347</v>
      </c>
      <c r="AB160" s="284">
        <v>344</v>
      </c>
      <c r="AC160" s="284">
        <v>360</v>
      </c>
      <c r="AD160" s="284">
        <v>362</v>
      </c>
      <c r="AE160" s="284">
        <v>336</v>
      </c>
      <c r="AF160" s="284">
        <v>362</v>
      </c>
      <c r="AG160" s="284">
        <v>363</v>
      </c>
      <c r="AH160" s="284">
        <v>356</v>
      </c>
      <c r="AI160" s="284">
        <v>291</v>
      </c>
      <c r="AJ160" s="284">
        <v>287</v>
      </c>
      <c r="AK160" s="284">
        <v>273</v>
      </c>
      <c r="AL160" s="284">
        <v>245</v>
      </c>
      <c r="AM160" s="284">
        <v>255</v>
      </c>
      <c r="AN160" s="284">
        <v>272</v>
      </c>
      <c r="AO160" s="284">
        <v>300</v>
      </c>
      <c r="AP160" s="284">
        <v>315</v>
      </c>
      <c r="AQ160" s="284">
        <v>324</v>
      </c>
      <c r="AR160" s="284">
        <v>322</v>
      </c>
      <c r="AS160" s="284">
        <v>336</v>
      </c>
      <c r="AT160" s="284">
        <v>348</v>
      </c>
      <c r="AU160" s="284">
        <v>324</v>
      </c>
      <c r="AV160" s="284">
        <v>329</v>
      </c>
      <c r="AW160" s="284">
        <v>292</v>
      </c>
      <c r="AX160" s="284">
        <v>267</v>
      </c>
      <c r="AY160" s="284">
        <v>300</v>
      </c>
      <c r="AZ160" s="284">
        <v>287</v>
      </c>
      <c r="BA160" s="284">
        <v>319</v>
      </c>
      <c r="BB160" s="284">
        <v>347</v>
      </c>
      <c r="BC160" s="284">
        <v>301</v>
      </c>
      <c r="BD160" s="284">
        <v>344</v>
      </c>
      <c r="BE160" s="284">
        <v>346</v>
      </c>
      <c r="BF160" s="284">
        <v>319</v>
      </c>
      <c r="BG160" s="284">
        <v>317</v>
      </c>
      <c r="BH160" s="284">
        <v>325</v>
      </c>
      <c r="BI160" s="284">
        <v>263</v>
      </c>
      <c r="BJ160" s="284">
        <v>276</v>
      </c>
      <c r="BK160" s="284">
        <v>322</v>
      </c>
      <c r="BL160" s="284">
        <v>301</v>
      </c>
      <c r="BM160" s="284">
        <v>336</v>
      </c>
      <c r="BN160" s="284">
        <v>374</v>
      </c>
      <c r="BO160" s="284">
        <v>383</v>
      </c>
      <c r="BP160" s="284">
        <v>395</v>
      </c>
      <c r="BQ160" s="284">
        <v>439</v>
      </c>
      <c r="BR160" s="284">
        <v>507</v>
      </c>
      <c r="BS160" s="284">
        <v>476</v>
      </c>
      <c r="BT160" s="284">
        <v>446</v>
      </c>
      <c r="BU160" s="284">
        <v>444</v>
      </c>
      <c r="BV160" s="284">
        <v>398</v>
      </c>
      <c r="BW160" s="284">
        <v>448</v>
      </c>
      <c r="BX160" s="284">
        <v>461</v>
      </c>
      <c r="BY160" s="284">
        <v>494</v>
      </c>
      <c r="BZ160" s="284">
        <v>553</v>
      </c>
      <c r="CA160" s="284">
        <v>513</v>
      </c>
      <c r="CB160" s="284">
        <v>554</v>
      </c>
      <c r="CC160" s="284">
        <v>516</v>
      </c>
      <c r="CD160" s="284">
        <v>561</v>
      </c>
      <c r="CE160" s="284">
        <v>594</v>
      </c>
      <c r="CF160" s="284">
        <v>609</v>
      </c>
      <c r="CG160" s="284">
        <v>539</v>
      </c>
      <c r="CH160" s="284">
        <v>564</v>
      </c>
      <c r="CI160" s="284">
        <v>777</v>
      </c>
      <c r="CJ160" s="284">
        <v>830</v>
      </c>
      <c r="CK160" s="284">
        <v>875</v>
      </c>
      <c r="CL160" s="284">
        <v>885</v>
      </c>
      <c r="CM160" s="284">
        <v>905</v>
      </c>
      <c r="CN160" s="284">
        <v>1068</v>
      </c>
      <c r="CO160" s="284">
        <v>1051</v>
      </c>
      <c r="CP160" s="284">
        <v>1146</v>
      </c>
      <c r="CQ160" s="284">
        <v>1191</v>
      </c>
      <c r="CR160" s="284">
        <v>1155</v>
      </c>
      <c r="CS160" s="284">
        <v>1005</v>
      </c>
      <c r="CT160" s="284">
        <v>893</v>
      </c>
      <c r="CU160" s="284">
        <v>996</v>
      </c>
      <c r="CV160" s="284">
        <v>1026</v>
      </c>
      <c r="CW160" s="284">
        <v>1104</v>
      </c>
      <c r="CX160" s="284">
        <v>1148</v>
      </c>
      <c r="CY160" s="284">
        <v>1166</v>
      </c>
      <c r="CZ160" s="284">
        <v>1222</v>
      </c>
      <c r="DA160" s="284">
        <v>1218</v>
      </c>
      <c r="DB160" s="284">
        <v>1146</v>
      </c>
      <c r="DC160" s="284">
        <v>1139</v>
      </c>
      <c r="DD160" s="284">
        <v>1196</v>
      </c>
      <c r="DE160" s="284">
        <v>1117</v>
      </c>
      <c r="DF160" s="284">
        <v>1067</v>
      </c>
      <c r="DG160" s="284">
        <v>1083</v>
      </c>
      <c r="DH160" s="284">
        <v>1154</v>
      </c>
      <c r="DI160" s="284">
        <v>1192</v>
      </c>
      <c r="DJ160" s="284">
        <v>1270</v>
      </c>
      <c r="DK160" s="284">
        <v>1286</v>
      </c>
      <c r="DL160" s="284">
        <v>1324</v>
      </c>
      <c r="DM160" s="284">
        <v>1359</v>
      </c>
      <c r="DN160" s="284">
        <v>1413</v>
      </c>
      <c r="DO160" s="284">
        <v>1400</v>
      </c>
      <c r="DP160" s="284">
        <v>1430</v>
      </c>
      <c r="DQ160" s="284">
        <v>1314</v>
      </c>
      <c r="DR160" s="284">
        <v>805</v>
      </c>
      <c r="DS160" s="284">
        <v>864</v>
      </c>
      <c r="DT160" s="284">
        <v>924</v>
      </c>
      <c r="DU160" s="284">
        <v>1034</v>
      </c>
      <c r="DV160" s="284">
        <v>1454</v>
      </c>
      <c r="DW160" s="284">
        <v>1039</v>
      </c>
      <c r="DX160" s="284">
        <v>1296</v>
      </c>
      <c r="DY160" s="284">
        <v>1264</v>
      </c>
      <c r="DZ160" s="284">
        <v>1297</v>
      </c>
      <c r="EA160" s="284">
        <v>1287</v>
      </c>
      <c r="EB160" s="284">
        <v>1298</v>
      </c>
      <c r="EC160" s="284">
        <v>1145</v>
      </c>
      <c r="ED160" s="284">
        <v>893</v>
      </c>
      <c r="EE160" s="284">
        <v>1274</v>
      </c>
      <c r="EF160" s="284">
        <v>1288</v>
      </c>
      <c r="EG160" s="284">
        <v>1227</v>
      </c>
      <c r="EH160" s="284">
        <v>1258</v>
      </c>
      <c r="EI160" s="284">
        <v>1236</v>
      </c>
      <c r="EJ160" s="284">
        <v>1196</v>
      </c>
      <c r="EK160" s="284">
        <v>1189</v>
      </c>
      <c r="EL160" s="284">
        <v>1095</v>
      </c>
      <c r="EM160" s="284">
        <v>1248</v>
      </c>
      <c r="EN160" s="284">
        <v>1126</v>
      </c>
      <c r="EO160" s="284">
        <v>885</v>
      </c>
      <c r="EP160" s="284">
        <v>730</v>
      </c>
      <c r="EQ160" s="284">
        <v>827</v>
      </c>
      <c r="ER160" s="284">
        <v>867</v>
      </c>
      <c r="ES160" s="284">
        <v>1000</v>
      </c>
      <c r="ET160" s="284">
        <v>960</v>
      </c>
      <c r="EU160" s="284">
        <v>882</v>
      </c>
      <c r="EV160" s="284">
        <v>964</v>
      </c>
      <c r="EW160" s="284">
        <v>903</v>
      </c>
      <c r="EX160" s="284">
        <v>876</v>
      </c>
      <c r="EY160" s="284">
        <v>915</v>
      </c>
      <c r="EZ160" s="284">
        <v>865</v>
      </c>
      <c r="FA160" s="284">
        <v>708</v>
      </c>
      <c r="FB160" s="284">
        <v>721</v>
      </c>
      <c r="FC160" s="284">
        <v>796</v>
      </c>
      <c r="FD160" s="284">
        <v>831</v>
      </c>
      <c r="FE160" s="284">
        <v>854</v>
      </c>
      <c r="FF160" s="284">
        <v>877</v>
      </c>
      <c r="FG160" s="284">
        <v>888</v>
      </c>
      <c r="FH160" s="284">
        <v>819</v>
      </c>
      <c r="FI160" s="284">
        <v>857</v>
      </c>
      <c r="FJ160" s="284">
        <v>846</v>
      </c>
      <c r="FK160" s="284">
        <v>826</v>
      </c>
      <c r="FL160" s="284">
        <v>817</v>
      </c>
      <c r="FM160" s="284">
        <v>727</v>
      </c>
      <c r="FN160" s="284">
        <v>632</v>
      </c>
      <c r="FO160" s="284">
        <v>768</v>
      </c>
      <c r="FP160" s="284">
        <v>999</v>
      </c>
      <c r="FQ160" s="284">
        <v>855</v>
      </c>
      <c r="FR160" s="284">
        <v>822</v>
      </c>
      <c r="FS160" s="284">
        <v>791</v>
      </c>
      <c r="FT160" s="284">
        <v>809</v>
      </c>
      <c r="FU160" s="284">
        <v>863</v>
      </c>
      <c r="FV160" s="284">
        <v>828</v>
      </c>
      <c r="FW160" s="284">
        <v>730</v>
      </c>
      <c r="FX160" s="284">
        <v>699</v>
      </c>
      <c r="FY160" s="284">
        <v>624</v>
      </c>
      <c r="FZ160" s="284">
        <v>475</v>
      </c>
      <c r="GA160" s="284">
        <v>566</v>
      </c>
      <c r="GB160" s="284">
        <v>569</v>
      </c>
      <c r="GC160" s="284">
        <v>589</v>
      </c>
      <c r="GD160" s="284">
        <v>630</v>
      </c>
      <c r="GE160" s="284">
        <v>612</v>
      </c>
      <c r="GF160" s="284">
        <v>616</v>
      </c>
      <c r="GG160" s="284">
        <v>688</v>
      </c>
      <c r="GH160" s="284">
        <v>838</v>
      </c>
      <c r="GI160" s="284">
        <v>764</v>
      </c>
      <c r="GJ160" s="284">
        <v>754</v>
      </c>
      <c r="GK160" s="284">
        <v>700</v>
      </c>
      <c r="GL160" s="284">
        <v>592</v>
      </c>
      <c r="GM160" s="284">
        <v>683</v>
      </c>
      <c r="GN160" s="284">
        <v>754</v>
      </c>
      <c r="GO160" s="284">
        <v>768</v>
      </c>
      <c r="GP160" s="284">
        <v>798</v>
      </c>
      <c r="GQ160" s="284">
        <v>828</v>
      </c>
      <c r="GR160" s="284">
        <v>794</v>
      </c>
      <c r="GS160" s="284">
        <v>797</v>
      </c>
      <c r="GT160" s="284">
        <v>850</v>
      </c>
      <c r="GU160" s="284">
        <v>847</v>
      </c>
      <c r="GV160" s="284">
        <v>910</v>
      </c>
      <c r="GW160" s="284">
        <v>804</v>
      </c>
      <c r="GX160" s="284">
        <v>724</v>
      </c>
      <c r="GY160" s="284">
        <v>792</v>
      </c>
      <c r="GZ160" s="284">
        <v>924</v>
      </c>
      <c r="HA160" s="284">
        <v>1020</v>
      </c>
      <c r="HB160" s="284">
        <v>1049</v>
      </c>
      <c r="HC160" s="284">
        <v>1053</v>
      </c>
      <c r="HD160" s="284">
        <v>983</v>
      </c>
      <c r="HE160" s="284">
        <v>1005</v>
      </c>
      <c r="HF160" s="284">
        <v>988</v>
      </c>
      <c r="HG160" s="284">
        <v>991</v>
      </c>
      <c r="HH160" s="284">
        <v>981</v>
      </c>
      <c r="HI160" s="284">
        <v>836</v>
      </c>
      <c r="HJ160" s="284">
        <v>785</v>
      </c>
      <c r="HK160" s="284">
        <v>932</v>
      </c>
      <c r="HL160" s="284">
        <v>1011</v>
      </c>
      <c r="HM160" s="284">
        <v>1078</v>
      </c>
      <c r="HN160" s="284">
        <v>1138</v>
      </c>
      <c r="HO160" s="284">
        <v>1145</v>
      </c>
      <c r="HP160" s="284">
        <v>1116</v>
      </c>
      <c r="HQ160" s="284">
        <v>1123</v>
      </c>
      <c r="HR160" s="284">
        <v>1151</v>
      </c>
      <c r="HS160" s="284">
        <v>1155</v>
      </c>
      <c r="HT160" s="284">
        <v>884</v>
      </c>
      <c r="HU160" s="284">
        <v>936</v>
      </c>
      <c r="HV160" s="284">
        <v>895</v>
      </c>
      <c r="HW160" s="284">
        <v>1026</v>
      </c>
      <c r="HX160" s="284">
        <v>1066</v>
      </c>
      <c r="HY160" s="284">
        <v>807</v>
      </c>
      <c r="HZ160" s="284">
        <v>988</v>
      </c>
      <c r="IA160" s="284">
        <v>1142</v>
      </c>
      <c r="IB160" s="284">
        <v>1534</v>
      </c>
      <c r="IC160" s="284">
        <v>1558</v>
      </c>
      <c r="ID160" s="284">
        <v>1484</v>
      </c>
      <c r="IE160" s="284">
        <v>1455</v>
      </c>
      <c r="IF160" s="284">
        <v>1249</v>
      </c>
      <c r="IG160" s="284">
        <v>1018</v>
      </c>
      <c r="IH160" s="284">
        <v>1120</v>
      </c>
      <c r="II160" s="284">
        <v>1327</v>
      </c>
      <c r="IJ160" s="284">
        <v>1200</v>
      </c>
      <c r="IK160" s="284">
        <v>1287</v>
      </c>
      <c r="IL160" s="284">
        <v>1272</v>
      </c>
      <c r="IM160" s="850">
        <v>1262</v>
      </c>
      <c r="IN160" s="168"/>
    </row>
    <row r="161" spans="1:248" ht="15.75" thickBot="1">
      <c r="A161" s="470" t="s">
        <v>1069</v>
      </c>
      <c r="B161" s="286">
        <v>178</v>
      </c>
      <c r="C161" s="286">
        <v>183</v>
      </c>
      <c r="D161" s="286">
        <v>185</v>
      </c>
      <c r="E161" s="286">
        <v>260</v>
      </c>
      <c r="F161" s="286">
        <v>286</v>
      </c>
      <c r="G161" s="286">
        <v>273</v>
      </c>
      <c r="H161" s="286">
        <v>317</v>
      </c>
      <c r="I161" s="286">
        <v>317</v>
      </c>
      <c r="J161" s="286">
        <v>337</v>
      </c>
      <c r="K161" s="286">
        <v>331</v>
      </c>
      <c r="L161" s="286">
        <v>297</v>
      </c>
      <c r="M161" s="286">
        <v>251</v>
      </c>
      <c r="N161" s="286">
        <v>161</v>
      </c>
      <c r="O161" s="286">
        <v>209</v>
      </c>
      <c r="P161" s="286">
        <v>150</v>
      </c>
      <c r="Q161" s="286">
        <v>176</v>
      </c>
      <c r="R161" s="286">
        <v>211</v>
      </c>
      <c r="S161" s="286">
        <v>165</v>
      </c>
      <c r="T161" s="286">
        <v>235</v>
      </c>
      <c r="U161" s="286">
        <v>240</v>
      </c>
      <c r="V161" s="286">
        <v>232</v>
      </c>
      <c r="W161" s="286">
        <v>278</v>
      </c>
      <c r="X161" s="286">
        <v>289</v>
      </c>
      <c r="Y161" s="286">
        <v>184</v>
      </c>
      <c r="Z161" s="286">
        <v>145</v>
      </c>
      <c r="AA161" s="286">
        <v>158</v>
      </c>
      <c r="AB161" s="286">
        <v>186</v>
      </c>
      <c r="AC161" s="286">
        <v>204</v>
      </c>
      <c r="AD161" s="286">
        <v>216</v>
      </c>
      <c r="AE161" s="286">
        <v>308</v>
      </c>
      <c r="AF161" s="286">
        <v>252</v>
      </c>
      <c r="AG161" s="286">
        <v>200</v>
      </c>
      <c r="AH161" s="286">
        <v>211</v>
      </c>
      <c r="AI161" s="286">
        <v>179</v>
      </c>
      <c r="AJ161" s="286">
        <v>226</v>
      </c>
      <c r="AK161" s="286">
        <v>159</v>
      </c>
      <c r="AL161" s="286">
        <v>198</v>
      </c>
      <c r="AM161" s="286">
        <v>180</v>
      </c>
      <c r="AN161" s="286">
        <v>202</v>
      </c>
      <c r="AO161" s="286">
        <v>281</v>
      </c>
      <c r="AP161" s="286">
        <v>352</v>
      </c>
      <c r="AQ161" s="286">
        <v>337</v>
      </c>
      <c r="AR161" s="286">
        <v>366</v>
      </c>
      <c r="AS161" s="286">
        <v>404</v>
      </c>
      <c r="AT161" s="286">
        <v>444</v>
      </c>
      <c r="AU161" s="286">
        <v>469</v>
      </c>
      <c r="AV161" s="286">
        <v>480</v>
      </c>
      <c r="AW161" s="286">
        <v>345</v>
      </c>
      <c r="AX161" s="286">
        <v>333</v>
      </c>
      <c r="AY161" s="286">
        <v>373</v>
      </c>
      <c r="AZ161" s="286">
        <v>434</v>
      </c>
      <c r="BA161" s="286">
        <v>398</v>
      </c>
      <c r="BB161" s="286">
        <v>437</v>
      </c>
      <c r="BC161" s="286">
        <v>412</v>
      </c>
      <c r="BD161" s="286">
        <v>441</v>
      </c>
      <c r="BE161" s="286">
        <v>432</v>
      </c>
      <c r="BF161" s="286">
        <v>440</v>
      </c>
      <c r="BG161" s="286">
        <v>474</v>
      </c>
      <c r="BH161" s="286">
        <v>558</v>
      </c>
      <c r="BI161" s="286">
        <v>349</v>
      </c>
      <c r="BJ161" s="286">
        <v>305</v>
      </c>
      <c r="BK161" s="286">
        <v>417</v>
      </c>
      <c r="BL161" s="286">
        <v>378</v>
      </c>
      <c r="BM161" s="286">
        <v>377</v>
      </c>
      <c r="BN161" s="286">
        <v>412</v>
      </c>
      <c r="BO161" s="286">
        <v>531</v>
      </c>
      <c r="BP161" s="286">
        <v>622</v>
      </c>
      <c r="BQ161" s="286">
        <v>619</v>
      </c>
      <c r="BR161" s="286">
        <v>689</v>
      </c>
      <c r="BS161" s="286">
        <v>658</v>
      </c>
      <c r="BT161" s="286">
        <v>764</v>
      </c>
      <c r="BU161" s="286">
        <v>539</v>
      </c>
      <c r="BV161" s="286">
        <v>404</v>
      </c>
      <c r="BW161" s="286">
        <v>546</v>
      </c>
      <c r="BX161" s="286">
        <v>644</v>
      </c>
      <c r="BY161" s="286">
        <v>709</v>
      </c>
      <c r="BZ161" s="286">
        <v>1179</v>
      </c>
      <c r="CA161" s="286">
        <v>1070</v>
      </c>
      <c r="CB161" s="286">
        <v>1054</v>
      </c>
      <c r="CC161" s="286">
        <v>956</v>
      </c>
      <c r="CD161" s="286">
        <v>1153</v>
      </c>
      <c r="CE161" s="286">
        <v>1289</v>
      </c>
      <c r="CF161" s="286">
        <v>1255</v>
      </c>
      <c r="CG161" s="286">
        <v>1151</v>
      </c>
      <c r="CH161" s="286">
        <v>761</v>
      </c>
      <c r="CI161" s="286">
        <v>998</v>
      </c>
      <c r="CJ161" s="286">
        <v>1120</v>
      </c>
      <c r="CK161" s="286">
        <v>1197</v>
      </c>
      <c r="CL161" s="286">
        <v>1273</v>
      </c>
      <c r="CM161" s="286">
        <v>1353</v>
      </c>
      <c r="CN161" s="286">
        <v>1503</v>
      </c>
      <c r="CO161" s="286">
        <v>1738</v>
      </c>
      <c r="CP161" s="286">
        <v>1686</v>
      </c>
      <c r="CQ161" s="286">
        <v>1759</v>
      </c>
      <c r="CR161" s="286">
        <v>1545</v>
      </c>
      <c r="CS161" s="286">
        <v>1166</v>
      </c>
      <c r="CT161" s="286">
        <v>571</v>
      </c>
      <c r="CU161" s="286">
        <v>680</v>
      </c>
      <c r="CV161" s="286">
        <v>857</v>
      </c>
      <c r="CW161" s="286">
        <v>1007</v>
      </c>
      <c r="CX161" s="286">
        <v>1159</v>
      </c>
      <c r="CY161" s="286">
        <v>1210</v>
      </c>
      <c r="CZ161" s="286">
        <v>1440</v>
      </c>
      <c r="DA161" s="286">
        <v>1431</v>
      </c>
      <c r="DB161" s="286">
        <v>1657</v>
      </c>
      <c r="DC161" s="286">
        <v>1656</v>
      </c>
      <c r="DD161" s="286">
        <v>1718</v>
      </c>
      <c r="DE161" s="286">
        <v>1497</v>
      </c>
      <c r="DF161" s="286">
        <v>1044</v>
      </c>
      <c r="DG161" s="286">
        <v>1390</v>
      </c>
      <c r="DH161" s="286">
        <v>1691</v>
      </c>
      <c r="DI161" s="286">
        <v>1882</v>
      </c>
      <c r="DJ161" s="286">
        <v>2114</v>
      </c>
      <c r="DK161" s="286">
        <v>2150</v>
      </c>
      <c r="DL161" s="286">
        <v>2305</v>
      </c>
      <c r="DM161" s="286">
        <v>2177</v>
      </c>
      <c r="DN161" s="286">
        <v>2302</v>
      </c>
      <c r="DO161" s="286">
        <v>2298</v>
      </c>
      <c r="DP161" s="286">
        <v>2282</v>
      </c>
      <c r="DQ161" s="286">
        <v>1795</v>
      </c>
      <c r="DR161" s="286">
        <v>1249</v>
      </c>
      <c r="DS161" s="286">
        <v>1503</v>
      </c>
      <c r="DT161" s="286">
        <v>1998</v>
      </c>
      <c r="DU161" s="286">
        <v>2255</v>
      </c>
      <c r="DV161" s="286">
        <v>2926</v>
      </c>
      <c r="DW161" s="286">
        <v>2611</v>
      </c>
      <c r="DX161" s="286">
        <v>2370</v>
      </c>
      <c r="DY161" s="286">
        <v>2625</v>
      </c>
      <c r="DZ161" s="286">
        <v>2929</v>
      </c>
      <c r="EA161" s="286">
        <v>2812</v>
      </c>
      <c r="EB161" s="286">
        <v>3004</v>
      </c>
      <c r="EC161" s="286">
        <v>2285</v>
      </c>
      <c r="ED161" s="286">
        <v>1457</v>
      </c>
      <c r="EE161" s="286">
        <v>2347</v>
      </c>
      <c r="EF161" s="286">
        <v>2350</v>
      </c>
      <c r="EG161" s="286">
        <v>2229</v>
      </c>
      <c r="EH161" s="286">
        <v>2435</v>
      </c>
      <c r="EI161" s="286">
        <v>2226</v>
      </c>
      <c r="EJ161" s="286">
        <v>2238</v>
      </c>
      <c r="EK161" s="286">
        <v>2166</v>
      </c>
      <c r="EL161" s="286">
        <v>2052</v>
      </c>
      <c r="EM161" s="286">
        <v>1965</v>
      </c>
      <c r="EN161" s="286">
        <v>2039</v>
      </c>
      <c r="EO161" s="286">
        <v>1454</v>
      </c>
      <c r="EP161" s="286">
        <v>828</v>
      </c>
      <c r="EQ161" s="286">
        <v>1287</v>
      </c>
      <c r="ER161" s="286">
        <v>1320</v>
      </c>
      <c r="ES161" s="286">
        <v>1472</v>
      </c>
      <c r="ET161" s="286">
        <v>1486</v>
      </c>
      <c r="EU161" s="286">
        <v>1445</v>
      </c>
      <c r="EV161" s="286">
        <v>1454</v>
      </c>
      <c r="EW161" s="286">
        <v>1902</v>
      </c>
      <c r="EX161" s="286">
        <v>1684</v>
      </c>
      <c r="EY161" s="286">
        <v>1557</v>
      </c>
      <c r="EZ161" s="286">
        <v>1601</v>
      </c>
      <c r="FA161" s="286">
        <v>1281</v>
      </c>
      <c r="FB161" s="286">
        <v>974</v>
      </c>
      <c r="FC161" s="286">
        <v>1201</v>
      </c>
      <c r="FD161" s="286">
        <v>1272</v>
      </c>
      <c r="FE161" s="286">
        <v>1415</v>
      </c>
      <c r="FF161" s="286">
        <v>1668</v>
      </c>
      <c r="FG161" s="286">
        <v>1628</v>
      </c>
      <c r="FH161" s="286">
        <v>1407</v>
      </c>
      <c r="FI161" s="286">
        <v>1383</v>
      </c>
      <c r="FJ161" s="286">
        <v>1559</v>
      </c>
      <c r="FK161" s="286">
        <v>1634</v>
      </c>
      <c r="FL161" s="286">
        <v>1763</v>
      </c>
      <c r="FM161" s="286">
        <v>1126</v>
      </c>
      <c r="FN161" s="286">
        <v>634</v>
      </c>
      <c r="FO161" s="286">
        <v>1128</v>
      </c>
      <c r="FP161" s="286">
        <v>1336</v>
      </c>
      <c r="FQ161" s="286">
        <v>1307</v>
      </c>
      <c r="FR161" s="286">
        <v>1503</v>
      </c>
      <c r="FS161" s="286">
        <v>1602</v>
      </c>
      <c r="FT161" s="286">
        <v>1712</v>
      </c>
      <c r="FU161" s="286">
        <v>1758</v>
      </c>
      <c r="FV161" s="286">
        <v>1982</v>
      </c>
      <c r="FW161" s="286">
        <v>1706</v>
      </c>
      <c r="FX161" s="286">
        <v>1692</v>
      </c>
      <c r="FY161" s="286">
        <v>1280</v>
      </c>
      <c r="FZ161" s="286">
        <v>552</v>
      </c>
      <c r="GA161" s="286">
        <v>1152</v>
      </c>
      <c r="GB161" s="286">
        <v>1439</v>
      </c>
      <c r="GC161" s="286">
        <v>1606</v>
      </c>
      <c r="GD161" s="286">
        <v>1633</v>
      </c>
      <c r="GE161" s="286">
        <v>1501</v>
      </c>
      <c r="GF161" s="286">
        <v>1551</v>
      </c>
      <c r="GG161" s="286">
        <v>1749</v>
      </c>
      <c r="GH161" s="286">
        <v>1719</v>
      </c>
      <c r="GI161" s="286">
        <v>1745</v>
      </c>
      <c r="GJ161" s="286">
        <v>1966</v>
      </c>
      <c r="GK161" s="286">
        <v>1305</v>
      </c>
      <c r="GL161" s="286">
        <v>780</v>
      </c>
      <c r="GM161" s="286">
        <v>1249</v>
      </c>
      <c r="GN161" s="286">
        <v>1482</v>
      </c>
      <c r="GO161" s="286">
        <v>1588</v>
      </c>
      <c r="GP161" s="286">
        <v>1839</v>
      </c>
      <c r="GQ161" s="286">
        <v>1742</v>
      </c>
      <c r="GR161" s="286">
        <v>1832</v>
      </c>
      <c r="GS161" s="286">
        <v>1859</v>
      </c>
      <c r="GT161" s="286">
        <v>1817</v>
      </c>
      <c r="GU161" s="286">
        <v>1977</v>
      </c>
      <c r="GV161" s="286">
        <v>2030</v>
      </c>
      <c r="GW161" s="286">
        <v>1574</v>
      </c>
      <c r="GX161" s="286">
        <v>946</v>
      </c>
      <c r="GY161" s="286">
        <v>1550</v>
      </c>
      <c r="GZ161" s="286">
        <v>1855</v>
      </c>
      <c r="HA161" s="286">
        <v>2194</v>
      </c>
      <c r="HB161" s="286">
        <v>2170</v>
      </c>
      <c r="HC161" s="286">
        <v>2061</v>
      </c>
      <c r="HD161" s="286">
        <v>1990</v>
      </c>
      <c r="HE161" s="286">
        <v>2099</v>
      </c>
      <c r="HF161" s="286">
        <v>2201</v>
      </c>
      <c r="HG161" s="286">
        <v>2274</v>
      </c>
      <c r="HH161" s="286">
        <v>2080</v>
      </c>
      <c r="HI161" s="286">
        <v>1655</v>
      </c>
      <c r="HJ161" s="286">
        <v>1272</v>
      </c>
      <c r="HK161" s="286">
        <v>1830</v>
      </c>
      <c r="HL161" s="286">
        <v>2175</v>
      </c>
      <c r="HM161" s="286">
        <v>2428</v>
      </c>
      <c r="HN161" s="286">
        <v>2632</v>
      </c>
      <c r="HO161" s="286">
        <v>2776</v>
      </c>
      <c r="HP161" s="286">
        <v>2763</v>
      </c>
      <c r="HQ161" s="286">
        <v>2819</v>
      </c>
      <c r="HR161" s="286">
        <v>2895</v>
      </c>
      <c r="HS161" s="286">
        <v>2887</v>
      </c>
      <c r="HT161" s="286">
        <v>2259</v>
      </c>
      <c r="HU161" s="286">
        <v>2215</v>
      </c>
      <c r="HV161" s="545">
        <v>1648</v>
      </c>
      <c r="HW161" s="545">
        <v>2470</v>
      </c>
      <c r="HX161" s="545">
        <v>2774</v>
      </c>
      <c r="HY161" s="545">
        <v>2186</v>
      </c>
      <c r="HZ161" s="545">
        <v>2144</v>
      </c>
      <c r="IA161" s="545">
        <v>2556</v>
      </c>
      <c r="IB161" s="545">
        <v>3524</v>
      </c>
      <c r="IC161" s="545">
        <v>3527</v>
      </c>
      <c r="ID161" s="545">
        <v>3338</v>
      </c>
      <c r="IE161" s="545">
        <v>3300</v>
      </c>
      <c r="IF161" s="545">
        <v>2479</v>
      </c>
      <c r="IG161" s="285">
        <v>2004</v>
      </c>
      <c r="IH161" s="545">
        <v>2562</v>
      </c>
      <c r="II161" s="545">
        <v>3178</v>
      </c>
      <c r="IJ161" s="545">
        <v>3253</v>
      </c>
      <c r="IK161" s="545">
        <v>3167</v>
      </c>
      <c r="IL161" s="545">
        <v>3063</v>
      </c>
      <c r="IM161" s="851">
        <v>2890</v>
      </c>
      <c r="IN161" s="168"/>
    </row>
    <row r="162" spans="1:248" ht="16.5" thickTop="1" thickBot="1">
      <c r="A162" s="471" t="s">
        <v>97</v>
      </c>
      <c r="B162" s="623">
        <v>465</v>
      </c>
      <c r="C162" s="623">
        <v>528</v>
      </c>
      <c r="D162" s="623">
        <v>480</v>
      </c>
      <c r="E162" s="623">
        <v>620</v>
      </c>
      <c r="F162" s="623">
        <v>637</v>
      </c>
      <c r="G162" s="623">
        <v>662</v>
      </c>
      <c r="H162" s="623">
        <v>731</v>
      </c>
      <c r="I162" s="623">
        <v>672</v>
      </c>
      <c r="J162" s="623">
        <v>733</v>
      </c>
      <c r="K162" s="623">
        <v>782</v>
      </c>
      <c r="L162" s="623">
        <v>708</v>
      </c>
      <c r="M162" s="623">
        <v>666</v>
      </c>
      <c r="N162" s="623">
        <v>483</v>
      </c>
      <c r="O162" s="623">
        <v>536</v>
      </c>
      <c r="P162" s="623">
        <v>429</v>
      </c>
      <c r="Q162" s="623">
        <v>463</v>
      </c>
      <c r="R162" s="623">
        <v>499</v>
      </c>
      <c r="S162" s="623">
        <v>375</v>
      </c>
      <c r="T162" s="623">
        <v>566</v>
      </c>
      <c r="U162" s="623">
        <v>552</v>
      </c>
      <c r="V162" s="623">
        <v>526</v>
      </c>
      <c r="W162" s="623">
        <v>661</v>
      </c>
      <c r="X162" s="623">
        <v>663</v>
      </c>
      <c r="Y162" s="623">
        <v>539</v>
      </c>
      <c r="Z162" s="623">
        <v>443</v>
      </c>
      <c r="AA162" s="623">
        <v>505</v>
      </c>
      <c r="AB162" s="623">
        <v>530</v>
      </c>
      <c r="AC162" s="623">
        <v>564</v>
      </c>
      <c r="AD162" s="623">
        <v>578</v>
      </c>
      <c r="AE162" s="623">
        <v>644</v>
      </c>
      <c r="AF162" s="623">
        <v>614</v>
      </c>
      <c r="AG162" s="623">
        <v>563</v>
      </c>
      <c r="AH162" s="623">
        <v>567</v>
      </c>
      <c r="AI162" s="623">
        <v>470</v>
      </c>
      <c r="AJ162" s="623">
        <v>513</v>
      </c>
      <c r="AK162" s="623">
        <v>432</v>
      </c>
      <c r="AL162" s="623">
        <v>443</v>
      </c>
      <c r="AM162" s="623">
        <v>435</v>
      </c>
      <c r="AN162" s="623">
        <v>474</v>
      </c>
      <c r="AO162" s="623">
        <v>581</v>
      </c>
      <c r="AP162" s="623">
        <v>667</v>
      </c>
      <c r="AQ162" s="623">
        <v>661</v>
      </c>
      <c r="AR162" s="623">
        <v>688</v>
      </c>
      <c r="AS162" s="623">
        <v>740</v>
      </c>
      <c r="AT162" s="623">
        <v>792</v>
      </c>
      <c r="AU162" s="623">
        <v>793</v>
      </c>
      <c r="AV162" s="623">
        <v>809</v>
      </c>
      <c r="AW162" s="623">
        <v>637</v>
      </c>
      <c r="AX162" s="623">
        <v>600</v>
      </c>
      <c r="AY162" s="623">
        <v>673</v>
      </c>
      <c r="AZ162" s="623">
        <v>721</v>
      </c>
      <c r="BA162" s="623">
        <v>717</v>
      </c>
      <c r="BB162" s="623">
        <v>784</v>
      </c>
      <c r="BC162" s="623">
        <v>713</v>
      </c>
      <c r="BD162" s="623">
        <v>785</v>
      </c>
      <c r="BE162" s="623">
        <v>778</v>
      </c>
      <c r="BF162" s="623">
        <v>759</v>
      </c>
      <c r="BG162" s="623">
        <v>791</v>
      </c>
      <c r="BH162" s="623">
        <v>883</v>
      </c>
      <c r="BI162" s="623">
        <v>612</v>
      </c>
      <c r="BJ162" s="623">
        <v>581</v>
      </c>
      <c r="BK162" s="623">
        <v>739</v>
      </c>
      <c r="BL162" s="623">
        <v>679</v>
      </c>
      <c r="BM162" s="623">
        <v>713</v>
      </c>
      <c r="BN162" s="623">
        <v>786</v>
      </c>
      <c r="BO162" s="623">
        <v>914</v>
      </c>
      <c r="BP162" s="623">
        <v>1017</v>
      </c>
      <c r="BQ162" s="623">
        <v>1058</v>
      </c>
      <c r="BR162" s="623">
        <v>1196</v>
      </c>
      <c r="BS162" s="623">
        <v>1134</v>
      </c>
      <c r="BT162" s="623">
        <v>1210</v>
      </c>
      <c r="BU162" s="623">
        <v>983</v>
      </c>
      <c r="BV162" s="623">
        <v>802</v>
      </c>
      <c r="BW162" s="623">
        <v>994</v>
      </c>
      <c r="BX162" s="623">
        <v>1105</v>
      </c>
      <c r="BY162" s="623">
        <v>1203</v>
      </c>
      <c r="BZ162" s="623">
        <v>1732</v>
      </c>
      <c r="CA162" s="623">
        <v>1583</v>
      </c>
      <c r="CB162" s="623">
        <v>1608</v>
      </c>
      <c r="CC162" s="623">
        <v>1472</v>
      </c>
      <c r="CD162" s="623">
        <v>1714</v>
      </c>
      <c r="CE162" s="623">
        <v>1883</v>
      </c>
      <c r="CF162" s="623">
        <v>1864</v>
      </c>
      <c r="CG162" s="623">
        <v>1690</v>
      </c>
      <c r="CH162" s="623">
        <v>1325</v>
      </c>
      <c r="CI162" s="623">
        <v>1775</v>
      </c>
      <c r="CJ162" s="623">
        <v>1950</v>
      </c>
      <c r="CK162" s="623">
        <v>2072</v>
      </c>
      <c r="CL162" s="623">
        <v>2158</v>
      </c>
      <c r="CM162" s="623">
        <v>2258</v>
      </c>
      <c r="CN162" s="623">
        <v>2571</v>
      </c>
      <c r="CO162" s="623">
        <v>2789</v>
      </c>
      <c r="CP162" s="623">
        <v>2832</v>
      </c>
      <c r="CQ162" s="623">
        <v>2950</v>
      </c>
      <c r="CR162" s="623">
        <v>2700</v>
      </c>
      <c r="CS162" s="623">
        <v>2171</v>
      </c>
      <c r="CT162" s="623">
        <v>1464</v>
      </c>
      <c r="CU162" s="623">
        <v>1676</v>
      </c>
      <c r="CV162" s="623">
        <v>1883</v>
      </c>
      <c r="CW162" s="623">
        <v>2111</v>
      </c>
      <c r="CX162" s="623">
        <v>2307</v>
      </c>
      <c r="CY162" s="623">
        <v>2376</v>
      </c>
      <c r="CZ162" s="623">
        <v>2662</v>
      </c>
      <c r="DA162" s="623">
        <v>2649</v>
      </c>
      <c r="DB162" s="623">
        <v>2803</v>
      </c>
      <c r="DC162" s="623">
        <v>2795</v>
      </c>
      <c r="DD162" s="623">
        <v>2914</v>
      </c>
      <c r="DE162" s="623">
        <v>2614</v>
      </c>
      <c r="DF162" s="623">
        <v>2111</v>
      </c>
      <c r="DG162" s="623">
        <v>2473</v>
      </c>
      <c r="DH162" s="623">
        <v>2845</v>
      </c>
      <c r="DI162" s="623">
        <v>3074</v>
      </c>
      <c r="DJ162" s="623">
        <v>3384</v>
      </c>
      <c r="DK162" s="623">
        <v>3436</v>
      </c>
      <c r="DL162" s="623">
        <v>3629</v>
      </c>
      <c r="DM162" s="623">
        <v>3536</v>
      </c>
      <c r="DN162" s="623">
        <v>3715</v>
      </c>
      <c r="DO162" s="623">
        <v>3698</v>
      </c>
      <c r="DP162" s="623">
        <v>3712</v>
      </c>
      <c r="DQ162" s="623">
        <v>3109</v>
      </c>
      <c r="DR162" s="623">
        <v>2054</v>
      </c>
      <c r="DS162" s="623">
        <v>2367</v>
      </c>
      <c r="DT162" s="623">
        <v>2922</v>
      </c>
      <c r="DU162" s="623">
        <v>3289</v>
      </c>
      <c r="DV162" s="623">
        <v>4380</v>
      </c>
      <c r="DW162" s="623">
        <v>3650</v>
      </c>
      <c r="DX162" s="623">
        <v>3666</v>
      </c>
      <c r="DY162" s="623">
        <v>3889</v>
      </c>
      <c r="DZ162" s="623">
        <v>4226</v>
      </c>
      <c r="EA162" s="623">
        <v>4099</v>
      </c>
      <c r="EB162" s="623">
        <v>4302</v>
      </c>
      <c r="EC162" s="623">
        <v>3430</v>
      </c>
      <c r="ED162" s="623">
        <v>2350</v>
      </c>
      <c r="EE162" s="623">
        <v>3621</v>
      </c>
      <c r="EF162" s="623">
        <v>3638</v>
      </c>
      <c r="EG162" s="623">
        <v>3456</v>
      </c>
      <c r="EH162" s="623">
        <v>3693</v>
      </c>
      <c r="EI162" s="623">
        <v>3462</v>
      </c>
      <c r="EJ162" s="623">
        <v>3434</v>
      </c>
      <c r="EK162" s="623">
        <v>3355</v>
      </c>
      <c r="EL162" s="623">
        <v>3147</v>
      </c>
      <c r="EM162" s="623">
        <v>3213</v>
      </c>
      <c r="EN162" s="623">
        <v>3165</v>
      </c>
      <c r="EO162" s="623">
        <v>2339</v>
      </c>
      <c r="EP162" s="623">
        <v>1558</v>
      </c>
      <c r="EQ162" s="623">
        <v>2114</v>
      </c>
      <c r="ER162" s="623">
        <v>2187</v>
      </c>
      <c r="ES162" s="623">
        <v>2472</v>
      </c>
      <c r="ET162" s="623">
        <v>2446</v>
      </c>
      <c r="EU162" s="623">
        <v>2327</v>
      </c>
      <c r="EV162" s="623">
        <v>2418</v>
      </c>
      <c r="EW162" s="623">
        <v>2805</v>
      </c>
      <c r="EX162" s="623">
        <v>2560</v>
      </c>
      <c r="EY162" s="623">
        <v>2472</v>
      </c>
      <c r="EZ162" s="623">
        <v>2466</v>
      </c>
      <c r="FA162" s="623">
        <v>1989</v>
      </c>
      <c r="FB162" s="623">
        <v>1695</v>
      </c>
      <c r="FC162" s="623">
        <v>1997</v>
      </c>
      <c r="FD162" s="623">
        <v>2103</v>
      </c>
      <c r="FE162" s="623">
        <v>2269</v>
      </c>
      <c r="FF162" s="623">
        <v>2545</v>
      </c>
      <c r="FG162" s="623">
        <v>2516</v>
      </c>
      <c r="FH162" s="623">
        <v>2226</v>
      </c>
      <c r="FI162" s="623">
        <v>2240</v>
      </c>
      <c r="FJ162" s="623">
        <v>2405</v>
      </c>
      <c r="FK162" s="623">
        <v>2460</v>
      </c>
      <c r="FL162" s="623">
        <v>2580</v>
      </c>
      <c r="FM162" s="623">
        <v>1853</v>
      </c>
      <c r="FN162" s="623">
        <v>1266</v>
      </c>
      <c r="FO162" s="623">
        <v>1896</v>
      </c>
      <c r="FP162" s="623">
        <v>2335</v>
      </c>
      <c r="FQ162" s="623">
        <v>2162</v>
      </c>
      <c r="FR162" s="623">
        <v>2325</v>
      </c>
      <c r="FS162" s="623">
        <v>2393</v>
      </c>
      <c r="FT162" s="623">
        <v>2521</v>
      </c>
      <c r="FU162" s="623">
        <v>2621</v>
      </c>
      <c r="FV162" s="623">
        <v>2810</v>
      </c>
      <c r="FW162" s="623">
        <v>2436</v>
      </c>
      <c r="FX162" s="623">
        <v>2391</v>
      </c>
      <c r="FY162" s="623">
        <v>1904</v>
      </c>
      <c r="FZ162" s="623">
        <v>1027</v>
      </c>
      <c r="GA162" s="623">
        <v>1718</v>
      </c>
      <c r="GB162" s="623">
        <v>2008</v>
      </c>
      <c r="GC162" s="623">
        <v>2195</v>
      </c>
      <c r="GD162" s="623">
        <v>2263</v>
      </c>
      <c r="GE162" s="623">
        <v>2113</v>
      </c>
      <c r="GF162" s="623">
        <v>2167</v>
      </c>
      <c r="GG162" s="623">
        <v>2437</v>
      </c>
      <c r="GH162" s="623">
        <v>2557</v>
      </c>
      <c r="GI162" s="623">
        <v>2509</v>
      </c>
      <c r="GJ162" s="623">
        <v>2720</v>
      </c>
      <c r="GK162" s="623">
        <v>2005</v>
      </c>
      <c r="GL162" s="623">
        <v>1372</v>
      </c>
      <c r="GM162" s="623">
        <v>1932</v>
      </c>
      <c r="GN162" s="623">
        <v>2236</v>
      </c>
      <c r="GO162" s="623">
        <v>2356</v>
      </c>
      <c r="GP162" s="623">
        <v>2637</v>
      </c>
      <c r="GQ162" s="623">
        <v>2570</v>
      </c>
      <c r="GR162" s="623">
        <v>2626</v>
      </c>
      <c r="GS162" s="623">
        <v>2656</v>
      </c>
      <c r="GT162" s="623">
        <v>2667</v>
      </c>
      <c r="GU162" s="623">
        <v>2824</v>
      </c>
      <c r="GV162" s="623">
        <v>2940</v>
      </c>
      <c r="GW162" s="623">
        <v>2378</v>
      </c>
      <c r="GX162" s="623">
        <v>1670</v>
      </c>
      <c r="GY162" s="623">
        <v>2342</v>
      </c>
      <c r="GZ162" s="623">
        <v>2779</v>
      </c>
      <c r="HA162" s="623">
        <v>3214</v>
      </c>
      <c r="HB162" s="623">
        <v>3219</v>
      </c>
      <c r="HC162" s="623">
        <v>3114</v>
      </c>
      <c r="HD162" s="623">
        <v>2973</v>
      </c>
      <c r="HE162" s="623">
        <v>3104</v>
      </c>
      <c r="HF162" s="623">
        <v>3189</v>
      </c>
      <c r="HG162" s="623">
        <v>3265</v>
      </c>
      <c r="HH162" s="623">
        <v>3061</v>
      </c>
      <c r="HI162" s="623">
        <v>2491</v>
      </c>
      <c r="HJ162" s="623">
        <v>2057</v>
      </c>
      <c r="HK162" s="623">
        <v>2762</v>
      </c>
      <c r="HL162" s="623">
        <v>3186</v>
      </c>
      <c r="HM162" s="623">
        <v>3506</v>
      </c>
      <c r="HN162" s="623">
        <v>3770</v>
      </c>
      <c r="HO162" s="623">
        <v>3921</v>
      </c>
      <c r="HP162" s="623">
        <v>3879</v>
      </c>
      <c r="HQ162" s="623">
        <v>3942</v>
      </c>
      <c r="HR162" s="623">
        <v>4046</v>
      </c>
      <c r="HS162" s="623">
        <v>4042</v>
      </c>
      <c r="HT162" s="623">
        <v>3143</v>
      </c>
      <c r="HU162" s="623">
        <v>3151</v>
      </c>
      <c r="HV162" s="623">
        <v>2543</v>
      </c>
      <c r="HW162" s="623">
        <v>3496</v>
      </c>
      <c r="HX162" s="623">
        <v>3840</v>
      </c>
      <c r="HY162" s="623">
        <v>2993</v>
      </c>
      <c r="HZ162" s="623">
        <v>3132</v>
      </c>
      <c r="IA162" s="859">
        <v>3698</v>
      </c>
      <c r="IB162" s="859">
        <v>5058</v>
      </c>
      <c r="IC162" s="859">
        <v>5085</v>
      </c>
      <c r="ID162" s="859">
        <v>4822</v>
      </c>
      <c r="IE162" s="859">
        <v>4755</v>
      </c>
      <c r="IF162" s="859">
        <v>3728</v>
      </c>
      <c r="IG162" s="859">
        <v>3022</v>
      </c>
      <c r="IH162" s="859">
        <v>3682</v>
      </c>
      <c r="II162" s="859">
        <v>4505</v>
      </c>
      <c r="IJ162" s="859">
        <v>4453</v>
      </c>
      <c r="IK162" s="859">
        <v>4454</v>
      </c>
      <c r="IL162" s="859">
        <v>4335</v>
      </c>
      <c r="IM162" s="860">
        <v>4152</v>
      </c>
      <c r="IN162" s="168"/>
    </row>
    <row r="163" spans="1:248" s="8" customFormat="1">
      <c r="IN163" s="168"/>
    </row>
    <row r="164" spans="1:248" s="8" customFormat="1">
      <c r="IN164" s="168"/>
    </row>
    <row r="165" spans="1:248" s="8" customFormat="1">
      <c r="IN165" s="168"/>
    </row>
    <row r="166" spans="1:248">
      <c r="GK166" s="205"/>
      <c r="GL166" s="205"/>
      <c r="GM166" s="205"/>
      <c r="GN166" s="205"/>
      <c r="GO166" s="205"/>
      <c r="GP166" s="205"/>
      <c r="GQ166" s="205"/>
      <c r="IN166" s="168"/>
    </row>
    <row r="167" spans="1:248" s="168" customFormat="1">
      <c r="AF167" s="938"/>
      <c r="AG167" s="938"/>
      <c r="AH167" s="938"/>
      <c r="AI167" s="938"/>
      <c r="AJ167" s="938"/>
      <c r="AK167" s="938"/>
      <c r="AL167" s="938"/>
      <c r="AM167" s="938"/>
      <c r="AN167" s="938"/>
      <c r="AO167" s="938"/>
      <c r="AP167" s="938"/>
      <c r="AQ167" s="938"/>
      <c r="AR167" s="938"/>
      <c r="AS167" s="938"/>
      <c r="AT167" s="938"/>
      <c r="AU167" s="938"/>
      <c r="AV167" s="938"/>
      <c r="AW167" s="938"/>
      <c r="AX167" s="938"/>
      <c r="AY167" s="938"/>
      <c r="AZ167" s="938"/>
      <c r="BA167" s="938"/>
      <c r="BB167" s="938"/>
      <c r="BC167" s="938"/>
      <c r="BD167" s="938"/>
      <c r="BE167" s="938"/>
      <c r="BF167" s="938"/>
      <c r="BG167" s="938"/>
      <c r="BH167" s="938"/>
      <c r="BI167" s="938"/>
      <c r="BJ167" s="938"/>
      <c r="BK167" s="938"/>
      <c r="BL167" s="938"/>
      <c r="BM167" s="938"/>
      <c r="BN167" s="938"/>
      <c r="BO167" s="938"/>
      <c r="BP167" s="938"/>
      <c r="BQ167" s="938"/>
      <c r="BR167" s="938"/>
      <c r="BS167" s="938"/>
      <c r="BT167" s="938"/>
      <c r="BU167" s="938"/>
      <c r="BV167" s="938"/>
      <c r="BW167" s="938"/>
      <c r="BX167" s="938"/>
      <c r="BY167" s="938"/>
      <c r="BZ167" s="938"/>
      <c r="CA167" s="938"/>
      <c r="CB167" s="938"/>
      <c r="CC167" s="938"/>
      <c r="CD167" s="938"/>
      <c r="CE167" s="938"/>
      <c r="CF167" s="938"/>
      <c r="CG167" s="938"/>
      <c r="CH167" s="938"/>
      <c r="CI167" s="938"/>
      <c r="CJ167" s="938"/>
      <c r="CK167" s="938"/>
      <c r="CL167" s="938"/>
      <c r="CM167" s="938"/>
      <c r="CN167" s="938"/>
      <c r="CO167" s="938"/>
      <c r="CP167" s="938"/>
      <c r="CQ167" s="938"/>
      <c r="CR167" s="938"/>
      <c r="CS167" s="938"/>
      <c r="CT167" s="938"/>
      <c r="CU167" s="938"/>
      <c r="CV167" s="938"/>
      <c r="CW167" s="938"/>
      <c r="CX167" s="938"/>
      <c r="CY167" s="938"/>
      <c r="CZ167" s="938"/>
      <c r="DA167" s="938"/>
      <c r="DB167" s="938"/>
      <c r="DC167" s="938"/>
      <c r="DD167" s="938"/>
      <c r="DE167" s="938"/>
      <c r="DF167" s="938"/>
      <c r="DG167" s="938"/>
      <c r="DH167" s="938"/>
      <c r="DI167" s="938"/>
      <c r="DJ167" s="938"/>
      <c r="DK167" s="938"/>
      <c r="DL167" s="938"/>
      <c r="DM167" s="938"/>
      <c r="DN167" s="938"/>
      <c r="DO167" s="938"/>
      <c r="DP167" s="938"/>
      <c r="DQ167" s="938"/>
      <c r="DR167" s="938"/>
      <c r="DS167" s="938"/>
      <c r="DT167" s="938"/>
      <c r="DU167" s="938"/>
      <c r="DV167" s="938"/>
      <c r="DW167" s="938"/>
      <c r="DX167" s="938"/>
      <c r="DY167" s="938"/>
      <c r="DZ167" s="938"/>
      <c r="EA167" s="938"/>
      <c r="EB167" s="938"/>
      <c r="EC167" s="938"/>
      <c r="ED167" s="938"/>
      <c r="EE167" s="938"/>
      <c r="EF167" s="938"/>
      <c r="EG167" s="938"/>
      <c r="EH167" s="938"/>
      <c r="EI167" s="938"/>
      <c r="EJ167" s="938"/>
      <c r="EK167" s="938"/>
      <c r="EL167" s="938"/>
      <c r="EM167" s="938"/>
      <c r="EN167" s="938"/>
      <c r="EO167" s="938"/>
      <c r="EP167" s="938"/>
      <c r="EQ167" s="938"/>
      <c r="ER167" s="938"/>
      <c r="ES167" s="938"/>
      <c r="ET167" s="938"/>
      <c r="EU167" s="938"/>
      <c r="EV167" s="938"/>
      <c r="EW167" s="938"/>
      <c r="EX167" s="938"/>
      <c r="EY167" s="938"/>
      <c r="EZ167" s="938"/>
      <c r="FA167" s="938"/>
      <c r="FB167" s="938"/>
      <c r="FC167" s="938"/>
      <c r="FD167" s="938"/>
      <c r="FE167" s="938"/>
      <c r="FF167" s="938"/>
      <c r="FG167" s="938"/>
      <c r="FH167" s="938"/>
      <c r="FI167" s="938"/>
      <c r="FJ167" s="938"/>
      <c r="FK167" s="938"/>
      <c r="FL167" s="938"/>
      <c r="FM167" s="938"/>
      <c r="FN167" s="938"/>
      <c r="FO167" s="938"/>
      <c r="FP167" s="938"/>
      <c r="FQ167" s="938"/>
      <c r="FR167" s="938"/>
      <c r="FS167" s="938"/>
      <c r="FT167" s="938"/>
      <c r="FU167" s="938"/>
      <c r="FV167" s="938"/>
      <c r="FW167" s="938"/>
      <c r="FX167" s="938"/>
      <c r="FY167" s="938"/>
      <c r="FZ167" s="938"/>
      <c r="GA167" s="938"/>
      <c r="GB167" s="938"/>
      <c r="GC167" s="938"/>
      <c r="GD167" s="938"/>
      <c r="GE167" s="938"/>
      <c r="GK167" s="938"/>
    </row>
    <row r="168" spans="1:248" s="168" customFormat="1"/>
    <row r="169" spans="1:248" s="168" customFormat="1">
      <c r="AF169" s="938"/>
      <c r="AG169" s="938"/>
      <c r="AH169" s="938"/>
      <c r="AI169" s="938"/>
    </row>
    <row r="170" spans="1:248" s="168" customFormat="1"/>
    <row r="171" spans="1:248" s="168" customFormat="1"/>
    <row r="172" spans="1:248" s="168" customFormat="1"/>
    <row r="173" spans="1:248" s="168" customFormat="1"/>
    <row r="174" spans="1:248" s="168" customFormat="1"/>
    <row r="175" spans="1:248" s="168" customFormat="1"/>
    <row r="176" spans="1:248" s="168" customFormat="1"/>
    <row r="177" spans="248:248" s="168" customFormat="1"/>
    <row r="178" spans="248:248">
      <c r="IN178" s="168"/>
    </row>
    <row r="179" spans="248:248">
      <c r="IN179" s="168"/>
    </row>
    <row r="180" spans="248:248">
      <c r="IN180" s="168"/>
    </row>
    <row r="181" spans="248:248">
      <c r="IN181" s="168"/>
    </row>
    <row r="182" spans="248:248">
      <c r="IN182" s="168"/>
    </row>
    <row r="183" spans="248:248">
      <c r="IN183" s="168"/>
    </row>
    <row r="184" spans="248:248">
      <c r="IN184" s="168"/>
    </row>
    <row r="185" spans="248:248">
      <c r="IN185" s="168"/>
    </row>
    <row r="186" spans="248:248">
      <c r="IN186" s="168"/>
    </row>
    <row r="187" spans="248:248">
      <c r="IN187" s="168"/>
    </row>
    <row r="188" spans="248:248">
      <c r="IN188" s="168"/>
    </row>
    <row r="189" spans="248:248">
      <c r="IN189" s="168"/>
    </row>
    <row r="190" spans="248:248">
      <c r="IN190" s="168"/>
    </row>
    <row r="191" spans="248:248">
      <c r="IN191" s="168"/>
    </row>
    <row r="192" spans="248:248">
      <c r="IN192" s="168"/>
    </row>
    <row r="193" spans="2:248">
      <c r="IN193" s="168"/>
    </row>
    <row r="194" spans="2:248">
      <c r="IN194" s="168"/>
    </row>
    <row r="195" spans="2:248">
      <c r="IN195" s="168"/>
    </row>
    <row r="196" spans="2:248">
      <c r="IN196" s="168"/>
    </row>
    <row r="197" spans="2:248">
      <c r="IN197" s="168"/>
    </row>
    <row r="198" spans="2:248">
      <c r="IN198" s="168"/>
    </row>
    <row r="199" spans="2:248">
      <c r="IN199" s="168"/>
    </row>
    <row r="200" spans="2:248">
      <c r="IN200" s="168"/>
    </row>
    <row r="201" spans="2:248">
      <c r="IN201" s="168"/>
    </row>
    <row r="202" spans="2:248">
      <c r="IN202" s="168"/>
    </row>
    <row r="203" spans="2:248">
      <c r="IN203" s="168"/>
    </row>
    <row r="204" spans="2:248">
      <c r="B204" s="1064"/>
      <c r="C204" s="1064"/>
      <c r="D204" s="1064"/>
      <c r="E204" s="1064"/>
      <c r="F204" s="1064"/>
      <c r="G204" s="1064"/>
      <c r="H204" s="1064"/>
      <c r="I204" s="1064"/>
      <c r="J204" s="1064"/>
      <c r="K204" s="1064"/>
      <c r="L204" s="1064"/>
      <c r="M204" s="1064"/>
      <c r="N204" s="1064"/>
      <c r="O204" s="1064"/>
      <c r="IN204" s="168"/>
    </row>
    <row r="205" spans="2:248">
      <c r="IN205" s="168"/>
    </row>
    <row r="206" spans="2:248">
      <c r="IN206" s="168"/>
    </row>
    <row r="207" spans="2:248">
      <c r="IN207" s="168"/>
    </row>
    <row r="208" spans="2:248">
      <c r="IN208" s="168"/>
    </row>
    <row r="209" spans="1:248">
      <c r="IN209" s="168"/>
    </row>
    <row r="210" spans="1:248">
      <c r="IN210" s="168"/>
    </row>
    <row r="211" spans="1:248">
      <c r="IN211" s="168"/>
    </row>
    <row r="212" spans="1:248">
      <c r="IN212" s="168"/>
    </row>
    <row r="213" spans="1:248">
      <c r="IN213" s="168"/>
    </row>
    <row r="214" spans="1:248">
      <c r="IN214" s="168"/>
    </row>
    <row r="215" spans="1:248">
      <c r="IN215" s="168"/>
    </row>
    <row r="216" spans="1:248">
      <c r="IN216" s="168"/>
    </row>
    <row r="217" spans="1:248">
      <c r="IN217" s="168"/>
    </row>
    <row r="218" spans="1:248">
      <c r="B218" s="202"/>
      <c r="IN218" s="168"/>
    </row>
    <row r="219" spans="1:248">
      <c r="B219" s="202"/>
      <c r="IN219" s="168"/>
    </row>
    <row r="220" spans="1:248">
      <c r="B220" s="202"/>
      <c r="IN220" s="168"/>
    </row>
    <row r="221" spans="1:248">
      <c r="B221" s="202"/>
      <c r="IN221" s="168"/>
    </row>
    <row r="222" spans="1:248">
      <c r="B222" s="202"/>
      <c r="IN222" s="168"/>
    </row>
    <row r="223" spans="1:248">
      <c r="A223" s="202"/>
      <c r="B223" s="202"/>
      <c r="IN223" s="168"/>
    </row>
    <row r="224" spans="1:248">
      <c r="A224" s="202"/>
      <c r="B224" s="202"/>
    </row>
    <row r="225" spans="1:2">
      <c r="A225" s="202"/>
      <c r="B225" s="202"/>
    </row>
    <row r="226" spans="1:2">
      <c r="A226" s="202"/>
      <c r="B226" s="202"/>
    </row>
    <row r="227" spans="1:2">
      <c r="A227" s="202"/>
      <c r="B227" s="202"/>
    </row>
    <row r="228" spans="1:2">
      <c r="A228" s="202"/>
      <c r="B228" s="202"/>
    </row>
    <row r="229" spans="1:2">
      <c r="A229" s="202"/>
      <c r="B229" s="202"/>
    </row>
  </sheetData>
  <mergeCells count="1">
    <mergeCell ref="B204:O204"/>
  </mergeCells>
  <pageMargins left="0.7" right="0.7" top="0.75" bottom="0.75" header="0.3" footer="0.3"/>
  <pageSetup paperSize="9" orientation="portrait" r:id="rId1"/>
  <ignoredErrors>
    <ignoredError sqref="HV84:HZ8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P156"/>
  <sheetViews>
    <sheetView showGridLines="0" zoomScaleNormal="100" workbookViewId="0">
      <pane xSplit="1" topLeftCell="B1" activePane="topRight" state="frozen"/>
      <selection pane="topRight" activeCell="B60" sqref="B60"/>
    </sheetView>
  </sheetViews>
  <sheetFormatPr defaultRowHeight="15"/>
  <cols>
    <col min="1" max="1" width="63" customWidth="1"/>
    <col min="2" max="3" width="10.28515625" bestFit="1" customWidth="1"/>
    <col min="4" max="24" width="9.7109375" bestFit="1" customWidth="1"/>
    <col min="25" max="53" width="10" bestFit="1" customWidth="1"/>
    <col min="54" max="58" width="9.7109375" bestFit="1" customWidth="1"/>
    <col min="59" max="71" width="11" bestFit="1" customWidth="1"/>
    <col min="72" max="125" width="9.7109375" bestFit="1" customWidth="1"/>
    <col min="126" max="126" width="9.5703125" style="298" bestFit="1" customWidth="1"/>
    <col min="127" max="127" width="9.7109375" bestFit="1" customWidth="1"/>
    <col min="128" max="139" width="9.28515625" style="683" bestFit="1" customWidth="1"/>
    <col min="140" max="145" width="10.7109375" bestFit="1" customWidth="1"/>
    <col min="146" max="510" width="9.28515625" bestFit="1" customWidth="1"/>
  </cols>
  <sheetData>
    <row r="1" spans="1:510" s="774" customFormat="1" ht="11.25">
      <c r="A1" s="774" t="s">
        <v>187</v>
      </c>
      <c r="B1" s="774">
        <f>MONTH(B7)</f>
        <v>1</v>
      </c>
      <c r="C1" s="774">
        <f t="shared" ref="C1:BN1" si="0">MONTH(C7)</f>
        <v>2</v>
      </c>
      <c r="D1" s="774">
        <f t="shared" si="0"/>
        <v>3</v>
      </c>
      <c r="E1" s="774">
        <f t="shared" si="0"/>
        <v>4</v>
      </c>
      <c r="F1" s="774">
        <f t="shared" si="0"/>
        <v>5</v>
      </c>
      <c r="G1" s="774">
        <f t="shared" si="0"/>
        <v>6</v>
      </c>
      <c r="H1" s="774">
        <f t="shared" si="0"/>
        <v>7</v>
      </c>
      <c r="I1" s="774">
        <f t="shared" si="0"/>
        <v>8</v>
      </c>
      <c r="J1" s="774">
        <f t="shared" si="0"/>
        <v>9</v>
      </c>
      <c r="K1" s="774">
        <f t="shared" si="0"/>
        <v>10</v>
      </c>
      <c r="L1" s="774">
        <f t="shared" si="0"/>
        <v>11</v>
      </c>
      <c r="M1" s="774">
        <f t="shared" si="0"/>
        <v>12</v>
      </c>
      <c r="N1" s="774">
        <f t="shared" si="0"/>
        <v>1</v>
      </c>
      <c r="O1" s="774">
        <f t="shared" si="0"/>
        <v>2</v>
      </c>
      <c r="P1" s="774">
        <f t="shared" si="0"/>
        <v>3</v>
      </c>
      <c r="Q1" s="774">
        <f t="shared" si="0"/>
        <v>4</v>
      </c>
      <c r="R1" s="774">
        <f t="shared" si="0"/>
        <v>5</v>
      </c>
      <c r="S1" s="774">
        <f t="shared" si="0"/>
        <v>6</v>
      </c>
      <c r="T1" s="774">
        <f t="shared" si="0"/>
        <v>7</v>
      </c>
      <c r="U1" s="774">
        <f t="shared" si="0"/>
        <v>8</v>
      </c>
      <c r="V1" s="774">
        <f t="shared" si="0"/>
        <v>9</v>
      </c>
      <c r="W1" s="774">
        <f t="shared" si="0"/>
        <v>10</v>
      </c>
      <c r="X1" s="774">
        <f t="shared" si="0"/>
        <v>11</v>
      </c>
      <c r="Y1" s="774">
        <f t="shared" si="0"/>
        <v>12</v>
      </c>
      <c r="Z1" s="774">
        <f t="shared" si="0"/>
        <v>1</v>
      </c>
      <c r="AA1" s="774">
        <f t="shared" si="0"/>
        <v>2</v>
      </c>
      <c r="AB1" s="774">
        <f t="shared" si="0"/>
        <v>3</v>
      </c>
      <c r="AC1" s="774">
        <f t="shared" si="0"/>
        <v>4</v>
      </c>
      <c r="AD1" s="774">
        <f t="shared" si="0"/>
        <v>5</v>
      </c>
      <c r="AE1" s="774">
        <f t="shared" si="0"/>
        <v>6</v>
      </c>
      <c r="AF1" s="774">
        <f t="shared" si="0"/>
        <v>7</v>
      </c>
      <c r="AG1" s="774">
        <f t="shared" si="0"/>
        <v>8</v>
      </c>
      <c r="AH1" s="774">
        <f t="shared" si="0"/>
        <v>9</v>
      </c>
      <c r="AI1" s="774">
        <f t="shared" si="0"/>
        <v>10</v>
      </c>
      <c r="AJ1" s="774">
        <f t="shared" si="0"/>
        <v>11</v>
      </c>
      <c r="AK1" s="774">
        <f t="shared" si="0"/>
        <v>12</v>
      </c>
      <c r="AL1" s="774">
        <f t="shared" si="0"/>
        <v>1</v>
      </c>
      <c r="AM1" s="774">
        <f t="shared" si="0"/>
        <v>2</v>
      </c>
      <c r="AN1" s="774">
        <f t="shared" si="0"/>
        <v>3</v>
      </c>
      <c r="AO1" s="774">
        <f t="shared" si="0"/>
        <v>4</v>
      </c>
      <c r="AP1" s="774">
        <f t="shared" si="0"/>
        <v>5</v>
      </c>
      <c r="AQ1" s="774">
        <f t="shared" si="0"/>
        <v>6</v>
      </c>
      <c r="AR1" s="774">
        <f t="shared" si="0"/>
        <v>7</v>
      </c>
      <c r="AS1" s="774">
        <f t="shared" si="0"/>
        <v>8</v>
      </c>
      <c r="AT1" s="774">
        <f t="shared" si="0"/>
        <v>9</v>
      </c>
      <c r="AU1" s="774">
        <f t="shared" si="0"/>
        <v>10</v>
      </c>
      <c r="AV1" s="774">
        <f t="shared" si="0"/>
        <v>11</v>
      </c>
      <c r="AW1" s="774">
        <f t="shared" si="0"/>
        <v>12</v>
      </c>
      <c r="AX1" s="774">
        <f t="shared" si="0"/>
        <v>1</v>
      </c>
      <c r="AY1" s="774">
        <f t="shared" si="0"/>
        <v>2</v>
      </c>
      <c r="AZ1" s="774">
        <f t="shared" si="0"/>
        <v>3</v>
      </c>
      <c r="BA1" s="774">
        <f t="shared" si="0"/>
        <v>4</v>
      </c>
      <c r="BB1" s="774">
        <f t="shared" si="0"/>
        <v>5</v>
      </c>
      <c r="BC1" s="774">
        <f t="shared" si="0"/>
        <v>6</v>
      </c>
      <c r="BD1" s="774">
        <f t="shared" si="0"/>
        <v>7</v>
      </c>
      <c r="BE1" s="774">
        <f t="shared" si="0"/>
        <v>8</v>
      </c>
      <c r="BF1" s="774">
        <f t="shared" si="0"/>
        <v>9</v>
      </c>
      <c r="BG1" s="774">
        <f t="shared" si="0"/>
        <v>10</v>
      </c>
      <c r="BH1" s="774">
        <f t="shared" si="0"/>
        <v>11</v>
      </c>
      <c r="BI1" s="774">
        <f t="shared" si="0"/>
        <v>12</v>
      </c>
      <c r="BJ1" s="774">
        <f t="shared" si="0"/>
        <v>1</v>
      </c>
      <c r="BK1" s="774">
        <f t="shared" si="0"/>
        <v>2</v>
      </c>
      <c r="BL1" s="774">
        <f t="shared" si="0"/>
        <v>3</v>
      </c>
      <c r="BM1" s="774">
        <f t="shared" si="0"/>
        <v>4</v>
      </c>
      <c r="BN1" s="774">
        <f t="shared" si="0"/>
        <v>5</v>
      </c>
      <c r="BO1" s="774">
        <f t="shared" ref="BO1:DW1" si="1">MONTH(BO7)</f>
        <v>6</v>
      </c>
      <c r="BP1" s="774">
        <f t="shared" si="1"/>
        <v>7</v>
      </c>
      <c r="BQ1" s="774">
        <f t="shared" si="1"/>
        <v>8</v>
      </c>
      <c r="BR1" s="774">
        <f t="shared" si="1"/>
        <v>9</v>
      </c>
      <c r="BS1" s="774">
        <f t="shared" si="1"/>
        <v>10</v>
      </c>
      <c r="BT1" s="774">
        <f t="shared" si="1"/>
        <v>11</v>
      </c>
      <c r="BU1" s="774">
        <f t="shared" si="1"/>
        <v>12</v>
      </c>
      <c r="BV1" s="774">
        <f t="shared" si="1"/>
        <v>1</v>
      </c>
      <c r="BW1" s="774">
        <f t="shared" si="1"/>
        <v>2</v>
      </c>
      <c r="BX1" s="774">
        <f t="shared" si="1"/>
        <v>3</v>
      </c>
      <c r="BY1" s="774">
        <f t="shared" si="1"/>
        <v>4</v>
      </c>
      <c r="BZ1" s="774">
        <f t="shared" si="1"/>
        <v>5</v>
      </c>
      <c r="CA1" s="774">
        <f t="shared" si="1"/>
        <v>6</v>
      </c>
      <c r="CB1" s="774">
        <f t="shared" si="1"/>
        <v>7</v>
      </c>
      <c r="CC1" s="774">
        <f t="shared" si="1"/>
        <v>8</v>
      </c>
      <c r="CD1" s="774">
        <f t="shared" si="1"/>
        <v>9</v>
      </c>
      <c r="CE1" s="774">
        <f t="shared" si="1"/>
        <v>10</v>
      </c>
      <c r="CF1" s="774">
        <f t="shared" si="1"/>
        <v>11</v>
      </c>
      <c r="CG1" s="774">
        <f t="shared" si="1"/>
        <v>12</v>
      </c>
      <c r="CH1" s="774">
        <f t="shared" si="1"/>
        <v>1</v>
      </c>
      <c r="CI1" s="774">
        <f t="shared" si="1"/>
        <v>2</v>
      </c>
      <c r="CJ1" s="774">
        <f t="shared" si="1"/>
        <v>3</v>
      </c>
      <c r="CK1" s="774">
        <f t="shared" si="1"/>
        <v>4</v>
      </c>
      <c r="CL1" s="774">
        <f t="shared" si="1"/>
        <v>5</v>
      </c>
      <c r="CM1" s="774">
        <f t="shared" si="1"/>
        <v>6</v>
      </c>
      <c r="CN1" s="774">
        <f t="shared" si="1"/>
        <v>7</v>
      </c>
      <c r="CO1" s="774">
        <f t="shared" si="1"/>
        <v>8</v>
      </c>
      <c r="CP1" s="774">
        <f t="shared" si="1"/>
        <v>9</v>
      </c>
      <c r="CQ1" s="774">
        <f t="shared" si="1"/>
        <v>10</v>
      </c>
      <c r="CR1" s="774">
        <f t="shared" si="1"/>
        <v>11</v>
      </c>
      <c r="CS1" s="774">
        <f t="shared" si="1"/>
        <v>12</v>
      </c>
      <c r="CT1" s="774">
        <f t="shared" si="1"/>
        <v>1</v>
      </c>
      <c r="CU1" s="774">
        <f t="shared" si="1"/>
        <v>2</v>
      </c>
      <c r="CV1" s="774">
        <f t="shared" si="1"/>
        <v>3</v>
      </c>
      <c r="CW1" s="774">
        <f t="shared" si="1"/>
        <v>4</v>
      </c>
      <c r="CX1" s="774">
        <f t="shared" si="1"/>
        <v>5</v>
      </c>
      <c r="CY1" s="774">
        <f t="shared" si="1"/>
        <v>6</v>
      </c>
      <c r="CZ1" s="774">
        <f t="shared" si="1"/>
        <v>7</v>
      </c>
      <c r="DA1" s="774">
        <f t="shared" si="1"/>
        <v>8</v>
      </c>
      <c r="DB1" s="774">
        <f t="shared" si="1"/>
        <v>9</v>
      </c>
      <c r="DC1" s="774">
        <f t="shared" si="1"/>
        <v>10</v>
      </c>
      <c r="DD1" s="774">
        <f t="shared" si="1"/>
        <v>11</v>
      </c>
      <c r="DE1" s="774">
        <f t="shared" si="1"/>
        <v>12</v>
      </c>
      <c r="DF1" s="774">
        <f t="shared" si="1"/>
        <v>1</v>
      </c>
      <c r="DG1" s="774">
        <f t="shared" si="1"/>
        <v>2</v>
      </c>
      <c r="DH1" s="774">
        <f t="shared" si="1"/>
        <v>3</v>
      </c>
      <c r="DI1" s="774">
        <f t="shared" si="1"/>
        <v>4</v>
      </c>
      <c r="DJ1" s="774">
        <f t="shared" si="1"/>
        <v>5</v>
      </c>
      <c r="DK1" s="774">
        <f t="shared" si="1"/>
        <v>6</v>
      </c>
      <c r="DL1" s="774">
        <f t="shared" si="1"/>
        <v>7</v>
      </c>
      <c r="DM1" s="774">
        <f t="shared" si="1"/>
        <v>8</v>
      </c>
      <c r="DN1" s="774">
        <f t="shared" si="1"/>
        <v>9</v>
      </c>
      <c r="DO1" s="774">
        <f t="shared" si="1"/>
        <v>10</v>
      </c>
      <c r="DP1" s="774">
        <f t="shared" si="1"/>
        <v>11</v>
      </c>
      <c r="DQ1" s="774">
        <f t="shared" si="1"/>
        <v>12</v>
      </c>
      <c r="DR1" s="774">
        <f t="shared" si="1"/>
        <v>1</v>
      </c>
      <c r="DS1" s="774">
        <f t="shared" si="1"/>
        <v>2</v>
      </c>
      <c r="DT1" s="774">
        <f t="shared" si="1"/>
        <v>3</v>
      </c>
      <c r="DU1" s="774">
        <f t="shared" si="1"/>
        <v>4</v>
      </c>
      <c r="DV1" s="774">
        <f t="shared" si="1"/>
        <v>5</v>
      </c>
      <c r="DW1" s="774">
        <f t="shared" si="1"/>
        <v>6</v>
      </c>
      <c r="DX1" s="774">
        <f t="shared" ref="DX1:GI1" si="2">MONTH(DX7)</f>
        <v>7</v>
      </c>
      <c r="DY1" s="774">
        <f t="shared" si="2"/>
        <v>8</v>
      </c>
      <c r="DZ1" s="774">
        <f t="shared" si="2"/>
        <v>9</v>
      </c>
      <c r="EA1" s="774">
        <f t="shared" si="2"/>
        <v>10</v>
      </c>
      <c r="EB1" s="774">
        <f t="shared" si="2"/>
        <v>11</v>
      </c>
      <c r="EC1" s="774">
        <f t="shared" si="2"/>
        <v>12</v>
      </c>
      <c r="ED1" s="774">
        <f t="shared" si="2"/>
        <v>1</v>
      </c>
      <c r="EE1" s="774">
        <f t="shared" si="2"/>
        <v>2</v>
      </c>
      <c r="EF1" s="774">
        <f t="shared" si="2"/>
        <v>3</v>
      </c>
      <c r="EG1" s="774">
        <f t="shared" si="2"/>
        <v>4</v>
      </c>
      <c r="EH1" s="774">
        <f t="shared" si="2"/>
        <v>5</v>
      </c>
      <c r="EI1" s="774">
        <f t="shared" si="2"/>
        <v>6</v>
      </c>
      <c r="EJ1" s="774">
        <f t="shared" si="2"/>
        <v>7</v>
      </c>
      <c r="EK1" s="774">
        <f t="shared" si="2"/>
        <v>8</v>
      </c>
      <c r="EL1" s="774">
        <f t="shared" si="2"/>
        <v>9</v>
      </c>
      <c r="EM1" s="774">
        <f t="shared" si="2"/>
        <v>10</v>
      </c>
      <c r="EN1" s="774">
        <f t="shared" si="2"/>
        <v>11</v>
      </c>
      <c r="EO1" s="774">
        <f t="shared" si="2"/>
        <v>12</v>
      </c>
      <c r="EP1" s="774">
        <f t="shared" si="2"/>
        <v>1</v>
      </c>
      <c r="EQ1" s="774">
        <f t="shared" si="2"/>
        <v>1</v>
      </c>
      <c r="ER1" s="774">
        <f t="shared" si="2"/>
        <v>1</v>
      </c>
      <c r="ES1" s="774">
        <f t="shared" si="2"/>
        <v>1</v>
      </c>
      <c r="ET1" s="774">
        <f t="shared" si="2"/>
        <v>1</v>
      </c>
      <c r="EU1" s="774">
        <f t="shared" si="2"/>
        <v>1</v>
      </c>
      <c r="EV1" s="774">
        <f t="shared" si="2"/>
        <v>1</v>
      </c>
      <c r="EW1" s="774">
        <f t="shared" si="2"/>
        <v>1</v>
      </c>
      <c r="EX1" s="774">
        <f t="shared" si="2"/>
        <v>1</v>
      </c>
      <c r="EY1" s="774">
        <f t="shared" si="2"/>
        <v>1</v>
      </c>
      <c r="EZ1" s="774">
        <f t="shared" si="2"/>
        <v>1</v>
      </c>
      <c r="FA1" s="774">
        <f t="shared" si="2"/>
        <v>1</v>
      </c>
      <c r="FB1" s="774">
        <f t="shared" si="2"/>
        <v>1</v>
      </c>
      <c r="FC1" s="774">
        <f t="shared" si="2"/>
        <v>1</v>
      </c>
      <c r="FD1" s="774">
        <f t="shared" si="2"/>
        <v>1</v>
      </c>
      <c r="FE1" s="774">
        <f t="shared" si="2"/>
        <v>1</v>
      </c>
      <c r="FF1" s="774">
        <f t="shared" si="2"/>
        <v>1</v>
      </c>
      <c r="FG1" s="774">
        <f t="shared" si="2"/>
        <v>1</v>
      </c>
      <c r="FH1" s="774">
        <f t="shared" si="2"/>
        <v>1</v>
      </c>
      <c r="FI1" s="774">
        <f t="shared" si="2"/>
        <v>1</v>
      </c>
      <c r="FJ1" s="774">
        <f t="shared" si="2"/>
        <v>1</v>
      </c>
      <c r="FK1" s="774">
        <f t="shared" si="2"/>
        <v>1</v>
      </c>
      <c r="FL1" s="774">
        <f t="shared" si="2"/>
        <v>1</v>
      </c>
      <c r="FM1" s="774">
        <f t="shared" si="2"/>
        <v>1</v>
      </c>
      <c r="FN1" s="774">
        <f t="shared" si="2"/>
        <v>1</v>
      </c>
      <c r="FO1" s="774">
        <f t="shared" si="2"/>
        <v>1</v>
      </c>
      <c r="FP1" s="774">
        <f t="shared" si="2"/>
        <v>1</v>
      </c>
      <c r="FQ1" s="774">
        <f t="shared" si="2"/>
        <v>1</v>
      </c>
      <c r="FR1" s="774">
        <f t="shared" si="2"/>
        <v>1</v>
      </c>
      <c r="FS1" s="774">
        <f t="shared" si="2"/>
        <v>1</v>
      </c>
      <c r="FT1" s="774">
        <f t="shared" si="2"/>
        <v>1</v>
      </c>
      <c r="FU1" s="774">
        <f t="shared" si="2"/>
        <v>1</v>
      </c>
      <c r="FV1" s="774">
        <f t="shared" si="2"/>
        <v>1</v>
      </c>
      <c r="FW1" s="774">
        <f t="shared" si="2"/>
        <v>1</v>
      </c>
      <c r="FX1" s="774">
        <f t="shared" si="2"/>
        <v>1</v>
      </c>
      <c r="FY1" s="774">
        <f t="shared" si="2"/>
        <v>1</v>
      </c>
      <c r="FZ1" s="774">
        <f t="shared" si="2"/>
        <v>1</v>
      </c>
      <c r="GA1" s="774">
        <f t="shared" si="2"/>
        <v>1</v>
      </c>
      <c r="GB1" s="774">
        <f t="shared" si="2"/>
        <v>1</v>
      </c>
      <c r="GC1" s="774">
        <f t="shared" si="2"/>
        <v>1</v>
      </c>
      <c r="GD1" s="774">
        <f t="shared" si="2"/>
        <v>1</v>
      </c>
      <c r="GE1" s="774">
        <f t="shared" si="2"/>
        <v>1</v>
      </c>
      <c r="GF1" s="774">
        <f t="shared" si="2"/>
        <v>1</v>
      </c>
      <c r="GG1" s="774">
        <f t="shared" si="2"/>
        <v>1</v>
      </c>
      <c r="GH1" s="774">
        <f t="shared" si="2"/>
        <v>1</v>
      </c>
      <c r="GI1" s="774">
        <f t="shared" si="2"/>
        <v>1</v>
      </c>
      <c r="GJ1" s="774">
        <f t="shared" ref="GJ1:IU1" si="3">MONTH(GJ7)</f>
        <v>1</v>
      </c>
      <c r="GK1" s="774">
        <f t="shared" si="3"/>
        <v>1</v>
      </c>
      <c r="GL1" s="774">
        <f t="shared" si="3"/>
        <v>1</v>
      </c>
      <c r="GM1" s="774">
        <f t="shared" si="3"/>
        <v>1</v>
      </c>
      <c r="GN1" s="774">
        <f t="shared" si="3"/>
        <v>1</v>
      </c>
      <c r="GO1" s="774">
        <f t="shared" si="3"/>
        <v>1</v>
      </c>
      <c r="GP1" s="774">
        <f t="shared" si="3"/>
        <v>1</v>
      </c>
      <c r="GQ1" s="774">
        <f t="shared" si="3"/>
        <v>1</v>
      </c>
      <c r="GR1" s="774">
        <f t="shared" si="3"/>
        <v>1</v>
      </c>
      <c r="GS1" s="774">
        <f t="shared" si="3"/>
        <v>1</v>
      </c>
      <c r="GT1" s="774">
        <f t="shared" si="3"/>
        <v>1</v>
      </c>
      <c r="GU1" s="774">
        <f t="shared" si="3"/>
        <v>1</v>
      </c>
      <c r="GV1" s="774">
        <f t="shared" si="3"/>
        <v>1</v>
      </c>
      <c r="GW1" s="774">
        <f t="shared" si="3"/>
        <v>1</v>
      </c>
      <c r="GX1" s="774">
        <f t="shared" si="3"/>
        <v>1</v>
      </c>
      <c r="GY1" s="774">
        <f t="shared" si="3"/>
        <v>1</v>
      </c>
      <c r="GZ1" s="774">
        <f t="shared" si="3"/>
        <v>1</v>
      </c>
      <c r="HA1" s="774">
        <f t="shared" si="3"/>
        <v>1</v>
      </c>
      <c r="HB1" s="774">
        <f t="shared" si="3"/>
        <v>1</v>
      </c>
      <c r="HC1" s="774">
        <f t="shared" si="3"/>
        <v>1</v>
      </c>
      <c r="HD1" s="774">
        <f t="shared" si="3"/>
        <v>1</v>
      </c>
      <c r="HE1" s="774">
        <f t="shared" si="3"/>
        <v>1</v>
      </c>
      <c r="HF1" s="774">
        <f t="shared" si="3"/>
        <v>1</v>
      </c>
      <c r="HG1" s="774">
        <f t="shared" si="3"/>
        <v>1</v>
      </c>
      <c r="HH1" s="774">
        <f t="shared" si="3"/>
        <v>1</v>
      </c>
      <c r="HI1" s="774">
        <f t="shared" si="3"/>
        <v>1</v>
      </c>
      <c r="HJ1" s="774">
        <f t="shared" si="3"/>
        <v>1</v>
      </c>
      <c r="HK1" s="774">
        <f t="shared" si="3"/>
        <v>1</v>
      </c>
      <c r="HL1" s="774">
        <f t="shared" si="3"/>
        <v>1</v>
      </c>
      <c r="HM1" s="774">
        <f t="shared" si="3"/>
        <v>1</v>
      </c>
      <c r="HN1" s="774">
        <f t="shared" si="3"/>
        <v>1</v>
      </c>
      <c r="HO1" s="774">
        <f t="shared" si="3"/>
        <v>1</v>
      </c>
      <c r="HP1" s="774">
        <f t="shared" si="3"/>
        <v>1</v>
      </c>
      <c r="HQ1" s="774">
        <f t="shared" si="3"/>
        <v>1</v>
      </c>
      <c r="HR1" s="774">
        <f t="shared" si="3"/>
        <v>1</v>
      </c>
      <c r="HS1" s="774">
        <f t="shared" si="3"/>
        <v>1</v>
      </c>
      <c r="HT1" s="774">
        <f t="shared" si="3"/>
        <v>1</v>
      </c>
      <c r="HU1" s="774">
        <f t="shared" si="3"/>
        <v>1</v>
      </c>
      <c r="HV1" s="774">
        <f t="shared" si="3"/>
        <v>1</v>
      </c>
      <c r="HW1" s="774">
        <f t="shared" si="3"/>
        <v>1</v>
      </c>
      <c r="HX1" s="774">
        <f t="shared" si="3"/>
        <v>1</v>
      </c>
      <c r="HY1" s="774">
        <f t="shared" si="3"/>
        <v>1</v>
      </c>
      <c r="HZ1" s="774">
        <f t="shared" si="3"/>
        <v>1</v>
      </c>
      <c r="IA1" s="774">
        <f t="shared" si="3"/>
        <v>1</v>
      </c>
      <c r="IB1" s="774">
        <f t="shared" si="3"/>
        <v>1</v>
      </c>
      <c r="IC1" s="774">
        <f t="shared" si="3"/>
        <v>1</v>
      </c>
      <c r="ID1" s="774">
        <f t="shared" si="3"/>
        <v>1</v>
      </c>
      <c r="IE1" s="774">
        <f t="shared" si="3"/>
        <v>1</v>
      </c>
      <c r="IF1" s="774">
        <f t="shared" si="3"/>
        <v>1</v>
      </c>
      <c r="IG1" s="774">
        <f t="shared" si="3"/>
        <v>1</v>
      </c>
      <c r="IH1" s="774">
        <f t="shared" si="3"/>
        <v>1</v>
      </c>
      <c r="II1" s="774">
        <f t="shared" si="3"/>
        <v>1</v>
      </c>
      <c r="IJ1" s="774">
        <f t="shared" si="3"/>
        <v>1</v>
      </c>
      <c r="IK1" s="774">
        <f t="shared" si="3"/>
        <v>1</v>
      </c>
      <c r="IL1" s="774">
        <f t="shared" si="3"/>
        <v>1</v>
      </c>
      <c r="IM1" s="774">
        <f t="shared" si="3"/>
        <v>1</v>
      </c>
      <c r="IN1" s="774">
        <f t="shared" si="3"/>
        <v>1</v>
      </c>
      <c r="IO1" s="774">
        <f t="shared" si="3"/>
        <v>1</v>
      </c>
      <c r="IP1" s="774">
        <f t="shared" si="3"/>
        <v>1</v>
      </c>
      <c r="IQ1" s="774">
        <f t="shared" si="3"/>
        <v>1</v>
      </c>
      <c r="IR1" s="774">
        <f t="shared" si="3"/>
        <v>1</v>
      </c>
      <c r="IS1" s="774">
        <f t="shared" si="3"/>
        <v>1</v>
      </c>
      <c r="IT1" s="774">
        <f t="shared" si="3"/>
        <v>1</v>
      </c>
      <c r="IU1" s="774">
        <f t="shared" si="3"/>
        <v>1</v>
      </c>
      <c r="IV1" s="774">
        <f t="shared" ref="IV1:JD1" si="4">MONTH(IV7)</f>
        <v>1</v>
      </c>
      <c r="IW1" s="774">
        <f t="shared" si="4"/>
        <v>1</v>
      </c>
      <c r="IX1" s="774">
        <f t="shared" si="4"/>
        <v>1</v>
      </c>
      <c r="IY1" s="774">
        <f t="shared" si="4"/>
        <v>1</v>
      </c>
      <c r="IZ1" s="774">
        <f t="shared" si="4"/>
        <v>1</v>
      </c>
      <c r="JA1" s="774">
        <f t="shared" si="4"/>
        <v>1</v>
      </c>
      <c r="JB1" s="774">
        <f t="shared" si="4"/>
        <v>1</v>
      </c>
      <c r="JC1" s="774">
        <f t="shared" si="4"/>
        <v>1</v>
      </c>
      <c r="JD1" s="774">
        <f t="shared" si="4"/>
        <v>1</v>
      </c>
    </row>
    <row r="2" spans="1:510" s="774" customFormat="1" ht="11.25">
      <c r="A2" s="774" t="s">
        <v>188</v>
      </c>
      <c r="B2" s="774">
        <f>YEAR(B7)</f>
        <v>2010</v>
      </c>
      <c r="C2" s="774">
        <f t="shared" ref="C2:BN2" si="5">YEAR(C7)</f>
        <v>2010</v>
      </c>
      <c r="D2" s="774">
        <f t="shared" si="5"/>
        <v>2010</v>
      </c>
      <c r="E2" s="774">
        <f t="shared" si="5"/>
        <v>2010</v>
      </c>
      <c r="F2" s="774">
        <f t="shared" si="5"/>
        <v>2010</v>
      </c>
      <c r="G2" s="774">
        <f t="shared" si="5"/>
        <v>2010</v>
      </c>
      <c r="H2" s="774">
        <f t="shared" si="5"/>
        <v>2010</v>
      </c>
      <c r="I2" s="774">
        <f t="shared" si="5"/>
        <v>2010</v>
      </c>
      <c r="J2" s="774">
        <f t="shared" si="5"/>
        <v>2010</v>
      </c>
      <c r="K2" s="774">
        <f t="shared" si="5"/>
        <v>2010</v>
      </c>
      <c r="L2" s="774">
        <f t="shared" si="5"/>
        <v>2010</v>
      </c>
      <c r="M2" s="774">
        <f t="shared" si="5"/>
        <v>2010</v>
      </c>
      <c r="N2" s="774">
        <f t="shared" si="5"/>
        <v>2011</v>
      </c>
      <c r="O2" s="774">
        <f t="shared" si="5"/>
        <v>2011</v>
      </c>
      <c r="P2" s="774">
        <f t="shared" si="5"/>
        <v>2011</v>
      </c>
      <c r="Q2" s="774">
        <f t="shared" si="5"/>
        <v>2011</v>
      </c>
      <c r="R2" s="774">
        <f t="shared" si="5"/>
        <v>2011</v>
      </c>
      <c r="S2" s="774">
        <f t="shared" si="5"/>
        <v>2011</v>
      </c>
      <c r="T2" s="774">
        <f t="shared" si="5"/>
        <v>2011</v>
      </c>
      <c r="U2" s="774">
        <f t="shared" si="5"/>
        <v>2011</v>
      </c>
      <c r="V2" s="774">
        <f t="shared" si="5"/>
        <v>2011</v>
      </c>
      <c r="W2" s="774">
        <f t="shared" si="5"/>
        <v>2011</v>
      </c>
      <c r="X2" s="774">
        <f t="shared" si="5"/>
        <v>2011</v>
      </c>
      <c r="Y2" s="774">
        <f t="shared" si="5"/>
        <v>2011</v>
      </c>
      <c r="Z2" s="774">
        <f t="shared" si="5"/>
        <v>2012</v>
      </c>
      <c r="AA2" s="774">
        <f t="shared" si="5"/>
        <v>2012</v>
      </c>
      <c r="AB2" s="774">
        <f t="shared" si="5"/>
        <v>2012</v>
      </c>
      <c r="AC2" s="774">
        <f t="shared" si="5"/>
        <v>2012</v>
      </c>
      <c r="AD2" s="774">
        <f t="shared" si="5"/>
        <v>2012</v>
      </c>
      <c r="AE2" s="774">
        <f t="shared" si="5"/>
        <v>2012</v>
      </c>
      <c r="AF2" s="774">
        <f t="shared" si="5"/>
        <v>2012</v>
      </c>
      <c r="AG2" s="774">
        <f t="shared" si="5"/>
        <v>2012</v>
      </c>
      <c r="AH2" s="774">
        <f t="shared" si="5"/>
        <v>2012</v>
      </c>
      <c r="AI2" s="774">
        <f t="shared" si="5"/>
        <v>2012</v>
      </c>
      <c r="AJ2" s="774">
        <f t="shared" si="5"/>
        <v>2012</v>
      </c>
      <c r="AK2" s="774">
        <f t="shared" si="5"/>
        <v>2012</v>
      </c>
      <c r="AL2" s="774">
        <f t="shared" si="5"/>
        <v>2013</v>
      </c>
      <c r="AM2" s="774">
        <f t="shared" si="5"/>
        <v>2013</v>
      </c>
      <c r="AN2" s="774">
        <f t="shared" si="5"/>
        <v>2013</v>
      </c>
      <c r="AO2" s="774">
        <f t="shared" si="5"/>
        <v>2013</v>
      </c>
      <c r="AP2" s="774">
        <f t="shared" si="5"/>
        <v>2013</v>
      </c>
      <c r="AQ2" s="774">
        <f t="shared" si="5"/>
        <v>2013</v>
      </c>
      <c r="AR2" s="774">
        <f t="shared" si="5"/>
        <v>2013</v>
      </c>
      <c r="AS2" s="774">
        <f t="shared" si="5"/>
        <v>2013</v>
      </c>
      <c r="AT2" s="774">
        <f t="shared" si="5"/>
        <v>2013</v>
      </c>
      <c r="AU2" s="774">
        <f t="shared" si="5"/>
        <v>2013</v>
      </c>
      <c r="AV2" s="774">
        <f t="shared" si="5"/>
        <v>2013</v>
      </c>
      <c r="AW2" s="774">
        <f t="shared" si="5"/>
        <v>2013</v>
      </c>
      <c r="AX2" s="774">
        <f t="shared" si="5"/>
        <v>2014</v>
      </c>
      <c r="AY2" s="774">
        <f t="shared" si="5"/>
        <v>2014</v>
      </c>
      <c r="AZ2" s="774">
        <f t="shared" si="5"/>
        <v>2014</v>
      </c>
      <c r="BA2" s="774">
        <f t="shared" si="5"/>
        <v>2014</v>
      </c>
      <c r="BB2" s="774">
        <f t="shared" si="5"/>
        <v>2014</v>
      </c>
      <c r="BC2" s="774">
        <f t="shared" si="5"/>
        <v>2014</v>
      </c>
      <c r="BD2" s="774">
        <f t="shared" si="5"/>
        <v>2014</v>
      </c>
      <c r="BE2" s="774">
        <f t="shared" si="5"/>
        <v>2014</v>
      </c>
      <c r="BF2" s="774">
        <f t="shared" si="5"/>
        <v>2014</v>
      </c>
      <c r="BG2" s="774">
        <f t="shared" si="5"/>
        <v>2014</v>
      </c>
      <c r="BH2" s="774">
        <f t="shared" si="5"/>
        <v>2014</v>
      </c>
      <c r="BI2" s="774">
        <f t="shared" si="5"/>
        <v>2014</v>
      </c>
      <c r="BJ2" s="774">
        <f t="shared" si="5"/>
        <v>2015</v>
      </c>
      <c r="BK2" s="774">
        <f t="shared" si="5"/>
        <v>2015</v>
      </c>
      <c r="BL2" s="774">
        <f t="shared" si="5"/>
        <v>2015</v>
      </c>
      <c r="BM2" s="774">
        <f t="shared" si="5"/>
        <v>2015</v>
      </c>
      <c r="BN2" s="774">
        <f t="shared" si="5"/>
        <v>2015</v>
      </c>
      <c r="BO2" s="774">
        <f t="shared" ref="BO2:DW2" si="6">YEAR(BO7)</f>
        <v>2015</v>
      </c>
      <c r="BP2" s="774">
        <f t="shared" si="6"/>
        <v>2015</v>
      </c>
      <c r="BQ2" s="774">
        <f t="shared" si="6"/>
        <v>2015</v>
      </c>
      <c r="BR2" s="774">
        <f t="shared" si="6"/>
        <v>2015</v>
      </c>
      <c r="BS2" s="774">
        <f t="shared" si="6"/>
        <v>2015</v>
      </c>
      <c r="BT2" s="774">
        <f t="shared" si="6"/>
        <v>2015</v>
      </c>
      <c r="BU2" s="774">
        <f t="shared" si="6"/>
        <v>2015</v>
      </c>
      <c r="BV2" s="774">
        <f t="shared" si="6"/>
        <v>2016</v>
      </c>
      <c r="BW2" s="774">
        <f t="shared" si="6"/>
        <v>2016</v>
      </c>
      <c r="BX2" s="774">
        <f t="shared" si="6"/>
        <v>2016</v>
      </c>
      <c r="BY2" s="774">
        <f t="shared" si="6"/>
        <v>2016</v>
      </c>
      <c r="BZ2" s="774">
        <f t="shared" si="6"/>
        <v>2016</v>
      </c>
      <c r="CA2" s="774">
        <f t="shared" si="6"/>
        <v>2016</v>
      </c>
      <c r="CB2" s="774">
        <f t="shared" si="6"/>
        <v>2016</v>
      </c>
      <c r="CC2" s="774">
        <f t="shared" si="6"/>
        <v>2016</v>
      </c>
      <c r="CD2" s="774">
        <f t="shared" si="6"/>
        <v>2016</v>
      </c>
      <c r="CE2" s="774">
        <f t="shared" si="6"/>
        <v>2016</v>
      </c>
      <c r="CF2" s="774">
        <f t="shared" si="6"/>
        <v>2016</v>
      </c>
      <c r="CG2" s="774">
        <f t="shared" si="6"/>
        <v>2016</v>
      </c>
      <c r="CH2" s="774">
        <f t="shared" si="6"/>
        <v>2017</v>
      </c>
      <c r="CI2" s="774">
        <f t="shared" si="6"/>
        <v>2017</v>
      </c>
      <c r="CJ2" s="774">
        <f t="shared" si="6"/>
        <v>2017</v>
      </c>
      <c r="CK2" s="774">
        <f t="shared" si="6"/>
        <v>2017</v>
      </c>
      <c r="CL2" s="774">
        <f t="shared" si="6"/>
        <v>2017</v>
      </c>
      <c r="CM2" s="774">
        <f t="shared" si="6"/>
        <v>2017</v>
      </c>
      <c r="CN2" s="774">
        <f t="shared" si="6"/>
        <v>2017</v>
      </c>
      <c r="CO2" s="774">
        <f t="shared" si="6"/>
        <v>2017</v>
      </c>
      <c r="CP2" s="774">
        <f t="shared" si="6"/>
        <v>2017</v>
      </c>
      <c r="CQ2" s="774">
        <f t="shared" si="6"/>
        <v>2017</v>
      </c>
      <c r="CR2" s="774">
        <f t="shared" si="6"/>
        <v>2017</v>
      </c>
      <c r="CS2" s="774">
        <f t="shared" si="6"/>
        <v>2017</v>
      </c>
      <c r="CT2" s="774">
        <f t="shared" si="6"/>
        <v>2018</v>
      </c>
      <c r="CU2" s="774">
        <f t="shared" si="6"/>
        <v>2018</v>
      </c>
      <c r="CV2" s="774">
        <f t="shared" si="6"/>
        <v>2018</v>
      </c>
      <c r="CW2" s="774">
        <f t="shared" si="6"/>
        <v>2018</v>
      </c>
      <c r="CX2" s="774">
        <f t="shared" si="6"/>
        <v>2018</v>
      </c>
      <c r="CY2" s="774">
        <f t="shared" si="6"/>
        <v>2018</v>
      </c>
      <c r="CZ2" s="774">
        <f t="shared" si="6"/>
        <v>2018</v>
      </c>
      <c r="DA2" s="774">
        <f t="shared" si="6"/>
        <v>2018</v>
      </c>
      <c r="DB2" s="774">
        <f t="shared" si="6"/>
        <v>2018</v>
      </c>
      <c r="DC2" s="774">
        <f t="shared" si="6"/>
        <v>2018</v>
      </c>
      <c r="DD2" s="774">
        <f t="shared" si="6"/>
        <v>2018</v>
      </c>
      <c r="DE2" s="774">
        <f t="shared" si="6"/>
        <v>2018</v>
      </c>
      <c r="DF2" s="774">
        <f t="shared" si="6"/>
        <v>2019</v>
      </c>
      <c r="DG2" s="774">
        <f t="shared" si="6"/>
        <v>2019</v>
      </c>
      <c r="DH2" s="774">
        <f t="shared" si="6"/>
        <v>2019</v>
      </c>
      <c r="DI2" s="774">
        <f t="shared" si="6"/>
        <v>2019</v>
      </c>
      <c r="DJ2" s="774">
        <f t="shared" si="6"/>
        <v>2019</v>
      </c>
      <c r="DK2" s="774">
        <f t="shared" si="6"/>
        <v>2019</v>
      </c>
      <c r="DL2" s="774">
        <f t="shared" si="6"/>
        <v>2019</v>
      </c>
      <c r="DM2" s="774">
        <f t="shared" si="6"/>
        <v>2019</v>
      </c>
      <c r="DN2" s="774">
        <f t="shared" si="6"/>
        <v>2019</v>
      </c>
      <c r="DO2" s="774">
        <f t="shared" si="6"/>
        <v>2019</v>
      </c>
      <c r="DP2" s="774">
        <f t="shared" si="6"/>
        <v>2019</v>
      </c>
      <c r="DQ2" s="774">
        <f t="shared" si="6"/>
        <v>2019</v>
      </c>
      <c r="DR2" s="774">
        <f t="shared" si="6"/>
        <v>2020</v>
      </c>
      <c r="DS2" s="774">
        <f t="shared" si="6"/>
        <v>2020</v>
      </c>
      <c r="DT2" s="774">
        <f t="shared" si="6"/>
        <v>2020</v>
      </c>
      <c r="DU2" s="774">
        <f t="shared" si="6"/>
        <v>2020</v>
      </c>
      <c r="DV2" s="774">
        <f t="shared" si="6"/>
        <v>2020</v>
      </c>
      <c r="DW2" s="774">
        <f t="shared" si="6"/>
        <v>2020</v>
      </c>
      <c r="DX2" s="774">
        <f t="shared" ref="DX2:GI2" si="7">YEAR(DX7)</f>
        <v>2020</v>
      </c>
      <c r="DY2" s="774">
        <f t="shared" si="7"/>
        <v>2020</v>
      </c>
      <c r="DZ2" s="774">
        <f t="shared" si="7"/>
        <v>2020</v>
      </c>
      <c r="EA2" s="774">
        <f t="shared" si="7"/>
        <v>2020</v>
      </c>
      <c r="EB2" s="774">
        <f t="shared" si="7"/>
        <v>2020</v>
      </c>
      <c r="EC2" s="774">
        <f t="shared" si="7"/>
        <v>2020</v>
      </c>
      <c r="ED2" s="774">
        <f t="shared" si="7"/>
        <v>2021</v>
      </c>
      <c r="EE2" s="774">
        <f t="shared" si="7"/>
        <v>2021</v>
      </c>
      <c r="EF2" s="774">
        <f t="shared" si="7"/>
        <v>2021</v>
      </c>
      <c r="EG2" s="774">
        <f t="shared" si="7"/>
        <v>2021</v>
      </c>
      <c r="EH2" s="774">
        <f t="shared" si="7"/>
        <v>2021</v>
      </c>
      <c r="EI2" s="774">
        <f t="shared" si="7"/>
        <v>2021</v>
      </c>
      <c r="EJ2" s="774">
        <f>YEAR(EJ7)</f>
        <v>2021</v>
      </c>
      <c r="EK2" s="774">
        <f t="shared" ref="EK2:EN2" si="8">YEAR(EK7)</f>
        <v>2021</v>
      </c>
      <c r="EL2" s="774">
        <f t="shared" si="8"/>
        <v>2021</v>
      </c>
      <c r="EM2" s="774">
        <f t="shared" si="8"/>
        <v>2021</v>
      </c>
      <c r="EN2" s="774">
        <f t="shared" si="8"/>
        <v>2021</v>
      </c>
      <c r="EO2" s="774">
        <f t="shared" si="7"/>
        <v>2021</v>
      </c>
      <c r="EP2" s="774">
        <f t="shared" si="7"/>
        <v>1900</v>
      </c>
      <c r="EQ2" s="774">
        <f t="shared" si="7"/>
        <v>1900</v>
      </c>
      <c r="ER2" s="774">
        <f t="shared" si="7"/>
        <v>1900</v>
      </c>
      <c r="ES2" s="774">
        <f t="shared" si="7"/>
        <v>1900</v>
      </c>
      <c r="ET2" s="774">
        <f t="shared" si="7"/>
        <v>1900</v>
      </c>
      <c r="EU2" s="774">
        <f t="shared" si="7"/>
        <v>1900</v>
      </c>
      <c r="EV2" s="774">
        <f t="shared" si="7"/>
        <v>1900</v>
      </c>
      <c r="EW2" s="774">
        <f t="shared" si="7"/>
        <v>1900</v>
      </c>
      <c r="EX2" s="774">
        <f t="shared" si="7"/>
        <v>1900</v>
      </c>
      <c r="EY2" s="774">
        <f t="shared" si="7"/>
        <v>1900</v>
      </c>
      <c r="EZ2" s="774">
        <f t="shared" si="7"/>
        <v>1900</v>
      </c>
      <c r="FA2" s="774">
        <f t="shared" si="7"/>
        <v>1900</v>
      </c>
      <c r="FB2" s="774">
        <f t="shared" si="7"/>
        <v>1900</v>
      </c>
      <c r="FC2" s="774">
        <f t="shared" si="7"/>
        <v>1900</v>
      </c>
      <c r="FD2" s="774">
        <f t="shared" si="7"/>
        <v>1900</v>
      </c>
      <c r="FE2" s="774">
        <f t="shared" si="7"/>
        <v>1900</v>
      </c>
      <c r="FF2" s="774">
        <f t="shared" si="7"/>
        <v>1900</v>
      </c>
      <c r="FG2" s="774">
        <f t="shared" si="7"/>
        <v>1900</v>
      </c>
      <c r="FH2" s="774">
        <f t="shared" si="7"/>
        <v>1900</v>
      </c>
      <c r="FI2" s="774">
        <f t="shared" si="7"/>
        <v>1900</v>
      </c>
      <c r="FJ2" s="774">
        <f t="shared" si="7"/>
        <v>1900</v>
      </c>
      <c r="FK2" s="774">
        <f t="shared" si="7"/>
        <v>1900</v>
      </c>
      <c r="FL2" s="774">
        <f t="shared" si="7"/>
        <v>1900</v>
      </c>
      <c r="FM2" s="774">
        <f t="shared" si="7"/>
        <v>1900</v>
      </c>
      <c r="FN2" s="774">
        <f t="shared" si="7"/>
        <v>1900</v>
      </c>
      <c r="FO2" s="774">
        <f t="shared" si="7"/>
        <v>1900</v>
      </c>
      <c r="FP2" s="774">
        <f t="shared" si="7"/>
        <v>1900</v>
      </c>
      <c r="FQ2" s="774">
        <f t="shared" si="7"/>
        <v>1900</v>
      </c>
      <c r="FR2" s="774">
        <f t="shared" si="7"/>
        <v>1900</v>
      </c>
      <c r="FS2" s="774">
        <f t="shared" si="7"/>
        <v>1900</v>
      </c>
      <c r="FT2" s="774">
        <f t="shared" si="7"/>
        <v>1900</v>
      </c>
      <c r="FU2" s="774">
        <f t="shared" si="7"/>
        <v>1900</v>
      </c>
      <c r="FV2" s="774">
        <f t="shared" si="7"/>
        <v>1900</v>
      </c>
      <c r="FW2" s="774">
        <f t="shared" si="7"/>
        <v>1900</v>
      </c>
      <c r="FX2" s="774">
        <f t="shared" si="7"/>
        <v>1900</v>
      </c>
      <c r="FY2" s="774">
        <f t="shared" si="7"/>
        <v>1900</v>
      </c>
      <c r="FZ2" s="774">
        <f t="shared" si="7"/>
        <v>1900</v>
      </c>
      <c r="GA2" s="774">
        <f t="shared" si="7"/>
        <v>1900</v>
      </c>
      <c r="GB2" s="774">
        <f t="shared" si="7"/>
        <v>1900</v>
      </c>
      <c r="GC2" s="774">
        <f t="shared" si="7"/>
        <v>1900</v>
      </c>
      <c r="GD2" s="774">
        <f t="shared" si="7"/>
        <v>1900</v>
      </c>
      <c r="GE2" s="774">
        <f t="shared" si="7"/>
        <v>1900</v>
      </c>
      <c r="GF2" s="774">
        <f t="shared" si="7"/>
        <v>1900</v>
      </c>
      <c r="GG2" s="774">
        <f t="shared" si="7"/>
        <v>1900</v>
      </c>
      <c r="GH2" s="774">
        <f t="shared" si="7"/>
        <v>1900</v>
      </c>
      <c r="GI2" s="774">
        <f t="shared" si="7"/>
        <v>1900</v>
      </c>
      <c r="GJ2" s="774">
        <f t="shared" ref="GJ2:IU2" si="9">YEAR(GJ7)</f>
        <v>1900</v>
      </c>
      <c r="GK2" s="774">
        <f t="shared" si="9"/>
        <v>1900</v>
      </c>
      <c r="GL2" s="774">
        <f t="shared" si="9"/>
        <v>1900</v>
      </c>
      <c r="GM2" s="774">
        <f t="shared" si="9"/>
        <v>1900</v>
      </c>
      <c r="GN2" s="774">
        <f t="shared" si="9"/>
        <v>1900</v>
      </c>
      <c r="GO2" s="774">
        <f t="shared" si="9"/>
        <v>1900</v>
      </c>
      <c r="GP2" s="774">
        <f t="shared" si="9"/>
        <v>1900</v>
      </c>
      <c r="GQ2" s="774">
        <f t="shared" si="9"/>
        <v>1900</v>
      </c>
      <c r="GR2" s="774">
        <f t="shared" si="9"/>
        <v>1900</v>
      </c>
      <c r="GS2" s="774">
        <f t="shared" si="9"/>
        <v>1900</v>
      </c>
      <c r="GT2" s="774">
        <f t="shared" si="9"/>
        <v>1900</v>
      </c>
      <c r="GU2" s="774">
        <f t="shared" si="9"/>
        <v>1900</v>
      </c>
      <c r="GV2" s="774">
        <f t="shared" si="9"/>
        <v>1900</v>
      </c>
      <c r="GW2" s="774">
        <f t="shared" si="9"/>
        <v>1900</v>
      </c>
      <c r="GX2" s="774">
        <f t="shared" si="9"/>
        <v>1900</v>
      </c>
      <c r="GY2" s="774">
        <f t="shared" si="9"/>
        <v>1900</v>
      </c>
      <c r="GZ2" s="774">
        <f t="shared" si="9"/>
        <v>1900</v>
      </c>
      <c r="HA2" s="774">
        <f t="shared" si="9"/>
        <v>1900</v>
      </c>
      <c r="HB2" s="774">
        <f t="shared" si="9"/>
        <v>1900</v>
      </c>
      <c r="HC2" s="774">
        <f t="shared" si="9"/>
        <v>1900</v>
      </c>
      <c r="HD2" s="774">
        <f t="shared" si="9"/>
        <v>1900</v>
      </c>
      <c r="HE2" s="774">
        <f t="shared" si="9"/>
        <v>1900</v>
      </c>
      <c r="HF2" s="774">
        <f t="shared" si="9"/>
        <v>1900</v>
      </c>
      <c r="HG2" s="774">
        <f t="shared" si="9"/>
        <v>1900</v>
      </c>
      <c r="HH2" s="774">
        <f t="shared" si="9"/>
        <v>1900</v>
      </c>
      <c r="HI2" s="774">
        <f t="shared" si="9"/>
        <v>1900</v>
      </c>
      <c r="HJ2" s="774">
        <f t="shared" si="9"/>
        <v>1900</v>
      </c>
      <c r="HK2" s="774">
        <f t="shared" si="9"/>
        <v>1900</v>
      </c>
      <c r="HL2" s="774">
        <f t="shared" si="9"/>
        <v>1900</v>
      </c>
      <c r="HM2" s="774">
        <f t="shared" si="9"/>
        <v>1900</v>
      </c>
      <c r="HN2" s="774">
        <f t="shared" si="9"/>
        <v>1900</v>
      </c>
      <c r="HO2" s="774">
        <f t="shared" si="9"/>
        <v>1900</v>
      </c>
      <c r="HP2" s="774">
        <f t="shared" si="9"/>
        <v>1900</v>
      </c>
      <c r="HQ2" s="774">
        <f t="shared" si="9"/>
        <v>1900</v>
      </c>
      <c r="HR2" s="774">
        <f t="shared" si="9"/>
        <v>1900</v>
      </c>
      <c r="HS2" s="774">
        <f t="shared" si="9"/>
        <v>1900</v>
      </c>
      <c r="HT2" s="774">
        <f t="shared" si="9"/>
        <v>1900</v>
      </c>
      <c r="HU2" s="774">
        <f t="shared" si="9"/>
        <v>1900</v>
      </c>
      <c r="HV2" s="774">
        <f t="shared" si="9"/>
        <v>1900</v>
      </c>
      <c r="HW2" s="774">
        <f t="shared" si="9"/>
        <v>1900</v>
      </c>
      <c r="HX2" s="774">
        <f t="shared" si="9"/>
        <v>1900</v>
      </c>
      <c r="HY2" s="774">
        <f t="shared" si="9"/>
        <v>1900</v>
      </c>
      <c r="HZ2" s="774">
        <f t="shared" si="9"/>
        <v>1900</v>
      </c>
      <c r="IA2" s="774">
        <f t="shared" si="9"/>
        <v>1900</v>
      </c>
      <c r="IB2" s="774">
        <f t="shared" si="9"/>
        <v>1900</v>
      </c>
      <c r="IC2" s="774">
        <f t="shared" si="9"/>
        <v>1900</v>
      </c>
      <c r="ID2" s="774">
        <f t="shared" si="9"/>
        <v>1900</v>
      </c>
      <c r="IE2" s="774">
        <f t="shared" si="9"/>
        <v>1900</v>
      </c>
      <c r="IF2" s="774">
        <f t="shared" si="9"/>
        <v>1900</v>
      </c>
      <c r="IG2" s="774">
        <f t="shared" si="9"/>
        <v>1900</v>
      </c>
      <c r="IH2" s="774">
        <f t="shared" si="9"/>
        <v>1900</v>
      </c>
      <c r="II2" s="774">
        <f t="shared" si="9"/>
        <v>1900</v>
      </c>
      <c r="IJ2" s="774">
        <f t="shared" si="9"/>
        <v>1900</v>
      </c>
      <c r="IK2" s="774">
        <f t="shared" si="9"/>
        <v>1900</v>
      </c>
      <c r="IL2" s="774">
        <f t="shared" si="9"/>
        <v>1900</v>
      </c>
      <c r="IM2" s="774">
        <f t="shared" si="9"/>
        <v>1900</v>
      </c>
      <c r="IN2" s="774">
        <f t="shared" si="9"/>
        <v>1900</v>
      </c>
      <c r="IO2" s="774">
        <f t="shared" si="9"/>
        <v>1900</v>
      </c>
      <c r="IP2" s="774">
        <f t="shared" si="9"/>
        <v>1900</v>
      </c>
      <c r="IQ2" s="774">
        <f t="shared" si="9"/>
        <v>1900</v>
      </c>
      <c r="IR2" s="774">
        <f t="shared" si="9"/>
        <v>1900</v>
      </c>
      <c r="IS2" s="774">
        <f t="shared" si="9"/>
        <v>1900</v>
      </c>
      <c r="IT2" s="774">
        <f t="shared" si="9"/>
        <v>1900</v>
      </c>
      <c r="IU2" s="774">
        <f t="shared" si="9"/>
        <v>1900</v>
      </c>
      <c r="IV2" s="774">
        <f t="shared" ref="IV2:JD2" si="10">YEAR(IV7)</f>
        <v>1900</v>
      </c>
      <c r="IW2" s="774">
        <f t="shared" si="10"/>
        <v>1900</v>
      </c>
      <c r="IX2" s="774">
        <f t="shared" si="10"/>
        <v>1900</v>
      </c>
      <c r="IY2" s="774">
        <f t="shared" si="10"/>
        <v>1900</v>
      </c>
      <c r="IZ2" s="774">
        <f t="shared" si="10"/>
        <v>1900</v>
      </c>
      <c r="JA2" s="774">
        <f t="shared" si="10"/>
        <v>1900</v>
      </c>
      <c r="JB2" s="774">
        <f t="shared" si="10"/>
        <v>1900</v>
      </c>
      <c r="JC2" s="774">
        <f t="shared" si="10"/>
        <v>1900</v>
      </c>
      <c r="JD2" s="774">
        <f t="shared" si="10"/>
        <v>1900</v>
      </c>
    </row>
    <row r="3" spans="1:510" s="298" customFormat="1" ht="57.75" customHeight="1">
      <c r="DX3" s="683"/>
      <c r="DY3" s="683"/>
      <c r="DZ3" s="683"/>
      <c r="EA3" s="683"/>
      <c r="EB3" s="683"/>
      <c r="EC3" s="683"/>
      <c r="ED3" s="683"/>
      <c r="EE3" s="683"/>
      <c r="EF3" s="683"/>
      <c r="EG3" s="683"/>
      <c r="EH3" s="683"/>
      <c r="EI3" s="683"/>
    </row>
    <row r="4" spans="1:510" s="298" customFormat="1">
      <c r="DX4" s="683"/>
      <c r="DY4" s="683"/>
      <c r="DZ4" s="683"/>
      <c r="EA4" s="683"/>
      <c r="EB4" s="683"/>
      <c r="EC4" s="683"/>
      <c r="ED4" s="683"/>
      <c r="EE4" s="683"/>
      <c r="EF4" s="683"/>
      <c r="EG4" s="683"/>
      <c r="EH4" s="683"/>
      <c r="EI4" s="683"/>
    </row>
    <row r="6" spans="1:510" ht="15.75" thickBot="1">
      <c r="A6" s="269" t="s">
        <v>1071</v>
      </c>
    </row>
    <row r="7" spans="1:510" ht="15.75" thickBot="1">
      <c r="A7" s="457"/>
      <c r="B7" s="169">
        <v>40179</v>
      </c>
      <c r="C7" s="169">
        <v>40210</v>
      </c>
      <c r="D7" s="169">
        <v>40238</v>
      </c>
      <c r="E7" s="169">
        <v>40269</v>
      </c>
      <c r="F7" s="169">
        <v>40299</v>
      </c>
      <c r="G7" s="169">
        <v>40330</v>
      </c>
      <c r="H7" s="169">
        <v>40360</v>
      </c>
      <c r="I7" s="169">
        <v>40391</v>
      </c>
      <c r="J7" s="169">
        <v>40422</v>
      </c>
      <c r="K7" s="169">
        <v>40452</v>
      </c>
      <c r="L7" s="169">
        <v>40483</v>
      </c>
      <c r="M7" s="169">
        <v>40513</v>
      </c>
      <c r="N7" s="169">
        <v>40544</v>
      </c>
      <c r="O7" s="169">
        <v>40575</v>
      </c>
      <c r="P7" s="169">
        <v>40603</v>
      </c>
      <c r="Q7" s="169">
        <v>40634</v>
      </c>
      <c r="R7" s="169">
        <v>40664</v>
      </c>
      <c r="S7" s="169">
        <v>40695</v>
      </c>
      <c r="T7" s="169">
        <v>40725</v>
      </c>
      <c r="U7" s="169">
        <v>40756</v>
      </c>
      <c r="V7" s="169">
        <v>40787</v>
      </c>
      <c r="W7" s="169">
        <v>40817</v>
      </c>
      <c r="X7" s="169">
        <v>40848</v>
      </c>
      <c r="Y7" s="169">
        <v>40878</v>
      </c>
      <c r="Z7" s="169">
        <v>40909</v>
      </c>
      <c r="AA7" s="169">
        <v>40940</v>
      </c>
      <c r="AB7" s="169">
        <v>40969</v>
      </c>
      <c r="AC7" s="169">
        <v>41000</v>
      </c>
      <c r="AD7" s="169">
        <v>41030</v>
      </c>
      <c r="AE7" s="169">
        <v>41061</v>
      </c>
      <c r="AF7" s="169">
        <v>41091</v>
      </c>
      <c r="AG7" s="169">
        <v>41122</v>
      </c>
      <c r="AH7" s="169">
        <v>41153</v>
      </c>
      <c r="AI7" s="169">
        <v>41183</v>
      </c>
      <c r="AJ7" s="169">
        <v>41214</v>
      </c>
      <c r="AK7" s="169">
        <v>41244</v>
      </c>
      <c r="AL7" s="169">
        <v>41275</v>
      </c>
      <c r="AM7" s="169">
        <v>41306</v>
      </c>
      <c r="AN7" s="169">
        <v>41334</v>
      </c>
      <c r="AO7" s="169">
        <v>41365</v>
      </c>
      <c r="AP7" s="169">
        <v>41395</v>
      </c>
      <c r="AQ7" s="169">
        <v>41426</v>
      </c>
      <c r="AR7" s="169">
        <v>41456</v>
      </c>
      <c r="AS7" s="169">
        <v>41487</v>
      </c>
      <c r="AT7" s="169">
        <v>41518</v>
      </c>
      <c r="AU7" s="169">
        <v>41548</v>
      </c>
      <c r="AV7" s="169">
        <v>41579</v>
      </c>
      <c r="AW7" s="169">
        <v>41609</v>
      </c>
      <c r="AX7" s="169">
        <v>41640</v>
      </c>
      <c r="AY7" s="169">
        <v>41671</v>
      </c>
      <c r="AZ7" s="169">
        <v>41699</v>
      </c>
      <c r="BA7" s="169">
        <v>41730</v>
      </c>
      <c r="BB7" s="169">
        <v>41760</v>
      </c>
      <c r="BC7" s="169">
        <v>41791</v>
      </c>
      <c r="BD7" s="169">
        <v>41821</v>
      </c>
      <c r="BE7" s="169">
        <v>41852</v>
      </c>
      <c r="BF7" s="169">
        <v>41883</v>
      </c>
      <c r="BG7" s="169">
        <v>41913</v>
      </c>
      <c r="BH7" s="169">
        <v>41944</v>
      </c>
      <c r="BI7" s="169">
        <v>41974</v>
      </c>
      <c r="BJ7" s="169">
        <v>42005</v>
      </c>
      <c r="BK7" s="169">
        <v>42036</v>
      </c>
      <c r="BL7" s="169">
        <v>42064</v>
      </c>
      <c r="BM7" s="169">
        <v>42095</v>
      </c>
      <c r="BN7" s="169">
        <v>42125</v>
      </c>
      <c r="BO7" s="169">
        <v>42156</v>
      </c>
      <c r="BP7" s="169">
        <v>42186</v>
      </c>
      <c r="BQ7" s="169">
        <v>42217</v>
      </c>
      <c r="BR7" s="169">
        <v>42248</v>
      </c>
      <c r="BS7" s="169">
        <v>42278</v>
      </c>
      <c r="BT7" s="169">
        <v>42309</v>
      </c>
      <c r="BU7" s="169">
        <v>42339</v>
      </c>
      <c r="BV7" s="169">
        <v>42370</v>
      </c>
      <c r="BW7" s="169">
        <v>42401</v>
      </c>
      <c r="BX7" s="169">
        <v>42430</v>
      </c>
      <c r="BY7" s="169">
        <v>42461</v>
      </c>
      <c r="BZ7" s="169">
        <v>42491</v>
      </c>
      <c r="CA7" s="169">
        <v>42522</v>
      </c>
      <c r="CB7" s="169">
        <v>42552</v>
      </c>
      <c r="CC7" s="169">
        <v>42583</v>
      </c>
      <c r="CD7" s="169">
        <v>42614</v>
      </c>
      <c r="CE7" s="169">
        <v>42644</v>
      </c>
      <c r="CF7" s="169">
        <v>42675</v>
      </c>
      <c r="CG7" s="169">
        <v>42705</v>
      </c>
      <c r="CH7" s="169">
        <v>42736</v>
      </c>
      <c r="CI7" s="169">
        <v>42767</v>
      </c>
      <c r="CJ7" s="169">
        <v>42795</v>
      </c>
      <c r="CK7" s="169">
        <v>42826</v>
      </c>
      <c r="CL7" s="169">
        <v>42856</v>
      </c>
      <c r="CM7" s="169">
        <v>42887</v>
      </c>
      <c r="CN7" s="169">
        <v>42917</v>
      </c>
      <c r="CO7" s="169">
        <v>42948</v>
      </c>
      <c r="CP7" s="169">
        <v>42979</v>
      </c>
      <c r="CQ7" s="169">
        <v>43009</v>
      </c>
      <c r="CR7" s="169">
        <v>43040</v>
      </c>
      <c r="CS7" s="169">
        <v>43070</v>
      </c>
      <c r="CT7" s="169">
        <v>43101</v>
      </c>
      <c r="CU7" s="169">
        <v>43132</v>
      </c>
      <c r="CV7" s="169">
        <v>43160</v>
      </c>
      <c r="CW7" s="169">
        <v>43191</v>
      </c>
      <c r="CX7" s="169">
        <v>43221</v>
      </c>
      <c r="CY7" s="169">
        <v>43252</v>
      </c>
      <c r="CZ7" s="169">
        <v>43282</v>
      </c>
      <c r="DA7" s="169">
        <v>43313</v>
      </c>
      <c r="DB7" s="169">
        <v>43344</v>
      </c>
      <c r="DC7" s="169">
        <v>43374</v>
      </c>
      <c r="DD7" s="169">
        <v>43405</v>
      </c>
      <c r="DE7" s="169">
        <v>43435</v>
      </c>
      <c r="DF7" s="169">
        <v>43466</v>
      </c>
      <c r="DG7" s="169">
        <v>43497</v>
      </c>
      <c r="DH7" s="169">
        <v>43525</v>
      </c>
      <c r="DI7" s="169">
        <v>43556</v>
      </c>
      <c r="DJ7" s="169">
        <v>43586</v>
      </c>
      <c r="DK7" s="169">
        <v>43617</v>
      </c>
      <c r="DL7" s="169">
        <v>43647</v>
      </c>
      <c r="DM7" s="169">
        <v>43678</v>
      </c>
      <c r="DN7" s="169">
        <v>43709</v>
      </c>
      <c r="DO7" s="169">
        <v>43739</v>
      </c>
      <c r="DP7" s="169">
        <v>43770</v>
      </c>
      <c r="DQ7" s="169">
        <v>43800</v>
      </c>
      <c r="DR7" s="169">
        <v>43831</v>
      </c>
      <c r="DS7" s="169">
        <v>43862</v>
      </c>
      <c r="DT7" s="169">
        <v>43891</v>
      </c>
      <c r="DU7" s="169">
        <v>43922</v>
      </c>
      <c r="DV7" s="169">
        <v>43952</v>
      </c>
      <c r="DW7" s="169">
        <v>43983</v>
      </c>
      <c r="DX7" s="169">
        <v>44013</v>
      </c>
      <c r="DY7" s="169">
        <v>44044</v>
      </c>
      <c r="DZ7" s="169">
        <v>44075</v>
      </c>
      <c r="EA7" s="169">
        <v>44105</v>
      </c>
      <c r="EB7" s="169">
        <v>44136</v>
      </c>
      <c r="EC7" s="169">
        <v>44166</v>
      </c>
      <c r="ED7" s="169">
        <v>44197</v>
      </c>
      <c r="EE7" s="169">
        <v>44228</v>
      </c>
      <c r="EF7" s="169">
        <v>44256</v>
      </c>
      <c r="EG7" s="169">
        <v>44287</v>
      </c>
      <c r="EH7" s="169">
        <v>44317</v>
      </c>
      <c r="EI7" s="751">
        <v>44348</v>
      </c>
      <c r="EJ7" s="947">
        <v>44378</v>
      </c>
      <c r="EK7" s="199">
        <v>44409</v>
      </c>
      <c r="EL7" s="199">
        <v>44440</v>
      </c>
      <c r="EM7" s="199">
        <v>44470</v>
      </c>
      <c r="EN7" s="199">
        <v>44501</v>
      </c>
      <c r="EO7" s="199">
        <v>44531</v>
      </c>
    </row>
    <row r="8" spans="1:510">
      <c r="A8" s="81" t="s">
        <v>1035</v>
      </c>
      <c r="B8" s="464">
        <v>528.07802112312083</v>
      </c>
      <c r="C8" s="464">
        <v>565.40402261616089</v>
      </c>
      <c r="D8" s="464">
        <v>561.5160224606409</v>
      </c>
      <c r="E8" s="464">
        <v>560.01602240064085</v>
      </c>
      <c r="F8" s="464">
        <v>602.80202411208097</v>
      </c>
      <c r="G8" s="464">
        <v>530.55002122200085</v>
      </c>
      <c r="H8" s="464">
        <v>553.05002212200088</v>
      </c>
      <c r="I8" s="464">
        <v>459.42001837680073</v>
      </c>
      <c r="J8" s="464">
        <v>528.73802114952082</v>
      </c>
      <c r="K8" s="464">
        <v>538.96202155848084</v>
      </c>
      <c r="L8" s="464">
        <v>529.45202117808083</v>
      </c>
      <c r="M8" s="464">
        <v>541.68602166744085</v>
      </c>
      <c r="N8" s="464">
        <v>602.10002408400089</v>
      </c>
      <c r="O8" s="464">
        <v>601.49402405976093</v>
      </c>
      <c r="P8" s="464">
        <v>609.7560243902409</v>
      </c>
      <c r="Q8" s="464">
        <v>602.35802409432097</v>
      </c>
      <c r="R8" s="464">
        <v>655.986026239441</v>
      </c>
      <c r="S8" s="464">
        <v>688.85402755416112</v>
      </c>
      <c r="T8" s="464">
        <v>783.96003135840124</v>
      </c>
      <c r="U8" s="464">
        <v>871.52403486096136</v>
      </c>
      <c r="V8" s="464">
        <v>709.54802838192109</v>
      </c>
      <c r="W8" s="464">
        <v>717.81002871240116</v>
      </c>
      <c r="X8" s="464">
        <v>720.63002882520107</v>
      </c>
      <c r="Y8" s="464">
        <v>727.84202911368118</v>
      </c>
      <c r="Z8" s="464">
        <v>723.90602895624113</v>
      </c>
      <c r="AA8" s="464">
        <v>700.09202800368109</v>
      </c>
      <c r="AB8" s="464">
        <v>710.34002841360109</v>
      </c>
      <c r="AC8" s="464">
        <v>677.1600270864011</v>
      </c>
      <c r="AD8" s="464">
        <v>723.07802892312111</v>
      </c>
      <c r="AE8" s="464">
        <v>724.12202896488111</v>
      </c>
      <c r="AF8" s="464">
        <v>993.09003972360154</v>
      </c>
      <c r="AG8" s="464">
        <v>1279.2420511696821</v>
      </c>
      <c r="AH8" s="464">
        <v>1095.5100438204017</v>
      </c>
      <c r="AI8" s="464">
        <v>754.38603017544119</v>
      </c>
      <c r="AJ8" s="464">
        <v>767.69403070776116</v>
      </c>
      <c r="AK8" s="464">
        <v>719.70602878824116</v>
      </c>
      <c r="AL8" s="464">
        <v>706.71602826864114</v>
      </c>
      <c r="AM8" s="464">
        <v>695.39402781576109</v>
      </c>
      <c r="AN8" s="464">
        <v>717.28202869128108</v>
      </c>
      <c r="AO8" s="464">
        <v>774.50403098016125</v>
      </c>
      <c r="AP8" s="464">
        <v>839.40003357600131</v>
      </c>
      <c r="AQ8" s="464">
        <v>900.86403603456142</v>
      </c>
      <c r="AR8" s="464">
        <v>867.60603470424132</v>
      </c>
      <c r="AS8" s="464">
        <v>869.84403479376135</v>
      </c>
      <c r="AT8" s="464">
        <v>962.38803849552153</v>
      </c>
      <c r="AU8" s="464">
        <v>823.65603294624123</v>
      </c>
      <c r="AV8" s="464">
        <v>731.93402927736111</v>
      </c>
      <c r="AW8" s="464">
        <v>649.644025985761</v>
      </c>
      <c r="AX8" s="464">
        <v>662.55002650200106</v>
      </c>
      <c r="AY8" s="464">
        <v>616.46402465856102</v>
      </c>
      <c r="AZ8" s="464">
        <v>635.52602542104103</v>
      </c>
      <c r="BA8" s="464">
        <v>618.84002475360091</v>
      </c>
      <c r="BB8" s="464">
        <v>692.97002771880113</v>
      </c>
      <c r="BC8" s="464">
        <v>632.29802529192102</v>
      </c>
      <c r="BD8" s="464">
        <v>726.11402904456111</v>
      </c>
      <c r="BE8" s="464">
        <v>646.71602586864105</v>
      </c>
      <c r="BF8" s="464">
        <v>602.28002409120097</v>
      </c>
      <c r="BG8" s="464">
        <v>603.17402412696094</v>
      </c>
      <c r="BH8" s="464">
        <v>570.44402281776092</v>
      </c>
      <c r="BI8" s="464">
        <v>545.06402180256089</v>
      </c>
      <c r="BJ8" s="464">
        <v>552.00602208024088</v>
      </c>
      <c r="BK8" s="464">
        <v>543.59402174376089</v>
      </c>
      <c r="BL8" s="464">
        <v>587.6760235070409</v>
      </c>
      <c r="BM8" s="464">
        <v>569.65802278632088</v>
      </c>
      <c r="BN8" s="464">
        <v>554.0520221620809</v>
      </c>
      <c r="BO8" s="464">
        <v>561.82802247312088</v>
      </c>
      <c r="BP8" s="464">
        <v>591.59402366376094</v>
      </c>
      <c r="BQ8" s="464">
        <v>599.29202397168092</v>
      </c>
      <c r="BR8" s="464">
        <v>581.45402325816087</v>
      </c>
      <c r="BS8" s="464">
        <v>577.21202308848092</v>
      </c>
      <c r="BT8" s="464">
        <v>559.6200223848009</v>
      </c>
      <c r="BU8" s="464">
        <v>502.75802011032079</v>
      </c>
      <c r="BV8" s="464">
        <v>481.79401927176076</v>
      </c>
      <c r="BW8" s="464">
        <v>479.91001919640075</v>
      </c>
      <c r="BX8" s="464">
        <v>476.66401906656074</v>
      </c>
      <c r="BY8" s="464">
        <v>463.5720185428807</v>
      </c>
      <c r="BZ8" s="464">
        <v>482.32201929288073</v>
      </c>
      <c r="CA8" s="464">
        <v>483.78601935144076</v>
      </c>
      <c r="CB8" s="464">
        <v>460.47001841880069</v>
      </c>
      <c r="CC8" s="464">
        <v>470.06401880256072</v>
      </c>
      <c r="CD8" s="464">
        <v>463.48801853952074</v>
      </c>
      <c r="CE8" s="464">
        <v>435.78601743144065</v>
      </c>
      <c r="CF8" s="464">
        <v>568.36802273472085</v>
      </c>
      <c r="CG8" s="464">
        <v>579.64802318592092</v>
      </c>
      <c r="CH8" s="464">
        <v>558.16202232648084</v>
      </c>
      <c r="CI8" s="464">
        <v>625.00802500032103</v>
      </c>
      <c r="CJ8" s="464">
        <v>587.31002349240089</v>
      </c>
      <c r="CK8" s="464">
        <v>573.75602295024089</v>
      </c>
      <c r="CL8" s="464">
        <v>632.39402529576103</v>
      </c>
      <c r="CM8" s="464">
        <v>633.57602534304101</v>
      </c>
      <c r="CN8" s="464">
        <v>592.96202371848096</v>
      </c>
      <c r="CO8" s="464">
        <v>569.4420227776809</v>
      </c>
      <c r="CP8" s="464">
        <v>530.33402121336087</v>
      </c>
      <c r="CQ8" s="464">
        <v>501.33002005320077</v>
      </c>
      <c r="CR8" s="464">
        <v>501.96002007840076</v>
      </c>
      <c r="CS8" s="464">
        <v>477.69001910760073</v>
      </c>
      <c r="CT8" s="464">
        <v>441.90601767624071</v>
      </c>
      <c r="CU8" s="464">
        <v>457.05001828200074</v>
      </c>
      <c r="CV8" s="464">
        <v>519.64202078568076</v>
      </c>
      <c r="CW8" s="464">
        <v>546.24002184960079</v>
      </c>
      <c r="CX8" s="464">
        <v>520.05602080224082</v>
      </c>
      <c r="CY8" s="464">
        <v>484.11001936440073</v>
      </c>
      <c r="CZ8" s="464">
        <v>487.61401950456076</v>
      </c>
      <c r="DA8" s="464">
        <v>492.24001968960079</v>
      </c>
      <c r="DB8" s="464">
        <v>537.42002149680081</v>
      </c>
      <c r="DC8" s="464">
        <v>683.80802735232112</v>
      </c>
      <c r="DD8" s="464">
        <v>612.5580245023209</v>
      </c>
      <c r="DE8" s="464">
        <v>456.12601824504071</v>
      </c>
      <c r="DF8" s="464">
        <v>442.53001770120068</v>
      </c>
      <c r="DG8" s="464">
        <v>456.82201827288071</v>
      </c>
      <c r="DH8" s="464">
        <v>547.7100219084009</v>
      </c>
      <c r="DI8" s="464">
        <v>455.62801822512068</v>
      </c>
      <c r="DJ8" s="464">
        <v>514.07402056296075</v>
      </c>
      <c r="DK8" s="464">
        <v>499.00201996008076</v>
      </c>
      <c r="DL8" s="464">
        <v>501.5760200630408</v>
      </c>
      <c r="DM8" s="464">
        <v>526.47002105880085</v>
      </c>
      <c r="DN8" s="464">
        <v>539.88602159544087</v>
      </c>
      <c r="DO8" s="464">
        <v>512.8860205154408</v>
      </c>
      <c r="DP8" s="464">
        <v>507.04202028168078</v>
      </c>
      <c r="DQ8" s="464">
        <v>463.5240185409607</v>
      </c>
      <c r="DR8" s="464">
        <v>467.64601870584073</v>
      </c>
      <c r="DS8" s="464">
        <v>482.07001928280073</v>
      </c>
      <c r="DT8" s="464">
        <v>559.03202236128084</v>
      </c>
      <c r="DU8" s="464">
        <v>460.32001841280072</v>
      </c>
      <c r="DV8" s="464">
        <v>475.36201901448072</v>
      </c>
      <c r="DW8" s="862">
        <v>458.48683026339478</v>
      </c>
      <c r="DX8" s="862">
        <v>464.5707085858283</v>
      </c>
      <c r="DY8" s="862">
        <v>557.37085258294837</v>
      </c>
      <c r="DZ8" s="862">
        <v>484.33431331373379</v>
      </c>
      <c r="EA8" s="862">
        <v>477.20645587088262</v>
      </c>
      <c r="EB8" s="862">
        <v>470.82258354832908</v>
      </c>
      <c r="EC8" s="862">
        <v>449.18701625967486</v>
      </c>
      <c r="ED8" s="862">
        <v>641</v>
      </c>
      <c r="EE8" s="862">
        <v>667</v>
      </c>
      <c r="EF8" s="862">
        <v>712</v>
      </c>
      <c r="EG8" s="862">
        <v>744</v>
      </c>
      <c r="EH8" s="862">
        <v>732</v>
      </c>
      <c r="EI8" s="863">
        <v>781</v>
      </c>
    </row>
    <row r="9" spans="1:510">
      <c r="A9" s="81" t="s">
        <v>1069</v>
      </c>
      <c r="B9" s="465">
        <v>1490.8860596354423</v>
      </c>
      <c r="C9" s="465">
        <v>1208.5860483434419</v>
      </c>
      <c r="D9" s="465">
        <v>1152.7260461090418</v>
      </c>
      <c r="E9" s="465">
        <v>1178.4780471391218</v>
      </c>
      <c r="F9" s="465">
        <v>1178.2680471307219</v>
      </c>
      <c r="G9" s="465">
        <v>1475.4960590198423</v>
      </c>
      <c r="H9" s="465">
        <v>1614.4800645792025</v>
      </c>
      <c r="I9" s="465">
        <v>2121.8040848721635</v>
      </c>
      <c r="J9" s="465">
        <v>2410.9560964382435</v>
      </c>
      <c r="K9" s="465">
        <v>2474.922098996884</v>
      </c>
      <c r="L9" s="465">
        <v>2648.2561059302443</v>
      </c>
      <c r="M9" s="465">
        <v>2649.5281059811241</v>
      </c>
      <c r="N9" s="465">
        <v>2416.1760966470438</v>
      </c>
      <c r="O9" s="465">
        <v>1468.8000587520023</v>
      </c>
      <c r="P9" s="465">
        <v>1619.7900647916026</v>
      </c>
      <c r="Q9" s="465">
        <v>1327.974053118962</v>
      </c>
      <c r="R9" s="465">
        <v>1475.5320590212823</v>
      </c>
      <c r="S9" s="465">
        <v>1563.8280625531224</v>
      </c>
      <c r="T9" s="465">
        <v>1508.1060603242424</v>
      </c>
      <c r="U9" s="465">
        <v>1702.3380680935227</v>
      </c>
      <c r="V9" s="465">
        <v>2354.1060941642436</v>
      </c>
      <c r="W9" s="465">
        <v>1872.7980749119229</v>
      </c>
      <c r="X9" s="465">
        <v>1783.3260713330428</v>
      </c>
      <c r="Y9" s="465">
        <v>1979.8200791928032</v>
      </c>
      <c r="Z9" s="465">
        <v>1308.8580523543221</v>
      </c>
      <c r="AA9" s="465">
        <v>2322.1020928840835</v>
      </c>
      <c r="AB9" s="465">
        <v>3196.3981278559249</v>
      </c>
      <c r="AC9" s="465">
        <v>2759.2921103716844</v>
      </c>
      <c r="AD9" s="465">
        <v>2866.7461146698442</v>
      </c>
      <c r="AE9" s="465">
        <v>3350.7121340284853</v>
      </c>
      <c r="AF9" s="465">
        <v>1933.5840773433631</v>
      </c>
      <c r="AG9" s="465">
        <v>2097.9660839186431</v>
      </c>
      <c r="AH9" s="465">
        <v>1923.708076948323</v>
      </c>
      <c r="AI9" s="465">
        <v>2066.1600826464032</v>
      </c>
      <c r="AJ9" s="465">
        <v>2432.1600972864039</v>
      </c>
      <c r="AK9" s="465">
        <v>2212.6500885060036</v>
      </c>
      <c r="AL9" s="465">
        <v>1666.0020666400826</v>
      </c>
      <c r="AM9" s="465">
        <v>2119.5600847824035</v>
      </c>
      <c r="AN9" s="465">
        <v>2008.7640803505631</v>
      </c>
      <c r="AO9" s="465">
        <v>2134.0200853608035</v>
      </c>
      <c r="AP9" s="465">
        <v>2392.7760957110436</v>
      </c>
      <c r="AQ9" s="465">
        <v>2505.4441002177641</v>
      </c>
      <c r="AR9" s="465">
        <v>2230.8300892332036</v>
      </c>
      <c r="AS9" s="465">
        <v>1580.3940632157626</v>
      </c>
      <c r="AT9" s="465">
        <v>1532.4960612998425</v>
      </c>
      <c r="AU9" s="465">
        <v>1698.1140679245627</v>
      </c>
      <c r="AV9" s="465">
        <v>1634.1900653676025</v>
      </c>
      <c r="AW9" s="465">
        <v>1060.3020424120816</v>
      </c>
      <c r="AX9" s="465">
        <v>1201.5120480604819</v>
      </c>
      <c r="AY9" s="465">
        <v>1041.3000416520017</v>
      </c>
      <c r="AZ9" s="465">
        <v>1140.1680456067218</v>
      </c>
      <c r="BA9" s="465">
        <v>1140.1920456076818</v>
      </c>
      <c r="BB9" s="465">
        <v>1284.8880513955221</v>
      </c>
      <c r="BC9" s="465">
        <v>1543.7460617498425</v>
      </c>
      <c r="BD9" s="465">
        <v>1569.4560627782425</v>
      </c>
      <c r="BE9" s="465">
        <v>1844.3280737731229</v>
      </c>
      <c r="BF9" s="465">
        <v>1784.5260713810428</v>
      </c>
      <c r="BG9" s="465">
        <v>1936.3620774544829</v>
      </c>
      <c r="BH9" s="465">
        <v>2017.3980806959232</v>
      </c>
      <c r="BI9" s="465">
        <v>1470.8700588348022</v>
      </c>
      <c r="BJ9" s="465">
        <v>1490.4360596174424</v>
      </c>
      <c r="BK9" s="465">
        <v>1278.9660511586419</v>
      </c>
      <c r="BL9" s="465">
        <v>1344.0900537636021</v>
      </c>
      <c r="BM9" s="465">
        <v>1449.7080579883223</v>
      </c>
      <c r="BN9" s="465">
        <v>1558.8360623534425</v>
      </c>
      <c r="BO9" s="465">
        <v>1479.6600591864023</v>
      </c>
      <c r="BP9" s="465">
        <v>1595.5200638208025</v>
      </c>
      <c r="BQ9" s="465">
        <v>1551.4860620594425</v>
      </c>
      <c r="BR9" s="465">
        <v>1278.5460511418421</v>
      </c>
      <c r="BS9" s="465">
        <v>1523.1660609266423</v>
      </c>
      <c r="BT9" s="465">
        <v>1028.3040411321615</v>
      </c>
      <c r="BU9" s="465">
        <v>839.29203357168126</v>
      </c>
      <c r="BV9" s="465">
        <v>684.17402736696101</v>
      </c>
      <c r="BW9" s="465">
        <v>546.73802186952082</v>
      </c>
      <c r="BX9" s="465">
        <v>526.72202106888085</v>
      </c>
      <c r="BY9" s="465">
        <v>507.1740202869608</v>
      </c>
      <c r="BZ9" s="465">
        <v>451.74601806984072</v>
      </c>
      <c r="CA9" s="465">
        <v>370.21801480872057</v>
      </c>
      <c r="CB9" s="465">
        <v>366.10201464408055</v>
      </c>
      <c r="CC9" s="465">
        <v>446.88001787520068</v>
      </c>
      <c r="CD9" s="465">
        <v>395.09401580376061</v>
      </c>
      <c r="CE9" s="465">
        <v>664.81802659272103</v>
      </c>
      <c r="CF9" s="465">
        <v>780.36003121440126</v>
      </c>
      <c r="CG9" s="465">
        <v>786.15003144600121</v>
      </c>
      <c r="CH9" s="465">
        <v>665.89802663592104</v>
      </c>
      <c r="CI9" s="465">
        <v>616.37402465496098</v>
      </c>
      <c r="CJ9" s="465">
        <v>707.71802830872105</v>
      </c>
      <c r="CK9" s="465">
        <v>747.07802988312119</v>
      </c>
      <c r="CL9" s="465">
        <v>794.67603178704121</v>
      </c>
      <c r="CM9" s="465">
        <v>831.16803324672128</v>
      </c>
      <c r="CN9" s="465">
        <v>752.29803009192119</v>
      </c>
      <c r="CO9" s="465">
        <v>728.55602914224119</v>
      </c>
      <c r="CP9" s="465">
        <v>734.1000293640011</v>
      </c>
      <c r="CQ9" s="465">
        <v>806.89803227592131</v>
      </c>
      <c r="CR9" s="465">
        <v>643.91402575656105</v>
      </c>
      <c r="CS9" s="465">
        <v>523.41602093664085</v>
      </c>
      <c r="CT9" s="465">
        <v>477.03601908144077</v>
      </c>
      <c r="CU9" s="465">
        <v>507.97802031912079</v>
      </c>
      <c r="CV9" s="465">
        <v>650.61002602440101</v>
      </c>
      <c r="CW9" s="465">
        <v>490.86601963464074</v>
      </c>
      <c r="CX9" s="465">
        <v>815.54403262176129</v>
      </c>
      <c r="CY9" s="465">
        <v>626.88002507520093</v>
      </c>
      <c r="CZ9" s="465">
        <v>803.09403212376128</v>
      </c>
      <c r="DA9" s="465">
        <v>626.07002504280092</v>
      </c>
      <c r="DB9" s="465">
        <v>771.19203084768117</v>
      </c>
      <c r="DC9" s="465">
        <v>718.99202875968115</v>
      </c>
      <c r="DD9" s="465">
        <v>692.59802770392105</v>
      </c>
      <c r="DE9" s="465">
        <v>620.38802481552102</v>
      </c>
      <c r="DF9" s="465">
        <v>1004.6640401865616</v>
      </c>
      <c r="DG9" s="465">
        <v>557.84402231376089</v>
      </c>
      <c r="DH9" s="465">
        <v>720.25802881032109</v>
      </c>
      <c r="DI9" s="465">
        <v>736.20602944824111</v>
      </c>
      <c r="DJ9" s="465">
        <v>589.75802359032093</v>
      </c>
      <c r="DK9" s="465">
        <v>736.6920294676811</v>
      </c>
      <c r="DL9" s="465">
        <v>698.44202793768113</v>
      </c>
      <c r="DM9" s="465">
        <v>714.58202858328116</v>
      </c>
      <c r="DN9" s="465">
        <v>724.69802898792113</v>
      </c>
      <c r="DO9" s="465">
        <v>995.74203982968152</v>
      </c>
      <c r="DP9" s="465">
        <v>988.23603952944154</v>
      </c>
      <c r="DQ9" s="465">
        <v>695.73002782920105</v>
      </c>
      <c r="DR9" s="465">
        <v>700.66802802672112</v>
      </c>
      <c r="DS9" s="465">
        <v>581.51402326056086</v>
      </c>
      <c r="DT9" s="465">
        <v>703.82402815296109</v>
      </c>
      <c r="DU9" s="465">
        <v>288.91201155648042</v>
      </c>
      <c r="DV9" s="465">
        <v>342.87601371504053</v>
      </c>
      <c r="DW9" s="864">
        <v>356.93886122277559</v>
      </c>
      <c r="DX9" s="864">
        <v>451.36497270054605</v>
      </c>
      <c r="DY9" s="864">
        <v>592.37415251694972</v>
      </c>
      <c r="DZ9" s="864">
        <v>624.75550488990223</v>
      </c>
      <c r="EA9" s="864">
        <v>537.93124137517259</v>
      </c>
      <c r="EB9" s="864">
        <v>665.34469310613792</v>
      </c>
      <c r="EC9" s="864">
        <v>475.66448671026581</v>
      </c>
      <c r="ED9" s="864">
        <v>395</v>
      </c>
      <c r="EE9" s="864">
        <v>434</v>
      </c>
      <c r="EF9" s="864">
        <v>508</v>
      </c>
      <c r="EG9" s="864">
        <v>419</v>
      </c>
      <c r="EH9" s="864">
        <v>425</v>
      </c>
      <c r="EI9" s="865">
        <v>424</v>
      </c>
    </row>
    <row r="10" spans="1:510" ht="15.75" thickBot="1">
      <c r="A10" s="81" t="s">
        <v>1036</v>
      </c>
      <c r="B10" s="464">
        <v>7.5600003024000122</v>
      </c>
      <c r="C10" s="464">
        <v>6.0660002426400093</v>
      </c>
      <c r="D10" s="464">
        <v>1.5480000619200025</v>
      </c>
      <c r="E10" s="464">
        <v>1.326000053040002</v>
      </c>
      <c r="F10" s="464">
        <v>1.2000000480000019</v>
      </c>
      <c r="G10" s="464">
        <v>2.2680000907200037</v>
      </c>
      <c r="H10" s="464">
        <v>1.1580000463200018</v>
      </c>
      <c r="I10" s="464">
        <v>3.6900001476000059</v>
      </c>
      <c r="J10" s="464">
        <v>3.918000156720006</v>
      </c>
      <c r="K10" s="464">
        <v>0.48000001920000074</v>
      </c>
      <c r="L10" s="464">
        <v>0.72000002880000114</v>
      </c>
      <c r="M10" s="464">
        <v>1.4280000571200022</v>
      </c>
      <c r="N10" s="464">
        <v>5.9700002388000089</v>
      </c>
      <c r="O10" s="464">
        <v>5.0160002006400077</v>
      </c>
      <c r="P10" s="464">
        <v>4.8180001927200076</v>
      </c>
      <c r="Q10" s="464">
        <v>1.7460000698400027</v>
      </c>
      <c r="R10" s="464">
        <v>26.976001079040042</v>
      </c>
      <c r="S10" s="464">
        <v>3.4920001396800053</v>
      </c>
      <c r="T10" s="464">
        <v>25.71000102840004</v>
      </c>
      <c r="U10" s="464">
        <v>4.0620001624800066</v>
      </c>
      <c r="V10" s="464">
        <v>1.878000075120003</v>
      </c>
      <c r="W10" s="464">
        <v>1.5840000633600024</v>
      </c>
      <c r="X10" s="464">
        <v>1.5060000602400023</v>
      </c>
      <c r="Y10" s="464">
        <v>1.6680000667200026</v>
      </c>
      <c r="Z10" s="464">
        <v>0.6120000244800009</v>
      </c>
      <c r="AA10" s="464">
        <v>0.40200001608000063</v>
      </c>
      <c r="AB10" s="464">
        <v>1.260000050400002</v>
      </c>
      <c r="AC10" s="464">
        <v>1.218000048720002</v>
      </c>
      <c r="AD10" s="464">
        <v>60.468002418720097</v>
      </c>
      <c r="AE10" s="464">
        <v>56.724002268960085</v>
      </c>
      <c r="AF10" s="464">
        <v>1.212000048480002</v>
      </c>
      <c r="AG10" s="464">
        <v>0.98400003936000158</v>
      </c>
      <c r="AH10" s="464">
        <v>2.3460000938400039</v>
      </c>
      <c r="AI10" s="464">
        <v>0.90600003624000136</v>
      </c>
      <c r="AJ10" s="464">
        <v>6.7620002704800104</v>
      </c>
      <c r="AK10" s="464">
        <v>5.0520002020800074</v>
      </c>
      <c r="AL10" s="464">
        <v>5.0520002020800074</v>
      </c>
      <c r="AM10" s="464">
        <v>1.0920000436800017</v>
      </c>
      <c r="AN10" s="464">
        <v>1.8000000720000029</v>
      </c>
      <c r="AO10" s="464">
        <v>4.0740001629600062</v>
      </c>
      <c r="AP10" s="464">
        <v>4.4880001795200073</v>
      </c>
      <c r="AQ10" s="464">
        <v>5.5560002222400087</v>
      </c>
      <c r="AR10" s="464">
        <v>7.4520002980800113</v>
      </c>
      <c r="AS10" s="464">
        <v>2.4720000988800037</v>
      </c>
      <c r="AT10" s="464">
        <v>3.7500001500000057</v>
      </c>
      <c r="AU10" s="464">
        <v>1.6380000655200027</v>
      </c>
      <c r="AV10" s="464">
        <v>2.2620000904800035</v>
      </c>
      <c r="AW10" s="464">
        <v>1.1700000468000018</v>
      </c>
      <c r="AX10" s="464">
        <v>0.72000002880000114</v>
      </c>
      <c r="AY10" s="464">
        <v>2.3700000948000035</v>
      </c>
      <c r="AZ10" s="464">
        <v>2.1480000859200032</v>
      </c>
      <c r="BA10" s="464">
        <v>2.8560001142400044</v>
      </c>
      <c r="BB10" s="464">
        <v>6.6420002656800099</v>
      </c>
      <c r="BC10" s="464">
        <v>4.3260001730400068</v>
      </c>
      <c r="BD10" s="464">
        <v>5.6760002270400092</v>
      </c>
      <c r="BE10" s="464">
        <v>2.2860000914400036</v>
      </c>
      <c r="BF10" s="464">
        <v>1.0020000400800015</v>
      </c>
      <c r="BG10" s="464">
        <v>3.3180001327200053</v>
      </c>
      <c r="BH10" s="464">
        <v>2.8620001144800042</v>
      </c>
      <c r="BI10" s="464">
        <v>2.1600000864000033</v>
      </c>
      <c r="BJ10" s="464">
        <v>2.1060000842400033</v>
      </c>
      <c r="BK10" s="464">
        <v>2.1900000876000032</v>
      </c>
      <c r="BL10" s="464">
        <v>6.0420002416800092</v>
      </c>
      <c r="BM10" s="464">
        <v>2.2320000892800036</v>
      </c>
      <c r="BN10" s="464">
        <v>0.55200002208000087</v>
      </c>
      <c r="BO10" s="464">
        <v>0.88200003528000137</v>
      </c>
      <c r="BP10" s="464">
        <v>1.1940000477600019</v>
      </c>
      <c r="BQ10" s="464">
        <v>0.91800003672000141</v>
      </c>
      <c r="BR10" s="464">
        <v>1.7400000696000026</v>
      </c>
      <c r="BS10" s="464">
        <v>4.632000185280007</v>
      </c>
      <c r="BT10" s="464">
        <v>2.9760001190400045</v>
      </c>
      <c r="BU10" s="464">
        <v>0.76800003072000123</v>
      </c>
      <c r="BV10" s="464">
        <v>0.5340000213600008</v>
      </c>
      <c r="BW10" s="464">
        <v>1.2960000518400021</v>
      </c>
      <c r="BX10" s="464">
        <v>1.4640000585600024</v>
      </c>
      <c r="BY10" s="464">
        <v>1.266000050640002</v>
      </c>
      <c r="BZ10" s="464">
        <v>2.3520000940800037</v>
      </c>
      <c r="CA10" s="464">
        <v>2.5620001024800039</v>
      </c>
      <c r="CB10" s="464">
        <v>0.79200003168000122</v>
      </c>
      <c r="CC10" s="464">
        <v>2.0880000835200034</v>
      </c>
      <c r="CD10" s="464">
        <v>5.9640002385600095</v>
      </c>
      <c r="CE10" s="464">
        <v>4.7220001888800072</v>
      </c>
      <c r="CF10" s="464">
        <v>7.5720003028800118</v>
      </c>
      <c r="CG10" s="464">
        <v>5.9640002385600095</v>
      </c>
      <c r="CH10" s="464">
        <v>1.8360000734400028</v>
      </c>
      <c r="CI10" s="464">
        <v>1.6140000645600026</v>
      </c>
      <c r="CJ10" s="464">
        <v>0.90000003600000145</v>
      </c>
      <c r="CK10" s="464">
        <v>1.4400000576000023</v>
      </c>
      <c r="CL10" s="464">
        <v>1.2360000494400019</v>
      </c>
      <c r="CM10" s="464">
        <v>0.79800003192000124</v>
      </c>
      <c r="CN10" s="464">
        <v>0.43800001752000067</v>
      </c>
      <c r="CO10" s="464">
        <v>0.68400002736000109</v>
      </c>
      <c r="CP10" s="464">
        <v>0.72000002880000114</v>
      </c>
      <c r="CQ10" s="464">
        <v>3.6060001442400056</v>
      </c>
      <c r="CR10" s="464">
        <v>0.7620000304800012</v>
      </c>
      <c r="CS10" s="464">
        <v>0.6120000244800009</v>
      </c>
      <c r="CT10" s="464">
        <v>0.49800001992000076</v>
      </c>
      <c r="CU10" s="464">
        <v>0.62400002496000095</v>
      </c>
      <c r="CV10" s="464">
        <v>0.49800001992000076</v>
      </c>
      <c r="CW10" s="464">
        <v>0.54600002184000085</v>
      </c>
      <c r="CX10" s="464">
        <v>1.326000053040002</v>
      </c>
      <c r="CY10" s="464">
        <v>1.326000053040002</v>
      </c>
      <c r="CZ10" s="464">
        <v>3.960000158400006</v>
      </c>
      <c r="DA10" s="464">
        <v>4.266000170640007</v>
      </c>
      <c r="DB10" s="464">
        <v>5.346000213840008</v>
      </c>
      <c r="DC10" s="464">
        <v>5.7540002301600088</v>
      </c>
      <c r="DD10" s="464">
        <v>6.2880002515200095</v>
      </c>
      <c r="DE10" s="464">
        <v>5.2140002085600079</v>
      </c>
      <c r="DF10" s="464">
        <v>4.1760001670400069</v>
      </c>
      <c r="DG10" s="464">
        <v>2.0220000808800029</v>
      </c>
      <c r="DH10" s="464">
        <v>5.6820002272800085</v>
      </c>
      <c r="DI10" s="464">
        <v>0.94200003768000151</v>
      </c>
      <c r="DJ10" s="464">
        <v>1.1160000446400018</v>
      </c>
      <c r="DK10" s="464">
        <v>42.636001705440066</v>
      </c>
      <c r="DL10" s="464">
        <v>20.664000826560031</v>
      </c>
      <c r="DM10" s="464">
        <v>0.72000002880000114</v>
      </c>
      <c r="DN10" s="464">
        <v>1.890000075600003</v>
      </c>
      <c r="DO10" s="464">
        <v>5.346000213840008</v>
      </c>
      <c r="DP10" s="464">
        <v>6.0480002419200094</v>
      </c>
      <c r="DQ10" s="464">
        <v>3.0480001219200048</v>
      </c>
      <c r="DR10" s="464">
        <v>0.73200002928000119</v>
      </c>
      <c r="DS10" s="464">
        <v>3.6720001468800056</v>
      </c>
      <c r="DT10" s="464">
        <v>2.1600000864000033</v>
      </c>
      <c r="DU10" s="464">
        <v>0.72000002880000114</v>
      </c>
      <c r="DV10" s="464">
        <v>1.9440000777600031</v>
      </c>
      <c r="DW10" s="861">
        <v>1.2239755204895904</v>
      </c>
      <c r="DX10" s="861">
        <v>0.8639827203455932</v>
      </c>
      <c r="DY10" s="861">
        <v>1.0079798404031921</v>
      </c>
      <c r="DZ10" s="861">
        <v>1.2299754004919903</v>
      </c>
      <c r="EA10" s="861">
        <v>7.5598488030239404</v>
      </c>
      <c r="EB10" s="861">
        <v>2.8439431211375776</v>
      </c>
      <c r="EC10" s="861">
        <v>3.2639347213055743</v>
      </c>
      <c r="ED10" s="861">
        <v>3</v>
      </c>
      <c r="EE10" s="861">
        <v>3</v>
      </c>
      <c r="EF10" s="861">
        <v>3</v>
      </c>
      <c r="EG10" s="861">
        <v>3</v>
      </c>
      <c r="EH10" s="861">
        <v>3</v>
      </c>
      <c r="EI10" s="866">
        <v>3</v>
      </c>
    </row>
    <row r="11" spans="1:510" ht="16.5" thickTop="1" thickBot="1">
      <c r="A11" s="288" t="s">
        <v>97</v>
      </c>
      <c r="B11" s="466">
        <v>2026.5240810609632</v>
      </c>
      <c r="C11" s="466">
        <v>1780.0560712022427</v>
      </c>
      <c r="D11" s="466">
        <v>1715.7900686316027</v>
      </c>
      <c r="E11" s="466">
        <v>1739.8200695928026</v>
      </c>
      <c r="F11" s="466">
        <v>1782.2700712908027</v>
      </c>
      <c r="G11" s="466">
        <v>2008.3140803325632</v>
      </c>
      <c r="H11" s="466">
        <v>2168.6880867475234</v>
      </c>
      <c r="I11" s="466">
        <v>2584.9141033965639</v>
      </c>
      <c r="J11" s="466">
        <v>2943.6121177444847</v>
      </c>
      <c r="K11" s="466">
        <v>3014.3641205745648</v>
      </c>
      <c r="L11" s="466">
        <v>3178.4281271371251</v>
      </c>
      <c r="M11" s="466">
        <v>3192.6421277056847</v>
      </c>
      <c r="N11" s="466">
        <v>3024.2461209698449</v>
      </c>
      <c r="O11" s="466">
        <v>2075.3100830124031</v>
      </c>
      <c r="P11" s="466">
        <v>2234.3640893745633</v>
      </c>
      <c r="Q11" s="466">
        <v>1932.0780772831231</v>
      </c>
      <c r="R11" s="466">
        <v>2158.4940863397633</v>
      </c>
      <c r="S11" s="466">
        <v>2256.1740902469637</v>
      </c>
      <c r="T11" s="466">
        <v>2317.7760927110435</v>
      </c>
      <c r="U11" s="466">
        <v>2577.924103116964</v>
      </c>
      <c r="V11" s="466">
        <v>3065.5321226212845</v>
      </c>
      <c r="W11" s="466">
        <v>2592.1921036876838</v>
      </c>
      <c r="X11" s="466">
        <v>2505.462100218484</v>
      </c>
      <c r="Y11" s="466">
        <v>2709.3301083732044</v>
      </c>
      <c r="Z11" s="466">
        <v>2033.3760813350432</v>
      </c>
      <c r="AA11" s="466">
        <v>3022.5961209038446</v>
      </c>
      <c r="AB11" s="466">
        <v>3907.9981563199262</v>
      </c>
      <c r="AC11" s="466">
        <v>3437.6701375068055</v>
      </c>
      <c r="AD11" s="466">
        <v>3650.2921460116859</v>
      </c>
      <c r="AE11" s="466">
        <v>4131.5581652623268</v>
      </c>
      <c r="AF11" s="466">
        <v>2927.8861171154444</v>
      </c>
      <c r="AG11" s="466">
        <v>3378.1921351276851</v>
      </c>
      <c r="AH11" s="466">
        <v>3021.5641208625648</v>
      </c>
      <c r="AI11" s="466">
        <v>2821.4521128580845</v>
      </c>
      <c r="AJ11" s="466">
        <v>3206.6161282646449</v>
      </c>
      <c r="AK11" s="466">
        <v>2937.4081174963244</v>
      </c>
      <c r="AL11" s="466">
        <v>2377.7700951108036</v>
      </c>
      <c r="AM11" s="466">
        <v>2816.0461126418445</v>
      </c>
      <c r="AN11" s="466">
        <v>2727.8461091138442</v>
      </c>
      <c r="AO11" s="466">
        <v>2912.5981165039248</v>
      </c>
      <c r="AP11" s="466">
        <v>3236.6641294665651</v>
      </c>
      <c r="AQ11" s="466">
        <v>3411.8641364745654</v>
      </c>
      <c r="AR11" s="466">
        <v>3105.8881242355246</v>
      </c>
      <c r="AS11" s="466">
        <v>2452.7100981084036</v>
      </c>
      <c r="AT11" s="466">
        <v>2498.6340999453637</v>
      </c>
      <c r="AU11" s="466">
        <v>2523.408100936324</v>
      </c>
      <c r="AV11" s="466">
        <v>2368.3860947354437</v>
      </c>
      <c r="AW11" s="466">
        <v>1711.1160684446427</v>
      </c>
      <c r="AX11" s="466">
        <v>1864.7820745912829</v>
      </c>
      <c r="AY11" s="466">
        <v>1660.1340664053625</v>
      </c>
      <c r="AZ11" s="466">
        <v>1777.8420711136828</v>
      </c>
      <c r="BA11" s="466">
        <v>1761.8880704755227</v>
      </c>
      <c r="BB11" s="466">
        <v>1984.5000793800032</v>
      </c>
      <c r="BC11" s="466">
        <v>2180.3700872148033</v>
      </c>
      <c r="BD11" s="466">
        <v>2301.2460920498434</v>
      </c>
      <c r="BE11" s="466">
        <v>2493.330099733204</v>
      </c>
      <c r="BF11" s="466">
        <v>2387.8080955123237</v>
      </c>
      <c r="BG11" s="466">
        <v>2542.8541017141638</v>
      </c>
      <c r="BH11" s="466">
        <v>2590.7041036281639</v>
      </c>
      <c r="BI11" s="466">
        <v>2018.0940807237632</v>
      </c>
      <c r="BJ11" s="466">
        <v>2044.5480817819232</v>
      </c>
      <c r="BK11" s="466">
        <v>1824.7500729900028</v>
      </c>
      <c r="BL11" s="466">
        <v>1937.8080775123231</v>
      </c>
      <c r="BM11" s="466">
        <v>2021.5980808639231</v>
      </c>
      <c r="BN11" s="466">
        <v>2113.4400845376031</v>
      </c>
      <c r="BO11" s="466">
        <v>2042.3700816948033</v>
      </c>
      <c r="BP11" s="466">
        <v>2188.3080875323235</v>
      </c>
      <c r="BQ11" s="466">
        <v>2151.6960860678432</v>
      </c>
      <c r="BR11" s="466">
        <v>1861.7400744696029</v>
      </c>
      <c r="BS11" s="466">
        <v>2105.0100842004031</v>
      </c>
      <c r="BT11" s="466">
        <v>1590.9000636360024</v>
      </c>
      <c r="BU11" s="466">
        <v>1342.8180537127221</v>
      </c>
      <c r="BV11" s="466">
        <v>1166.5020466600818</v>
      </c>
      <c r="BW11" s="466">
        <v>1027.9440411177616</v>
      </c>
      <c r="BX11" s="466">
        <v>1004.8500401940015</v>
      </c>
      <c r="BY11" s="466">
        <v>972.01203888048155</v>
      </c>
      <c r="BZ11" s="466">
        <v>936.42003745680142</v>
      </c>
      <c r="CA11" s="466">
        <v>856.56603426264132</v>
      </c>
      <c r="CB11" s="466">
        <v>827.36403309456125</v>
      </c>
      <c r="CC11" s="466">
        <v>919.03203676128146</v>
      </c>
      <c r="CD11" s="466">
        <v>864.54603458184135</v>
      </c>
      <c r="CE11" s="466">
        <v>1105.3260442130418</v>
      </c>
      <c r="CF11" s="466">
        <v>1356.3000542520022</v>
      </c>
      <c r="CG11" s="466">
        <v>1371.7620548704822</v>
      </c>
      <c r="CH11" s="466">
        <v>1225.896049035842</v>
      </c>
      <c r="CI11" s="466">
        <v>1242.9960497198419</v>
      </c>
      <c r="CJ11" s="466">
        <v>1295.928051837122</v>
      </c>
      <c r="CK11" s="466">
        <v>1322.2740528909621</v>
      </c>
      <c r="CL11" s="466">
        <v>1428.3060571322421</v>
      </c>
      <c r="CM11" s="466">
        <v>1465.5420586216824</v>
      </c>
      <c r="CN11" s="466">
        <v>1345.6980538279222</v>
      </c>
      <c r="CO11" s="466">
        <v>1298.6820519472819</v>
      </c>
      <c r="CP11" s="466">
        <v>1265.1540506061619</v>
      </c>
      <c r="CQ11" s="466">
        <v>1311.8340524733621</v>
      </c>
      <c r="CR11" s="466">
        <v>1146.6360458654417</v>
      </c>
      <c r="CS11" s="466">
        <v>1001.7180400687215</v>
      </c>
      <c r="CT11" s="466">
        <v>919.44003677760145</v>
      </c>
      <c r="CU11" s="466">
        <v>965.65203862608155</v>
      </c>
      <c r="CV11" s="466">
        <v>1170.7500468300018</v>
      </c>
      <c r="CW11" s="466">
        <v>1037.6520415060816</v>
      </c>
      <c r="CX11" s="466">
        <v>1336.9260534770422</v>
      </c>
      <c r="CY11" s="466">
        <v>1112.3160444926418</v>
      </c>
      <c r="CZ11" s="466">
        <v>1294.6680517867221</v>
      </c>
      <c r="DA11" s="466">
        <v>1122.5760449030417</v>
      </c>
      <c r="DB11" s="466">
        <v>1313.9580525583222</v>
      </c>
      <c r="DC11" s="466">
        <v>1408.5540563421621</v>
      </c>
      <c r="DD11" s="466">
        <v>1311.4440524577619</v>
      </c>
      <c r="DE11" s="466">
        <v>1081.7280432691216</v>
      </c>
      <c r="DF11" s="466">
        <v>1451.3700580548023</v>
      </c>
      <c r="DG11" s="466">
        <v>1016.6880406675216</v>
      </c>
      <c r="DH11" s="466">
        <v>1273.650050946002</v>
      </c>
      <c r="DI11" s="466">
        <v>1192.7760477110419</v>
      </c>
      <c r="DJ11" s="466">
        <v>1104.9480441979217</v>
      </c>
      <c r="DK11" s="466">
        <v>1278.330051133202</v>
      </c>
      <c r="DL11" s="466">
        <v>1220.682048827282</v>
      </c>
      <c r="DM11" s="466">
        <v>1241.7720496708819</v>
      </c>
      <c r="DN11" s="466">
        <v>1266.4740506589619</v>
      </c>
      <c r="DO11" s="466">
        <v>1513.9740605589623</v>
      </c>
      <c r="DP11" s="466">
        <v>1501.3260600530423</v>
      </c>
      <c r="DQ11" s="466">
        <v>1162.3020464920819</v>
      </c>
      <c r="DR11" s="466">
        <v>1169.0460467618418</v>
      </c>
      <c r="DS11" s="466">
        <v>1067.2560426902417</v>
      </c>
      <c r="DT11" s="466">
        <v>1265.0160506006421</v>
      </c>
      <c r="DU11" s="466">
        <v>749.95202999808112</v>
      </c>
      <c r="DV11" s="466">
        <v>820.1820328072813</v>
      </c>
      <c r="DW11" s="871">
        <v>816.64966700665991</v>
      </c>
      <c r="DX11" s="871">
        <v>916.79966400671992</v>
      </c>
      <c r="DY11" s="871">
        <v>1150.7529849403013</v>
      </c>
      <c r="DZ11" s="871">
        <v>1110.3197936041281</v>
      </c>
      <c r="EA11" s="871">
        <v>1022.6975460490792</v>
      </c>
      <c r="EB11" s="871">
        <v>1139.0112197756046</v>
      </c>
      <c r="EC11" s="869">
        <v>928.11543769124614</v>
      </c>
      <c r="ED11" s="869">
        <v>1039</v>
      </c>
      <c r="EE11" s="869">
        <v>1104</v>
      </c>
      <c r="EF11" s="869">
        <v>1223</v>
      </c>
      <c r="EG11" s="869">
        <v>1166</v>
      </c>
      <c r="EH11" s="869">
        <v>1160</v>
      </c>
      <c r="EI11" s="870">
        <v>1208</v>
      </c>
    </row>
    <row r="12" spans="1:510" s="967" customFormat="1" ht="11.25">
      <c r="A12" s="965"/>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c r="CB12" s="966"/>
      <c r="CC12" s="966"/>
      <c r="CD12" s="966"/>
      <c r="CE12" s="966"/>
      <c r="CF12" s="966"/>
      <c r="CG12" s="966"/>
      <c r="CH12" s="966"/>
      <c r="CI12" s="966"/>
      <c r="CJ12" s="966"/>
      <c r="CK12" s="966"/>
      <c r="CL12" s="966"/>
      <c r="CM12" s="966"/>
      <c r="CN12" s="966"/>
      <c r="CO12" s="966"/>
      <c r="CP12" s="966"/>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row>
    <row r="13" spans="1:510" s="970" customFormat="1" ht="14.25" hidden="1" customHeight="1">
      <c r="A13" s="968"/>
      <c r="B13" s="969">
        <f>YEAR(B7)</f>
        <v>2010</v>
      </c>
      <c r="C13" s="969">
        <f t="shared" ref="C13:BA13" si="11">YEAR(C7)</f>
        <v>2010</v>
      </c>
      <c r="D13" s="969">
        <f t="shared" si="11"/>
        <v>2010</v>
      </c>
      <c r="E13" s="969">
        <f t="shared" si="11"/>
        <v>2010</v>
      </c>
      <c r="F13" s="969">
        <f t="shared" si="11"/>
        <v>2010</v>
      </c>
      <c r="G13" s="969">
        <f t="shared" si="11"/>
        <v>2010</v>
      </c>
      <c r="H13" s="969">
        <f t="shared" si="11"/>
        <v>2010</v>
      </c>
      <c r="I13" s="969">
        <f t="shared" si="11"/>
        <v>2010</v>
      </c>
      <c r="J13" s="969">
        <f t="shared" si="11"/>
        <v>2010</v>
      </c>
      <c r="K13" s="969">
        <f t="shared" si="11"/>
        <v>2010</v>
      </c>
      <c r="L13" s="969">
        <f t="shared" si="11"/>
        <v>2010</v>
      </c>
      <c r="M13" s="969">
        <f t="shared" si="11"/>
        <v>2010</v>
      </c>
      <c r="N13" s="969">
        <f t="shared" si="11"/>
        <v>2011</v>
      </c>
      <c r="O13" s="969">
        <f t="shared" si="11"/>
        <v>2011</v>
      </c>
      <c r="P13" s="969">
        <f t="shared" si="11"/>
        <v>2011</v>
      </c>
      <c r="Q13" s="969">
        <f t="shared" si="11"/>
        <v>2011</v>
      </c>
      <c r="R13" s="969">
        <f t="shared" si="11"/>
        <v>2011</v>
      </c>
      <c r="S13" s="969">
        <f t="shared" si="11"/>
        <v>2011</v>
      </c>
      <c r="T13" s="969">
        <f t="shared" si="11"/>
        <v>2011</v>
      </c>
      <c r="U13" s="969">
        <f t="shared" si="11"/>
        <v>2011</v>
      </c>
      <c r="V13" s="969">
        <f t="shared" si="11"/>
        <v>2011</v>
      </c>
      <c r="W13" s="969">
        <f t="shared" si="11"/>
        <v>2011</v>
      </c>
      <c r="X13" s="969">
        <f t="shared" si="11"/>
        <v>2011</v>
      </c>
      <c r="Y13" s="969">
        <f t="shared" si="11"/>
        <v>2011</v>
      </c>
      <c r="Z13" s="969">
        <f t="shared" si="11"/>
        <v>2012</v>
      </c>
      <c r="AA13" s="969">
        <f t="shared" si="11"/>
        <v>2012</v>
      </c>
      <c r="AB13" s="969">
        <f t="shared" si="11"/>
        <v>2012</v>
      </c>
      <c r="AC13" s="969">
        <f t="shared" si="11"/>
        <v>2012</v>
      </c>
      <c r="AD13" s="969">
        <f t="shared" si="11"/>
        <v>2012</v>
      </c>
      <c r="AE13" s="969">
        <f t="shared" si="11"/>
        <v>2012</v>
      </c>
      <c r="AF13" s="969">
        <f t="shared" si="11"/>
        <v>2012</v>
      </c>
      <c r="AG13" s="969">
        <f t="shared" si="11"/>
        <v>2012</v>
      </c>
      <c r="AH13" s="969">
        <f t="shared" si="11"/>
        <v>2012</v>
      </c>
      <c r="AI13" s="969">
        <f t="shared" si="11"/>
        <v>2012</v>
      </c>
      <c r="AJ13" s="969">
        <f t="shared" si="11"/>
        <v>2012</v>
      </c>
      <c r="AK13" s="969">
        <f t="shared" si="11"/>
        <v>2012</v>
      </c>
      <c r="AL13" s="969">
        <f t="shared" si="11"/>
        <v>2013</v>
      </c>
      <c r="AM13" s="969">
        <f t="shared" si="11"/>
        <v>2013</v>
      </c>
      <c r="AN13" s="969">
        <f t="shared" si="11"/>
        <v>2013</v>
      </c>
      <c r="AO13" s="969">
        <f t="shared" si="11"/>
        <v>2013</v>
      </c>
      <c r="AP13" s="969">
        <f t="shared" si="11"/>
        <v>2013</v>
      </c>
      <c r="AQ13" s="969">
        <f t="shared" si="11"/>
        <v>2013</v>
      </c>
      <c r="AR13" s="969">
        <f t="shared" si="11"/>
        <v>2013</v>
      </c>
      <c r="AS13" s="969">
        <f t="shared" si="11"/>
        <v>2013</v>
      </c>
      <c r="AT13" s="969">
        <f t="shared" si="11"/>
        <v>2013</v>
      </c>
      <c r="AU13" s="969">
        <f t="shared" si="11"/>
        <v>2013</v>
      </c>
      <c r="AV13" s="969">
        <f t="shared" si="11"/>
        <v>2013</v>
      </c>
      <c r="AW13" s="969">
        <f t="shared" si="11"/>
        <v>2013</v>
      </c>
      <c r="AX13" s="969">
        <f t="shared" si="11"/>
        <v>2014</v>
      </c>
      <c r="AY13" s="969">
        <f t="shared" si="11"/>
        <v>2014</v>
      </c>
      <c r="AZ13" s="969">
        <f t="shared" si="11"/>
        <v>2014</v>
      </c>
      <c r="BA13" s="969">
        <f t="shared" si="11"/>
        <v>2014</v>
      </c>
      <c r="BB13" s="969">
        <f t="shared" ref="BB13:DM13" si="12">YEAR(BB7)</f>
        <v>2014</v>
      </c>
      <c r="BC13" s="969">
        <f t="shared" si="12"/>
        <v>2014</v>
      </c>
      <c r="BD13" s="969">
        <f t="shared" si="12"/>
        <v>2014</v>
      </c>
      <c r="BE13" s="969">
        <f t="shared" si="12"/>
        <v>2014</v>
      </c>
      <c r="BF13" s="969">
        <f t="shared" si="12"/>
        <v>2014</v>
      </c>
      <c r="BG13" s="969">
        <f t="shared" si="12"/>
        <v>2014</v>
      </c>
      <c r="BH13" s="969">
        <f t="shared" si="12"/>
        <v>2014</v>
      </c>
      <c r="BI13" s="969">
        <f t="shared" si="12"/>
        <v>2014</v>
      </c>
      <c r="BJ13" s="969">
        <f t="shared" si="12"/>
        <v>2015</v>
      </c>
      <c r="BK13" s="969">
        <f t="shared" si="12"/>
        <v>2015</v>
      </c>
      <c r="BL13" s="969">
        <f t="shared" si="12"/>
        <v>2015</v>
      </c>
      <c r="BM13" s="969">
        <f t="shared" si="12"/>
        <v>2015</v>
      </c>
      <c r="BN13" s="969">
        <f t="shared" si="12"/>
        <v>2015</v>
      </c>
      <c r="BO13" s="969">
        <f t="shared" si="12"/>
        <v>2015</v>
      </c>
      <c r="BP13" s="969">
        <f t="shared" si="12"/>
        <v>2015</v>
      </c>
      <c r="BQ13" s="969">
        <f t="shared" si="12"/>
        <v>2015</v>
      </c>
      <c r="BR13" s="969">
        <f t="shared" si="12"/>
        <v>2015</v>
      </c>
      <c r="BS13" s="969">
        <f t="shared" si="12"/>
        <v>2015</v>
      </c>
      <c r="BT13" s="969">
        <f t="shared" si="12"/>
        <v>2015</v>
      </c>
      <c r="BU13" s="969">
        <f t="shared" si="12"/>
        <v>2015</v>
      </c>
      <c r="BV13" s="969">
        <f t="shared" si="12"/>
        <v>2016</v>
      </c>
      <c r="BW13" s="969">
        <f t="shared" si="12"/>
        <v>2016</v>
      </c>
      <c r="BX13" s="969">
        <f t="shared" si="12"/>
        <v>2016</v>
      </c>
      <c r="BY13" s="969">
        <f t="shared" si="12"/>
        <v>2016</v>
      </c>
      <c r="BZ13" s="969">
        <f t="shared" si="12"/>
        <v>2016</v>
      </c>
      <c r="CA13" s="969">
        <f t="shared" si="12"/>
        <v>2016</v>
      </c>
      <c r="CB13" s="969">
        <f t="shared" si="12"/>
        <v>2016</v>
      </c>
      <c r="CC13" s="969">
        <f t="shared" si="12"/>
        <v>2016</v>
      </c>
      <c r="CD13" s="969">
        <f t="shared" si="12"/>
        <v>2016</v>
      </c>
      <c r="CE13" s="969">
        <f t="shared" si="12"/>
        <v>2016</v>
      </c>
      <c r="CF13" s="969">
        <f t="shared" si="12"/>
        <v>2016</v>
      </c>
      <c r="CG13" s="969">
        <f t="shared" si="12"/>
        <v>2016</v>
      </c>
      <c r="CH13" s="969">
        <f t="shared" si="12"/>
        <v>2017</v>
      </c>
      <c r="CI13" s="969">
        <f t="shared" si="12"/>
        <v>2017</v>
      </c>
      <c r="CJ13" s="969">
        <f t="shared" si="12"/>
        <v>2017</v>
      </c>
      <c r="CK13" s="969">
        <f t="shared" si="12"/>
        <v>2017</v>
      </c>
      <c r="CL13" s="969">
        <f t="shared" si="12"/>
        <v>2017</v>
      </c>
      <c r="CM13" s="969">
        <f t="shared" si="12"/>
        <v>2017</v>
      </c>
      <c r="CN13" s="969">
        <f t="shared" si="12"/>
        <v>2017</v>
      </c>
      <c r="CO13" s="969">
        <f t="shared" si="12"/>
        <v>2017</v>
      </c>
      <c r="CP13" s="969">
        <f t="shared" si="12"/>
        <v>2017</v>
      </c>
      <c r="CQ13" s="969">
        <f t="shared" si="12"/>
        <v>2017</v>
      </c>
      <c r="CR13" s="969">
        <f t="shared" si="12"/>
        <v>2017</v>
      </c>
      <c r="CS13" s="969">
        <f t="shared" si="12"/>
        <v>2017</v>
      </c>
      <c r="CT13" s="969">
        <f t="shared" si="12"/>
        <v>2018</v>
      </c>
      <c r="CU13" s="969">
        <f t="shared" si="12"/>
        <v>2018</v>
      </c>
      <c r="CV13" s="969">
        <f t="shared" si="12"/>
        <v>2018</v>
      </c>
      <c r="CW13" s="969">
        <f t="shared" si="12"/>
        <v>2018</v>
      </c>
      <c r="CX13" s="969">
        <f t="shared" si="12"/>
        <v>2018</v>
      </c>
      <c r="CY13" s="969">
        <f t="shared" si="12"/>
        <v>2018</v>
      </c>
      <c r="CZ13" s="969">
        <f t="shared" si="12"/>
        <v>2018</v>
      </c>
      <c r="DA13" s="969">
        <f t="shared" si="12"/>
        <v>2018</v>
      </c>
      <c r="DB13" s="969">
        <f t="shared" si="12"/>
        <v>2018</v>
      </c>
      <c r="DC13" s="969">
        <f t="shared" si="12"/>
        <v>2018</v>
      </c>
      <c r="DD13" s="969">
        <f t="shared" si="12"/>
        <v>2018</v>
      </c>
      <c r="DE13" s="969">
        <f t="shared" si="12"/>
        <v>2018</v>
      </c>
      <c r="DF13" s="969">
        <f t="shared" si="12"/>
        <v>2019</v>
      </c>
      <c r="DG13" s="969">
        <f t="shared" si="12"/>
        <v>2019</v>
      </c>
      <c r="DH13" s="969">
        <f t="shared" si="12"/>
        <v>2019</v>
      </c>
      <c r="DI13" s="969">
        <f t="shared" si="12"/>
        <v>2019</v>
      </c>
      <c r="DJ13" s="969">
        <f t="shared" si="12"/>
        <v>2019</v>
      </c>
      <c r="DK13" s="969">
        <f t="shared" si="12"/>
        <v>2019</v>
      </c>
      <c r="DL13" s="969">
        <f t="shared" si="12"/>
        <v>2019</v>
      </c>
      <c r="DM13" s="969">
        <f t="shared" si="12"/>
        <v>2019</v>
      </c>
      <c r="DN13" s="969">
        <f t="shared" ref="DN13:GK13" si="13">YEAR(DN7)</f>
        <v>2019</v>
      </c>
      <c r="DO13" s="969">
        <f t="shared" si="13"/>
        <v>2019</v>
      </c>
      <c r="DP13" s="969">
        <f t="shared" si="13"/>
        <v>2019</v>
      </c>
      <c r="DQ13" s="969">
        <f t="shared" si="13"/>
        <v>2019</v>
      </c>
      <c r="DR13" s="969">
        <f t="shared" si="13"/>
        <v>2020</v>
      </c>
      <c r="DS13" s="969">
        <f t="shared" si="13"/>
        <v>2020</v>
      </c>
      <c r="DT13" s="969">
        <f t="shared" si="13"/>
        <v>2020</v>
      </c>
      <c r="DU13" s="969">
        <f t="shared" si="13"/>
        <v>2020</v>
      </c>
      <c r="DV13" s="969">
        <f t="shared" si="13"/>
        <v>2020</v>
      </c>
      <c r="DW13" s="969">
        <f t="shared" si="13"/>
        <v>2020</v>
      </c>
      <c r="DX13" s="969">
        <f t="shared" si="13"/>
        <v>2020</v>
      </c>
      <c r="DY13" s="969">
        <f t="shared" si="13"/>
        <v>2020</v>
      </c>
      <c r="DZ13" s="969">
        <f t="shared" si="13"/>
        <v>2020</v>
      </c>
      <c r="EA13" s="969">
        <f t="shared" si="13"/>
        <v>2020</v>
      </c>
      <c r="EB13" s="969">
        <f t="shared" si="13"/>
        <v>2020</v>
      </c>
      <c r="EC13" s="969">
        <f t="shared" si="13"/>
        <v>2020</v>
      </c>
      <c r="ED13" s="969">
        <f t="shared" si="13"/>
        <v>2021</v>
      </c>
      <c r="EE13" s="969">
        <f t="shared" si="13"/>
        <v>2021</v>
      </c>
      <c r="EF13" s="969">
        <f t="shared" si="13"/>
        <v>2021</v>
      </c>
      <c r="EG13" s="969">
        <f t="shared" si="13"/>
        <v>2021</v>
      </c>
      <c r="EH13" s="969">
        <f t="shared" si="13"/>
        <v>2021</v>
      </c>
      <c r="EI13" s="969">
        <f t="shared" si="13"/>
        <v>2021</v>
      </c>
      <c r="EJ13" s="969">
        <f t="shared" si="13"/>
        <v>2021</v>
      </c>
      <c r="EK13" s="969">
        <f t="shared" si="13"/>
        <v>2021</v>
      </c>
      <c r="EL13" s="969">
        <f t="shared" si="13"/>
        <v>2021</v>
      </c>
      <c r="EM13" s="969">
        <f t="shared" si="13"/>
        <v>2021</v>
      </c>
      <c r="EN13" s="969">
        <f t="shared" si="13"/>
        <v>2021</v>
      </c>
      <c r="EO13" s="969">
        <f t="shared" si="13"/>
        <v>2021</v>
      </c>
      <c r="EP13" s="969">
        <f t="shared" si="13"/>
        <v>1900</v>
      </c>
      <c r="EQ13" s="969">
        <f t="shared" si="13"/>
        <v>1900</v>
      </c>
      <c r="ER13" s="969">
        <f t="shared" si="13"/>
        <v>1900</v>
      </c>
      <c r="ES13" s="969">
        <f t="shared" si="13"/>
        <v>1900</v>
      </c>
      <c r="ET13" s="969">
        <f t="shared" si="13"/>
        <v>1900</v>
      </c>
      <c r="EU13" s="969">
        <f t="shared" si="13"/>
        <v>1900</v>
      </c>
      <c r="EV13" s="969">
        <f t="shared" si="13"/>
        <v>1900</v>
      </c>
      <c r="EW13" s="969">
        <f t="shared" si="13"/>
        <v>1900</v>
      </c>
      <c r="EX13" s="969">
        <f t="shared" si="13"/>
        <v>1900</v>
      </c>
      <c r="EY13" s="969">
        <f t="shared" si="13"/>
        <v>1900</v>
      </c>
      <c r="EZ13" s="969">
        <f t="shared" si="13"/>
        <v>1900</v>
      </c>
      <c r="FA13" s="969">
        <f t="shared" si="13"/>
        <v>1900</v>
      </c>
      <c r="FB13" s="969">
        <f t="shared" si="13"/>
        <v>1900</v>
      </c>
      <c r="FC13" s="969">
        <f t="shared" si="13"/>
        <v>1900</v>
      </c>
      <c r="FD13" s="969">
        <f t="shared" si="13"/>
        <v>1900</v>
      </c>
      <c r="FE13" s="969">
        <f t="shared" si="13"/>
        <v>1900</v>
      </c>
      <c r="FF13" s="969">
        <f t="shared" si="13"/>
        <v>1900</v>
      </c>
      <c r="FG13" s="969">
        <f t="shared" si="13"/>
        <v>1900</v>
      </c>
      <c r="FH13" s="969">
        <f t="shared" si="13"/>
        <v>1900</v>
      </c>
      <c r="FI13" s="969">
        <f t="shared" si="13"/>
        <v>1900</v>
      </c>
      <c r="FJ13" s="969">
        <f t="shared" si="13"/>
        <v>1900</v>
      </c>
      <c r="FK13" s="969">
        <f t="shared" si="13"/>
        <v>1900</v>
      </c>
      <c r="FL13" s="969">
        <f t="shared" si="13"/>
        <v>1900</v>
      </c>
      <c r="FM13" s="969">
        <f t="shared" si="13"/>
        <v>1900</v>
      </c>
      <c r="FN13" s="969">
        <f t="shared" si="13"/>
        <v>1900</v>
      </c>
      <c r="FO13" s="969">
        <f t="shared" si="13"/>
        <v>1900</v>
      </c>
      <c r="FP13" s="969">
        <f t="shared" si="13"/>
        <v>1900</v>
      </c>
      <c r="FQ13" s="969">
        <f t="shared" si="13"/>
        <v>1900</v>
      </c>
      <c r="FR13" s="969">
        <f t="shared" si="13"/>
        <v>1900</v>
      </c>
      <c r="FS13" s="969">
        <f t="shared" si="13"/>
        <v>1900</v>
      </c>
      <c r="FT13" s="969">
        <f t="shared" si="13"/>
        <v>1900</v>
      </c>
      <c r="FU13" s="969">
        <f t="shared" si="13"/>
        <v>1900</v>
      </c>
      <c r="FV13" s="969">
        <f t="shared" si="13"/>
        <v>1900</v>
      </c>
      <c r="FW13" s="969">
        <f t="shared" si="13"/>
        <v>1900</v>
      </c>
      <c r="FX13" s="969">
        <f t="shared" si="13"/>
        <v>1900</v>
      </c>
      <c r="FY13" s="969">
        <f t="shared" si="13"/>
        <v>1900</v>
      </c>
      <c r="FZ13" s="969">
        <f t="shared" si="13"/>
        <v>1900</v>
      </c>
      <c r="GA13" s="969">
        <f t="shared" si="13"/>
        <v>1900</v>
      </c>
      <c r="GB13" s="969">
        <f t="shared" si="13"/>
        <v>1900</v>
      </c>
      <c r="GC13" s="969">
        <f t="shared" si="13"/>
        <v>1900</v>
      </c>
      <c r="GD13" s="969">
        <f t="shared" si="13"/>
        <v>1900</v>
      </c>
      <c r="GE13" s="969">
        <f t="shared" si="13"/>
        <v>1900</v>
      </c>
      <c r="GF13" s="969">
        <f t="shared" si="13"/>
        <v>1900</v>
      </c>
      <c r="GG13" s="969">
        <f t="shared" si="13"/>
        <v>1900</v>
      </c>
      <c r="GH13" s="969">
        <f t="shared" si="13"/>
        <v>1900</v>
      </c>
      <c r="GI13" s="969">
        <f t="shared" si="13"/>
        <v>1900</v>
      </c>
      <c r="GJ13" s="969">
        <f t="shared" si="13"/>
        <v>1900</v>
      </c>
      <c r="GK13" s="969">
        <f t="shared" si="13"/>
        <v>1900</v>
      </c>
      <c r="GL13" s="969">
        <f t="shared" ref="GL13:IW13" si="14">YEAR(GL7)</f>
        <v>1900</v>
      </c>
      <c r="GM13" s="969">
        <f t="shared" si="14"/>
        <v>1900</v>
      </c>
      <c r="GN13" s="969">
        <f t="shared" si="14"/>
        <v>1900</v>
      </c>
      <c r="GO13" s="969">
        <f t="shared" si="14"/>
        <v>1900</v>
      </c>
      <c r="GP13" s="969">
        <f t="shared" si="14"/>
        <v>1900</v>
      </c>
      <c r="GQ13" s="969">
        <f t="shared" si="14"/>
        <v>1900</v>
      </c>
      <c r="GR13" s="969">
        <f t="shared" si="14"/>
        <v>1900</v>
      </c>
      <c r="GS13" s="969">
        <f t="shared" si="14"/>
        <v>1900</v>
      </c>
      <c r="GT13" s="969">
        <f t="shared" si="14"/>
        <v>1900</v>
      </c>
      <c r="GU13" s="969">
        <f t="shared" si="14"/>
        <v>1900</v>
      </c>
      <c r="GV13" s="969">
        <f t="shared" si="14"/>
        <v>1900</v>
      </c>
      <c r="GW13" s="969">
        <f t="shared" si="14"/>
        <v>1900</v>
      </c>
      <c r="GX13" s="969">
        <f t="shared" si="14"/>
        <v>1900</v>
      </c>
      <c r="GY13" s="969">
        <f t="shared" si="14"/>
        <v>1900</v>
      </c>
      <c r="GZ13" s="969">
        <f t="shared" si="14"/>
        <v>1900</v>
      </c>
      <c r="HA13" s="969">
        <f t="shared" si="14"/>
        <v>1900</v>
      </c>
      <c r="HB13" s="969">
        <f t="shared" si="14"/>
        <v>1900</v>
      </c>
      <c r="HC13" s="969">
        <f t="shared" si="14"/>
        <v>1900</v>
      </c>
      <c r="HD13" s="969">
        <f t="shared" si="14"/>
        <v>1900</v>
      </c>
      <c r="HE13" s="969">
        <f t="shared" si="14"/>
        <v>1900</v>
      </c>
      <c r="HF13" s="969">
        <f t="shared" si="14"/>
        <v>1900</v>
      </c>
      <c r="HG13" s="969">
        <f t="shared" si="14"/>
        <v>1900</v>
      </c>
      <c r="HH13" s="969">
        <f t="shared" si="14"/>
        <v>1900</v>
      </c>
      <c r="HI13" s="969">
        <f t="shared" si="14"/>
        <v>1900</v>
      </c>
      <c r="HJ13" s="969">
        <f t="shared" si="14"/>
        <v>1900</v>
      </c>
      <c r="HK13" s="969">
        <f t="shared" si="14"/>
        <v>1900</v>
      </c>
      <c r="HL13" s="969">
        <f t="shared" si="14"/>
        <v>1900</v>
      </c>
      <c r="HM13" s="969">
        <f t="shared" si="14"/>
        <v>1900</v>
      </c>
      <c r="HN13" s="969">
        <f t="shared" si="14"/>
        <v>1900</v>
      </c>
      <c r="HO13" s="969">
        <f t="shared" si="14"/>
        <v>1900</v>
      </c>
      <c r="HP13" s="969">
        <f t="shared" si="14"/>
        <v>1900</v>
      </c>
      <c r="HQ13" s="969">
        <f t="shared" si="14"/>
        <v>1900</v>
      </c>
      <c r="HR13" s="969">
        <f t="shared" si="14"/>
        <v>1900</v>
      </c>
      <c r="HS13" s="969">
        <f t="shared" si="14"/>
        <v>1900</v>
      </c>
      <c r="HT13" s="969">
        <f t="shared" si="14"/>
        <v>1900</v>
      </c>
      <c r="HU13" s="969">
        <f t="shared" si="14"/>
        <v>1900</v>
      </c>
      <c r="HV13" s="969">
        <f t="shared" si="14"/>
        <v>1900</v>
      </c>
      <c r="HW13" s="969">
        <f t="shared" si="14"/>
        <v>1900</v>
      </c>
      <c r="HX13" s="969">
        <f t="shared" si="14"/>
        <v>1900</v>
      </c>
      <c r="HY13" s="969">
        <f t="shared" si="14"/>
        <v>1900</v>
      </c>
      <c r="HZ13" s="969">
        <f t="shared" si="14"/>
        <v>1900</v>
      </c>
      <c r="IA13" s="969">
        <f t="shared" si="14"/>
        <v>1900</v>
      </c>
      <c r="IB13" s="969">
        <f t="shared" si="14"/>
        <v>1900</v>
      </c>
      <c r="IC13" s="969">
        <f t="shared" si="14"/>
        <v>1900</v>
      </c>
      <c r="ID13" s="969">
        <f t="shared" si="14"/>
        <v>1900</v>
      </c>
      <c r="IE13" s="969">
        <f t="shared" si="14"/>
        <v>1900</v>
      </c>
      <c r="IF13" s="969">
        <f t="shared" si="14"/>
        <v>1900</v>
      </c>
      <c r="IG13" s="969">
        <f t="shared" si="14"/>
        <v>1900</v>
      </c>
      <c r="IH13" s="969">
        <f t="shared" si="14"/>
        <v>1900</v>
      </c>
      <c r="II13" s="969">
        <f t="shared" si="14"/>
        <v>1900</v>
      </c>
      <c r="IJ13" s="969">
        <f t="shared" si="14"/>
        <v>1900</v>
      </c>
      <c r="IK13" s="969">
        <f t="shared" si="14"/>
        <v>1900</v>
      </c>
      <c r="IL13" s="969">
        <f t="shared" si="14"/>
        <v>1900</v>
      </c>
      <c r="IM13" s="969">
        <f t="shared" si="14"/>
        <v>1900</v>
      </c>
      <c r="IN13" s="969">
        <f t="shared" si="14"/>
        <v>1900</v>
      </c>
      <c r="IO13" s="969">
        <f t="shared" si="14"/>
        <v>1900</v>
      </c>
      <c r="IP13" s="969">
        <f t="shared" si="14"/>
        <v>1900</v>
      </c>
      <c r="IQ13" s="969">
        <f t="shared" si="14"/>
        <v>1900</v>
      </c>
      <c r="IR13" s="969">
        <f t="shared" si="14"/>
        <v>1900</v>
      </c>
      <c r="IS13" s="969">
        <f t="shared" si="14"/>
        <v>1900</v>
      </c>
      <c r="IT13" s="969">
        <f t="shared" si="14"/>
        <v>1900</v>
      </c>
      <c r="IU13" s="969">
        <f t="shared" si="14"/>
        <v>1900</v>
      </c>
      <c r="IV13" s="969">
        <f t="shared" si="14"/>
        <v>1900</v>
      </c>
      <c r="IW13" s="969">
        <f t="shared" si="14"/>
        <v>1900</v>
      </c>
      <c r="IX13" s="969">
        <f t="shared" ref="IX13:LI13" si="15">YEAR(IX7)</f>
        <v>1900</v>
      </c>
      <c r="IY13" s="969">
        <f t="shared" si="15"/>
        <v>1900</v>
      </c>
      <c r="IZ13" s="969">
        <f t="shared" si="15"/>
        <v>1900</v>
      </c>
      <c r="JA13" s="969">
        <f t="shared" si="15"/>
        <v>1900</v>
      </c>
      <c r="JB13" s="969">
        <f t="shared" si="15"/>
        <v>1900</v>
      </c>
      <c r="JC13" s="969">
        <f t="shared" si="15"/>
        <v>1900</v>
      </c>
      <c r="JD13" s="969">
        <f t="shared" si="15"/>
        <v>1900</v>
      </c>
      <c r="JE13" s="969">
        <f t="shared" si="15"/>
        <v>1900</v>
      </c>
      <c r="JF13" s="969">
        <f t="shared" si="15"/>
        <v>1900</v>
      </c>
      <c r="JG13" s="969">
        <f t="shared" si="15"/>
        <v>1900</v>
      </c>
      <c r="JH13" s="969">
        <f t="shared" si="15"/>
        <v>1900</v>
      </c>
      <c r="JI13" s="969">
        <f t="shared" si="15"/>
        <v>1900</v>
      </c>
      <c r="JJ13" s="969">
        <f t="shared" si="15"/>
        <v>1900</v>
      </c>
      <c r="JK13" s="969">
        <f t="shared" si="15"/>
        <v>1900</v>
      </c>
      <c r="JL13" s="969">
        <f t="shared" si="15"/>
        <v>1900</v>
      </c>
      <c r="JM13" s="969">
        <f t="shared" si="15"/>
        <v>1900</v>
      </c>
      <c r="JN13" s="969">
        <f t="shared" si="15"/>
        <v>1900</v>
      </c>
      <c r="JO13" s="969">
        <f t="shared" si="15"/>
        <v>1900</v>
      </c>
      <c r="JP13" s="969">
        <f t="shared" si="15"/>
        <v>1900</v>
      </c>
      <c r="JQ13" s="969">
        <f t="shared" si="15"/>
        <v>1900</v>
      </c>
      <c r="JR13" s="969">
        <f t="shared" si="15"/>
        <v>1900</v>
      </c>
      <c r="JS13" s="969">
        <f t="shared" si="15"/>
        <v>1900</v>
      </c>
      <c r="JT13" s="969">
        <f t="shared" si="15"/>
        <v>1900</v>
      </c>
      <c r="JU13" s="969">
        <f t="shared" si="15"/>
        <v>1900</v>
      </c>
      <c r="JV13" s="969">
        <f t="shared" si="15"/>
        <v>1900</v>
      </c>
      <c r="JW13" s="969">
        <f t="shared" si="15"/>
        <v>1900</v>
      </c>
      <c r="JX13" s="969">
        <f t="shared" si="15"/>
        <v>1900</v>
      </c>
      <c r="JY13" s="969">
        <f t="shared" si="15"/>
        <v>1900</v>
      </c>
      <c r="JZ13" s="969">
        <f t="shared" si="15"/>
        <v>1900</v>
      </c>
      <c r="KA13" s="969">
        <f t="shared" si="15"/>
        <v>1900</v>
      </c>
      <c r="KB13" s="969">
        <f t="shared" si="15"/>
        <v>1900</v>
      </c>
      <c r="KC13" s="969">
        <f t="shared" si="15"/>
        <v>1900</v>
      </c>
      <c r="KD13" s="969">
        <f t="shared" si="15"/>
        <v>1900</v>
      </c>
      <c r="KE13" s="969">
        <f t="shared" si="15"/>
        <v>1900</v>
      </c>
      <c r="KF13" s="969">
        <f t="shared" si="15"/>
        <v>1900</v>
      </c>
      <c r="KG13" s="969">
        <f t="shared" si="15"/>
        <v>1900</v>
      </c>
      <c r="KH13" s="969">
        <f t="shared" si="15"/>
        <v>1900</v>
      </c>
      <c r="KI13" s="969">
        <f t="shared" si="15"/>
        <v>1900</v>
      </c>
      <c r="KJ13" s="969">
        <f t="shared" si="15"/>
        <v>1900</v>
      </c>
      <c r="KK13" s="969">
        <f t="shared" si="15"/>
        <v>1900</v>
      </c>
      <c r="KL13" s="969">
        <f t="shared" si="15"/>
        <v>1900</v>
      </c>
      <c r="KM13" s="969">
        <f t="shared" si="15"/>
        <v>1900</v>
      </c>
      <c r="KN13" s="969">
        <f t="shared" si="15"/>
        <v>1900</v>
      </c>
      <c r="KO13" s="969">
        <f t="shared" si="15"/>
        <v>1900</v>
      </c>
      <c r="KP13" s="969">
        <f t="shared" si="15"/>
        <v>1900</v>
      </c>
      <c r="KQ13" s="969">
        <f t="shared" si="15"/>
        <v>1900</v>
      </c>
      <c r="KR13" s="969">
        <f t="shared" si="15"/>
        <v>1900</v>
      </c>
      <c r="KS13" s="969">
        <f t="shared" si="15"/>
        <v>1900</v>
      </c>
      <c r="KT13" s="969">
        <f t="shared" si="15"/>
        <v>1900</v>
      </c>
      <c r="KU13" s="969">
        <f t="shared" si="15"/>
        <v>1900</v>
      </c>
      <c r="KV13" s="969">
        <f t="shared" si="15"/>
        <v>1900</v>
      </c>
      <c r="KW13" s="969">
        <f t="shared" si="15"/>
        <v>1900</v>
      </c>
      <c r="KX13" s="969">
        <f t="shared" si="15"/>
        <v>1900</v>
      </c>
      <c r="KY13" s="969">
        <f t="shared" si="15"/>
        <v>1900</v>
      </c>
      <c r="KZ13" s="969">
        <f t="shared" si="15"/>
        <v>1900</v>
      </c>
      <c r="LA13" s="969">
        <f t="shared" si="15"/>
        <v>1900</v>
      </c>
      <c r="LB13" s="969">
        <f t="shared" si="15"/>
        <v>1900</v>
      </c>
      <c r="LC13" s="969">
        <f t="shared" si="15"/>
        <v>1900</v>
      </c>
      <c r="LD13" s="969">
        <f t="shared" si="15"/>
        <v>1900</v>
      </c>
      <c r="LE13" s="969">
        <f t="shared" si="15"/>
        <v>1900</v>
      </c>
      <c r="LF13" s="969">
        <f t="shared" si="15"/>
        <v>1900</v>
      </c>
      <c r="LG13" s="969">
        <f t="shared" si="15"/>
        <v>1900</v>
      </c>
      <c r="LH13" s="969">
        <f t="shared" si="15"/>
        <v>1900</v>
      </c>
      <c r="LI13" s="969">
        <f t="shared" si="15"/>
        <v>1900</v>
      </c>
      <c r="LJ13" s="969">
        <f t="shared" ref="LJ13:NU13" si="16">YEAR(LJ7)</f>
        <v>1900</v>
      </c>
      <c r="LK13" s="969">
        <f t="shared" si="16"/>
        <v>1900</v>
      </c>
      <c r="LL13" s="969">
        <f t="shared" si="16"/>
        <v>1900</v>
      </c>
      <c r="LM13" s="969">
        <f t="shared" si="16"/>
        <v>1900</v>
      </c>
      <c r="LN13" s="969">
        <f t="shared" si="16"/>
        <v>1900</v>
      </c>
      <c r="LO13" s="969">
        <f t="shared" si="16"/>
        <v>1900</v>
      </c>
      <c r="LP13" s="969">
        <f t="shared" si="16"/>
        <v>1900</v>
      </c>
      <c r="LQ13" s="969">
        <f t="shared" si="16"/>
        <v>1900</v>
      </c>
      <c r="LR13" s="969">
        <f t="shared" si="16"/>
        <v>1900</v>
      </c>
      <c r="LS13" s="969">
        <f t="shared" si="16"/>
        <v>1900</v>
      </c>
      <c r="LT13" s="969">
        <f t="shared" si="16"/>
        <v>1900</v>
      </c>
      <c r="LU13" s="969">
        <f t="shared" si="16"/>
        <v>1900</v>
      </c>
      <c r="LV13" s="969">
        <f t="shared" si="16"/>
        <v>1900</v>
      </c>
      <c r="LW13" s="969">
        <f t="shared" si="16"/>
        <v>1900</v>
      </c>
      <c r="LX13" s="969">
        <f t="shared" si="16"/>
        <v>1900</v>
      </c>
      <c r="LY13" s="969">
        <f t="shared" si="16"/>
        <v>1900</v>
      </c>
      <c r="LZ13" s="969">
        <f t="shared" si="16"/>
        <v>1900</v>
      </c>
      <c r="MA13" s="969">
        <f t="shared" si="16"/>
        <v>1900</v>
      </c>
      <c r="MB13" s="969">
        <f t="shared" si="16"/>
        <v>1900</v>
      </c>
      <c r="MC13" s="969">
        <f t="shared" si="16"/>
        <v>1900</v>
      </c>
      <c r="MD13" s="969">
        <f t="shared" si="16"/>
        <v>1900</v>
      </c>
      <c r="ME13" s="969">
        <f t="shared" si="16"/>
        <v>1900</v>
      </c>
      <c r="MF13" s="969">
        <f t="shared" si="16"/>
        <v>1900</v>
      </c>
      <c r="MG13" s="969">
        <f t="shared" si="16"/>
        <v>1900</v>
      </c>
      <c r="MH13" s="969">
        <f t="shared" si="16"/>
        <v>1900</v>
      </c>
      <c r="MI13" s="969">
        <f t="shared" si="16"/>
        <v>1900</v>
      </c>
      <c r="MJ13" s="969">
        <f t="shared" si="16"/>
        <v>1900</v>
      </c>
      <c r="MK13" s="969">
        <f t="shared" si="16"/>
        <v>1900</v>
      </c>
      <c r="ML13" s="969">
        <f t="shared" si="16"/>
        <v>1900</v>
      </c>
      <c r="MM13" s="969">
        <f t="shared" si="16"/>
        <v>1900</v>
      </c>
      <c r="MN13" s="969">
        <f t="shared" si="16"/>
        <v>1900</v>
      </c>
      <c r="MO13" s="969">
        <f t="shared" si="16"/>
        <v>1900</v>
      </c>
      <c r="MP13" s="969">
        <f t="shared" si="16"/>
        <v>1900</v>
      </c>
      <c r="MQ13" s="969">
        <f t="shared" si="16"/>
        <v>1900</v>
      </c>
      <c r="MR13" s="969">
        <f t="shared" si="16"/>
        <v>1900</v>
      </c>
      <c r="MS13" s="969">
        <f t="shared" si="16"/>
        <v>1900</v>
      </c>
      <c r="MT13" s="969">
        <f t="shared" si="16"/>
        <v>1900</v>
      </c>
      <c r="MU13" s="969">
        <f t="shared" si="16"/>
        <v>1900</v>
      </c>
      <c r="MV13" s="969">
        <f t="shared" si="16"/>
        <v>1900</v>
      </c>
      <c r="MW13" s="969">
        <f t="shared" si="16"/>
        <v>1900</v>
      </c>
      <c r="MX13" s="969">
        <f t="shared" si="16"/>
        <v>1900</v>
      </c>
      <c r="MY13" s="969">
        <f t="shared" si="16"/>
        <v>1900</v>
      </c>
      <c r="MZ13" s="969">
        <f t="shared" si="16"/>
        <v>1900</v>
      </c>
      <c r="NA13" s="969">
        <f t="shared" si="16"/>
        <v>1900</v>
      </c>
      <c r="NB13" s="969">
        <f t="shared" si="16"/>
        <v>1900</v>
      </c>
      <c r="NC13" s="969">
        <f t="shared" si="16"/>
        <v>1900</v>
      </c>
      <c r="ND13" s="969">
        <f t="shared" si="16"/>
        <v>1900</v>
      </c>
      <c r="NE13" s="969">
        <f t="shared" si="16"/>
        <v>1900</v>
      </c>
      <c r="NF13" s="969">
        <f t="shared" si="16"/>
        <v>1900</v>
      </c>
      <c r="NG13" s="969">
        <f t="shared" si="16"/>
        <v>1900</v>
      </c>
      <c r="NH13" s="969">
        <f t="shared" si="16"/>
        <v>1900</v>
      </c>
      <c r="NI13" s="969">
        <f t="shared" si="16"/>
        <v>1900</v>
      </c>
      <c r="NJ13" s="969">
        <f t="shared" si="16"/>
        <v>1900</v>
      </c>
      <c r="NK13" s="969">
        <f t="shared" si="16"/>
        <v>1900</v>
      </c>
      <c r="NL13" s="969">
        <f t="shared" si="16"/>
        <v>1900</v>
      </c>
      <c r="NM13" s="969">
        <f t="shared" si="16"/>
        <v>1900</v>
      </c>
      <c r="NN13" s="969">
        <f t="shared" si="16"/>
        <v>1900</v>
      </c>
      <c r="NO13" s="969">
        <f t="shared" si="16"/>
        <v>1900</v>
      </c>
      <c r="NP13" s="969">
        <f t="shared" si="16"/>
        <v>1900</v>
      </c>
      <c r="NQ13" s="969">
        <f t="shared" si="16"/>
        <v>1900</v>
      </c>
      <c r="NR13" s="969">
        <f t="shared" si="16"/>
        <v>1900</v>
      </c>
      <c r="NS13" s="969">
        <f t="shared" si="16"/>
        <v>1900</v>
      </c>
      <c r="NT13" s="969">
        <f t="shared" si="16"/>
        <v>1900</v>
      </c>
      <c r="NU13" s="969">
        <f t="shared" si="16"/>
        <v>1900</v>
      </c>
      <c r="NV13" s="969">
        <f t="shared" ref="NV13:QG13" si="17">YEAR(NV7)</f>
        <v>1900</v>
      </c>
      <c r="NW13" s="969">
        <f t="shared" si="17"/>
        <v>1900</v>
      </c>
      <c r="NX13" s="969">
        <f t="shared" si="17"/>
        <v>1900</v>
      </c>
      <c r="NY13" s="969">
        <f t="shared" si="17"/>
        <v>1900</v>
      </c>
      <c r="NZ13" s="969">
        <f t="shared" si="17"/>
        <v>1900</v>
      </c>
      <c r="OA13" s="969">
        <f t="shared" si="17"/>
        <v>1900</v>
      </c>
      <c r="OB13" s="969">
        <f t="shared" si="17"/>
        <v>1900</v>
      </c>
      <c r="OC13" s="969">
        <f t="shared" si="17"/>
        <v>1900</v>
      </c>
      <c r="OD13" s="969">
        <f t="shared" si="17"/>
        <v>1900</v>
      </c>
      <c r="OE13" s="969">
        <f t="shared" si="17"/>
        <v>1900</v>
      </c>
      <c r="OF13" s="969">
        <f t="shared" si="17"/>
        <v>1900</v>
      </c>
      <c r="OG13" s="969">
        <f t="shared" si="17"/>
        <v>1900</v>
      </c>
      <c r="OH13" s="969">
        <f t="shared" si="17"/>
        <v>1900</v>
      </c>
      <c r="OI13" s="969">
        <f t="shared" si="17"/>
        <v>1900</v>
      </c>
      <c r="OJ13" s="969">
        <f t="shared" si="17"/>
        <v>1900</v>
      </c>
      <c r="OK13" s="969">
        <f t="shared" si="17"/>
        <v>1900</v>
      </c>
      <c r="OL13" s="969">
        <f t="shared" si="17"/>
        <v>1900</v>
      </c>
      <c r="OM13" s="969">
        <f t="shared" si="17"/>
        <v>1900</v>
      </c>
      <c r="ON13" s="969">
        <f t="shared" si="17"/>
        <v>1900</v>
      </c>
      <c r="OO13" s="969">
        <f t="shared" si="17"/>
        <v>1900</v>
      </c>
      <c r="OP13" s="969">
        <f t="shared" si="17"/>
        <v>1900</v>
      </c>
      <c r="OQ13" s="969">
        <f t="shared" si="17"/>
        <v>1900</v>
      </c>
      <c r="OR13" s="969">
        <f t="shared" si="17"/>
        <v>1900</v>
      </c>
      <c r="OS13" s="969">
        <f t="shared" si="17"/>
        <v>1900</v>
      </c>
      <c r="OT13" s="969">
        <f t="shared" si="17"/>
        <v>1900</v>
      </c>
      <c r="OU13" s="969">
        <f t="shared" si="17"/>
        <v>1900</v>
      </c>
      <c r="OV13" s="969">
        <f t="shared" si="17"/>
        <v>1900</v>
      </c>
      <c r="OW13" s="969">
        <f t="shared" si="17"/>
        <v>1900</v>
      </c>
      <c r="OX13" s="969">
        <f t="shared" si="17"/>
        <v>1900</v>
      </c>
      <c r="OY13" s="969">
        <f t="shared" si="17"/>
        <v>1900</v>
      </c>
      <c r="OZ13" s="969">
        <f t="shared" si="17"/>
        <v>1900</v>
      </c>
      <c r="PA13" s="969">
        <f t="shared" si="17"/>
        <v>1900</v>
      </c>
      <c r="PB13" s="969">
        <f t="shared" si="17"/>
        <v>1900</v>
      </c>
      <c r="PC13" s="969">
        <f t="shared" si="17"/>
        <v>1900</v>
      </c>
      <c r="PD13" s="969">
        <f t="shared" si="17"/>
        <v>1900</v>
      </c>
      <c r="PE13" s="969">
        <f t="shared" si="17"/>
        <v>1900</v>
      </c>
      <c r="PF13" s="969">
        <f t="shared" si="17"/>
        <v>1900</v>
      </c>
      <c r="PG13" s="969">
        <f t="shared" si="17"/>
        <v>1900</v>
      </c>
      <c r="PH13" s="969">
        <f t="shared" si="17"/>
        <v>1900</v>
      </c>
      <c r="PI13" s="969">
        <f t="shared" si="17"/>
        <v>1900</v>
      </c>
      <c r="PJ13" s="969">
        <f t="shared" si="17"/>
        <v>1900</v>
      </c>
      <c r="PK13" s="969">
        <f t="shared" si="17"/>
        <v>1900</v>
      </c>
      <c r="PL13" s="969">
        <f t="shared" si="17"/>
        <v>1900</v>
      </c>
      <c r="PM13" s="969">
        <f t="shared" si="17"/>
        <v>1900</v>
      </c>
      <c r="PN13" s="969">
        <f t="shared" si="17"/>
        <v>1900</v>
      </c>
      <c r="PO13" s="969">
        <f t="shared" si="17"/>
        <v>1900</v>
      </c>
      <c r="PP13" s="969">
        <f t="shared" si="17"/>
        <v>1900</v>
      </c>
      <c r="PQ13" s="969">
        <f t="shared" si="17"/>
        <v>1900</v>
      </c>
      <c r="PR13" s="969">
        <f t="shared" si="17"/>
        <v>1900</v>
      </c>
      <c r="PS13" s="969">
        <f t="shared" si="17"/>
        <v>1900</v>
      </c>
      <c r="PT13" s="969">
        <f t="shared" si="17"/>
        <v>1900</v>
      </c>
      <c r="PU13" s="969">
        <f t="shared" si="17"/>
        <v>1900</v>
      </c>
      <c r="PV13" s="969">
        <f t="shared" si="17"/>
        <v>1900</v>
      </c>
      <c r="PW13" s="969">
        <f t="shared" si="17"/>
        <v>1900</v>
      </c>
      <c r="PX13" s="969">
        <f t="shared" si="17"/>
        <v>1900</v>
      </c>
      <c r="PY13" s="969">
        <f t="shared" si="17"/>
        <v>1900</v>
      </c>
      <c r="PZ13" s="969">
        <f t="shared" si="17"/>
        <v>1900</v>
      </c>
      <c r="QA13" s="969">
        <f t="shared" si="17"/>
        <v>1900</v>
      </c>
      <c r="QB13" s="969">
        <f t="shared" si="17"/>
        <v>1900</v>
      </c>
      <c r="QC13" s="969">
        <f t="shared" si="17"/>
        <v>1900</v>
      </c>
      <c r="QD13" s="969">
        <f t="shared" si="17"/>
        <v>1900</v>
      </c>
      <c r="QE13" s="969">
        <f t="shared" si="17"/>
        <v>1900</v>
      </c>
      <c r="QF13" s="969">
        <f t="shared" si="17"/>
        <v>1900</v>
      </c>
      <c r="QG13" s="969">
        <f t="shared" si="17"/>
        <v>1900</v>
      </c>
      <c r="QH13" s="969">
        <f t="shared" ref="QH13:SP13" si="18">YEAR(QH7)</f>
        <v>1900</v>
      </c>
      <c r="QI13" s="969">
        <f t="shared" si="18"/>
        <v>1900</v>
      </c>
      <c r="QJ13" s="969">
        <f t="shared" si="18"/>
        <v>1900</v>
      </c>
      <c r="QK13" s="969">
        <f t="shared" si="18"/>
        <v>1900</v>
      </c>
      <c r="QL13" s="969">
        <f t="shared" si="18"/>
        <v>1900</v>
      </c>
      <c r="QM13" s="969">
        <f t="shared" si="18"/>
        <v>1900</v>
      </c>
      <c r="QN13" s="969">
        <f t="shared" si="18"/>
        <v>1900</v>
      </c>
      <c r="QO13" s="969">
        <f t="shared" si="18"/>
        <v>1900</v>
      </c>
      <c r="QP13" s="969">
        <f t="shared" si="18"/>
        <v>1900</v>
      </c>
      <c r="QQ13" s="969">
        <f t="shared" si="18"/>
        <v>1900</v>
      </c>
      <c r="QR13" s="969">
        <f t="shared" si="18"/>
        <v>1900</v>
      </c>
      <c r="QS13" s="969">
        <f t="shared" si="18"/>
        <v>1900</v>
      </c>
      <c r="QT13" s="969">
        <f t="shared" si="18"/>
        <v>1900</v>
      </c>
      <c r="QU13" s="969">
        <f t="shared" si="18"/>
        <v>1900</v>
      </c>
      <c r="QV13" s="969">
        <f t="shared" si="18"/>
        <v>1900</v>
      </c>
      <c r="QW13" s="969">
        <f t="shared" si="18"/>
        <v>1900</v>
      </c>
      <c r="QX13" s="969">
        <f t="shared" si="18"/>
        <v>1900</v>
      </c>
      <c r="QY13" s="969">
        <f t="shared" si="18"/>
        <v>1900</v>
      </c>
      <c r="QZ13" s="969">
        <f t="shared" si="18"/>
        <v>1900</v>
      </c>
      <c r="RA13" s="969">
        <f t="shared" si="18"/>
        <v>1900</v>
      </c>
      <c r="RB13" s="969">
        <f t="shared" si="18"/>
        <v>1900</v>
      </c>
      <c r="RC13" s="969">
        <f t="shared" si="18"/>
        <v>1900</v>
      </c>
      <c r="RD13" s="969">
        <f t="shared" si="18"/>
        <v>1900</v>
      </c>
      <c r="RE13" s="969">
        <f t="shared" si="18"/>
        <v>1900</v>
      </c>
      <c r="RF13" s="969">
        <f t="shared" si="18"/>
        <v>1900</v>
      </c>
      <c r="RG13" s="969">
        <f t="shared" si="18"/>
        <v>1900</v>
      </c>
      <c r="RH13" s="969">
        <f t="shared" si="18"/>
        <v>1900</v>
      </c>
      <c r="RI13" s="969">
        <f t="shared" si="18"/>
        <v>1900</v>
      </c>
      <c r="RJ13" s="969">
        <f t="shared" si="18"/>
        <v>1900</v>
      </c>
      <c r="RK13" s="969">
        <f t="shared" si="18"/>
        <v>1900</v>
      </c>
      <c r="RL13" s="969">
        <f t="shared" si="18"/>
        <v>1900</v>
      </c>
      <c r="RM13" s="969">
        <f t="shared" si="18"/>
        <v>1900</v>
      </c>
      <c r="RN13" s="969">
        <f t="shared" si="18"/>
        <v>1900</v>
      </c>
      <c r="RO13" s="969">
        <f t="shared" si="18"/>
        <v>1900</v>
      </c>
      <c r="RP13" s="969">
        <f t="shared" si="18"/>
        <v>1900</v>
      </c>
      <c r="RQ13" s="969">
        <f t="shared" si="18"/>
        <v>1900</v>
      </c>
      <c r="RR13" s="969">
        <f t="shared" si="18"/>
        <v>1900</v>
      </c>
      <c r="RS13" s="969">
        <f t="shared" si="18"/>
        <v>1900</v>
      </c>
      <c r="RT13" s="969">
        <f t="shared" si="18"/>
        <v>1900</v>
      </c>
      <c r="RU13" s="969">
        <f t="shared" si="18"/>
        <v>1900</v>
      </c>
      <c r="RV13" s="969">
        <f t="shared" si="18"/>
        <v>1900</v>
      </c>
      <c r="RW13" s="969">
        <f t="shared" si="18"/>
        <v>1900</v>
      </c>
      <c r="RX13" s="969">
        <f t="shared" si="18"/>
        <v>1900</v>
      </c>
      <c r="RY13" s="969">
        <f t="shared" si="18"/>
        <v>1900</v>
      </c>
      <c r="RZ13" s="969">
        <f t="shared" si="18"/>
        <v>1900</v>
      </c>
      <c r="SA13" s="969">
        <f t="shared" si="18"/>
        <v>1900</v>
      </c>
      <c r="SB13" s="969">
        <f t="shared" si="18"/>
        <v>1900</v>
      </c>
      <c r="SC13" s="969">
        <f t="shared" si="18"/>
        <v>1900</v>
      </c>
      <c r="SD13" s="969">
        <f t="shared" si="18"/>
        <v>1900</v>
      </c>
      <c r="SE13" s="969">
        <f t="shared" si="18"/>
        <v>1900</v>
      </c>
      <c r="SF13" s="969">
        <f t="shared" si="18"/>
        <v>1900</v>
      </c>
      <c r="SG13" s="969">
        <f t="shared" si="18"/>
        <v>1900</v>
      </c>
      <c r="SH13" s="969">
        <f t="shared" si="18"/>
        <v>1900</v>
      </c>
      <c r="SI13" s="969">
        <f t="shared" si="18"/>
        <v>1900</v>
      </c>
      <c r="SJ13" s="969">
        <f t="shared" si="18"/>
        <v>1900</v>
      </c>
      <c r="SK13" s="969">
        <f t="shared" si="18"/>
        <v>1900</v>
      </c>
      <c r="SL13" s="969">
        <f t="shared" si="18"/>
        <v>1900</v>
      </c>
      <c r="SM13" s="969">
        <f t="shared" si="18"/>
        <v>1900</v>
      </c>
      <c r="SN13" s="969">
        <f t="shared" si="18"/>
        <v>1900</v>
      </c>
      <c r="SO13" s="969">
        <f t="shared" si="18"/>
        <v>1900</v>
      </c>
      <c r="SP13" s="969">
        <f t="shared" si="18"/>
        <v>1900</v>
      </c>
    </row>
    <row r="14" spans="1:510" s="970" customFormat="1" ht="12" hidden="1" thickBot="1">
      <c r="A14" s="971" t="s">
        <v>1074</v>
      </c>
      <c r="B14" s="969" t="str">
        <f>IF(MONTH(B7)&gt;6,"2","1")</f>
        <v>1</v>
      </c>
      <c r="C14" s="969" t="str">
        <f t="shared" ref="C14:BA14" si="19">IF(MONTH(C7)&gt;6,"2","1")</f>
        <v>1</v>
      </c>
      <c r="D14" s="969" t="str">
        <f t="shared" si="19"/>
        <v>1</v>
      </c>
      <c r="E14" s="969" t="str">
        <f t="shared" si="19"/>
        <v>1</v>
      </c>
      <c r="F14" s="969" t="str">
        <f t="shared" si="19"/>
        <v>1</v>
      </c>
      <c r="G14" s="969" t="str">
        <f t="shared" si="19"/>
        <v>1</v>
      </c>
      <c r="H14" s="969" t="str">
        <f t="shared" si="19"/>
        <v>2</v>
      </c>
      <c r="I14" s="969" t="str">
        <f t="shared" si="19"/>
        <v>2</v>
      </c>
      <c r="J14" s="969" t="str">
        <f t="shared" si="19"/>
        <v>2</v>
      </c>
      <c r="K14" s="969" t="str">
        <f t="shared" si="19"/>
        <v>2</v>
      </c>
      <c r="L14" s="969" t="str">
        <f t="shared" si="19"/>
        <v>2</v>
      </c>
      <c r="M14" s="969" t="str">
        <f t="shared" si="19"/>
        <v>2</v>
      </c>
      <c r="N14" s="969" t="str">
        <f>IF(MONTH(N7)&gt;6,"2","1")</f>
        <v>1</v>
      </c>
      <c r="O14" s="969" t="str">
        <f t="shared" si="19"/>
        <v>1</v>
      </c>
      <c r="P14" s="969" t="str">
        <f t="shared" si="19"/>
        <v>1</v>
      </c>
      <c r="Q14" s="969" t="str">
        <f t="shared" si="19"/>
        <v>1</v>
      </c>
      <c r="R14" s="969" t="str">
        <f t="shared" si="19"/>
        <v>1</v>
      </c>
      <c r="S14" s="969" t="str">
        <f t="shared" si="19"/>
        <v>1</v>
      </c>
      <c r="T14" s="969" t="str">
        <f t="shared" si="19"/>
        <v>2</v>
      </c>
      <c r="U14" s="969" t="str">
        <f t="shared" si="19"/>
        <v>2</v>
      </c>
      <c r="V14" s="969" t="str">
        <f t="shared" si="19"/>
        <v>2</v>
      </c>
      <c r="W14" s="969" t="str">
        <f t="shared" si="19"/>
        <v>2</v>
      </c>
      <c r="X14" s="969" t="str">
        <f t="shared" si="19"/>
        <v>2</v>
      </c>
      <c r="Y14" s="969" t="str">
        <f t="shared" si="19"/>
        <v>2</v>
      </c>
      <c r="Z14" s="969" t="str">
        <f t="shared" si="19"/>
        <v>1</v>
      </c>
      <c r="AA14" s="969" t="str">
        <f t="shared" si="19"/>
        <v>1</v>
      </c>
      <c r="AB14" s="969" t="str">
        <f t="shared" si="19"/>
        <v>1</v>
      </c>
      <c r="AC14" s="969" t="str">
        <f t="shared" si="19"/>
        <v>1</v>
      </c>
      <c r="AD14" s="969" t="str">
        <f t="shared" si="19"/>
        <v>1</v>
      </c>
      <c r="AE14" s="969" t="str">
        <f t="shared" si="19"/>
        <v>1</v>
      </c>
      <c r="AF14" s="969" t="str">
        <f t="shared" si="19"/>
        <v>2</v>
      </c>
      <c r="AG14" s="969" t="str">
        <f t="shared" si="19"/>
        <v>2</v>
      </c>
      <c r="AH14" s="969" t="str">
        <f t="shared" si="19"/>
        <v>2</v>
      </c>
      <c r="AI14" s="969" t="str">
        <f t="shared" si="19"/>
        <v>2</v>
      </c>
      <c r="AJ14" s="969" t="str">
        <f t="shared" si="19"/>
        <v>2</v>
      </c>
      <c r="AK14" s="969" t="str">
        <f t="shared" si="19"/>
        <v>2</v>
      </c>
      <c r="AL14" s="969" t="str">
        <f t="shared" si="19"/>
        <v>1</v>
      </c>
      <c r="AM14" s="969" t="str">
        <f t="shared" si="19"/>
        <v>1</v>
      </c>
      <c r="AN14" s="969" t="str">
        <f t="shared" si="19"/>
        <v>1</v>
      </c>
      <c r="AO14" s="969" t="str">
        <f t="shared" si="19"/>
        <v>1</v>
      </c>
      <c r="AP14" s="969" t="str">
        <f t="shared" si="19"/>
        <v>1</v>
      </c>
      <c r="AQ14" s="969" t="str">
        <f t="shared" si="19"/>
        <v>1</v>
      </c>
      <c r="AR14" s="969" t="str">
        <f t="shared" si="19"/>
        <v>2</v>
      </c>
      <c r="AS14" s="969" t="str">
        <f t="shared" si="19"/>
        <v>2</v>
      </c>
      <c r="AT14" s="969" t="str">
        <f t="shared" si="19"/>
        <v>2</v>
      </c>
      <c r="AU14" s="969" t="str">
        <f t="shared" si="19"/>
        <v>2</v>
      </c>
      <c r="AV14" s="969" t="str">
        <f t="shared" si="19"/>
        <v>2</v>
      </c>
      <c r="AW14" s="969" t="str">
        <f t="shared" si="19"/>
        <v>2</v>
      </c>
      <c r="AX14" s="969" t="str">
        <f t="shared" si="19"/>
        <v>1</v>
      </c>
      <c r="AY14" s="969" t="str">
        <f t="shared" si="19"/>
        <v>1</v>
      </c>
      <c r="AZ14" s="969" t="str">
        <f t="shared" si="19"/>
        <v>1</v>
      </c>
      <c r="BA14" s="969" t="str">
        <f t="shared" si="19"/>
        <v>1</v>
      </c>
      <c r="BB14" s="969" t="str">
        <f t="shared" ref="BB14:DM14" si="20">IF(MONTH(BB7)&gt;6,"2","1")</f>
        <v>1</v>
      </c>
      <c r="BC14" s="969" t="str">
        <f t="shared" si="20"/>
        <v>1</v>
      </c>
      <c r="BD14" s="969" t="str">
        <f t="shared" si="20"/>
        <v>2</v>
      </c>
      <c r="BE14" s="969" t="str">
        <f t="shared" si="20"/>
        <v>2</v>
      </c>
      <c r="BF14" s="969" t="str">
        <f t="shared" si="20"/>
        <v>2</v>
      </c>
      <c r="BG14" s="969" t="str">
        <f t="shared" si="20"/>
        <v>2</v>
      </c>
      <c r="BH14" s="969" t="str">
        <f t="shared" si="20"/>
        <v>2</v>
      </c>
      <c r="BI14" s="969" t="str">
        <f t="shared" si="20"/>
        <v>2</v>
      </c>
      <c r="BJ14" s="969" t="str">
        <f t="shared" si="20"/>
        <v>1</v>
      </c>
      <c r="BK14" s="969" t="str">
        <f t="shared" si="20"/>
        <v>1</v>
      </c>
      <c r="BL14" s="969" t="str">
        <f t="shared" si="20"/>
        <v>1</v>
      </c>
      <c r="BM14" s="969" t="str">
        <f t="shared" si="20"/>
        <v>1</v>
      </c>
      <c r="BN14" s="969" t="str">
        <f t="shared" si="20"/>
        <v>1</v>
      </c>
      <c r="BO14" s="969" t="str">
        <f t="shared" si="20"/>
        <v>1</v>
      </c>
      <c r="BP14" s="969" t="str">
        <f t="shared" si="20"/>
        <v>2</v>
      </c>
      <c r="BQ14" s="969" t="str">
        <f t="shared" si="20"/>
        <v>2</v>
      </c>
      <c r="BR14" s="969" t="str">
        <f t="shared" si="20"/>
        <v>2</v>
      </c>
      <c r="BS14" s="969" t="str">
        <f t="shared" si="20"/>
        <v>2</v>
      </c>
      <c r="BT14" s="969" t="str">
        <f t="shared" si="20"/>
        <v>2</v>
      </c>
      <c r="BU14" s="969" t="str">
        <f t="shared" si="20"/>
        <v>2</v>
      </c>
      <c r="BV14" s="969" t="str">
        <f t="shared" si="20"/>
        <v>1</v>
      </c>
      <c r="BW14" s="969" t="str">
        <f t="shared" si="20"/>
        <v>1</v>
      </c>
      <c r="BX14" s="969" t="str">
        <f t="shared" si="20"/>
        <v>1</v>
      </c>
      <c r="BY14" s="969" t="str">
        <f t="shared" si="20"/>
        <v>1</v>
      </c>
      <c r="BZ14" s="969" t="str">
        <f t="shared" si="20"/>
        <v>1</v>
      </c>
      <c r="CA14" s="969" t="str">
        <f t="shared" si="20"/>
        <v>1</v>
      </c>
      <c r="CB14" s="969" t="str">
        <f t="shared" si="20"/>
        <v>2</v>
      </c>
      <c r="CC14" s="969" t="str">
        <f t="shared" si="20"/>
        <v>2</v>
      </c>
      <c r="CD14" s="969" t="str">
        <f t="shared" si="20"/>
        <v>2</v>
      </c>
      <c r="CE14" s="969" t="str">
        <f t="shared" si="20"/>
        <v>2</v>
      </c>
      <c r="CF14" s="969" t="str">
        <f t="shared" si="20"/>
        <v>2</v>
      </c>
      <c r="CG14" s="969" t="str">
        <f t="shared" si="20"/>
        <v>2</v>
      </c>
      <c r="CH14" s="969" t="str">
        <f t="shared" si="20"/>
        <v>1</v>
      </c>
      <c r="CI14" s="969" t="str">
        <f t="shared" si="20"/>
        <v>1</v>
      </c>
      <c r="CJ14" s="969" t="str">
        <f t="shared" si="20"/>
        <v>1</v>
      </c>
      <c r="CK14" s="969" t="str">
        <f t="shared" si="20"/>
        <v>1</v>
      </c>
      <c r="CL14" s="969" t="str">
        <f t="shared" si="20"/>
        <v>1</v>
      </c>
      <c r="CM14" s="969" t="str">
        <f t="shared" si="20"/>
        <v>1</v>
      </c>
      <c r="CN14" s="969" t="str">
        <f t="shared" si="20"/>
        <v>2</v>
      </c>
      <c r="CO14" s="969" t="str">
        <f t="shared" si="20"/>
        <v>2</v>
      </c>
      <c r="CP14" s="969" t="str">
        <f t="shared" si="20"/>
        <v>2</v>
      </c>
      <c r="CQ14" s="969" t="str">
        <f t="shared" si="20"/>
        <v>2</v>
      </c>
      <c r="CR14" s="969" t="str">
        <f t="shared" si="20"/>
        <v>2</v>
      </c>
      <c r="CS14" s="969" t="str">
        <f t="shared" si="20"/>
        <v>2</v>
      </c>
      <c r="CT14" s="969" t="str">
        <f t="shared" si="20"/>
        <v>1</v>
      </c>
      <c r="CU14" s="969" t="str">
        <f t="shared" si="20"/>
        <v>1</v>
      </c>
      <c r="CV14" s="969" t="str">
        <f t="shared" si="20"/>
        <v>1</v>
      </c>
      <c r="CW14" s="969" t="str">
        <f t="shared" si="20"/>
        <v>1</v>
      </c>
      <c r="CX14" s="969" t="str">
        <f t="shared" si="20"/>
        <v>1</v>
      </c>
      <c r="CY14" s="969" t="str">
        <f t="shared" si="20"/>
        <v>1</v>
      </c>
      <c r="CZ14" s="969" t="str">
        <f t="shared" si="20"/>
        <v>2</v>
      </c>
      <c r="DA14" s="969" t="str">
        <f t="shared" si="20"/>
        <v>2</v>
      </c>
      <c r="DB14" s="969" t="str">
        <f t="shared" si="20"/>
        <v>2</v>
      </c>
      <c r="DC14" s="969" t="str">
        <f t="shared" si="20"/>
        <v>2</v>
      </c>
      <c r="DD14" s="969" t="str">
        <f t="shared" si="20"/>
        <v>2</v>
      </c>
      <c r="DE14" s="969" t="str">
        <f t="shared" si="20"/>
        <v>2</v>
      </c>
      <c r="DF14" s="969" t="str">
        <f t="shared" si="20"/>
        <v>1</v>
      </c>
      <c r="DG14" s="969" t="str">
        <f t="shared" si="20"/>
        <v>1</v>
      </c>
      <c r="DH14" s="969" t="str">
        <f t="shared" si="20"/>
        <v>1</v>
      </c>
      <c r="DI14" s="969" t="str">
        <f t="shared" si="20"/>
        <v>1</v>
      </c>
      <c r="DJ14" s="969" t="str">
        <f t="shared" si="20"/>
        <v>1</v>
      </c>
      <c r="DK14" s="969" t="str">
        <f t="shared" si="20"/>
        <v>1</v>
      </c>
      <c r="DL14" s="969" t="str">
        <f t="shared" si="20"/>
        <v>2</v>
      </c>
      <c r="DM14" s="969" t="str">
        <f t="shared" si="20"/>
        <v>2</v>
      </c>
      <c r="DN14" s="969" t="str">
        <f t="shared" ref="DN14:GK14" si="21">IF(MONTH(DN7)&gt;6,"2","1")</f>
        <v>2</v>
      </c>
      <c r="DO14" s="969" t="str">
        <f t="shared" si="21"/>
        <v>2</v>
      </c>
      <c r="DP14" s="969" t="str">
        <f t="shared" si="21"/>
        <v>2</v>
      </c>
      <c r="DQ14" s="969" t="str">
        <f t="shared" si="21"/>
        <v>2</v>
      </c>
      <c r="DR14" s="969" t="str">
        <f t="shared" si="21"/>
        <v>1</v>
      </c>
      <c r="DS14" s="969" t="str">
        <f t="shared" si="21"/>
        <v>1</v>
      </c>
      <c r="DT14" s="969" t="str">
        <f t="shared" si="21"/>
        <v>1</v>
      </c>
      <c r="DU14" s="969" t="str">
        <f t="shared" si="21"/>
        <v>1</v>
      </c>
      <c r="DV14" s="969" t="str">
        <f t="shared" si="21"/>
        <v>1</v>
      </c>
      <c r="DW14" s="969" t="str">
        <f t="shared" si="21"/>
        <v>1</v>
      </c>
      <c r="DX14" s="969" t="str">
        <f t="shared" si="21"/>
        <v>2</v>
      </c>
      <c r="DY14" s="969" t="str">
        <f t="shared" si="21"/>
        <v>2</v>
      </c>
      <c r="DZ14" s="969" t="str">
        <f t="shared" si="21"/>
        <v>2</v>
      </c>
      <c r="EA14" s="969" t="str">
        <f t="shared" si="21"/>
        <v>2</v>
      </c>
      <c r="EB14" s="969" t="str">
        <f t="shared" si="21"/>
        <v>2</v>
      </c>
      <c r="EC14" s="969" t="str">
        <f t="shared" si="21"/>
        <v>2</v>
      </c>
      <c r="ED14" s="969" t="str">
        <f t="shared" si="21"/>
        <v>1</v>
      </c>
      <c r="EE14" s="969" t="str">
        <f t="shared" si="21"/>
        <v>1</v>
      </c>
      <c r="EF14" s="969" t="str">
        <f t="shared" si="21"/>
        <v>1</v>
      </c>
      <c r="EG14" s="969" t="str">
        <f t="shared" si="21"/>
        <v>1</v>
      </c>
      <c r="EH14" s="969" t="str">
        <f t="shared" si="21"/>
        <v>1</v>
      </c>
      <c r="EI14" s="969" t="str">
        <f t="shared" si="21"/>
        <v>1</v>
      </c>
      <c r="EJ14" s="969" t="str">
        <f t="shared" si="21"/>
        <v>2</v>
      </c>
      <c r="EK14" s="969" t="str">
        <f t="shared" si="21"/>
        <v>2</v>
      </c>
      <c r="EL14" s="969" t="str">
        <f t="shared" si="21"/>
        <v>2</v>
      </c>
      <c r="EM14" s="969" t="str">
        <f t="shared" si="21"/>
        <v>2</v>
      </c>
      <c r="EN14" s="969" t="str">
        <f t="shared" si="21"/>
        <v>2</v>
      </c>
      <c r="EO14" s="969" t="str">
        <f t="shared" si="21"/>
        <v>2</v>
      </c>
      <c r="EP14" s="969" t="str">
        <f t="shared" si="21"/>
        <v>1</v>
      </c>
      <c r="EQ14" s="969" t="str">
        <f t="shared" si="21"/>
        <v>1</v>
      </c>
      <c r="ER14" s="969" t="str">
        <f t="shared" si="21"/>
        <v>1</v>
      </c>
      <c r="ES14" s="969" t="str">
        <f t="shared" si="21"/>
        <v>1</v>
      </c>
      <c r="ET14" s="969" t="str">
        <f t="shared" si="21"/>
        <v>1</v>
      </c>
      <c r="EU14" s="969" t="str">
        <f t="shared" si="21"/>
        <v>1</v>
      </c>
      <c r="EV14" s="969" t="str">
        <f t="shared" si="21"/>
        <v>1</v>
      </c>
      <c r="EW14" s="969" t="str">
        <f t="shared" si="21"/>
        <v>1</v>
      </c>
      <c r="EX14" s="969" t="str">
        <f t="shared" si="21"/>
        <v>1</v>
      </c>
      <c r="EY14" s="969" t="str">
        <f t="shared" si="21"/>
        <v>1</v>
      </c>
      <c r="EZ14" s="969" t="str">
        <f t="shared" si="21"/>
        <v>1</v>
      </c>
      <c r="FA14" s="969" t="str">
        <f t="shared" si="21"/>
        <v>1</v>
      </c>
      <c r="FB14" s="969" t="str">
        <f t="shared" si="21"/>
        <v>1</v>
      </c>
      <c r="FC14" s="969" t="str">
        <f t="shared" si="21"/>
        <v>1</v>
      </c>
      <c r="FD14" s="969" t="str">
        <f t="shared" si="21"/>
        <v>1</v>
      </c>
      <c r="FE14" s="969" t="str">
        <f t="shared" si="21"/>
        <v>1</v>
      </c>
      <c r="FF14" s="969" t="str">
        <f t="shared" si="21"/>
        <v>1</v>
      </c>
      <c r="FG14" s="969" t="str">
        <f t="shared" si="21"/>
        <v>1</v>
      </c>
      <c r="FH14" s="969" t="str">
        <f t="shared" si="21"/>
        <v>1</v>
      </c>
      <c r="FI14" s="969" t="str">
        <f t="shared" si="21"/>
        <v>1</v>
      </c>
      <c r="FJ14" s="969" t="str">
        <f t="shared" si="21"/>
        <v>1</v>
      </c>
      <c r="FK14" s="969" t="str">
        <f t="shared" si="21"/>
        <v>1</v>
      </c>
      <c r="FL14" s="969" t="str">
        <f t="shared" si="21"/>
        <v>1</v>
      </c>
      <c r="FM14" s="969" t="str">
        <f t="shared" si="21"/>
        <v>1</v>
      </c>
      <c r="FN14" s="969" t="str">
        <f t="shared" si="21"/>
        <v>1</v>
      </c>
      <c r="FO14" s="969" t="str">
        <f t="shared" si="21"/>
        <v>1</v>
      </c>
      <c r="FP14" s="969" t="str">
        <f t="shared" si="21"/>
        <v>1</v>
      </c>
      <c r="FQ14" s="969" t="str">
        <f t="shared" si="21"/>
        <v>1</v>
      </c>
      <c r="FR14" s="969" t="str">
        <f t="shared" si="21"/>
        <v>1</v>
      </c>
      <c r="FS14" s="969" t="str">
        <f t="shared" si="21"/>
        <v>1</v>
      </c>
      <c r="FT14" s="969" t="str">
        <f t="shared" si="21"/>
        <v>1</v>
      </c>
      <c r="FU14" s="969" t="str">
        <f t="shared" si="21"/>
        <v>1</v>
      </c>
      <c r="FV14" s="969" t="str">
        <f t="shared" si="21"/>
        <v>1</v>
      </c>
      <c r="FW14" s="969" t="str">
        <f t="shared" si="21"/>
        <v>1</v>
      </c>
      <c r="FX14" s="969" t="str">
        <f t="shared" si="21"/>
        <v>1</v>
      </c>
      <c r="FY14" s="969" t="str">
        <f t="shared" si="21"/>
        <v>1</v>
      </c>
      <c r="FZ14" s="969" t="str">
        <f t="shared" si="21"/>
        <v>1</v>
      </c>
      <c r="GA14" s="969" t="str">
        <f t="shared" si="21"/>
        <v>1</v>
      </c>
      <c r="GB14" s="969" t="str">
        <f t="shared" si="21"/>
        <v>1</v>
      </c>
      <c r="GC14" s="969" t="str">
        <f t="shared" si="21"/>
        <v>1</v>
      </c>
      <c r="GD14" s="969" t="str">
        <f t="shared" si="21"/>
        <v>1</v>
      </c>
      <c r="GE14" s="969" t="str">
        <f t="shared" si="21"/>
        <v>1</v>
      </c>
      <c r="GF14" s="969" t="str">
        <f t="shared" si="21"/>
        <v>1</v>
      </c>
      <c r="GG14" s="969" t="str">
        <f t="shared" si="21"/>
        <v>1</v>
      </c>
      <c r="GH14" s="969" t="str">
        <f t="shared" si="21"/>
        <v>1</v>
      </c>
      <c r="GI14" s="969" t="str">
        <f t="shared" si="21"/>
        <v>1</v>
      </c>
      <c r="GJ14" s="969" t="str">
        <f t="shared" si="21"/>
        <v>1</v>
      </c>
      <c r="GK14" s="969" t="str">
        <f t="shared" si="21"/>
        <v>1</v>
      </c>
      <c r="GL14" s="969" t="str">
        <f t="shared" ref="GL14:IW14" si="22">IF(MONTH(GL7)&gt;6,"2","1")</f>
        <v>1</v>
      </c>
      <c r="GM14" s="969" t="str">
        <f t="shared" si="22"/>
        <v>1</v>
      </c>
      <c r="GN14" s="969" t="str">
        <f t="shared" si="22"/>
        <v>1</v>
      </c>
      <c r="GO14" s="969" t="str">
        <f t="shared" si="22"/>
        <v>1</v>
      </c>
      <c r="GP14" s="969" t="str">
        <f t="shared" si="22"/>
        <v>1</v>
      </c>
      <c r="GQ14" s="969" t="str">
        <f t="shared" si="22"/>
        <v>1</v>
      </c>
      <c r="GR14" s="969" t="str">
        <f t="shared" si="22"/>
        <v>1</v>
      </c>
      <c r="GS14" s="969" t="str">
        <f t="shared" si="22"/>
        <v>1</v>
      </c>
      <c r="GT14" s="969" t="str">
        <f t="shared" si="22"/>
        <v>1</v>
      </c>
      <c r="GU14" s="969" t="str">
        <f t="shared" si="22"/>
        <v>1</v>
      </c>
      <c r="GV14" s="969" t="str">
        <f t="shared" si="22"/>
        <v>1</v>
      </c>
      <c r="GW14" s="969" t="str">
        <f t="shared" si="22"/>
        <v>1</v>
      </c>
      <c r="GX14" s="969" t="str">
        <f t="shared" si="22"/>
        <v>1</v>
      </c>
      <c r="GY14" s="969" t="str">
        <f t="shared" si="22"/>
        <v>1</v>
      </c>
      <c r="GZ14" s="969" t="str">
        <f t="shared" si="22"/>
        <v>1</v>
      </c>
      <c r="HA14" s="969" t="str">
        <f t="shared" si="22"/>
        <v>1</v>
      </c>
      <c r="HB14" s="969" t="str">
        <f t="shared" si="22"/>
        <v>1</v>
      </c>
      <c r="HC14" s="969" t="str">
        <f t="shared" si="22"/>
        <v>1</v>
      </c>
      <c r="HD14" s="969" t="str">
        <f t="shared" si="22"/>
        <v>1</v>
      </c>
      <c r="HE14" s="969" t="str">
        <f t="shared" si="22"/>
        <v>1</v>
      </c>
      <c r="HF14" s="969" t="str">
        <f t="shared" si="22"/>
        <v>1</v>
      </c>
      <c r="HG14" s="969" t="str">
        <f t="shared" si="22"/>
        <v>1</v>
      </c>
      <c r="HH14" s="969" t="str">
        <f t="shared" si="22"/>
        <v>1</v>
      </c>
      <c r="HI14" s="969" t="str">
        <f t="shared" si="22"/>
        <v>1</v>
      </c>
      <c r="HJ14" s="969" t="str">
        <f t="shared" si="22"/>
        <v>1</v>
      </c>
      <c r="HK14" s="969" t="str">
        <f t="shared" si="22"/>
        <v>1</v>
      </c>
      <c r="HL14" s="969" t="str">
        <f t="shared" si="22"/>
        <v>1</v>
      </c>
      <c r="HM14" s="969" t="str">
        <f t="shared" si="22"/>
        <v>1</v>
      </c>
      <c r="HN14" s="969" t="str">
        <f t="shared" si="22"/>
        <v>1</v>
      </c>
      <c r="HO14" s="969" t="str">
        <f t="shared" si="22"/>
        <v>1</v>
      </c>
      <c r="HP14" s="969" t="str">
        <f t="shared" si="22"/>
        <v>1</v>
      </c>
      <c r="HQ14" s="969" t="str">
        <f t="shared" si="22"/>
        <v>1</v>
      </c>
      <c r="HR14" s="969" t="str">
        <f t="shared" si="22"/>
        <v>1</v>
      </c>
      <c r="HS14" s="969" t="str">
        <f t="shared" si="22"/>
        <v>1</v>
      </c>
      <c r="HT14" s="969" t="str">
        <f t="shared" si="22"/>
        <v>1</v>
      </c>
      <c r="HU14" s="969" t="str">
        <f t="shared" si="22"/>
        <v>1</v>
      </c>
      <c r="HV14" s="969" t="str">
        <f t="shared" si="22"/>
        <v>1</v>
      </c>
      <c r="HW14" s="969" t="str">
        <f t="shared" si="22"/>
        <v>1</v>
      </c>
      <c r="HX14" s="969" t="str">
        <f t="shared" si="22"/>
        <v>1</v>
      </c>
      <c r="HY14" s="969" t="str">
        <f t="shared" si="22"/>
        <v>1</v>
      </c>
      <c r="HZ14" s="969" t="str">
        <f t="shared" si="22"/>
        <v>1</v>
      </c>
      <c r="IA14" s="969" t="str">
        <f t="shared" si="22"/>
        <v>1</v>
      </c>
      <c r="IB14" s="969" t="str">
        <f t="shared" si="22"/>
        <v>1</v>
      </c>
      <c r="IC14" s="969" t="str">
        <f t="shared" si="22"/>
        <v>1</v>
      </c>
      <c r="ID14" s="969" t="str">
        <f t="shared" si="22"/>
        <v>1</v>
      </c>
      <c r="IE14" s="969" t="str">
        <f t="shared" si="22"/>
        <v>1</v>
      </c>
      <c r="IF14" s="969" t="str">
        <f t="shared" si="22"/>
        <v>1</v>
      </c>
      <c r="IG14" s="969" t="str">
        <f t="shared" si="22"/>
        <v>1</v>
      </c>
      <c r="IH14" s="969" t="str">
        <f t="shared" si="22"/>
        <v>1</v>
      </c>
      <c r="II14" s="969" t="str">
        <f t="shared" si="22"/>
        <v>1</v>
      </c>
      <c r="IJ14" s="969" t="str">
        <f t="shared" si="22"/>
        <v>1</v>
      </c>
      <c r="IK14" s="969" t="str">
        <f t="shared" si="22"/>
        <v>1</v>
      </c>
      <c r="IL14" s="969" t="str">
        <f t="shared" si="22"/>
        <v>1</v>
      </c>
      <c r="IM14" s="969" t="str">
        <f t="shared" si="22"/>
        <v>1</v>
      </c>
      <c r="IN14" s="969" t="str">
        <f t="shared" si="22"/>
        <v>1</v>
      </c>
      <c r="IO14" s="969" t="str">
        <f t="shared" si="22"/>
        <v>1</v>
      </c>
      <c r="IP14" s="969" t="str">
        <f t="shared" si="22"/>
        <v>1</v>
      </c>
      <c r="IQ14" s="969" t="str">
        <f t="shared" si="22"/>
        <v>1</v>
      </c>
      <c r="IR14" s="969" t="str">
        <f t="shared" si="22"/>
        <v>1</v>
      </c>
      <c r="IS14" s="969" t="str">
        <f t="shared" si="22"/>
        <v>1</v>
      </c>
      <c r="IT14" s="969" t="str">
        <f t="shared" si="22"/>
        <v>1</v>
      </c>
      <c r="IU14" s="969" t="str">
        <f t="shared" si="22"/>
        <v>1</v>
      </c>
      <c r="IV14" s="969" t="str">
        <f t="shared" si="22"/>
        <v>1</v>
      </c>
      <c r="IW14" s="969" t="str">
        <f t="shared" si="22"/>
        <v>1</v>
      </c>
      <c r="IX14" s="969" t="str">
        <f t="shared" ref="IX14:LI14" si="23">IF(MONTH(IX7)&gt;6,"2","1")</f>
        <v>1</v>
      </c>
      <c r="IY14" s="969" t="str">
        <f t="shared" si="23"/>
        <v>1</v>
      </c>
      <c r="IZ14" s="969" t="str">
        <f t="shared" si="23"/>
        <v>1</v>
      </c>
      <c r="JA14" s="969" t="str">
        <f t="shared" si="23"/>
        <v>1</v>
      </c>
      <c r="JB14" s="969" t="str">
        <f t="shared" si="23"/>
        <v>1</v>
      </c>
      <c r="JC14" s="969" t="str">
        <f t="shared" si="23"/>
        <v>1</v>
      </c>
      <c r="JD14" s="969" t="str">
        <f t="shared" si="23"/>
        <v>1</v>
      </c>
      <c r="JE14" s="969" t="str">
        <f t="shared" si="23"/>
        <v>1</v>
      </c>
      <c r="JF14" s="969" t="str">
        <f t="shared" si="23"/>
        <v>1</v>
      </c>
      <c r="JG14" s="969" t="str">
        <f t="shared" si="23"/>
        <v>1</v>
      </c>
      <c r="JH14" s="969" t="str">
        <f t="shared" si="23"/>
        <v>1</v>
      </c>
      <c r="JI14" s="969" t="str">
        <f t="shared" si="23"/>
        <v>1</v>
      </c>
      <c r="JJ14" s="969" t="str">
        <f t="shared" si="23"/>
        <v>1</v>
      </c>
      <c r="JK14" s="969" t="str">
        <f t="shared" si="23"/>
        <v>1</v>
      </c>
      <c r="JL14" s="969" t="str">
        <f t="shared" si="23"/>
        <v>1</v>
      </c>
      <c r="JM14" s="969" t="str">
        <f t="shared" si="23"/>
        <v>1</v>
      </c>
      <c r="JN14" s="969" t="str">
        <f t="shared" si="23"/>
        <v>1</v>
      </c>
      <c r="JO14" s="969" t="str">
        <f t="shared" si="23"/>
        <v>1</v>
      </c>
      <c r="JP14" s="969" t="str">
        <f t="shared" si="23"/>
        <v>1</v>
      </c>
      <c r="JQ14" s="969" t="str">
        <f t="shared" si="23"/>
        <v>1</v>
      </c>
      <c r="JR14" s="969" t="str">
        <f t="shared" si="23"/>
        <v>1</v>
      </c>
      <c r="JS14" s="969" t="str">
        <f t="shared" si="23"/>
        <v>1</v>
      </c>
      <c r="JT14" s="969" t="str">
        <f t="shared" si="23"/>
        <v>1</v>
      </c>
      <c r="JU14" s="969" t="str">
        <f t="shared" si="23"/>
        <v>1</v>
      </c>
      <c r="JV14" s="969" t="str">
        <f t="shared" si="23"/>
        <v>1</v>
      </c>
      <c r="JW14" s="969" t="str">
        <f t="shared" si="23"/>
        <v>1</v>
      </c>
      <c r="JX14" s="969" t="str">
        <f t="shared" si="23"/>
        <v>1</v>
      </c>
      <c r="JY14" s="969" t="str">
        <f t="shared" si="23"/>
        <v>1</v>
      </c>
      <c r="JZ14" s="969" t="str">
        <f t="shared" si="23"/>
        <v>1</v>
      </c>
      <c r="KA14" s="969" t="str">
        <f t="shared" si="23"/>
        <v>1</v>
      </c>
      <c r="KB14" s="969" t="str">
        <f t="shared" si="23"/>
        <v>1</v>
      </c>
      <c r="KC14" s="969" t="str">
        <f t="shared" si="23"/>
        <v>1</v>
      </c>
      <c r="KD14" s="969" t="str">
        <f t="shared" si="23"/>
        <v>1</v>
      </c>
      <c r="KE14" s="969" t="str">
        <f t="shared" si="23"/>
        <v>1</v>
      </c>
      <c r="KF14" s="969" t="str">
        <f t="shared" si="23"/>
        <v>1</v>
      </c>
      <c r="KG14" s="969" t="str">
        <f t="shared" si="23"/>
        <v>1</v>
      </c>
      <c r="KH14" s="969" t="str">
        <f t="shared" si="23"/>
        <v>1</v>
      </c>
      <c r="KI14" s="969" t="str">
        <f t="shared" si="23"/>
        <v>1</v>
      </c>
      <c r="KJ14" s="969" t="str">
        <f t="shared" si="23"/>
        <v>1</v>
      </c>
      <c r="KK14" s="969" t="str">
        <f t="shared" si="23"/>
        <v>1</v>
      </c>
      <c r="KL14" s="969" t="str">
        <f t="shared" si="23"/>
        <v>1</v>
      </c>
      <c r="KM14" s="969" t="str">
        <f t="shared" si="23"/>
        <v>1</v>
      </c>
      <c r="KN14" s="969" t="str">
        <f t="shared" si="23"/>
        <v>1</v>
      </c>
      <c r="KO14" s="969" t="str">
        <f t="shared" si="23"/>
        <v>1</v>
      </c>
      <c r="KP14" s="969" t="str">
        <f t="shared" si="23"/>
        <v>1</v>
      </c>
      <c r="KQ14" s="969" t="str">
        <f t="shared" si="23"/>
        <v>1</v>
      </c>
      <c r="KR14" s="969" t="str">
        <f t="shared" si="23"/>
        <v>1</v>
      </c>
      <c r="KS14" s="969" t="str">
        <f t="shared" si="23"/>
        <v>1</v>
      </c>
      <c r="KT14" s="969" t="str">
        <f t="shared" si="23"/>
        <v>1</v>
      </c>
      <c r="KU14" s="969" t="str">
        <f t="shared" si="23"/>
        <v>1</v>
      </c>
      <c r="KV14" s="969" t="str">
        <f t="shared" si="23"/>
        <v>1</v>
      </c>
      <c r="KW14" s="969" t="str">
        <f t="shared" si="23"/>
        <v>1</v>
      </c>
      <c r="KX14" s="969" t="str">
        <f t="shared" si="23"/>
        <v>1</v>
      </c>
      <c r="KY14" s="969" t="str">
        <f t="shared" si="23"/>
        <v>1</v>
      </c>
      <c r="KZ14" s="969" t="str">
        <f t="shared" si="23"/>
        <v>1</v>
      </c>
      <c r="LA14" s="969" t="str">
        <f t="shared" si="23"/>
        <v>1</v>
      </c>
      <c r="LB14" s="969" t="str">
        <f t="shared" si="23"/>
        <v>1</v>
      </c>
      <c r="LC14" s="969" t="str">
        <f t="shared" si="23"/>
        <v>1</v>
      </c>
      <c r="LD14" s="969" t="str">
        <f t="shared" si="23"/>
        <v>1</v>
      </c>
      <c r="LE14" s="969" t="str">
        <f t="shared" si="23"/>
        <v>1</v>
      </c>
      <c r="LF14" s="969" t="str">
        <f t="shared" si="23"/>
        <v>1</v>
      </c>
      <c r="LG14" s="969" t="str">
        <f t="shared" si="23"/>
        <v>1</v>
      </c>
      <c r="LH14" s="969" t="str">
        <f t="shared" si="23"/>
        <v>1</v>
      </c>
      <c r="LI14" s="969" t="str">
        <f t="shared" si="23"/>
        <v>1</v>
      </c>
      <c r="LJ14" s="969" t="str">
        <f t="shared" ref="LJ14:NU14" si="24">IF(MONTH(LJ7)&gt;6,"2","1")</f>
        <v>1</v>
      </c>
      <c r="LK14" s="969" t="str">
        <f t="shared" si="24"/>
        <v>1</v>
      </c>
      <c r="LL14" s="969" t="str">
        <f t="shared" si="24"/>
        <v>1</v>
      </c>
      <c r="LM14" s="969" t="str">
        <f t="shared" si="24"/>
        <v>1</v>
      </c>
      <c r="LN14" s="969" t="str">
        <f t="shared" si="24"/>
        <v>1</v>
      </c>
      <c r="LO14" s="969" t="str">
        <f t="shared" si="24"/>
        <v>1</v>
      </c>
      <c r="LP14" s="969" t="str">
        <f t="shared" si="24"/>
        <v>1</v>
      </c>
      <c r="LQ14" s="969" t="str">
        <f t="shared" si="24"/>
        <v>1</v>
      </c>
      <c r="LR14" s="969" t="str">
        <f t="shared" si="24"/>
        <v>1</v>
      </c>
      <c r="LS14" s="969" t="str">
        <f t="shared" si="24"/>
        <v>1</v>
      </c>
      <c r="LT14" s="969" t="str">
        <f t="shared" si="24"/>
        <v>1</v>
      </c>
      <c r="LU14" s="969" t="str">
        <f t="shared" si="24"/>
        <v>1</v>
      </c>
      <c r="LV14" s="969" t="str">
        <f t="shared" si="24"/>
        <v>1</v>
      </c>
      <c r="LW14" s="969" t="str">
        <f t="shared" si="24"/>
        <v>1</v>
      </c>
      <c r="LX14" s="969" t="str">
        <f t="shared" si="24"/>
        <v>1</v>
      </c>
      <c r="LY14" s="969" t="str">
        <f t="shared" si="24"/>
        <v>1</v>
      </c>
      <c r="LZ14" s="969" t="str">
        <f t="shared" si="24"/>
        <v>1</v>
      </c>
      <c r="MA14" s="969" t="str">
        <f t="shared" si="24"/>
        <v>1</v>
      </c>
      <c r="MB14" s="969" t="str">
        <f t="shared" si="24"/>
        <v>1</v>
      </c>
      <c r="MC14" s="969" t="str">
        <f t="shared" si="24"/>
        <v>1</v>
      </c>
      <c r="MD14" s="969" t="str">
        <f t="shared" si="24"/>
        <v>1</v>
      </c>
      <c r="ME14" s="969" t="str">
        <f t="shared" si="24"/>
        <v>1</v>
      </c>
      <c r="MF14" s="969" t="str">
        <f t="shared" si="24"/>
        <v>1</v>
      </c>
      <c r="MG14" s="969" t="str">
        <f t="shared" si="24"/>
        <v>1</v>
      </c>
      <c r="MH14" s="969" t="str">
        <f t="shared" si="24"/>
        <v>1</v>
      </c>
      <c r="MI14" s="969" t="str">
        <f t="shared" si="24"/>
        <v>1</v>
      </c>
      <c r="MJ14" s="969" t="str">
        <f t="shared" si="24"/>
        <v>1</v>
      </c>
      <c r="MK14" s="969" t="str">
        <f t="shared" si="24"/>
        <v>1</v>
      </c>
      <c r="ML14" s="969" t="str">
        <f t="shared" si="24"/>
        <v>1</v>
      </c>
      <c r="MM14" s="969" t="str">
        <f t="shared" si="24"/>
        <v>1</v>
      </c>
      <c r="MN14" s="969" t="str">
        <f t="shared" si="24"/>
        <v>1</v>
      </c>
      <c r="MO14" s="969" t="str">
        <f t="shared" si="24"/>
        <v>1</v>
      </c>
      <c r="MP14" s="969" t="str">
        <f t="shared" si="24"/>
        <v>1</v>
      </c>
      <c r="MQ14" s="969" t="str">
        <f t="shared" si="24"/>
        <v>1</v>
      </c>
      <c r="MR14" s="969" t="str">
        <f t="shared" si="24"/>
        <v>1</v>
      </c>
      <c r="MS14" s="969" t="str">
        <f t="shared" si="24"/>
        <v>1</v>
      </c>
      <c r="MT14" s="969" t="str">
        <f t="shared" si="24"/>
        <v>1</v>
      </c>
      <c r="MU14" s="969" t="str">
        <f t="shared" si="24"/>
        <v>1</v>
      </c>
      <c r="MV14" s="969" t="str">
        <f t="shared" si="24"/>
        <v>1</v>
      </c>
      <c r="MW14" s="969" t="str">
        <f t="shared" si="24"/>
        <v>1</v>
      </c>
      <c r="MX14" s="969" t="str">
        <f t="shared" si="24"/>
        <v>1</v>
      </c>
      <c r="MY14" s="969" t="str">
        <f t="shared" si="24"/>
        <v>1</v>
      </c>
      <c r="MZ14" s="969" t="str">
        <f t="shared" si="24"/>
        <v>1</v>
      </c>
      <c r="NA14" s="969" t="str">
        <f t="shared" si="24"/>
        <v>1</v>
      </c>
      <c r="NB14" s="969" t="str">
        <f t="shared" si="24"/>
        <v>1</v>
      </c>
      <c r="NC14" s="969" t="str">
        <f t="shared" si="24"/>
        <v>1</v>
      </c>
      <c r="ND14" s="969" t="str">
        <f t="shared" si="24"/>
        <v>1</v>
      </c>
      <c r="NE14" s="969" t="str">
        <f t="shared" si="24"/>
        <v>1</v>
      </c>
      <c r="NF14" s="969" t="str">
        <f t="shared" si="24"/>
        <v>1</v>
      </c>
      <c r="NG14" s="969" t="str">
        <f t="shared" si="24"/>
        <v>1</v>
      </c>
      <c r="NH14" s="969" t="str">
        <f t="shared" si="24"/>
        <v>1</v>
      </c>
      <c r="NI14" s="969" t="str">
        <f t="shared" si="24"/>
        <v>1</v>
      </c>
      <c r="NJ14" s="969" t="str">
        <f t="shared" si="24"/>
        <v>1</v>
      </c>
      <c r="NK14" s="969" t="str">
        <f t="shared" si="24"/>
        <v>1</v>
      </c>
      <c r="NL14" s="969" t="str">
        <f t="shared" si="24"/>
        <v>1</v>
      </c>
      <c r="NM14" s="969" t="str">
        <f t="shared" si="24"/>
        <v>1</v>
      </c>
      <c r="NN14" s="969" t="str">
        <f t="shared" si="24"/>
        <v>1</v>
      </c>
      <c r="NO14" s="969" t="str">
        <f t="shared" si="24"/>
        <v>1</v>
      </c>
      <c r="NP14" s="969" t="str">
        <f t="shared" si="24"/>
        <v>1</v>
      </c>
      <c r="NQ14" s="969" t="str">
        <f t="shared" si="24"/>
        <v>1</v>
      </c>
      <c r="NR14" s="969" t="str">
        <f t="shared" si="24"/>
        <v>1</v>
      </c>
      <c r="NS14" s="969" t="str">
        <f t="shared" si="24"/>
        <v>1</v>
      </c>
      <c r="NT14" s="969" t="str">
        <f t="shared" si="24"/>
        <v>1</v>
      </c>
      <c r="NU14" s="969" t="str">
        <f t="shared" si="24"/>
        <v>1</v>
      </c>
      <c r="NV14" s="969" t="str">
        <f t="shared" ref="NV14:QG14" si="25">IF(MONTH(NV7)&gt;6,"2","1")</f>
        <v>1</v>
      </c>
      <c r="NW14" s="969" t="str">
        <f t="shared" si="25"/>
        <v>1</v>
      </c>
      <c r="NX14" s="969" t="str">
        <f t="shared" si="25"/>
        <v>1</v>
      </c>
      <c r="NY14" s="969" t="str">
        <f t="shared" si="25"/>
        <v>1</v>
      </c>
      <c r="NZ14" s="969" t="str">
        <f t="shared" si="25"/>
        <v>1</v>
      </c>
      <c r="OA14" s="969" t="str">
        <f t="shared" si="25"/>
        <v>1</v>
      </c>
      <c r="OB14" s="969" t="str">
        <f t="shared" si="25"/>
        <v>1</v>
      </c>
      <c r="OC14" s="969" t="str">
        <f t="shared" si="25"/>
        <v>1</v>
      </c>
      <c r="OD14" s="969" t="str">
        <f t="shared" si="25"/>
        <v>1</v>
      </c>
      <c r="OE14" s="969" t="str">
        <f t="shared" si="25"/>
        <v>1</v>
      </c>
      <c r="OF14" s="969" t="str">
        <f t="shared" si="25"/>
        <v>1</v>
      </c>
      <c r="OG14" s="969" t="str">
        <f t="shared" si="25"/>
        <v>1</v>
      </c>
      <c r="OH14" s="969" t="str">
        <f t="shared" si="25"/>
        <v>1</v>
      </c>
      <c r="OI14" s="969" t="str">
        <f t="shared" si="25"/>
        <v>1</v>
      </c>
      <c r="OJ14" s="969" t="str">
        <f t="shared" si="25"/>
        <v>1</v>
      </c>
      <c r="OK14" s="969" t="str">
        <f t="shared" si="25"/>
        <v>1</v>
      </c>
      <c r="OL14" s="969" t="str">
        <f t="shared" si="25"/>
        <v>1</v>
      </c>
      <c r="OM14" s="969" t="str">
        <f t="shared" si="25"/>
        <v>1</v>
      </c>
      <c r="ON14" s="969" t="str">
        <f t="shared" si="25"/>
        <v>1</v>
      </c>
      <c r="OO14" s="969" t="str">
        <f t="shared" si="25"/>
        <v>1</v>
      </c>
      <c r="OP14" s="969" t="str">
        <f t="shared" si="25"/>
        <v>1</v>
      </c>
      <c r="OQ14" s="969" t="str">
        <f t="shared" si="25"/>
        <v>1</v>
      </c>
      <c r="OR14" s="969" t="str">
        <f t="shared" si="25"/>
        <v>1</v>
      </c>
      <c r="OS14" s="969" t="str">
        <f t="shared" si="25"/>
        <v>1</v>
      </c>
      <c r="OT14" s="969" t="str">
        <f t="shared" si="25"/>
        <v>1</v>
      </c>
      <c r="OU14" s="969" t="str">
        <f t="shared" si="25"/>
        <v>1</v>
      </c>
      <c r="OV14" s="969" t="str">
        <f t="shared" si="25"/>
        <v>1</v>
      </c>
      <c r="OW14" s="969" t="str">
        <f t="shared" si="25"/>
        <v>1</v>
      </c>
      <c r="OX14" s="969" t="str">
        <f t="shared" si="25"/>
        <v>1</v>
      </c>
      <c r="OY14" s="969" t="str">
        <f t="shared" si="25"/>
        <v>1</v>
      </c>
      <c r="OZ14" s="969" t="str">
        <f t="shared" si="25"/>
        <v>1</v>
      </c>
      <c r="PA14" s="969" t="str">
        <f t="shared" si="25"/>
        <v>1</v>
      </c>
      <c r="PB14" s="969" t="str">
        <f t="shared" si="25"/>
        <v>1</v>
      </c>
      <c r="PC14" s="969" t="str">
        <f t="shared" si="25"/>
        <v>1</v>
      </c>
      <c r="PD14" s="969" t="str">
        <f t="shared" si="25"/>
        <v>1</v>
      </c>
      <c r="PE14" s="969" t="str">
        <f t="shared" si="25"/>
        <v>1</v>
      </c>
      <c r="PF14" s="969" t="str">
        <f t="shared" si="25"/>
        <v>1</v>
      </c>
      <c r="PG14" s="969" t="str">
        <f t="shared" si="25"/>
        <v>1</v>
      </c>
      <c r="PH14" s="969" t="str">
        <f t="shared" si="25"/>
        <v>1</v>
      </c>
      <c r="PI14" s="969" t="str">
        <f t="shared" si="25"/>
        <v>1</v>
      </c>
      <c r="PJ14" s="969" t="str">
        <f t="shared" si="25"/>
        <v>1</v>
      </c>
      <c r="PK14" s="969" t="str">
        <f t="shared" si="25"/>
        <v>1</v>
      </c>
      <c r="PL14" s="969" t="str">
        <f t="shared" si="25"/>
        <v>1</v>
      </c>
      <c r="PM14" s="969" t="str">
        <f t="shared" si="25"/>
        <v>1</v>
      </c>
      <c r="PN14" s="969" t="str">
        <f t="shared" si="25"/>
        <v>1</v>
      </c>
      <c r="PO14" s="969" t="str">
        <f t="shared" si="25"/>
        <v>1</v>
      </c>
      <c r="PP14" s="969" t="str">
        <f t="shared" si="25"/>
        <v>1</v>
      </c>
      <c r="PQ14" s="969" t="str">
        <f t="shared" si="25"/>
        <v>1</v>
      </c>
      <c r="PR14" s="969" t="str">
        <f t="shared" si="25"/>
        <v>1</v>
      </c>
      <c r="PS14" s="969" t="str">
        <f t="shared" si="25"/>
        <v>1</v>
      </c>
      <c r="PT14" s="969" t="str">
        <f t="shared" si="25"/>
        <v>1</v>
      </c>
      <c r="PU14" s="969" t="str">
        <f t="shared" si="25"/>
        <v>1</v>
      </c>
      <c r="PV14" s="969" t="str">
        <f t="shared" si="25"/>
        <v>1</v>
      </c>
      <c r="PW14" s="969" t="str">
        <f t="shared" si="25"/>
        <v>1</v>
      </c>
      <c r="PX14" s="969" t="str">
        <f t="shared" si="25"/>
        <v>1</v>
      </c>
      <c r="PY14" s="969" t="str">
        <f t="shared" si="25"/>
        <v>1</v>
      </c>
      <c r="PZ14" s="969" t="str">
        <f t="shared" si="25"/>
        <v>1</v>
      </c>
      <c r="QA14" s="969" t="str">
        <f t="shared" si="25"/>
        <v>1</v>
      </c>
      <c r="QB14" s="969" t="str">
        <f t="shared" si="25"/>
        <v>1</v>
      </c>
      <c r="QC14" s="969" t="str">
        <f t="shared" si="25"/>
        <v>1</v>
      </c>
      <c r="QD14" s="969" t="str">
        <f t="shared" si="25"/>
        <v>1</v>
      </c>
      <c r="QE14" s="969" t="str">
        <f t="shared" si="25"/>
        <v>1</v>
      </c>
      <c r="QF14" s="969" t="str">
        <f t="shared" si="25"/>
        <v>1</v>
      </c>
      <c r="QG14" s="969" t="str">
        <f t="shared" si="25"/>
        <v>1</v>
      </c>
      <c r="QH14" s="969" t="str">
        <f t="shared" ref="QH14:SP14" si="26">IF(MONTH(QH7)&gt;6,"2","1")</f>
        <v>1</v>
      </c>
      <c r="QI14" s="969" t="str">
        <f t="shared" si="26"/>
        <v>1</v>
      </c>
      <c r="QJ14" s="969" t="str">
        <f t="shared" si="26"/>
        <v>1</v>
      </c>
      <c r="QK14" s="969" t="str">
        <f t="shared" si="26"/>
        <v>1</v>
      </c>
      <c r="QL14" s="969" t="str">
        <f t="shared" si="26"/>
        <v>1</v>
      </c>
      <c r="QM14" s="969" t="str">
        <f t="shared" si="26"/>
        <v>1</v>
      </c>
      <c r="QN14" s="969" t="str">
        <f t="shared" si="26"/>
        <v>1</v>
      </c>
      <c r="QO14" s="969" t="str">
        <f t="shared" si="26"/>
        <v>1</v>
      </c>
      <c r="QP14" s="969" t="str">
        <f t="shared" si="26"/>
        <v>1</v>
      </c>
      <c r="QQ14" s="969" t="str">
        <f t="shared" si="26"/>
        <v>1</v>
      </c>
      <c r="QR14" s="969" t="str">
        <f t="shared" si="26"/>
        <v>1</v>
      </c>
      <c r="QS14" s="969" t="str">
        <f t="shared" si="26"/>
        <v>1</v>
      </c>
      <c r="QT14" s="969" t="str">
        <f t="shared" si="26"/>
        <v>1</v>
      </c>
      <c r="QU14" s="969" t="str">
        <f t="shared" si="26"/>
        <v>1</v>
      </c>
      <c r="QV14" s="969" t="str">
        <f t="shared" si="26"/>
        <v>1</v>
      </c>
      <c r="QW14" s="969" t="str">
        <f t="shared" si="26"/>
        <v>1</v>
      </c>
      <c r="QX14" s="969" t="str">
        <f t="shared" si="26"/>
        <v>1</v>
      </c>
      <c r="QY14" s="969" t="str">
        <f t="shared" si="26"/>
        <v>1</v>
      </c>
      <c r="QZ14" s="969" t="str">
        <f t="shared" si="26"/>
        <v>1</v>
      </c>
      <c r="RA14" s="969" t="str">
        <f t="shared" si="26"/>
        <v>1</v>
      </c>
      <c r="RB14" s="969" t="str">
        <f t="shared" si="26"/>
        <v>1</v>
      </c>
      <c r="RC14" s="969" t="str">
        <f t="shared" si="26"/>
        <v>1</v>
      </c>
      <c r="RD14" s="969" t="str">
        <f t="shared" si="26"/>
        <v>1</v>
      </c>
      <c r="RE14" s="969" t="str">
        <f t="shared" si="26"/>
        <v>1</v>
      </c>
      <c r="RF14" s="969" t="str">
        <f t="shared" si="26"/>
        <v>1</v>
      </c>
      <c r="RG14" s="969" t="str">
        <f t="shared" si="26"/>
        <v>1</v>
      </c>
      <c r="RH14" s="969" t="str">
        <f t="shared" si="26"/>
        <v>1</v>
      </c>
      <c r="RI14" s="969" t="str">
        <f t="shared" si="26"/>
        <v>1</v>
      </c>
      <c r="RJ14" s="969" t="str">
        <f t="shared" si="26"/>
        <v>1</v>
      </c>
      <c r="RK14" s="969" t="str">
        <f t="shared" si="26"/>
        <v>1</v>
      </c>
      <c r="RL14" s="969" t="str">
        <f t="shared" si="26"/>
        <v>1</v>
      </c>
      <c r="RM14" s="969" t="str">
        <f t="shared" si="26"/>
        <v>1</v>
      </c>
      <c r="RN14" s="969" t="str">
        <f t="shared" si="26"/>
        <v>1</v>
      </c>
      <c r="RO14" s="969" t="str">
        <f t="shared" si="26"/>
        <v>1</v>
      </c>
      <c r="RP14" s="969" t="str">
        <f t="shared" si="26"/>
        <v>1</v>
      </c>
      <c r="RQ14" s="969" t="str">
        <f t="shared" si="26"/>
        <v>1</v>
      </c>
      <c r="RR14" s="969" t="str">
        <f t="shared" si="26"/>
        <v>1</v>
      </c>
      <c r="RS14" s="969" t="str">
        <f t="shared" si="26"/>
        <v>1</v>
      </c>
      <c r="RT14" s="969" t="str">
        <f t="shared" si="26"/>
        <v>1</v>
      </c>
      <c r="RU14" s="969" t="str">
        <f t="shared" si="26"/>
        <v>1</v>
      </c>
      <c r="RV14" s="969" t="str">
        <f t="shared" si="26"/>
        <v>1</v>
      </c>
      <c r="RW14" s="969" t="str">
        <f t="shared" si="26"/>
        <v>1</v>
      </c>
      <c r="RX14" s="969" t="str">
        <f t="shared" si="26"/>
        <v>1</v>
      </c>
      <c r="RY14" s="969" t="str">
        <f t="shared" si="26"/>
        <v>1</v>
      </c>
      <c r="RZ14" s="969" t="str">
        <f t="shared" si="26"/>
        <v>1</v>
      </c>
      <c r="SA14" s="969" t="str">
        <f t="shared" si="26"/>
        <v>1</v>
      </c>
      <c r="SB14" s="969" t="str">
        <f t="shared" si="26"/>
        <v>1</v>
      </c>
      <c r="SC14" s="969" t="str">
        <f t="shared" si="26"/>
        <v>1</v>
      </c>
      <c r="SD14" s="969" t="str">
        <f t="shared" si="26"/>
        <v>1</v>
      </c>
      <c r="SE14" s="969" t="str">
        <f t="shared" si="26"/>
        <v>1</v>
      </c>
      <c r="SF14" s="969" t="str">
        <f t="shared" si="26"/>
        <v>1</v>
      </c>
      <c r="SG14" s="969" t="str">
        <f t="shared" si="26"/>
        <v>1</v>
      </c>
      <c r="SH14" s="969" t="str">
        <f t="shared" si="26"/>
        <v>1</v>
      </c>
      <c r="SI14" s="969" t="str">
        <f t="shared" si="26"/>
        <v>1</v>
      </c>
      <c r="SJ14" s="969" t="str">
        <f t="shared" si="26"/>
        <v>1</v>
      </c>
      <c r="SK14" s="969" t="str">
        <f t="shared" si="26"/>
        <v>1</v>
      </c>
      <c r="SL14" s="969" t="str">
        <f t="shared" si="26"/>
        <v>1</v>
      </c>
      <c r="SM14" s="969" t="str">
        <f t="shared" si="26"/>
        <v>1</v>
      </c>
      <c r="SN14" s="969" t="str">
        <f t="shared" si="26"/>
        <v>1</v>
      </c>
      <c r="SO14" s="969" t="str">
        <f t="shared" si="26"/>
        <v>1</v>
      </c>
      <c r="SP14" s="969" t="str">
        <f t="shared" si="26"/>
        <v>1</v>
      </c>
    </row>
    <row r="15" spans="1:510" s="970" customFormat="1" ht="12" hidden="1" thickBot="1">
      <c r="A15" s="972"/>
      <c r="B15" s="969" t="s">
        <v>219</v>
      </c>
      <c r="C15" s="969" t="s">
        <v>220</v>
      </c>
      <c r="D15" s="969" t="s">
        <v>221</v>
      </c>
      <c r="E15" s="969" t="s">
        <v>222</v>
      </c>
      <c r="F15" s="969" t="s">
        <v>223</v>
      </c>
      <c r="G15" s="969" t="s">
        <v>224</v>
      </c>
      <c r="H15" s="969" t="s">
        <v>225</v>
      </c>
      <c r="I15" s="969" t="s">
        <v>226</v>
      </c>
      <c r="J15" s="969" t="s">
        <v>227</v>
      </c>
      <c r="K15" s="969" t="s">
        <v>228</v>
      </c>
      <c r="L15" s="969" t="s">
        <v>229</v>
      </c>
      <c r="M15" s="969" t="s">
        <v>230</v>
      </c>
      <c r="N15" s="969" t="s">
        <v>231</v>
      </c>
      <c r="O15" s="969" t="s">
        <v>232</v>
      </c>
      <c r="P15" s="969" t="s">
        <v>233</v>
      </c>
      <c r="Q15" s="969" t="s">
        <v>234</v>
      </c>
      <c r="R15" s="969" t="s">
        <v>235</v>
      </c>
      <c r="S15" s="969" t="s">
        <v>236</v>
      </c>
      <c r="T15" s="969" t="s">
        <v>237</v>
      </c>
      <c r="U15" s="969" t="s">
        <v>238</v>
      </c>
      <c r="V15" s="969" t="s">
        <v>239</v>
      </c>
      <c r="W15" s="969" t="s">
        <v>240</v>
      </c>
      <c r="X15" s="969" t="s">
        <v>241</v>
      </c>
      <c r="Y15" s="969" t="s">
        <v>242</v>
      </c>
      <c r="Z15" s="969" t="s">
        <v>243</v>
      </c>
      <c r="AA15" s="969" t="s">
        <v>244</v>
      </c>
      <c r="AB15" s="969" t="s">
        <v>245</v>
      </c>
      <c r="AC15" s="969" t="s">
        <v>246</v>
      </c>
      <c r="AD15" s="969" t="s">
        <v>247</v>
      </c>
      <c r="AE15" s="969" t="s">
        <v>248</v>
      </c>
      <c r="AF15" s="969" t="s">
        <v>249</v>
      </c>
      <c r="AG15" s="969" t="s">
        <v>250</v>
      </c>
      <c r="AH15" s="969" t="s">
        <v>251</v>
      </c>
      <c r="AI15" s="969" t="s">
        <v>252</v>
      </c>
      <c r="AJ15" s="969" t="s">
        <v>253</v>
      </c>
      <c r="AK15" s="969" t="s">
        <v>254</v>
      </c>
      <c r="AL15" s="969" t="s">
        <v>255</v>
      </c>
      <c r="AM15" s="969" t="s">
        <v>256</v>
      </c>
      <c r="AN15" s="969" t="s">
        <v>257</v>
      </c>
      <c r="AO15" s="969" t="s">
        <v>258</v>
      </c>
      <c r="AP15" s="969" t="s">
        <v>259</v>
      </c>
      <c r="AQ15" s="969" t="s">
        <v>260</v>
      </c>
      <c r="AR15" s="969" t="s">
        <v>261</v>
      </c>
      <c r="AS15" s="969" t="s">
        <v>262</v>
      </c>
      <c r="AT15" s="969" t="s">
        <v>263</v>
      </c>
      <c r="AU15" s="969" t="s">
        <v>264</v>
      </c>
      <c r="AV15" s="969" t="s">
        <v>265</v>
      </c>
      <c r="AW15" s="969" t="s">
        <v>266</v>
      </c>
      <c r="AX15" s="969" t="s">
        <v>267</v>
      </c>
      <c r="AY15" s="969" t="s">
        <v>268</v>
      </c>
      <c r="AZ15" s="969" t="s">
        <v>269</v>
      </c>
      <c r="BA15" s="969" t="s">
        <v>270</v>
      </c>
      <c r="BB15" s="969" t="s">
        <v>1400</v>
      </c>
      <c r="BC15" s="969" t="s">
        <v>1398</v>
      </c>
      <c r="BD15" s="969" t="s">
        <v>1401</v>
      </c>
      <c r="BE15" s="969" t="s">
        <v>1399</v>
      </c>
      <c r="BF15" s="969"/>
      <c r="BG15" s="969"/>
      <c r="BH15" s="969"/>
      <c r="BI15" s="969"/>
      <c r="BJ15" s="969"/>
      <c r="BK15" s="969"/>
      <c r="BL15" s="969"/>
      <c r="BM15" s="969"/>
      <c r="BN15" s="969"/>
      <c r="BO15" s="969"/>
      <c r="BP15" s="969"/>
      <c r="BQ15" s="969"/>
      <c r="BR15" s="969"/>
      <c r="BS15" s="969"/>
      <c r="BT15" s="969"/>
      <c r="BU15" s="969"/>
      <c r="BV15" s="969"/>
      <c r="BW15" s="969"/>
      <c r="BX15" s="969"/>
      <c r="BY15" s="969"/>
      <c r="BZ15" s="969"/>
      <c r="CA15" s="969"/>
      <c r="CB15" s="969"/>
      <c r="CC15" s="969"/>
      <c r="CD15" s="969"/>
      <c r="CE15" s="969"/>
      <c r="CF15" s="969"/>
      <c r="CG15" s="969"/>
      <c r="CH15" s="969"/>
      <c r="CI15" s="969"/>
      <c r="CJ15" s="969"/>
      <c r="CK15" s="969"/>
      <c r="CL15" s="969"/>
      <c r="CM15" s="969"/>
      <c r="CN15" s="969"/>
      <c r="CO15" s="969"/>
      <c r="CP15" s="969"/>
      <c r="CQ15" s="969"/>
      <c r="CR15" s="969"/>
      <c r="CS15" s="969"/>
      <c r="CT15" s="969"/>
      <c r="CU15" s="969"/>
      <c r="CV15" s="969"/>
      <c r="CW15" s="969"/>
      <c r="CX15" s="969"/>
      <c r="CY15" s="969"/>
      <c r="CZ15" s="969"/>
      <c r="DA15" s="969"/>
      <c r="DB15" s="969"/>
      <c r="DC15" s="969"/>
      <c r="DD15" s="969"/>
      <c r="DE15" s="969"/>
      <c r="DF15" s="969"/>
      <c r="DG15" s="969"/>
      <c r="DH15" s="969"/>
      <c r="DI15" s="969"/>
      <c r="DJ15" s="969"/>
      <c r="DK15" s="969"/>
      <c r="DL15" s="969"/>
      <c r="DM15" s="969"/>
      <c r="DN15" s="969"/>
      <c r="DO15" s="969"/>
      <c r="DP15" s="969"/>
      <c r="DQ15" s="969"/>
      <c r="DR15" s="969"/>
      <c r="DS15" s="969"/>
      <c r="DT15" s="969"/>
      <c r="DU15" s="969"/>
      <c r="DV15" s="969"/>
      <c r="DW15" s="969"/>
      <c r="DX15" s="969"/>
      <c r="DY15" s="969"/>
      <c r="DZ15" s="969"/>
      <c r="EA15" s="969"/>
      <c r="EB15" s="969"/>
      <c r="EC15" s="969"/>
      <c r="ED15" s="969"/>
      <c r="EE15" s="969"/>
      <c r="EF15" s="969"/>
      <c r="EG15" s="969"/>
      <c r="EH15" s="969"/>
      <c r="EI15" s="969"/>
    </row>
    <row r="16" spans="1:510" s="970" customFormat="1" ht="12.75" hidden="1" thickTop="1" thickBot="1">
      <c r="A16" s="973" t="s">
        <v>97</v>
      </c>
      <c r="B16" s="969">
        <f t="shared" ref="B16:AG16" si="27">AVERAGEIFS($B11:$YJ11,$B$14:$YJ$14,RIGHT(LEFT(B$15,2),1),$B$13:$YJ$13,RIGHT(B$15,4))</f>
        <v>1842.1290736851631</v>
      </c>
      <c r="C16" s="969">
        <f t="shared" si="27"/>
        <v>2847.1081138843242</v>
      </c>
      <c r="D16" s="969">
        <f t="shared" si="27"/>
        <v>2280.1110912044437</v>
      </c>
      <c r="E16" s="969">
        <f t="shared" si="27"/>
        <v>2628.0361051214441</v>
      </c>
      <c r="F16" s="969">
        <f t="shared" si="27"/>
        <v>3363.9151345566056</v>
      </c>
      <c r="G16" s="969">
        <f t="shared" si="27"/>
        <v>3048.8531219541242</v>
      </c>
      <c r="H16" s="969">
        <f t="shared" si="27"/>
        <v>2913.7981165519245</v>
      </c>
      <c r="I16" s="969">
        <f t="shared" si="27"/>
        <v>2443.3570977342838</v>
      </c>
      <c r="J16" s="969">
        <f t="shared" si="27"/>
        <v>1871.5860748634429</v>
      </c>
      <c r="K16" s="969">
        <f t="shared" si="27"/>
        <v>2389.0060955602439</v>
      </c>
      <c r="L16" s="969">
        <f t="shared" si="27"/>
        <v>1997.4190798967632</v>
      </c>
      <c r="M16" s="969">
        <f t="shared" si="27"/>
        <v>1873.4120749364829</v>
      </c>
      <c r="N16" s="969">
        <f t="shared" si="27"/>
        <v>994.04903976196158</v>
      </c>
      <c r="O16" s="969">
        <f t="shared" si="27"/>
        <v>1074.0550429622017</v>
      </c>
      <c r="P16" s="969">
        <f t="shared" si="27"/>
        <v>1330.1570532062822</v>
      </c>
      <c r="Q16" s="969">
        <f t="shared" si="27"/>
        <v>1228.2870491314818</v>
      </c>
      <c r="R16" s="969">
        <f t="shared" si="27"/>
        <v>1090.4560436182417</v>
      </c>
      <c r="S16" s="969">
        <f t="shared" si="27"/>
        <v>1255.4880502195219</v>
      </c>
      <c r="T16" s="969">
        <f t="shared" si="27"/>
        <v>1219.6270487850818</v>
      </c>
      <c r="U16" s="969">
        <f t="shared" si="27"/>
        <v>1317.7550527102021</v>
      </c>
      <c r="V16" s="969">
        <f t="shared" si="27"/>
        <v>981.35031164412476</v>
      </c>
      <c r="W16" s="969">
        <f>AVERAGEIFS($B11:$YJ11,$B$14:$YJ$14,RIGHT(LEFT(W$15,2),1),$B$13:$YJ$13,RIGHT(W$15,4))</f>
        <v>1044.6161076778465</v>
      </c>
      <c r="X16" s="969">
        <f t="shared" si="27"/>
        <v>1150</v>
      </c>
      <c r="Y16" s="969" t="e">
        <f t="shared" si="27"/>
        <v>#DIV/0!</v>
      </c>
      <c r="Z16" s="969" t="e">
        <f t="shared" si="27"/>
        <v>#DIV/0!</v>
      </c>
      <c r="AA16" s="969" t="e">
        <f t="shared" si="27"/>
        <v>#DIV/0!</v>
      </c>
      <c r="AB16" s="969" t="e">
        <f t="shared" si="27"/>
        <v>#DIV/0!</v>
      </c>
      <c r="AC16" s="969" t="e">
        <f t="shared" si="27"/>
        <v>#DIV/0!</v>
      </c>
      <c r="AD16" s="969" t="e">
        <f t="shared" si="27"/>
        <v>#DIV/0!</v>
      </c>
      <c r="AE16" s="969" t="e">
        <f t="shared" si="27"/>
        <v>#DIV/0!</v>
      </c>
      <c r="AF16" s="969" t="e">
        <f t="shared" si="27"/>
        <v>#DIV/0!</v>
      </c>
      <c r="AG16" s="969" t="e">
        <f t="shared" si="27"/>
        <v>#DIV/0!</v>
      </c>
      <c r="AH16" s="969" t="e">
        <f t="shared" ref="AH16:BM16" si="28">AVERAGEIFS($B11:$YJ11,$B$14:$YJ$14,RIGHT(LEFT(AH$15,2),1),$B$13:$YJ$13,RIGHT(AH$15,4))</f>
        <v>#DIV/0!</v>
      </c>
      <c r="AI16" s="969" t="e">
        <f t="shared" si="28"/>
        <v>#DIV/0!</v>
      </c>
      <c r="AJ16" s="969" t="e">
        <f t="shared" si="28"/>
        <v>#DIV/0!</v>
      </c>
      <c r="AK16" s="969" t="e">
        <f t="shared" si="28"/>
        <v>#DIV/0!</v>
      </c>
      <c r="AL16" s="969" t="e">
        <f t="shared" si="28"/>
        <v>#DIV/0!</v>
      </c>
      <c r="AM16" s="969" t="e">
        <f t="shared" si="28"/>
        <v>#DIV/0!</v>
      </c>
      <c r="AN16" s="969" t="e">
        <f t="shared" si="28"/>
        <v>#DIV/0!</v>
      </c>
      <c r="AO16" s="969" t="e">
        <f t="shared" si="28"/>
        <v>#DIV/0!</v>
      </c>
      <c r="AP16" s="969" t="e">
        <f t="shared" si="28"/>
        <v>#DIV/0!</v>
      </c>
      <c r="AQ16" s="969" t="e">
        <f t="shared" si="28"/>
        <v>#DIV/0!</v>
      </c>
      <c r="AR16" s="969" t="e">
        <f t="shared" si="28"/>
        <v>#DIV/0!</v>
      </c>
      <c r="AS16" s="969" t="e">
        <f t="shared" si="28"/>
        <v>#DIV/0!</v>
      </c>
      <c r="AT16" s="969" t="e">
        <f t="shared" si="28"/>
        <v>#DIV/0!</v>
      </c>
      <c r="AU16" s="969" t="e">
        <f t="shared" si="28"/>
        <v>#DIV/0!</v>
      </c>
      <c r="AV16" s="969" t="e">
        <f t="shared" si="28"/>
        <v>#DIV/0!</v>
      </c>
      <c r="AW16" s="969" t="e">
        <f t="shared" si="28"/>
        <v>#DIV/0!</v>
      </c>
      <c r="AX16" s="969" t="e">
        <f t="shared" si="28"/>
        <v>#DIV/0!</v>
      </c>
      <c r="AY16" s="969" t="e">
        <f t="shared" si="28"/>
        <v>#DIV/0!</v>
      </c>
      <c r="AZ16" s="969" t="e">
        <f t="shared" si="28"/>
        <v>#DIV/0!</v>
      </c>
      <c r="BA16" s="969" t="e">
        <f t="shared" si="28"/>
        <v>#DIV/0!</v>
      </c>
      <c r="BB16" s="969" t="e">
        <f t="shared" si="28"/>
        <v>#DIV/0!</v>
      </c>
      <c r="BC16" s="969" t="e">
        <f t="shared" si="28"/>
        <v>#DIV/0!</v>
      </c>
      <c r="BD16" s="969" t="e">
        <f t="shared" si="28"/>
        <v>#DIV/0!</v>
      </c>
      <c r="BE16" s="969" t="e">
        <f t="shared" si="28"/>
        <v>#DIV/0!</v>
      </c>
      <c r="BF16" s="969" t="e">
        <f t="shared" si="28"/>
        <v>#DIV/0!</v>
      </c>
      <c r="BG16" s="969" t="e">
        <f t="shared" si="28"/>
        <v>#DIV/0!</v>
      </c>
      <c r="BH16" s="969" t="e">
        <f t="shared" si="28"/>
        <v>#DIV/0!</v>
      </c>
      <c r="BI16" s="969" t="e">
        <f t="shared" si="28"/>
        <v>#DIV/0!</v>
      </c>
      <c r="BJ16" s="969" t="e">
        <f t="shared" si="28"/>
        <v>#DIV/0!</v>
      </c>
      <c r="BK16" s="969" t="e">
        <f t="shared" si="28"/>
        <v>#DIV/0!</v>
      </c>
      <c r="BL16" s="969" t="e">
        <f t="shared" si="28"/>
        <v>#DIV/0!</v>
      </c>
      <c r="BM16" s="969" t="e">
        <f t="shared" si="28"/>
        <v>#DIV/0!</v>
      </c>
      <c r="BN16" s="969" t="e">
        <f t="shared" ref="BN16:CS16" si="29">AVERAGEIFS($B11:$YJ11,$B$14:$YJ$14,RIGHT(LEFT(BN$15,2),1),$B$13:$YJ$13,RIGHT(BN$15,4))</f>
        <v>#DIV/0!</v>
      </c>
      <c r="BO16" s="969" t="e">
        <f t="shared" si="29"/>
        <v>#DIV/0!</v>
      </c>
      <c r="BP16" s="969" t="e">
        <f t="shared" si="29"/>
        <v>#DIV/0!</v>
      </c>
      <c r="BQ16" s="969" t="e">
        <f t="shared" si="29"/>
        <v>#DIV/0!</v>
      </c>
      <c r="BR16" s="969" t="e">
        <f t="shared" si="29"/>
        <v>#DIV/0!</v>
      </c>
      <c r="BS16" s="969" t="e">
        <f t="shared" si="29"/>
        <v>#DIV/0!</v>
      </c>
      <c r="BT16" s="969" t="e">
        <f t="shared" si="29"/>
        <v>#DIV/0!</v>
      </c>
      <c r="BU16" s="969" t="e">
        <f t="shared" si="29"/>
        <v>#DIV/0!</v>
      </c>
      <c r="BV16" s="969" t="e">
        <f t="shared" si="29"/>
        <v>#DIV/0!</v>
      </c>
      <c r="BW16" s="969" t="e">
        <f t="shared" si="29"/>
        <v>#DIV/0!</v>
      </c>
      <c r="BX16" s="969" t="e">
        <f t="shared" si="29"/>
        <v>#DIV/0!</v>
      </c>
      <c r="BY16" s="969" t="e">
        <f t="shared" si="29"/>
        <v>#DIV/0!</v>
      </c>
      <c r="BZ16" s="969" t="e">
        <f t="shared" si="29"/>
        <v>#DIV/0!</v>
      </c>
      <c r="CA16" s="969" t="e">
        <f t="shared" si="29"/>
        <v>#DIV/0!</v>
      </c>
      <c r="CB16" s="969" t="e">
        <f t="shared" si="29"/>
        <v>#DIV/0!</v>
      </c>
      <c r="CC16" s="969" t="e">
        <f t="shared" si="29"/>
        <v>#DIV/0!</v>
      </c>
      <c r="CD16" s="969" t="e">
        <f t="shared" si="29"/>
        <v>#DIV/0!</v>
      </c>
      <c r="CE16" s="969" t="e">
        <f t="shared" si="29"/>
        <v>#DIV/0!</v>
      </c>
      <c r="CF16" s="969" t="e">
        <f t="shared" si="29"/>
        <v>#DIV/0!</v>
      </c>
      <c r="CG16" s="969" t="e">
        <f t="shared" si="29"/>
        <v>#DIV/0!</v>
      </c>
      <c r="CH16" s="969" t="e">
        <f t="shared" si="29"/>
        <v>#DIV/0!</v>
      </c>
      <c r="CI16" s="969" t="e">
        <f t="shared" si="29"/>
        <v>#DIV/0!</v>
      </c>
      <c r="CJ16" s="969" t="e">
        <f t="shared" si="29"/>
        <v>#DIV/0!</v>
      </c>
      <c r="CK16" s="969" t="e">
        <f t="shared" si="29"/>
        <v>#DIV/0!</v>
      </c>
      <c r="CL16" s="969" t="e">
        <f t="shared" si="29"/>
        <v>#DIV/0!</v>
      </c>
      <c r="CM16" s="969" t="e">
        <f t="shared" si="29"/>
        <v>#DIV/0!</v>
      </c>
      <c r="CN16" s="969" t="e">
        <f t="shared" si="29"/>
        <v>#DIV/0!</v>
      </c>
      <c r="CO16" s="969" t="e">
        <f t="shared" si="29"/>
        <v>#DIV/0!</v>
      </c>
      <c r="CP16" s="969" t="e">
        <f t="shared" si="29"/>
        <v>#DIV/0!</v>
      </c>
      <c r="CQ16" s="969" t="e">
        <f t="shared" si="29"/>
        <v>#DIV/0!</v>
      </c>
      <c r="CR16" s="969" t="e">
        <f t="shared" si="29"/>
        <v>#DIV/0!</v>
      </c>
      <c r="CS16" s="969" t="e">
        <f t="shared" si="29"/>
        <v>#DIV/0!</v>
      </c>
      <c r="CT16" s="969" t="e">
        <f t="shared" ref="CT16:DV16" si="30">AVERAGEIFS($B11:$YJ11,$B$14:$YJ$14,RIGHT(LEFT(CT$15,2),1),$B$13:$YJ$13,RIGHT(CT$15,4))</f>
        <v>#DIV/0!</v>
      </c>
      <c r="CU16" s="969" t="e">
        <f t="shared" si="30"/>
        <v>#DIV/0!</v>
      </c>
      <c r="CV16" s="969" t="e">
        <f t="shared" si="30"/>
        <v>#DIV/0!</v>
      </c>
      <c r="CW16" s="969" t="e">
        <f t="shared" si="30"/>
        <v>#DIV/0!</v>
      </c>
      <c r="CX16" s="969" t="e">
        <f t="shared" si="30"/>
        <v>#DIV/0!</v>
      </c>
      <c r="CY16" s="969" t="e">
        <f t="shared" si="30"/>
        <v>#DIV/0!</v>
      </c>
      <c r="CZ16" s="969" t="e">
        <f t="shared" si="30"/>
        <v>#DIV/0!</v>
      </c>
      <c r="DA16" s="969" t="e">
        <f t="shared" si="30"/>
        <v>#DIV/0!</v>
      </c>
      <c r="DB16" s="969" t="e">
        <f t="shared" si="30"/>
        <v>#DIV/0!</v>
      </c>
      <c r="DC16" s="969" t="e">
        <f t="shared" si="30"/>
        <v>#DIV/0!</v>
      </c>
      <c r="DD16" s="969" t="e">
        <f t="shared" si="30"/>
        <v>#DIV/0!</v>
      </c>
      <c r="DE16" s="969" t="e">
        <f t="shared" si="30"/>
        <v>#DIV/0!</v>
      </c>
      <c r="DF16" s="969" t="e">
        <f t="shared" si="30"/>
        <v>#DIV/0!</v>
      </c>
      <c r="DG16" s="969" t="e">
        <f t="shared" si="30"/>
        <v>#DIV/0!</v>
      </c>
      <c r="DH16" s="969" t="e">
        <f t="shared" si="30"/>
        <v>#DIV/0!</v>
      </c>
      <c r="DI16" s="969" t="e">
        <f t="shared" si="30"/>
        <v>#DIV/0!</v>
      </c>
      <c r="DJ16" s="969" t="e">
        <f t="shared" si="30"/>
        <v>#DIV/0!</v>
      </c>
      <c r="DK16" s="969" t="e">
        <f t="shared" si="30"/>
        <v>#DIV/0!</v>
      </c>
      <c r="DL16" s="969" t="e">
        <f t="shared" si="30"/>
        <v>#DIV/0!</v>
      </c>
      <c r="DM16" s="969" t="e">
        <f t="shared" si="30"/>
        <v>#DIV/0!</v>
      </c>
      <c r="DN16" s="969" t="e">
        <f t="shared" si="30"/>
        <v>#DIV/0!</v>
      </c>
      <c r="DO16" s="969" t="e">
        <f t="shared" si="30"/>
        <v>#DIV/0!</v>
      </c>
      <c r="DP16" s="969" t="e">
        <f t="shared" si="30"/>
        <v>#DIV/0!</v>
      </c>
      <c r="DQ16" s="969" t="e">
        <f t="shared" si="30"/>
        <v>#DIV/0!</v>
      </c>
      <c r="DR16" s="969" t="e">
        <f t="shared" si="30"/>
        <v>#DIV/0!</v>
      </c>
      <c r="DS16" s="969" t="e">
        <f t="shared" si="30"/>
        <v>#DIV/0!</v>
      </c>
      <c r="DT16" s="969" t="e">
        <f t="shared" si="30"/>
        <v>#DIV/0!</v>
      </c>
      <c r="DU16" s="969" t="e">
        <f t="shared" si="30"/>
        <v>#DIV/0!</v>
      </c>
      <c r="DV16" s="969" t="e">
        <f t="shared" si="30"/>
        <v>#DIV/0!</v>
      </c>
      <c r="DW16" s="969" t="e">
        <f>AVERAGEIFS($B11:$YJ11,$B$14:$YJ$14,RIGHT(LEFT(DW$15,2),1),$B$13:$YJ$13,RIGHT(DW$15,4))</f>
        <v>#DIV/0!</v>
      </c>
      <c r="DX16" s="969" t="e">
        <f>AVERAGEIFS($B11:$YJ11,$B$14:$YJ$14,RIGHT(LEFT(DX$15,2),1),$B$13:$YJ$13,RIGHT(DX$15,4))</f>
        <v>#DIV/0!</v>
      </c>
      <c r="DY16" s="969"/>
      <c r="DZ16" s="969"/>
      <c r="EA16" s="969"/>
      <c r="EB16" s="969"/>
      <c r="EC16" s="969"/>
      <c r="ED16" s="969"/>
      <c r="EE16" s="969"/>
      <c r="EF16" s="969"/>
      <c r="EG16" s="969"/>
      <c r="EH16" s="969"/>
      <c r="EI16" s="969"/>
    </row>
    <row r="17" spans="1:510" s="775" customFormat="1" ht="11.25" hidden="1">
      <c r="B17" s="775">
        <v>1</v>
      </c>
      <c r="C17" s="775">
        <v>2</v>
      </c>
      <c r="D17" s="775">
        <v>1</v>
      </c>
      <c r="E17" s="775">
        <v>2</v>
      </c>
      <c r="F17" s="775">
        <v>1</v>
      </c>
      <c r="G17" s="775">
        <v>2</v>
      </c>
      <c r="H17" s="775">
        <v>1</v>
      </c>
      <c r="I17" s="775">
        <v>2</v>
      </c>
      <c r="J17" s="775">
        <v>1</v>
      </c>
      <c r="K17" s="775">
        <v>2</v>
      </c>
      <c r="L17" s="775">
        <v>1</v>
      </c>
      <c r="M17" s="775">
        <v>2</v>
      </c>
      <c r="N17" s="775">
        <v>1</v>
      </c>
      <c r="O17" s="775">
        <v>2</v>
      </c>
      <c r="P17" s="775">
        <v>1</v>
      </c>
      <c r="Q17" s="775">
        <v>2</v>
      </c>
      <c r="R17" s="775">
        <v>1</v>
      </c>
      <c r="S17" s="775">
        <v>2</v>
      </c>
      <c r="T17" s="775">
        <v>1</v>
      </c>
      <c r="U17" s="775">
        <v>2</v>
      </c>
      <c r="V17" s="775">
        <v>1</v>
      </c>
      <c r="W17" s="775">
        <v>2</v>
      </c>
      <c r="X17" s="775">
        <v>1</v>
      </c>
      <c r="Y17" s="775">
        <v>2</v>
      </c>
      <c r="Z17" s="775">
        <v>1</v>
      </c>
      <c r="AA17" s="775">
        <v>2</v>
      </c>
      <c r="AB17" s="775">
        <v>1</v>
      </c>
      <c r="AC17" s="775">
        <v>2</v>
      </c>
      <c r="AD17" s="775">
        <v>1</v>
      </c>
      <c r="AE17" s="775">
        <v>2</v>
      </c>
      <c r="AF17" s="775">
        <v>1</v>
      </c>
      <c r="AG17" s="775">
        <v>2</v>
      </c>
      <c r="AH17" s="775">
        <v>1</v>
      </c>
      <c r="AI17" s="775">
        <v>2</v>
      </c>
      <c r="AJ17" s="775">
        <v>1</v>
      </c>
      <c r="AK17" s="775">
        <v>2</v>
      </c>
      <c r="AL17" s="775">
        <v>1</v>
      </c>
      <c r="AM17" s="775">
        <v>2</v>
      </c>
      <c r="AN17" s="775">
        <v>1</v>
      </c>
      <c r="AO17" s="775">
        <v>2</v>
      </c>
      <c r="AP17" s="775">
        <v>1</v>
      </c>
      <c r="AQ17" s="775">
        <v>2</v>
      </c>
      <c r="AR17" s="775">
        <v>1</v>
      </c>
      <c r="AS17" s="775">
        <v>2</v>
      </c>
      <c r="AT17" s="775">
        <v>1</v>
      </c>
      <c r="AU17" s="775">
        <v>2</v>
      </c>
      <c r="AV17" s="775">
        <v>1</v>
      </c>
      <c r="AW17" s="775">
        <v>2</v>
      </c>
      <c r="AX17" s="775">
        <v>1</v>
      </c>
      <c r="AY17" s="775">
        <v>2</v>
      </c>
      <c r="AZ17" s="775">
        <v>1</v>
      </c>
      <c r="BA17" s="775">
        <v>2</v>
      </c>
      <c r="BB17" s="775">
        <v>1</v>
      </c>
      <c r="BC17" s="775">
        <v>2</v>
      </c>
      <c r="BD17" s="775">
        <v>1</v>
      </c>
      <c r="BE17" s="775">
        <v>2</v>
      </c>
      <c r="BF17" s="775">
        <v>1</v>
      </c>
      <c r="BG17" s="775">
        <v>2</v>
      </c>
      <c r="BH17" s="775">
        <v>1</v>
      </c>
      <c r="BI17" s="775">
        <v>2</v>
      </c>
      <c r="BJ17" s="775">
        <v>1</v>
      </c>
      <c r="BK17" s="775">
        <v>2</v>
      </c>
      <c r="BL17" s="775">
        <v>1</v>
      </c>
      <c r="BM17" s="775">
        <v>2</v>
      </c>
      <c r="BN17" s="775">
        <v>1</v>
      </c>
      <c r="BO17" s="775">
        <v>2</v>
      </c>
      <c r="BP17" s="775">
        <v>1</v>
      </c>
      <c r="BQ17" s="775">
        <v>2</v>
      </c>
      <c r="BR17" s="775">
        <v>1</v>
      </c>
      <c r="BS17" s="775">
        <v>2</v>
      </c>
      <c r="GK17" s="872"/>
      <c r="GQ17" s="872"/>
      <c r="GW17" s="872"/>
      <c r="HC17" s="872"/>
      <c r="HI17" s="872"/>
    </row>
    <row r="18" spans="1:510" s="775" customFormat="1" ht="11.25" hidden="1">
      <c r="B18" s="775">
        <f>VALUE(RIGHT(B15,4))</f>
        <v>2010</v>
      </c>
      <c r="C18" s="775">
        <f t="shared" ref="C18:BN18" si="31">VALUE(RIGHT(C15,4))</f>
        <v>2010</v>
      </c>
      <c r="D18" s="775">
        <f t="shared" si="31"/>
        <v>2011</v>
      </c>
      <c r="E18" s="775">
        <f t="shared" si="31"/>
        <v>2011</v>
      </c>
      <c r="F18" s="775">
        <f t="shared" si="31"/>
        <v>2012</v>
      </c>
      <c r="G18" s="775">
        <f t="shared" si="31"/>
        <v>2012</v>
      </c>
      <c r="H18" s="775">
        <f t="shared" si="31"/>
        <v>2013</v>
      </c>
      <c r="I18" s="775">
        <f t="shared" si="31"/>
        <v>2013</v>
      </c>
      <c r="J18" s="775">
        <f t="shared" si="31"/>
        <v>2014</v>
      </c>
      <c r="K18" s="775">
        <f t="shared" si="31"/>
        <v>2014</v>
      </c>
      <c r="L18" s="775">
        <f t="shared" si="31"/>
        <v>2015</v>
      </c>
      <c r="M18" s="775">
        <f t="shared" si="31"/>
        <v>2015</v>
      </c>
      <c r="N18" s="775">
        <f t="shared" si="31"/>
        <v>2016</v>
      </c>
      <c r="O18" s="775">
        <f t="shared" si="31"/>
        <v>2016</v>
      </c>
      <c r="P18" s="775">
        <f t="shared" si="31"/>
        <v>2017</v>
      </c>
      <c r="Q18" s="775">
        <f t="shared" si="31"/>
        <v>2017</v>
      </c>
      <c r="R18" s="775">
        <f t="shared" si="31"/>
        <v>2018</v>
      </c>
      <c r="S18" s="775">
        <f t="shared" si="31"/>
        <v>2018</v>
      </c>
      <c r="T18" s="775">
        <f t="shared" si="31"/>
        <v>2019</v>
      </c>
      <c r="U18" s="775">
        <f t="shared" si="31"/>
        <v>2019</v>
      </c>
      <c r="V18" s="775">
        <f t="shared" si="31"/>
        <v>2020</v>
      </c>
      <c r="W18" s="775">
        <f t="shared" si="31"/>
        <v>2020</v>
      </c>
      <c r="X18" s="775">
        <f t="shared" si="31"/>
        <v>2021</v>
      </c>
      <c r="Y18" s="775">
        <f t="shared" si="31"/>
        <v>2021</v>
      </c>
      <c r="Z18" s="775">
        <f t="shared" si="31"/>
        <v>2022</v>
      </c>
      <c r="AA18" s="775">
        <f t="shared" si="31"/>
        <v>2022</v>
      </c>
      <c r="AB18" s="775">
        <f t="shared" si="31"/>
        <v>2023</v>
      </c>
      <c r="AC18" s="775">
        <f t="shared" si="31"/>
        <v>2023</v>
      </c>
      <c r="AD18" s="775">
        <f t="shared" si="31"/>
        <v>2024</v>
      </c>
      <c r="AE18" s="775">
        <f t="shared" si="31"/>
        <v>2024</v>
      </c>
      <c r="AF18" s="775">
        <f t="shared" si="31"/>
        <v>2025</v>
      </c>
      <c r="AG18" s="775">
        <f t="shared" si="31"/>
        <v>2025</v>
      </c>
      <c r="AH18" s="775">
        <f t="shared" si="31"/>
        <v>2026</v>
      </c>
      <c r="AI18" s="775">
        <f t="shared" si="31"/>
        <v>2026</v>
      </c>
      <c r="AJ18" s="775">
        <f t="shared" si="31"/>
        <v>2027</v>
      </c>
      <c r="AK18" s="775">
        <f t="shared" si="31"/>
        <v>2027</v>
      </c>
      <c r="AL18" s="775">
        <f t="shared" si="31"/>
        <v>2028</v>
      </c>
      <c r="AM18" s="775">
        <f t="shared" si="31"/>
        <v>2028</v>
      </c>
      <c r="AN18" s="775">
        <f t="shared" si="31"/>
        <v>2029</v>
      </c>
      <c r="AO18" s="775">
        <f t="shared" si="31"/>
        <v>2029</v>
      </c>
      <c r="AP18" s="775">
        <f t="shared" si="31"/>
        <v>2030</v>
      </c>
      <c r="AQ18" s="775">
        <f t="shared" si="31"/>
        <v>2030</v>
      </c>
      <c r="AR18" s="775">
        <f t="shared" si="31"/>
        <v>2031</v>
      </c>
      <c r="AS18" s="775">
        <f t="shared" si="31"/>
        <v>2031</v>
      </c>
      <c r="AT18" s="775">
        <f t="shared" si="31"/>
        <v>2032</v>
      </c>
      <c r="AU18" s="775">
        <f t="shared" si="31"/>
        <v>2032</v>
      </c>
      <c r="AV18" s="775">
        <f t="shared" si="31"/>
        <v>2033</v>
      </c>
      <c r="AW18" s="775">
        <f t="shared" si="31"/>
        <v>2033</v>
      </c>
      <c r="AX18" s="775">
        <f t="shared" si="31"/>
        <v>2034</v>
      </c>
      <c r="AY18" s="775">
        <f t="shared" si="31"/>
        <v>2034</v>
      </c>
      <c r="AZ18" s="775">
        <f t="shared" si="31"/>
        <v>2035</v>
      </c>
      <c r="BA18" s="775">
        <f t="shared" si="31"/>
        <v>2035</v>
      </c>
      <c r="BB18" s="775">
        <f t="shared" si="31"/>
        <v>2036</v>
      </c>
      <c r="BC18" s="775">
        <f t="shared" si="31"/>
        <v>2036</v>
      </c>
      <c r="BD18" s="775">
        <f t="shared" si="31"/>
        <v>2037</v>
      </c>
      <c r="BE18" s="775">
        <f t="shared" si="31"/>
        <v>2037</v>
      </c>
      <c r="BF18" s="775" t="e">
        <f t="shared" si="31"/>
        <v>#VALUE!</v>
      </c>
      <c r="BG18" s="775" t="e">
        <f t="shared" si="31"/>
        <v>#VALUE!</v>
      </c>
      <c r="BH18" s="775" t="e">
        <f t="shared" si="31"/>
        <v>#VALUE!</v>
      </c>
      <c r="BI18" s="775" t="e">
        <f t="shared" si="31"/>
        <v>#VALUE!</v>
      </c>
      <c r="BJ18" s="775" t="e">
        <f t="shared" si="31"/>
        <v>#VALUE!</v>
      </c>
      <c r="BK18" s="775" t="e">
        <f t="shared" si="31"/>
        <v>#VALUE!</v>
      </c>
      <c r="BL18" s="775" t="e">
        <f t="shared" si="31"/>
        <v>#VALUE!</v>
      </c>
      <c r="BM18" s="775" t="e">
        <f t="shared" si="31"/>
        <v>#VALUE!</v>
      </c>
      <c r="BN18" s="775" t="e">
        <f t="shared" si="31"/>
        <v>#VALUE!</v>
      </c>
      <c r="BO18" s="775" t="e">
        <f t="shared" ref="BO18:BS18" si="32">VALUE(RIGHT(BO15,4))</f>
        <v>#VALUE!</v>
      </c>
      <c r="BP18" s="775" t="e">
        <f t="shared" si="32"/>
        <v>#VALUE!</v>
      </c>
      <c r="BQ18" s="775" t="e">
        <f t="shared" si="32"/>
        <v>#VALUE!</v>
      </c>
      <c r="BR18" s="775" t="e">
        <f t="shared" si="32"/>
        <v>#VALUE!</v>
      </c>
      <c r="BS18" s="775" t="e">
        <f t="shared" si="32"/>
        <v>#VALUE!</v>
      </c>
      <c r="GK18" s="872"/>
      <c r="GQ18" s="872"/>
      <c r="GW18" s="872"/>
      <c r="HC18" s="872"/>
      <c r="HI18" s="872"/>
    </row>
    <row r="19" spans="1:510" s="722" customFormat="1">
      <c r="A19" s="945"/>
      <c r="B19" s="946"/>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row>
    <row r="20" spans="1:510" ht="15.75" thickBot="1">
      <c r="A20" s="269" t="s">
        <v>1067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row>
    <row r="21" spans="1:510" ht="15.75" thickBot="1">
      <c r="A21" s="459"/>
      <c r="B21" s="458">
        <v>40179</v>
      </c>
      <c r="C21" s="169">
        <v>40210</v>
      </c>
      <c r="D21" s="169">
        <v>40238</v>
      </c>
      <c r="E21" s="169">
        <v>40269</v>
      </c>
      <c r="F21" s="169">
        <v>40299</v>
      </c>
      <c r="G21" s="169">
        <v>40330</v>
      </c>
      <c r="H21" s="169">
        <v>40360</v>
      </c>
      <c r="I21" s="169">
        <v>40391</v>
      </c>
      <c r="J21" s="169">
        <v>40422</v>
      </c>
      <c r="K21" s="169">
        <v>40452</v>
      </c>
      <c r="L21" s="169">
        <v>40483</v>
      </c>
      <c r="M21" s="169">
        <v>40513</v>
      </c>
      <c r="N21" s="169">
        <v>40544</v>
      </c>
      <c r="O21" s="169">
        <v>40575</v>
      </c>
      <c r="P21" s="169">
        <v>40603</v>
      </c>
      <c r="Q21" s="169">
        <v>40634</v>
      </c>
      <c r="R21" s="169">
        <v>40664</v>
      </c>
      <c r="S21" s="169">
        <v>40695</v>
      </c>
      <c r="T21" s="169">
        <v>40725</v>
      </c>
      <c r="U21" s="169">
        <v>40756</v>
      </c>
      <c r="V21" s="169">
        <v>40787</v>
      </c>
      <c r="W21" s="169">
        <v>40817</v>
      </c>
      <c r="X21" s="169">
        <v>40848</v>
      </c>
      <c r="Y21" s="169">
        <v>40878</v>
      </c>
      <c r="Z21" s="169">
        <v>40909</v>
      </c>
      <c r="AA21" s="169">
        <v>40940</v>
      </c>
      <c r="AB21" s="169">
        <v>40969</v>
      </c>
      <c r="AC21" s="169">
        <v>41000</v>
      </c>
      <c r="AD21" s="169">
        <v>41030</v>
      </c>
      <c r="AE21" s="169">
        <v>41061</v>
      </c>
      <c r="AF21" s="169">
        <v>41091</v>
      </c>
      <c r="AG21" s="169">
        <v>41122</v>
      </c>
      <c r="AH21" s="169">
        <v>41153</v>
      </c>
      <c r="AI21" s="169">
        <v>41183</v>
      </c>
      <c r="AJ21" s="169">
        <v>41214</v>
      </c>
      <c r="AK21" s="169">
        <v>41244</v>
      </c>
      <c r="AL21" s="169">
        <v>41275</v>
      </c>
      <c r="AM21" s="169">
        <v>41306</v>
      </c>
      <c r="AN21" s="169">
        <v>41334</v>
      </c>
      <c r="AO21" s="169">
        <v>41365</v>
      </c>
      <c r="AP21" s="169">
        <v>41395</v>
      </c>
      <c r="AQ21" s="169">
        <v>41426</v>
      </c>
      <c r="AR21" s="169">
        <v>41456</v>
      </c>
      <c r="AS21" s="169">
        <v>41487</v>
      </c>
      <c r="AT21" s="169">
        <v>41518</v>
      </c>
      <c r="AU21" s="169">
        <v>41548</v>
      </c>
      <c r="AV21" s="169">
        <v>41579</v>
      </c>
      <c r="AW21" s="169">
        <v>41609</v>
      </c>
      <c r="AX21" s="169">
        <v>41640</v>
      </c>
      <c r="AY21" s="169">
        <v>41671</v>
      </c>
      <c r="AZ21" s="169">
        <v>41699</v>
      </c>
      <c r="BA21" s="169">
        <v>41730</v>
      </c>
      <c r="BB21" s="169">
        <v>41760</v>
      </c>
      <c r="BC21" s="169">
        <v>41791</v>
      </c>
      <c r="BD21" s="169">
        <v>41821</v>
      </c>
      <c r="BE21" s="169">
        <v>41852</v>
      </c>
      <c r="BF21" s="169">
        <v>41883</v>
      </c>
      <c r="BG21" s="169">
        <v>41913</v>
      </c>
      <c r="BH21" s="169">
        <v>41944</v>
      </c>
      <c r="BI21" s="169">
        <v>41974</v>
      </c>
      <c r="BJ21" s="169">
        <v>42005</v>
      </c>
      <c r="BK21" s="169">
        <v>42036</v>
      </c>
      <c r="BL21" s="169">
        <v>42064</v>
      </c>
      <c r="BM21" s="169">
        <v>42095</v>
      </c>
      <c r="BN21" s="169">
        <v>42125</v>
      </c>
      <c r="BO21" s="169">
        <v>42156</v>
      </c>
      <c r="BP21" s="169">
        <v>42186</v>
      </c>
      <c r="BQ21" s="169">
        <v>42217</v>
      </c>
      <c r="BR21" s="169">
        <v>42248</v>
      </c>
      <c r="BS21" s="169">
        <v>42278</v>
      </c>
      <c r="BT21" s="169">
        <v>42309</v>
      </c>
      <c r="BU21" s="169">
        <v>42339</v>
      </c>
      <c r="BV21" s="169">
        <v>42370</v>
      </c>
      <c r="BW21" s="169">
        <v>42401</v>
      </c>
      <c r="BX21" s="169">
        <v>42430</v>
      </c>
      <c r="BY21" s="169">
        <v>42461</v>
      </c>
      <c r="BZ21" s="169">
        <v>42491</v>
      </c>
      <c r="CA21" s="169">
        <v>42522</v>
      </c>
      <c r="CB21" s="169">
        <v>42552</v>
      </c>
      <c r="CC21" s="169">
        <v>42583</v>
      </c>
      <c r="CD21" s="169">
        <v>42614</v>
      </c>
      <c r="CE21" s="169">
        <v>42644</v>
      </c>
      <c r="CF21" s="169">
        <v>42675</v>
      </c>
      <c r="CG21" s="169">
        <v>42705</v>
      </c>
      <c r="CH21" s="169">
        <v>42736</v>
      </c>
      <c r="CI21" s="169">
        <v>42767</v>
      </c>
      <c r="CJ21" s="169">
        <v>42795</v>
      </c>
      <c r="CK21" s="169">
        <v>42826</v>
      </c>
      <c r="CL21" s="169">
        <v>42856</v>
      </c>
      <c r="CM21" s="169">
        <v>42887</v>
      </c>
      <c r="CN21" s="169">
        <v>42917</v>
      </c>
      <c r="CO21" s="169">
        <v>42948</v>
      </c>
      <c r="CP21" s="169">
        <v>42979</v>
      </c>
      <c r="CQ21" s="169">
        <v>43009</v>
      </c>
      <c r="CR21" s="169">
        <v>43040</v>
      </c>
      <c r="CS21" s="169">
        <v>43070</v>
      </c>
      <c r="CT21" s="169">
        <v>43101</v>
      </c>
      <c r="CU21" s="169">
        <v>43132</v>
      </c>
      <c r="CV21" s="169">
        <v>43160</v>
      </c>
      <c r="CW21" s="169">
        <v>43191</v>
      </c>
      <c r="CX21" s="169">
        <v>43221</v>
      </c>
      <c r="CY21" s="169">
        <v>43252</v>
      </c>
      <c r="CZ21" s="169">
        <v>43282</v>
      </c>
      <c r="DA21" s="169">
        <v>43313</v>
      </c>
      <c r="DB21" s="169">
        <v>43344</v>
      </c>
      <c r="DC21" s="169">
        <v>43374</v>
      </c>
      <c r="DD21" s="169">
        <v>43405</v>
      </c>
      <c r="DE21" s="169">
        <v>43435</v>
      </c>
      <c r="DF21" s="169">
        <v>43466</v>
      </c>
      <c r="DG21" s="169">
        <v>43497</v>
      </c>
      <c r="DH21" s="169">
        <v>43525</v>
      </c>
      <c r="DI21" s="169">
        <v>43556</v>
      </c>
      <c r="DJ21" s="169">
        <v>43586</v>
      </c>
      <c r="DK21" s="169">
        <v>43617</v>
      </c>
      <c r="DL21" s="169">
        <v>43647</v>
      </c>
      <c r="DM21" s="169">
        <v>43678</v>
      </c>
      <c r="DN21" s="169">
        <v>43709</v>
      </c>
      <c r="DO21" s="169">
        <v>43739</v>
      </c>
      <c r="DP21" s="169">
        <v>43770</v>
      </c>
      <c r="DQ21" s="169">
        <v>43800</v>
      </c>
      <c r="DR21" s="169">
        <v>43831</v>
      </c>
      <c r="DS21" s="169">
        <v>43862</v>
      </c>
      <c r="DT21" s="169">
        <v>43891</v>
      </c>
      <c r="DU21" s="169">
        <v>43922</v>
      </c>
      <c r="DV21" s="169">
        <v>43952</v>
      </c>
      <c r="DW21" s="169">
        <v>43983</v>
      </c>
      <c r="DX21" s="169">
        <v>44013</v>
      </c>
      <c r="DY21" s="169">
        <v>44044</v>
      </c>
      <c r="DZ21" s="169">
        <v>44075</v>
      </c>
      <c r="EA21" s="169">
        <v>44105</v>
      </c>
      <c r="EB21" s="169">
        <v>44136</v>
      </c>
      <c r="EC21" s="169">
        <v>44166</v>
      </c>
      <c r="ED21" s="169">
        <v>44197</v>
      </c>
      <c r="EE21" s="169">
        <v>44228</v>
      </c>
      <c r="EF21" s="169">
        <v>44256</v>
      </c>
      <c r="EG21" s="169">
        <v>44287</v>
      </c>
      <c r="EH21" s="169">
        <v>44317</v>
      </c>
      <c r="EI21" s="169">
        <v>44348</v>
      </c>
      <c r="EJ21" s="947">
        <v>44378</v>
      </c>
      <c r="EK21" s="947">
        <v>44409</v>
      </c>
      <c r="EL21" s="947">
        <v>44440</v>
      </c>
      <c r="EM21" s="947">
        <v>44470</v>
      </c>
      <c r="EN21" s="947">
        <v>44501</v>
      </c>
      <c r="EO21" s="947">
        <v>44531</v>
      </c>
      <c r="EP21" s="774"/>
    </row>
    <row r="22" spans="1:510">
      <c r="A22" s="460" t="s">
        <v>1035</v>
      </c>
      <c r="B22" s="290">
        <v>981</v>
      </c>
      <c r="C22" s="290">
        <v>1227</v>
      </c>
      <c r="D22" s="290">
        <v>1446</v>
      </c>
      <c r="E22" s="290">
        <v>1291</v>
      </c>
      <c r="F22" s="290">
        <v>1395</v>
      </c>
      <c r="G22" s="290">
        <v>1344</v>
      </c>
      <c r="H22" s="290">
        <v>1304</v>
      </c>
      <c r="I22" s="290">
        <v>762</v>
      </c>
      <c r="J22" s="290">
        <v>853</v>
      </c>
      <c r="K22" s="290">
        <v>1099</v>
      </c>
      <c r="L22" s="290">
        <v>922</v>
      </c>
      <c r="M22" s="290">
        <v>1014</v>
      </c>
      <c r="N22" s="290">
        <v>772</v>
      </c>
      <c r="O22" s="290">
        <v>741</v>
      </c>
      <c r="P22" s="290">
        <v>760</v>
      </c>
      <c r="Q22" s="290">
        <v>767</v>
      </c>
      <c r="R22" s="290">
        <v>783</v>
      </c>
      <c r="S22" s="290">
        <v>915</v>
      </c>
      <c r="T22" s="290">
        <v>810</v>
      </c>
      <c r="U22" s="290">
        <v>896</v>
      </c>
      <c r="V22" s="290">
        <v>807</v>
      </c>
      <c r="W22" s="290">
        <v>823</v>
      </c>
      <c r="X22" s="290">
        <v>837</v>
      </c>
      <c r="Y22" s="290">
        <v>825</v>
      </c>
      <c r="Z22" s="290">
        <v>2140</v>
      </c>
      <c r="AA22" s="290">
        <v>807</v>
      </c>
      <c r="AB22" s="290">
        <v>808</v>
      </c>
      <c r="AC22" s="290">
        <v>800</v>
      </c>
      <c r="AD22" s="290">
        <v>786</v>
      </c>
      <c r="AE22" s="290">
        <v>775</v>
      </c>
      <c r="AF22" s="290">
        <v>1022</v>
      </c>
      <c r="AG22" s="290">
        <v>1052</v>
      </c>
      <c r="AH22" s="290">
        <v>1043</v>
      </c>
      <c r="AI22" s="290">
        <v>1131</v>
      </c>
      <c r="AJ22" s="290">
        <v>753</v>
      </c>
      <c r="AK22" s="290">
        <v>749</v>
      </c>
      <c r="AL22" s="290">
        <v>728</v>
      </c>
      <c r="AM22" s="290">
        <v>688</v>
      </c>
      <c r="AN22" s="290">
        <v>920</v>
      </c>
      <c r="AO22" s="290">
        <v>816</v>
      </c>
      <c r="AP22" s="290">
        <v>793</v>
      </c>
      <c r="AQ22" s="290">
        <v>847</v>
      </c>
      <c r="AR22" s="290">
        <v>805</v>
      </c>
      <c r="AS22" s="290">
        <v>856</v>
      </c>
      <c r="AT22" s="290">
        <v>920</v>
      </c>
      <c r="AU22" s="290">
        <v>870</v>
      </c>
      <c r="AV22" s="290">
        <v>884</v>
      </c>
      <c r="AW22" s="290">
        <v>800</v>
      </c>
      <c r="AX22" s="290">
        <v>790</v>
      </c>
      <c r="AY22" s="290">
        <v>783</v>
      </c>
      <c r="AZ22" s="290">
        <v>790</v>
      </c>
      <c r="BA22" s="290">
        <v>776</v>
      </c>
      <c r="BB22" s="290">
        <v>825</v>
      </c>
      <c r="BC22" s="290">
        <v>771</v>
      </c>
      <c r="BD22" s="290">
        <v>848</v>
      </c>
      <c r="BE22" s="290">
        <v>818</v>
      </c>
      <c r="BF22" s="290">
        <v>813</v>
      </c>
      <c r="BG22" s="290">
        <v>820</v>
      </c>
      <c r="BH22" s="290">
        <v>804</v>
      </c>
      <c r="BI22" s="290">
        <v>726</v>
      </c>
      <c r="BJ22" s="290">
        <v>723</v>
      </c>
      <c r="BK22" s="290">
        <v>732</v>
      </c>
      <c r="BL22" s="290">
        <v>741</v>
      </c>
      <c r="BM22" s="290">
        <v>748</v>
      </c>
      <c r="BN22" s="290">
        <v>647</v>
      </c>
      <c r="BO22" s="290">
        <v>749</v>
      </c>
      <c r="BP22" s="290">
        <v>775</v>
      </c>
      <c r="BQ22" s="290">
        <v>789</v>
      </c>
      <c r="BR22" s="290">
        <v>765</v>
      </c>
      <c r="BS22" s="290">
        <v>773</v>
      </c>
      <c r="BT22" s="290">
        <v>723</v>
      </c>
      <c r="BU22" s="290">
        <v>687</v>
      </c>
      <c r="BV22" s="290">
        <v>679</v>
      </c>
      <c r="BW22" s="290">
        <v>674</v>
      </c>
      <c r="BX22" s="290">
        <v>666</v>
      </c>
      <c r="BY22" s="290">
        <v>655</v>
      </c>
      <c r="BZ22" s="290">
        <v>678</v>
      </c>
      <c r="CA22" s="290">
        <v>681</v>
      </c>
      <c r="CB22" s="290">
        <v>643</v>
      </c>
      <c r="CC22" s="290">
        <v>668</v>
      </c>
      <c r="CD22" s="290">
        <v>649</v>
      </c>
      <c r="CE22" s="290">
        <v>623</v>
      </c>
      <c r="CF22" s="290">
        <v>732</v>
      </c>
      <c r="CG22" s="290">
        <v>702</v>
      </c>
      <c r="CH22" s="290">
        <v>681</v>
      </c>
      <c r="CI22" s="290">
        <v>686</v>
      </c>
      <c r="CJ22" s="290">
        <v>722</v>
      </c>
      <c r="CK22" s="290">
        <v>721</v>
      </c>
      <c r="CL22" s="290">
        <v>762</v>
      </c>
      <c r="CM22" s="290">
        <v>735</v>
      </c>
      <c r="CN22" s="290">
        <v>779</v>
      </c>
      <c r="CO22" s="290">
        <v>757</v>
      </c>
      <c r="CP22" s="290">
        <v>707</v>
      </c>
      <c r="CQ22" s="290">
        <v>725</v>
      </c>
      <c r="CR22" s="290">
        <v>673</v>
      </c>
      <c r="CS22" s="290">
        <v>702</v>
      </c>
      <c r="CT22" s="290">
        <v>670</v>
      </c>
      <c r="CU22" s="290">
        <v>726</v>
      </c>
      <c r="CV22" s="290">
        <v>729</v>
      </c>
      <c r="CW22" s="290">
        <v>770</v>
      </c>
      <c r="CX22" s="290">
        <v>777</v>
      </c>
      <c r="CY22" s="290">
        <v>740</v>
      </c>
      <c r="CZ22" s="290">
        <v>733</v>
      </c>
      <c r="DA22" s="290">
        <v>741</v>
      </c>
      <c r="DB22" s="290">
        <v>731</v>
      </c>
      <c r="DC22" s="290">
        <v>872</v>
      </c>
      <c r="DD22" s="290">
        <v>906</v>
      </c>
      <c r="DE22" s="290">
        <v>688</v>
      </c>
      <c r="DF22" s="290">
        <v>708</v>
      </c>
      <c r="DG22" s="290">
        <v>778</v>
      </c>
      <c r="DH22" s="290">
        <v>769</v>
      </c>
      <c r="DI22" s="290">
        <v>774</v>
      </c>
      <c r="DJ22" s="290">
        <v>821</v>
      </c>
      <c r="DK22" s="290">
        <v>796</v>
      </c>
      <c r="DL22" s="290">
        <v>814</v>
      </c>
      <c r="DM22" s="290">
        <v>844</v>
      </c>
      <c r="DN22" s="290">
        <v>796</v>
      </c>
      <c r="DO22" s="290">
        <v>813</v>
      </c>
      <c r="DP22" s="290">
        <v>788</v>
      </c>
      <c r="DQ22" s="290">
        <v>758</v>
      </c>
      <c r="DR22" s="290">
        <v>751</v>
      </c>
      <c r="DS22" s="290">
        <v>768</v>
      </c>
      <c r="DT22" s="290">
        <v>751</v>
      </c>
      <c r="DU22" s="290">
        <v>690</v>
      </c>
      <c r="DV22" s="290">
        <v>757</v>
      </c>
      <c r="DW22" s="861">
        <v>720</v>
      </c>
      <c r="DX22" s="861">
        <v>727</v>
      </c>
      <c r="DY22" s="861">
        <v>719</v>
      </c>
      <c r="DZ22" s="861">
        <v>698</v>
      </c>
      <c r="EA22" s="861">
        <v>706</v>
      </c>
      <c r="EB22" s="861">
        <v>692</v>
      </c>
      <c r="EC22" s="861">
        <v>699</v>
      </c>
      <c r="ED22" s="862">
        <v>474.03251934961304</v>
      </c>
      <c r="EE22" s="862">
        <v>445.59908801823968</v>
      </c>
      <c r="EF22" s="862">
        <v>500.35399292014165</v>
      </c>
      <c r="EG22" s="862">
        <v>450.86098278034444</v>
      </c>
      <c r="EH22" s="862">
        <v>508.68782624347517</v>
      </c>
      <c r="EI22" s="863">
        <v>500.82798344033125</v>
      </c>
    </row>
    <row r="23" spans="1:510">
      <c r="A23" s="460" t="s">
        <v>1069</v>
      </c>
      <c r="B23" s="291">
        <v>1174</v>
      </c>
      <c r="C23" s="291">
        <v>1099</v>
      </c>
      <c r="D23" s="291">
        <v>1184</v>
      </c>
      <c r="E23" s="291">
        <v>1332</v>
      </c>
      <c r="F23" s="291">
        <v>1559</v>
      </c>
      <c r="G23" s="291">
        <v>1818</v>
      </c>
      <c r="H23" s="291">
        <v>1751</v>
      </c>
      <c r="I23" s="291">
        <v>2778</v>
      </c>
      <c r="J23" s="291">
        <v>2884</v>
      </c>
      <c r="K23" s="291">
        <v>2567</v>
      </c>
      <c r="L23" s="291">
        <v>2879</v>
      </c>
      <c r="M23" s="291">
        <v>2991</v>
      </c>
      <c r="N23" s="291">
        <v>1678</v>
      </c>
      <c r="O23" s="291">
        <v>1357</v>
      </c>
      <c r="P23" s="291">
        <v>1428</v>
      </c>
      <c r="Q23" s="291">
        <v>815</v>
      </c>
      <c r="R23" s="291">
        <v>1046</v>
      </c>
      <c r="S23" s="291">
        <v>1164</v>
      </c>
      <c r="T23" s="291">
        <v>1073</v>
      </c>
      <c r="U23" s="291">
        <v>1332</v>
      </c>
      <c r="V23" s="291">
        <v>1821</v>
      </c>
      <c r="W23" s="291">
        <v>1417</v>
      </c>
      <c r="X23" s="291">
        <v>1344</v>
      </c>
      <c r="Y23" s="291">
        <v>1473</v>
      </c>
      <c r="Z23" s="291">
        <v>2088</v>
      </c>
      <c r="AA23" s="291">
        <v>2471</v>
      </c>
      <c r="AB23" s="291">
        <v>3337</v>
      </c>
      <c r="AC23" s="291">
        <v>2408</v>
      </c>
      <c r="AD23" s="291">
        <v>2438</v>
      </c>
      <c r="AE23" s="291">
        <v>2799</v>
      </c>
      <c r="AF23" s="291">
        <v>1403</v>
      </c>
      <c r="AG23" s="291">
        <v>1620</v>
      </c>
      <c r="AH23" s="291">
        <v>1459</v>
      </c>
      <c r="AI23" s="291">
        <v>1555</v>
      </c>
      <c r="AJ23" s="291">
        <v>1724</v>
      </c>
      <c r="AK23" s="291">
        <v>1804</v>
      </c>
      <c r="AL23" s="291">
        <v>1329</v>
      </c>
      <c r="AM23" s="291">
        <v>1383</v>
      </c>
      <c r="AN23" s="291">
        <v>1254</v>
      </c>
      <c r="AO23" s="291">
        <v>1415</v>
      </c>
      <c r="AP23" s="291">
        <v>1508</v>
      </c>
      <c r="AQ23" s="291">
        <v>1590</v>
      </c>
      <c r="AR23" s="291">
        <v>1456</v>
      </c>
      <c r="AS23" s="291">
        <v>1168</v>
      </c>
      <c r="AT23" s="291">
        <v>1180</v>
      </c>
      <c r="AU23" s="291">
        <v>1258</v>
      </c>
      <c r="AV23" s="291">
        <v>1264</v>
      </c>
      <c r="AW23" s="291">
        <v>876</v>
      </c>
      <c r="AX23" s="291">
        <v>988</v>
      </c>
      <c r="AY23" s="291">
        <v>822</v>
      </c>
      <c r="AZ23" s="291">
        <v>883</v>
      </c>
      <c r="BA23" s="291">
        <v>917</v>
      </c>
      <c r="BB23" s="291">
        <v>1034</v>
      </c>
      <c r="BC23" s="291">
        <v>1197</v>
      </c>
      <c r="BD23" s="291">
        <v>1154</v>
      </c>
      <c r="BE23" s="291">
        <v>1528</v>
      </c>
      <c r="BF23" s="291">
        <v>1479</v>
      </c>
      <c r="BG23" s="291">
        <v>1743</v>
      </c>
      <c r="BH23" s="291">
        <v>1825</v>
      </c>
      <c r="BI23" s="291">
        <v>1295</v>
      </c>
      <c r="BJ23" s="291">
        <v>1095</v>
      </c>
      <c r="BK23" s="291">
        <v>1050</v>
      </c>
      <c r="BL23" s="291">
        <v>1025</v>
      </c>
      <c r="BM23" s="291">
        <v>1083</v>
      </c>
      <c r="BN23" s="291">
        <v>1157</v>
      </c>
      <c r="BO23" s="291">
        <v>1059</v>
      </c>
      <c r="BP23" s="291">
        <v>1183</v>
      </c>
      <c r="BQ23" s="291">
        <v>1102</v>
      </c>
      <c r="BR23" s="291">
        <v>940</v>
      </c>
      <c r="BS23" s="291">
        <v>867</v>
      </c>
      <c r="BT23" s="291">
        <v>796</v>
      </c>
      <c r="BU23" s="291">
        <v>597</v>
      </c>
      <c r="BV23" s="291">
        <v>489</v>
      </c>
      <c r="BW23" s="291">
        <v>479</v>
      </c>
      <c r="BX23" s="291">
        <v>444</v>
      </c>
      <c r="BY23" s="291">
        <v>386</v>
      </c>
      <c r="BZ23" s="291">
        <v>389</v>
      </c>
      <c r="CA23" s="291">
        <v>310</v>
      </c>
      <c r="CB23" s="291">
        <v>304</v>
      </c>
      <c r="CC23" s="291">
        <v>332</v>
      </c>
      <c r="CD23" s="291">
        <v>283</v>
      </c>
      <c r="CE23" s="291">
        <v>531</v>
      </c>
      <c r="CF23" s="291">
        <v>586</v>
      </c>
      <c r="CG23" s="291">
        <v>588</v>
      </c>
      <c r="CH23" s="291">
        <v>481</v>
      </c>
      <c r="CI23" s="291">
        <v>473</v>
      </c>
      <c r="CJ23" s="291">
        <v>552</v>
      </c>
      <c r="CK23" s="291">
        <v>615</v>
      </c>
      <c r="CL23" s="291">
        <v>644</v>
      </c>
      <c r="CM23" s="291">
        <v>684</v>
      </c>
      <c r="CN23" s="291">
        <v>596</v>
      </c>
      <c r="CO23" s="291">
        <v>601</v>
      </c>
      <c r="CP23" s="291">
        <v>547</v>
      </c>
      <c r="CQ23" s="291">
        <v>565</v>
      </c>
      <c r="CR23" s="291">
        <v>464</v>
      </c>
      <c r="CS23" s="291">
        <v>333</v>
      </c>
      <c r="CT23" s="291">
        <v>364</v>
      </c>
      <c r="CU23" s="291">
        <v>363</v>
      </c>
      <c r="CV23" s="291">
        <v>579</v>
      </c>
      <c r="CW23" s="291">
        <v>436</v>
      </c>
      <c r="CX23" s="291">
        <v>747</v>
      </c>
      <c r="CY23" s="291">
        <v>549</v>
      </c>
      <c r="CZ23" s="291">
        <v>695</v>
      </c>
      <c r="DA23" s="291">
        <v>489</v>
      </c>
      <c r="DB23" s="291">
        <v>583</v>
      </c>
      <c r="DC23" s="291">
        <v>537</v>
      </c>
      <c r="DD23" s="291">
        <v>559</v>
      </c>
      <c r="DE23" s="291">
        <v>494</v>
      </c>
      <c r="DF23" s="291">
        <v>755</v>
      </c>
      <c r="DG23" s="291">
        <v>1079</v>
      </c>
      <c r="DH23" s="291">
        <v>614</v>
      </c>
      <c r="DI23" s="291">
        <v>614</v>
      </c>
      <c r="DJ23" s="291">
        <v>414</v>
      </c>
      <c r="DK23" s="291">
        <v>548</v>
      </c>
      <c r="DL23" s="291">
        <v>464</v>
      </c>
      <c r="DM23" s="291">
        <v>480</v>
      </c>
      <c r="DN23" s="291">
        <v>517</v>
      </c>
      <c r="DO23" s="291">
        <v>714</v>
      </c>
      <c r="DP23" s="291">
        <v>803</v>
      </c>
      <c r="DQ23" s="291">
        <v>608</v>
      </c>
      <c r="DR23" s="291">
        <v>584</v>
      </c>
      <c r="DS23" s="291">
        <v>474</v>
      </c>
      <c r="DT23" s="291">
        <v>551</v>
      </c>
      <c r="DU23" s="291">
        <v>239</v>
      </c>
      <c r="DV23" s="291">
        <v>280</v>
      </c>
      <c r="DW23" s="864">
        <v>299</v>
      </c>
      <c r="DX23" s="864">
        <v>277</v>
      </c>
      <c r="DY23" s="864">
        <v>433</v>
      </c>
      <c r="DZ23" s="864">
        <v>434</v>
      </c>
      <c r="EA23" s="864">
        <v>390</v>
      </c>
      <c r="EB23" s="864">
        <v>454</v>
      </c>
      <c r="EC23" s="864">
        <v>361</v>
      </c>
      <c r="ED23" s="864">
        <v>528.88342233155345</v>
      </c>
      <c r="EE23" s="864">
        <v>532.96334073318542</v>
      </c>
      <c r="EF23" s="864">
        <v>672.0885582288355</v>
      </c>
      <c r="EG23" s="864">
        <v>470.69058618827626</v>
      </c>
      <c r="EH23" s="864">
        <v>541.32117357652851</v>
      </c>
      <c r="EI23" s="865">
        <v>637.0372592548149</v>
      </c>
    </row>
    <row r="24" spans="1:510" ht="15.75" thickBot="1">
      <c r="A24" s="460" t="s">
        <v>1036</v>
      </c>
      <c r="B24" s="290">
        <v>105</v>
      </c>
      <c r="C24" s="290">
        <v>84</v>
      </c>
      <c r="D24" s="290">
        <v>26</v>
      </c>
      <c r="E24" s="290">
        <v>22</v>
      </c>
      <c r="F24" s="290">
        <v>20</v>
      </c>
      <c r="G24" s="290">
        <v>38</v>
      </c>
      <c r="H24" s="290">
        <v>19</v>
      </c>
      <c r="I24" s="290">
        <v>62</v>
      </c>
      <c r="J24" s="290">
        <v>65</v>
      </c>
      <c r="K24" s="290">
        <v>8</v>
      </c>
      <c r="L24" s="290">
        <v>12</v>
      </c>
      <c r="M24" s="290">
        <v>3</v>
      </c>
      <c r="N24" s="290">
        <v>3</v>
      </c>
      <c r="O24" s="290">
        <v>3</v>
      </c>
      <c r="P24" s="290">
        <v>4</v>
      </c>
      <c r="Q24" s="290">
        <v>4</v>
      </c>
      <c r="R24" s="290">
        <v>15</v>
      </c>
      <c r="S24" s="290">
        <v>4</v>
      </c>
      <c r="T24" s="290">
        <v>20</v>
      </c>
      <c r="U24" s="290">
        <v>4</v>
      </c>
      <c r="V24" s="290">
        <v>4</v>
      </c>
      <c r="W24" s="290">
        <v>4</v>
      </c>
      <c r="X24" s="290">
        <v>4</v>
      </c>
      <c r="Y24" s="290">
        <v>4</v>
      </c>
      <c r="Z24" s="290">
        <v>9</v>
      </c>
      <c r="AA24" s="290">
        <v>3</v>
      </c>
      <c r="AB24" s="290">
        <v>4</v>
      </c>
      <c r="AC24" s="290">
        <v>3</v>
      </c>
      <c r="AD24" s="290">
        <v>26</v>
      </c>
      <c r="AE24" s="290">
        <v>28</v>
      </c>
      <c r="AF24" s="290">
        <v>3</v>
      </c>
      <c r="AG24" s="290">
        <v>3</v>
      </c>
      <c r="AH24" s="290">
        <v>3</v>
      </c>
      <c r="AI24" s="290">
        <v>3</v>
      </c>
      <c r="AJ24" s="290">
        <v>4</v>
      </c>
      <c r="AK24" s="290">
        <v>3</v>
      </c>
      <c r="AL24" s="290">
        <v>3</v>
      </c>
      <c r="AM24" s="290">
        <v>3</v>
      </c>
      <c r="AN24" s="290">
        <v>3</v>
      </c>
      <c r="AO24" s="290">
        <v>3</v>
      </c>
      <c r="AP24" s="290">
        <v>4</v>
      </c>
      <c r="AQ24" s="290">
        <v>4</v>
      </c>
      <c r="AR24" s="290">
        <v>4</v>
      </c>
      <c r="AS24" s="290">
        <v>4</v>
      </c>
      <c r="AT24" s="290">
        <v>4</v>
      </c>
      <c r="AU24" s="290">
        <v>3</v>
      </c>
      <c r="AV24" s="290">
        <v>3</v>
      </c>
      <c r="AW24" s="290">
        <v>3</v>
      </c>
      <c r="AX24" s="290">
        <v>3</v>
      </c>
      <c r="AY24" s="290">
        <v>3</v>
      </c>
      <c r="AZ24" s="290">
        <v>3</v>
      </c>
      <c r="BA24" s="290">
        <v>3</v>
      </c>
      <c r="BB24" s="290">
        <v>6</v>
      </c>
      <c r="BC24" s="290">
        <v>3</v>
      </c>
      <c r="BD24" s="290">
        <v>3</v>
      </c>
      <c r="BE24" s="290">
        <v>3</v>
      </c>
      <c r="BF24" s="290">
        <v>3</v>
      </c>
      <c r="BG24" s="290">
        <v>3</v>
      </c>
      <c r="BH24" s="290">
        <v>3</v>
      </c>
      <c r="BI24" s="290">
        <v>3</v>
      </c>
      <c r="BJ24" s="290">
        <v>3</v>
      </c>
      <c r="BK24" s="290">
        <v>3</v>
      </c>
      <c r="BL24" s="290">
        <v>3</v>
      </c>
      <c r="BM24" s="290">
        <v>3</v>
      </c>
      <c r="BN24" s="290">
        <v>3</v>
      </c>
      <c r="BO24" s="290">
        <v>3</v>
      </c>
      <c r="BP24" s="290">
        <v>3</v>
      </c>
      <c r="BQ24" s="290">
        <v>3</v>
      </c>
      <c r="BR24" s="290">
        <v>3</v>
      </c>
      <c r="BS24" s="290">
        <v>3</v>
      </c>
      <c r="BT24" s="290">
        <v>3</v>
      </c>
      <c r="BU24" s="290">
        <v>3</v>
      </c>
      <c r="BV24" s="290">
        <v>3</v>
      </c>
      <c r="BW24" s="290">
        <v>3</v>
      </c>
      <c r="BX24" s="290">
        <v>3</v>
      </c>
      <c r="BY24" s="290">
        <v>3</v>
      </c>
      <c r="BZ24" s="290">
        <v>3</v>
      </c>
      <c r="CA24" s="290">
        <v>3</v>
      </c>
      <c r="CB24" s="290">
        <v>3</v>
      </c>
      <c r="CC24" s="290">
        <v>3</v>
      </c>
      <c r="CD24" s="290">
        <v>3</v>
      </c>
      <c r="CE24" s="290">
        <v>3</v>
      </c>
      <c r="CF24" s="290">
        <v>3</v>
      </c>
      <c r="CG24" s="290">
        <v>3</v>
      </c>
      <c r="CH24" s="290">
        <v>3</v>
      </c>
      <c r="CI24" s="290">
        <v>3</v>
      </c>
      <c r="CJ24" s="290">
        <v>3</v>
      </c>
      <c r="CK24" s="290">
        <v>3</v>
      </c>
      <c r="CL24" s="290">
        <v>3</v>
      </c>
      <c r="CM24" s="290">
        <v>3</v>
      </c>
      <c r="CN24" s="290">
        <v>3</v>
      </c>
      <c r="CO24" s="290">
        <v>3</v>
      </c>
      <c r="CP24" s="290">
        <v>3</v>
      </c>
      <c r="CQ24" s="290">
        <v>3</v>
      </c>
      <c r="CR24" s="290">
        <v>3</v>
      </c>
      <c r="CS24" s="290">
        <v>3</v>
      </c>
      <c r="CT24" s="290">
        <v>3</v>
      </c>
      <c r="CU24" s="290">
        <v>3</v>
      </c>
      <c r="CV24" s="290">
        <v>3</v>
      </c>
      <c r="CW24" s="290">
        <v>3</v>
      </c>
      <c r="CX24" s="290">
        <v>3</v>
      </c>
      <c r="CY24" s="290">
        <v>3</v>
      </c>
      <c r="CZ24" s="290">
        <v>3</v>
      </c>
      <c r="DA24" s="290">
        <v>3</v>
      </c>
      <c r="DB24" s="290">
        <v>3</v>
      </c>
      <c r="DC24" s="290">
        <v>3</v>
      </c>
      <c r="DD24" s="290">
        <v>3</v>
      </c>
      <c r="DE24" s="290">
        <v>3</v>
      </c>
      <c r="DF24" s="290">
        <v>3</v>
      </c>
      <c r="DG24" s="290">
        <v>3</v>
      </c>
      <c r="DH24" s="290">
        <v>3</v>
      </c>
      <c r="DI24" s="290">
        <v>3</v>
      </c>
      <c r="DJ24" s="290">
        <v>3</v>
      </c>
      <c r="DK24" s="290">
        <v>25</v>
      </c>
      <c r="DL24" s="290">
        <v>26</v>
      </c>
      <c r="DM24" s="290">
        <v>3</v>
      </c>
      <c r="DN24" s="290">
        <v>3</v>
      </c>
      <c r="DO24" s="290">
        <v>3</v>
      </c>
      <c r="DP24" s="290">
        <v>3</v>
      </c>
      <c r="DQ24" s="290">
        <v>3</v>
      </c>
      <c r="DR24" s="290">
        <v>3</v>
      </c>
      <c r="DS24" s="290">
        <v>4</v>
      </c>
      <c r="DT24" s="290">
        <v>3</v>
      </c>
      <c r="DU24" s="290">
        <v>3</v>
      </c>
      <c r="DV24" s="290">
        <v>3</v>
      </c>
      <c r="DW24" s="861">
        <v>3</v>
      </c>
      <c r="DX24" s="861">
        <v>3</v>
      </c>
      <c r="DY24" s="861">
        <v>3</v>
      </c>
      <c r="DZ24" s="861">
        <v>3</v>
      </c>
      <c r="EA24" s="861">
        <v>3</v>
      </c>
      <c r="EB24" s="861">
        <v>3</v>
      </c>
      <c r="EC24" s="861">
        <v>3</v>
      </c>
      <c r="ED24" s="861">
        <v>1.0799784004319914</v>
      </c>
      <c r="EE24" s="861">
        <v>0.64798704025919485</v>
      </c>
      <c r="EF24" s="861">
        <v>0.4319913601727966</v>
      </c>
      <c r="EG24" s="861">
        <v>0.4319913601727966</v>
      </c>
      <c r="EH24" s="861">
        <v>3.0239395212095759</v>
      </c>
      <c r="EI24" s="866">
        <v>0.4319913601727966</v>
      </c>
    </row>
    <row r="25" spans="1:510" ht="16.5" thickTop="1" thickBot="1">
      <c r="A25" s="461" t="s">
        <v>97</v>
      </c>
      <c r="B25" s="462">
        <v>2260</v>
      </c>
      <c r="C25" s="463">
        <v>2410</v>
      </c>
      <c r="D25" s="463">
        <v>2656</v>
      </c>
      <c r="E25" s="463">
        <v>2645</v>
      </c>
      <c r="F25" s="463">
        <v>2974</v>
      </c>
      <c r="G25" s="463">
        <v>3200</v>
      </c>
      <c r="H25" s="463">
        <v>3074</v>
      </c>
      <c r="I25" s="463">
        <v>3602</v>
      </c>
      <c r="J25" s="463">
        <v>3802</v>
      </c>
      <c r="K25" s="463">
        <v>3674</v>
      </c>
      <c r="L25" s="463">
        <v>3813</v>
      </c>
      <c r="M25" s="463">
        <v>4008</v>
      </c>
      <c r="N25" s="463">
        <v>2453</v>
      </c>
      <c r="O25" s="463">
        <v>2101</v>
      </c>
      <c r="P25" s="463">
        <v>2192</v>
      </c>
      <c r="Q25" s="463">
        <v>1586</v>
      </c>
      <c r="R25" s="463">
        <v>1844</v>
      </c>
      <c r="S25" s="463">
        <v>2083</v>
      </c>
      <c r="T25" s="463">
        <v>1903</v>
      </c>
      <c r="U25" s="463">
        <v>2232</v>
      </c>
      <c r="V25" s="463">
        <v>2632</v>
      </c>
      <c r="W25" s="463">
        <v>2244</v>
      </c>
      <c r="X25" s="463">
        <v>2185</v>
      </c>
      <c r="Y25" s="463">
        <v>2302</v>
      </c>
      <c r="Z25" s="463">
        <v>4237</v>
      </c>
      <c r="AA25" s="463">
        <v>3281</v>
      </c>
      <c r="AB25" s="463">
        <v>4149</v>
      </c>
      <c r="AC25" s="463">
        <v>3211</v>
      </c>
      <c r="AD25" s="463">
        <v>3250</v>
      </c>
      <c r="AE25" s="463">
        <v>3602</v>
      </c>
      <c r="AF25" s="463">
        <v>2428</v>
      </c>
      <c r="AG25" s="463">
        <v>2675</v>
      </c>
      <c r="AH25" s="463">
        <v>2505</v>
      </c>
      <c r="AI25" s="463">
        <v>2689</v>
      </c>
      <c r="AJ25" s="463">
        <v>2481</v>
      </c>
      <c r="AK25" s="463">
        <v>2556</v>
      </c>
      <c r="AL25" s="463">
        <v>2060</v>
      </c>
      <c r="AM25" s="463">
        <v>2074</v>
      </c>
      <c r="AN25" s="463">
        <v>2177</v>
      </c>
      <c r="AO25" s="463">
        <v>2234</v>
      </c>
      <c r="AP25" s="463">
        <v>2305</v>
      </c>
      <c r="AQ25" s="463">
        <v>2441</v>
      </c>
      <c r="AR25" s="463">
        <v>2265</v>
      </c>
      <c r="AS25" s="463">
        <v>2028</v>
      </c>
      <c r="AT25" s="463">
        <v>2104</v>
      </c>
      <c r="AU25" s="463">
        <v>2131</v>
      </c>
      <c r="AV25" s="463">
        <v>2151</v>
      </c>
      <c r="AW25" s="463">
        <v>1679</v>
      </c>
      <c r="AX25" s="463">
        <v>1781</v>
      </c>
      <c r="AY25" s="463">
        <v>1608</v>
      </c>
      <c r="AZ25" s="463">
        <v>1676</v>
      </c>
      <c r="BA25" s="463">
        <v>1696</v>
      </c>
      <c r="BB25" s="463">
        <v>1865</v>
      </c>
      <c r="BC25" s="463">
        <v>1971</v>
      </c>
      <c r="BD25" s="463">
        <v>2005</v>
      </c>
      <c r="BE25" s="463">
        <v>2349</v>
      </c>
      <c r="BF25" s="463">
        <v>2295</v>
      </c>
      <c r="BG25" s="463">
        <v>2566</v>
      </c>
      <c r="BH25" s="463">
        <v>2632</v>
      </c>
      <c r="BI25" s="463">
        <v>2024</v>
      </c>
      <c r="BJ25" s="463">
        <v>1821</v>
      </c>
      <c r="BK25" s="463">
        <v>1785</v>
      </c>
      <c r="BL25" s="463">
        <v>1769</v>
      </c>
      <c r="BM25" s="463">
        <v>1834</v>
      </c>
      <c r="BN25" s="463">
        <v>1807</v>
      </c>
      <c r="BO25" s="463">
        <v>1811</v>
      </c>
      <c r="BP25" s="463">
        <v>1961</v>
      </c>
      <c r="BQ25" s="463">
        <v>1894</v>
      </c>
      <c r="BR25" s="463">
        <v>1708</v>
      </c>
      <c r="BS25" s="463">
        <v>1643</v>
      </c>
      <c r="BT25" s="463">
        <v>1522</v>
      </c>
      <c r="BU25" s="463">
        <v>1287</v>
      </c>
      <c r="BV25" s="463">
        <v>1171</v>
      </c>
      <c r="BW25" s="463">
        <v>1156</v>
      </c>
      <c r="BX25" s="463">
        <v>1113</v>
      </c>
      <c r="BY25" s="463">
        <v>1044</v>
      </c>
      <c r="BZ25" s="463">
        <v>1070</v>
      </c>
      <c r="CA25" s="463">
        <v>994</v>
      </c>
      <c r="CB25" s="463">
        <v>950</v>
      </c>
      <c r="CC25" s="463">
        <v>1003</v>
      </c>
      <c r="CD25" s="463">
        <v>935</v>
      </c>
      <c r="CE25" s="463">
        <v>1157</v>
      </c>
      <c r="CF25" s="463">
        <v>1321</v>
      </c>
      <c r="CG25" s="463">
        <v>1293</v>
      </c>
      <c r="CH25" s="463">
        <v>1165</v>
      </c>
      <c r="CI25" s="463">
        <v>1162</v>
      </c>
      <c r="CJ25" s="463">
        <v>1277</v>
      </c>
      <c r="CK25" s="463">
        <v>1339</v>
      </c>
      <c r="CL25" s="463">
        <v>1409</v>
      </c>
      <c r="CM25" s="463">
        <v>1422</v>
      </c>
      <c r="CN25" s="463">
        <v>1378</v>
      </c>
      <c r="CO25" s="463">
        <v>1361</v>
      </c>
      <c r="CP25" s="463">
        <v>1257</v>
      </c>
      <c r="CQ25" s="463">
        <v>1293</v>
      </c>
      <c r="CR25" s="463">
        <v>1140</v>
      </c>
      <c r="CS25" s="463">
        <v>1038</v>
      </c>
      <c r="CT25" s="463">
        <v>1037</v>
      </c>
      <c r="CU25" s="463">
        <v>1092</v>
      </c>
      <c r="CV25" s="463">
        <v>1311</v>
      </c>
      <c r="CW25" s="463">
        <v>1209</v>
      </c>
      <c r="CX25" s="463">
        <v>1527</v>
      </c>
      <c r="CY25" s="463">
        <v>1292</v>
      </c>
      <c r="CZ25" s="463">
        <v>1431</v>
      </c>
      <c r="DA25" s="463">
        <v>1233</v>
      </c>
      <c r="DB25" s="463">
        <v>1317</v>
      </c>
      <c r="DC25" s="463">
        <v>1412</v>
      </c>
      <c r="DD25" s="463">
        <v>1468</v>
      </c>
      <c r="DE25" s="463">
        <v>1185</v>
      </c>
      <c r="DF25" s="463">
        <v>1466</v>
      </c>
      <c r="DG25" s="463">
        <v>1860</v>
      </c>
      <c r="DH25" s="463">
        <v>1386</v>
      </c>
      <c r="DI25" s="463">
        <v>1391</v>
      </c>
      <c r="DJ25" s="463">
        <v>1238</v>
      </c>
      <c r="DK25" s="463">
        <v>1369</v>
      </c>
      <c r="DL25" s="463">
        <v>1304</v>
      </c>
      <c r="DM25" s="463">
        <v>1327</v>
      </c>
      <c r="DN25" s="463">
        <v>1316</v>
      </c>
      <c r="DO25" s="463">
        <v>1530</v>
      </c>
      <c r="DP25" s="463">
        <v>1594</v>
      </c>
      <c r="DQ25" s="463">
        <v>1369</v>
      </c>
      <c r="DR25" s="463">
        <v>1338</v>
      </c>
      <c r="DS25" s="463">
        <v>1246</v>
      </c>
      <c r="DT25" s="463">
        <v>1305</v>
      </c>
      <c r="DU25" s="463">
        <v>932</v>
      </c>
      <c r="DV25" s="463">
        <v>1040</v>
      </c>
      <c r="DW25" s="867">
        <v>1022</v>
      </c>
      <c r="DX25" s="867">
        <v>1007</v>
      </c>
      <c r="DY25" s="867">
        <v>1155</v>
      </c>
      <c r="DZ25" s="867">
        <v>1135</v>
      </c>
      <c r="EA25" s="867">
        <v>1099</v>
      </c>
      <c r="EB25" s="867">
        <v>1149</v>
      </c>
      <c r="EC25" s="868">
        <v>1063</v>
      </c>
      <c r="ED25" s="869">
        <v>1003.9959200815985</v>
      </c>
      <c r="EE25" s="869">
        <v>979.21041579168434</v>
      </c>
      <c r="EF25" s="869">
        <v>1172.8745425091499</v>
      </c>
      <c r="EG25" s="869">
        <v>921.98356032879349</v>
      </c>
      <c r="EH25" s="869">
        <v>1053.0329393412133</v>
      </c>
      <c r="EI25" s="870">
        <v>1138.297234055319</v>
      </c>
    </row>
    <row r="26" spans="1:510">
      <c r="A26" s="270"/>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row>
    <row r="27" spans="1:510" s="949" customFormat="1">
      <c r="A27" s="950"/>
      <c r="B27" s="951"/>
      <c r="C27" s="951"/>
      <c r="D27" s="951"/>
      <c r="E27" s="951"/>
      <c r="F27" s="951"/>
      <c r="G27" s="951"/>
      <c r="H27" s="951"/>
      <c r="I27" s="951"/>
      <c r="J27" s="951"/>
      <c r="K27" s="951"/>
      <c r="L27" s="951"/>
      <c r="M27" s="951"/>
      <c r="N27" s="951"/>
      <c r="O27" s="951"/>
      <c r="P27" s="951"/>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c r="CD27" s="951"/>
      <c r="CE27" s="951"/>
      <c r="CF27" s="951"/>
      <c r="CG27" s="951"/>
      <c r="CH27" s="951"/>
      <c r="CI27" s="951"/>
      <c r="CJ27" s="951"/>
      <c r="CK27" s="951"/>
      <c r="CL27" s="951"/>
      <c r="CM27" s="951"/>
      <c r="CN27" s="951"/>
      <c r="CO27" s="951"/>
      <c r="CP27" s="951"/>
      <c r="CQ27" s="951"/>
      <c r="CR27" s="951"/>
      <c r="CS27" s="951"/>
      <c r="CT27" s="951"/>
      <c r="CU27" s="951"/>
      <c r="CV27" s="951"/>
      <c r="CW27" s="951"/>
      <c r="CX27" s="951"/>
      <c r="CY27" s="951"/>
      <c r="CZ27" s="951"/>
      <c r="DA27" s="951"/>
      <c r="DB27" s="951"/>
      <c r="DC27" s="951"/>
      <c r="DD27" s="951"/>
      <c r="DE27" s="951"/>
      <c r="DF27" s="951"/>
      <c r="DG27" s="951"/>
      <c r="DH27" s="951"/>
      <c r="DI27" s="951"/>
      <c r="DJ27" s="951"/>
      <c r="DK27" s="951"/>
      <c r="DL27" s="951"/>
      <c r="DM27" s="951"/>
      <c r="DN27" s="951"/>
      <c r="DO27" s="951"/>
      <c r="DP27" s="951"/>
      <c r="DQ27" s="951"/>
      <c r="DR27" s="951"/>
      <c r="DS27" s="951"/>
      <c r="DT27" s="951"/>
      <c r="DU27" s="951"/>
      <c r="DV27" s="951"/>
      <c r="DW27" s="951"/>
      <c r="DX27" s="951"/>
      <c r="DY27" s="951"/>
      <c r="DZ27" s="951"/>
      <c r="EA27" s="951"/>
      <c r="EB27" s="951"/>
      <c r="EC27" s="951"/>
      <c r="ED27" s="951"/>
      <c r="EE27" s="951"/>
      <c r="EF27" s="951"/>
      <c r="EG27" s="951"/>
      <c r="EH27" s="951"/>
      <c r="EI27" s="951"/>
      <c r="EJ27" s="951"/>
      <c r="EK27" s="951"/>
      <c r="EL27" s="951"/>
      <c r="EM27" s="951"/>
      <c r="EN27" s="951"/>
      <c r="EO27" s="951"/>
      <c r="EP27" s="951"/>
      <c r="EQ27" s="951"/>
      <c r="ER27" s="951"/>
      <c r="ES27" s="951"/>
      <c r="ET27" s="951"/>
      <c r="EU27" s="951"/>
      <c r="EV27" s="951"/>
      <c r="EW27" s="951"/>
      <c r="EX27" s="951"/>
      <c r="EY27" s="951"/>
      <c r="EZ27" s="951"/>
      <c r="FA27" s="951"/>
      <c r="FB27" s="951"/>
      <c r="FC27" s="951"/>
      <c r="FD27" s="951"/>
      <c r="FE27" s="951"/>
      <c r="FF27" s="951"/>
      <c r="FG27" s="951"/>
      <c r="FH27" s="951"/>
      <c r="FI27" s="951"/>
      <c r="FJ27" s="951"/>
      <c r="FK27" s="951"/>
      <c r="FL27" s="951"/>
      <c r="FM27" s="951"/>
      <c r="FN27" s="951"/>
      <c r="FO27" s="951"/>
      <c r="FP27" s="951"/>
      <c r="FQ27" s="951"/>
      <c r="FR27" s="951"/>
      <c r="FS27" s="951"/>
      <c r="FT27" s="951"/>
      <c r="FU27" s="951"/>
      <c r="FV27" s="951"/>
      <c r="FW27" s="951"/>
      <c r="FX27" s="951"/>
      <c r="FY27" s="951"/>
      <c r="FZ27" s="951"/>
      <c r="GA27" s="951"/>
      <c r="GB27" s="951"/>
      <c r="GC27" s="951"/>
      <c r="GD27" s="951"/>
      <c r="GE27" s="951"/>
      <c r="GF27" s="951"/>
      <c r="GG27" s="951"/>
      <c r="GH27" s="951"/>
      <c r="GI27" s="951"/>
      <c r="GJ27" s="951"/>
      <c r="GK27" s="951"/>
      <c r="GL27" s="951"/>
      <c r="GM27" s="951"/>
      <c r="GN27" s="951"/>
      <c r="GO27" s="951"/>
      <c r="GP27" s="951"/>
      <c r="GQ27" s="951"/>
      <c r="GR27" s="951"/>
      <c r="GS27" s="951"/>
      <c r="GT27" s="951"/>
      <c r="GU27" s="951"/>
      <c r="GV27" s="951"/>
      <c r="GW27" s="951"/>
      <c r="GX27" s="951"/>
      <c r="GY27" s="951"/>
      <c r="GZ27" s="951"/>
      <c r="HA27" s="951"/>
      <c r="HB27" s="951"/>
      <c r="HC27" s="951"/>
      <c r="HD27" s="951"/>
      <c r="HE27" s="951"/>
      <c r="HF27" s="951"/>
      <c r="HG27" s="951"/>
      <c r="HH27" s="951"/>
      <c r="HI27" s="951"/>
      <c r="HJ27" s="951"/>
      <c r="HK27" s="951"/>
      <c r="HL27" s="951"/>
      <c r="HM27" s="951"/>
      <c r="HN27" s="951"/>
      <c r="HO27" s="951"/>
      <c r="HP27" s="951"/>
      <c r="HQ27" s="951"/>
      <c r="HR27" s="951"/>
      <c r="HS27" s="951"/>
      <c r="HT27" s="951"/>
      <c r="HU27" s="951"/>
      <c r="HV27" s="951"/>
      <c r="HW27" s="951"/>
      <c r="HX27" s="951"/>
      <c r="HY27" s="951"/>
      <c r="HZ27" s="951"/>
      <c r="IA27" s="951"/>
      <c r="IB27" s="951"/>
      <c r="IC27" s="951"/>
      <c r="ID27" s="951"/>
      <c r="IE27" s="951"/>
      <c r="IF27" s="951"/>
      <c r="IG27" s="951"/>
      <c r="IH27" s="951"/>
      <c r="II27" s="951"/>
      <c r="IJ27" s="951"/>
      <c r="IK27" s="951"/>
      <c r="IL27" s="951"/>
      <c r="IM27" s="951"/>
      <c r="IN27" s="951"/>
      <c r="IO27" s="951"/>
      <c r="IP27" s="951"/>
      <c r="IQ27" s="951"/>
      <c r="IR27" s="951"/>
      <c r="IS27" s="951"/>
      <c r="IT27" s="951"/>
      <c r="IU27" s="951"/>
      <c r="IV27" s="951"/>
      <c r="IW27" s="951"/>
      <c r="IX27" s="951"/>
      <c r="IY27" s="951"/>
      <c r="IZ27" s="951"/>
      <c r="JA27" s="951"/>
      <c r="JB27" s="951"/>
      <c r="JC27" s="951"/>
      <c r="JD27" s="951"/>
      <c r="JE27" s="951"/>
      <c r="JF27" s="951"/>
      <c r="JG27" s="951"/>
      <c r="JH27" s="951"/>
      <c r="JI27" s="951"/>
      <c r="JJ27" s="951"/>
      <c r="JK27" s="951"/>
      <c r="JL27" s="951"/>
      <c r="JM27" s="951"/>
      <c r="JN27" s="951"/>
      <c r="JO27" s="951"/>
      <c r="JP27" s="951"/>
      <c r="JQ27" s="951"/>
      <c r="JR27" s="951"/>
      <c r="JS27" s="951"/>
      <c r="JT27" s="951"/>
      <c r="JU27" s="951"/>
      <c r="JV27" s="951"/>
      <c r="JW27" s="951"/>
      <c r="JX27" s="951"/>
      <c r="JY27" s="951"/>
      <c r="JZ27" s="951"/>
      <c r="KA27" s="951"/>
      <c r="KB27" s="951"/>
      <c r="KC27" s="951"/>
      <c r="KD27" s="951"/>
      <c r="KE27" s="951"/>
      <c r="KF27" s="951"/>
      <c r="KG27" s="951"/>
      <c r="KH27" s="951"/>
      <c r="KI27" s="951"/>
      <c r="KJ27" s="951"/>
      <c r="KK27" s="951"/>
      <c r="KL27" s="951"/>
      <c r="KM27" s="951"/>
      <c r="KN27" s="951"/>
      <c r="KO27" s="951"/>
      <c r="KP27" s="951"/>
      <c r="KQ27" s="951"/>
      <c r="KR27" s="951"/>
      <c r="KS27" s="951"/>
      <c r="KT27" s="951"/>
      <c r="KU27" s="951"/>
      <c r="KV27" s="951"/>
      <c r="KW27" s="951"/>
      <c r="KX27" s="951"/>
      <c r="KY27" s="951"/>
      <c r="KZ27" s="951"/>
      <c r="LA27" s="951"/>
      <c r="LB27" s="951"/>
      <c r="LC27" s="951"/>
      <c r="LD27" s="951"/>
      <c r="LE27" s="951"/>
      <c r="LF27" s="951"/>
      <c r="LG27" s="951"/>
      <c r="LH27" s="951"/>
      <c r="LI27" s="951"/>
      <c r="LJ27" s="951"/>
      <c r="LK27" s="951"/>
      <c r="LL27" s="951"/>
      <c r="LM27" s="951"/>
      <c r="LN27" s="951"/>
      <c r="LO27" s="951"/>
      <c r="LP27" s="951"/>
      <c r="LQ27" s="951"/>
      <c r="LR27" s="951"/>
      <c r="LS27" s="951"/>
      <c r="LT27" s="951"/>
      <c r="LU27" s="951"/>
      <c r="LV27" s="951"/>
      <c r="LW27" s="951"/>
      <c r="LX27" s="951"/>
      <c r="LY27" s="951"/>
      <c r="LZ27" s="951"/>
      <c r="MA27" s="951"/>
      <c r="MB27" s="951"/>
      <c r="MC27" s="951"/>
      <c r="MD27" s="951"/>
      <c r="ME27" s="951"/>
      <c r="MF27" s="951"/>
      <c r="MG27" s="951"/>
      <c r="MH27" s="951"/>
      <c r="MI27" s="951"/>
      <c r="MJ27" s="951"/>
      <c r="MK27" s="951"/>
      <c r="ML27" s="951"/>
      <c r="MM27" s="951"/>
      <c r="MN27" s="951"/>
      <c r="MO27" s="951"/>
      <c r="MP27" s="951"/>
      <c r="MQ27" s="951"/>
      <c r="MR27" s="951"/>
      <c r="MS27" s="951"/>
      <c r="MT27" s="951"/>
      <c r="MU27" s="951"/>
      <c r="MV27" s="951"/>
      <c r="MW27" s="951"/>
      <c r="MX27" s="951"/>
      <c r="MY27" s="951"/>
      <c r="MZ27" s="951"/>
      <c r="NA27" s="951"/>
      <c r="NB27" s="951"/>
      <c r="NC27" s="951"/>
      <c r="ND27" s="951"/>
      <c r="NE27" s="951"/>
      <c r="NF27" s="951"/>
      <c r="NG27" s="951"/>
      <c r="NH27" s="951"/>
      <c r="NI27" s="951"/>
      <c r="NJ27" s="951"/>
      <c r="NK27" s="951"/>
      <c r="NL27" s="951"/>
      <c r="NM27" s="951"/>
      <c r="NN27" s="951"/>
      <c r="NO27" s="951"/>
      <c r="NP27" s="951"/>
      <c r="NQ27" s="951"/>
      <c r="NR27" s="951"/>
      <c r="NS27" s="951"/>
      <c r="NT27" s="951"/>
      <c r="NU27" s="951"/>
      <c r="NV27" s="951"/>
      <c r="NW27" s="951"/>
      <c r="NX27" s="951"/>
      <c r="NY27" s="951"/>
      <c r="NZ27" s="951"/>
      <c r="OA27" s="951"/>
      <c r="OB27" s="951"/>
      <c r="OC27" s="951"/>
      <c r="OD27" s="951"/>
      <c r="OE27" s="951"/>
      <c r="OF27" s="951"/>
      <c r="OG27" s="951"/>
      <c r="OH27" s="951"/>
      <c r="OI27" s="951"/>
      <c r="OJ27" s="951"/>
      <c r="OK27" s="951"/>
      <c r="OL27" s="951"/>
      <c r="OM27" s="951"/>
      <c r="ON27" s="951"/>
      <c r="OO27" s="951"/>
      <c r="OP27" s="951"/>
      <c r="OQ27" s="951"/>
      <c r="OR27" s="951"/>
      <c r="OS27" s="951"/>
      <c r="OT27" s="951"/>
      <c r="OU27" s="951"/>
      <c r="OV27" s="951"/>
      <c r="OW27" s="951"/>
      <c r="OX27" s="951"/>
      <c r="OY27" s="951"/>
      <c r="OZ27" s="951"/>
      <c r="PA27" s="951"/>
      <c r="PB27" s="951"/>
      <c r="PC27" s="951"/>
      <c r="PD27" s="951"/>
      <c r="PE27" s="951"/>
      <c r="PF27" s="951"/>
      <c r="PG27" s="951"/>
      <c r="PH27" s="951"/>
      <c r="PI27" s="951"/>
      <c r="PJ27" s="951"/>
      <c r="PK27" s="951"/>
      <c r="PL27" s="951"/>
      <c r="PM27" s="951"/>
      <c r="PN27" s="951"/>
      <c r="PO27" s="951"/>
      <c r="PP27" s="951"/>
      <c r="PQ27" s="951"/>
      <c r="PR27" s="951"/>
      <c r="PS27" s="951"/>
      <c r="PT27" s="951"/>
      <c r="PU27" s="951"/>
      <c r="PV27" s="951"/>
      <c r="PW27" s="951"/>
      <c r="PX27" s="951"/>
      <c r="PY27" s="951"/>
      <c r="PZ27" s="951"/>
      <c r="QA27" s="951"/>
      <c r="QB27" s="951"/>
      <c r="QC27" s="951"/>
      <c r="QD27" s="951"/>
      <c r="QE27" s="951"/>
      <c r="QF27" s="951"/>
      <c r="QG27" s="951"/>
      <c r="QH27" s="951"/>
      <c r="QI27" s="951"/>
      <c r="QJ27" s="951"/>
      <c r="QK27" s="951"/>
      <c r="QL27" s="951"/>
      <c r="QM27" s="951"/>
      <c r="QN27" s="951"/>
      <c r="QO27" s="951"/>
      <c r="QP27" s="951"/>
      <c r="QQ27" s="951"/>
      <c r="QR27" s="951"/>
      <c r="QS27" s="951"/>
      <c r="QT27" s="951"/>
      <c r="QU27" s="951"/>
      <c r="QV27" s="951"/>
      <c r="QW27" s="951"/>
      <c r="QX27" s="951"/>
      <c r="QY27" s="951"/>
      <c r="QZ27" s="951"/>
      <c r="RA27" s="951"/>
      <c r="RB27" s="951"/>
      <c r="RC27" s="951"/>
      <c r="RD27" s="951"/>
      <c r="RE27" s="951"/>
      <c r="RF27" s="951"/>
      <c r="RG27" s="951"/>
      <c r="RH27" s="951"/>
      <c r="RI27" s="951"/>
      <c r="RJ27" s="951"/>
      <c r="RK27" s="951"/>
      <c r="RL27" s="951"/>
      <c r="RM27" s="951"/>
      <c r="RN27" s="951"/>
      <c r="RO27" s="951"/>
      <c r="RP27" s="951"/>
      <c r="RQ27" s="951"/>
      <c r="RR27" s="951"/>
      <c r="RS27" s="951"/>
      <c r="RT27" s="951"/>
      <c r="RU27" s="951"/>
      <c r="RV27" s="951"/>
      <c r="RW27" s="951"/>
      <c r="RX27" s="951"/>
      <c r="RY27" s="951"/>
      <c r="RZ27" s="951"/>
      <c r="SA27" s="951"/>
      <c r="SB27" s="951"/>
      <c r="SC27" s="951"/>
      <c r="SD27" s="951"/>
      <c r="SE27" s="951"/>
      <c r="SF27" s="951"/>
      <c r="SG27" s="951"/>
      <c r="SH27" s="951"/>
      <c r="SI27" s="951"/>
      <c r="SJ27" s="951"/>
      <c r="SK27" s="951"/>
      <c r="SL27" s="951"/>
      <c r="SM27" s="951"/>
      <c r="SN27" s="951"/>
      <c r="SO27" s="951"/>
      <c r="SP27" s="951"/>
    </row>
    <row r="28" spans="1:510" s="976" customFormat="1" ht="15" hidden="1" customHeight="1" thickBot="1">
      <c r="A28" s="974" t="s">
        <v>1075</v>
      </c>
      <c r="B28" s="975"/>
      <c r="C28" s="975"/>
      <c r="D28" s="975"/>
      <c r="E28" s="975"/>
      <c r="F28" s="975"/>
      <c r="G28" s="975"/>
      <c r="H28" s="975"/>
      <c r="I28" s="975"/>
      <c r="J28" s="975"/>
      <c r="K28" s="975"/>
      <c r="L28" s="975"/>
      <c r="M28" s="975"/>
      <c r="N28" s="975"/>
      <c r="O28" s="975"/>
      <c r="P28" s="975"/>
      <c r="Q28" s="975"/>
      <c r="R28" s="975"/>
      <c r="S28" s="975"/>
      <c r="T28" s="975"/>
      <c r="U28" s="975"/>
      <c r="V28" s="975"/>
      <c r="W28" s="975"/>
      <c r="X28" s="975"/>
      <c r="Y28" s="975"/>
      <c r="Z28" s="975"/>
      <c r="AA28" s="975"/>
      <c r="AB28" s="975"/>
      <c r="AC28" s="975"/>
      <c r="AD28" s="975"/>
      <c r="AE28" s="975"/>
      <c r="AF28" s="975"/>
      <c r="AG28" s="975"/>
      <c r="AH28" s="975"/>
      <c r="AI28" s="975"/>
      <c r="AJ28" s="975"/>
      <c r="AK28" s="975"/>
      <c r="AL28" s="975"/>
      <c r="AM28" s="975"/>
      <c r="AN28" s="975"/>
      <c r="AO28" s="975"/>
      <c r="AP28" s="975"/>
      <c r="AQ28" s="975"/>
      <c r="AR28" s="975"/>
      <c r="AS28" s="975"/>
      <c r="AT28" s="975"/>
      <c r="AU28" s="975"/>
      <c r="AV28" s="975"/>
      <c r="AW28" s="975"/>
      <c r="AX28" s="975"/>
      <c r="AY28" s="975"/>
      <c r="AZ28" s="975"/>
      <c r="BA28" s="975"/>
      <c r="BB28" s="975"/>
      <c r="BC28" s="975"/>
      <c r="BD28" s="975"/>
      <c r="BE28" s="975"/>
      <c r="BF28" s="975"/>
      <c r="BG28" s="975"/>
      <c r="BH28" s="975"/>
      <c r="BI28" s="975"/>
      <c r="BJ28" s="975"/>
      <c r="BK28" s="975"/>
      <c r="BL28" s="975"/>
      <c r="BM28" s="975"/>
      <c r="BN28" s="975"/>
      <c r="BO28" s="975"/>
      <c r="BP28" s="975"/>
      <c r="BQ28" s="975"/>
      <c r="BR28" s="975"/>
      <c r="BS28" s="975"/>
      <c r="BT28" s="975"/>
      <c r="BU28" s="975"/>
      <c r="BV28" s="975"/>
      <c r="BW28" s="975"/>
      <c r="BX28" s="975"/>
      <c r="BY28" s="975"/>
      <c r="BZ28" s="975"/>
      <c r="CA28" s="975"/>
      <c r="CB28" s="975"/>
      <c r="CC28" s="975"/>
      <c r="CD28" s="975"/>
      <c r="CE28" s="975"/>
      <c r="CF28" s="975"/>
      <c r="CG28" s="975"/>
      <c r="CH28" s="975"/>
      <c r="CI28" s="975"/>
      <c r="CJ28" s="975"/>
      <c r="CK28" s="975"/>
      <c r="CL28" s="975"/>
      <c r="CM28" s="975"/>
      <c r="CN28" s="975"/>
      <c r="CO28" s="975"/>
      <c r="CP28" s="975"/>
      <c r="CQ28" s="975"/>
      <c r="CR28" s="975"/>
      <c r="CS28" s="975"/>
      <c r="CT28" s="975"/>
      <c r="CU28" s="975"/>
      <c r="CV28" s="975"/>
      <c r="CW28" s="975"/>
      <c r="CX28" s="975"/>
      <c r="CY28" s="975"/>
      <c r="CZ28" s="975"/>
      <c r="DA28" s="975"/>
      <c r="DB28" s="975"/>
      <c r="DC28" s="975"/>
      <c r="DD28" s="975"/>
      <c r="DE28" s="975"/>
      <c r="DF28" s="975"/>
      <c r="DG28" s="975"/>
      <c r="DH28" s="975"/>
      <c r="DI28" s="975"/>
      <c r="DJ28" s="975"/>
      <c r="DK28" s="975"/>
      <c r="DL28" s="975"/>
      <c r="DM28" s="975"/>
      <c r="DN28" s="975"/>
      <c r="DO28" s="975"/>
      <c r="DP28" s="975"/>
      <c r="DQ28" s="975"/>
      <c r="DR28" s="975"/>
      <c r="DS28" s="975"/>
      <c r="DT28" s="975"/>
      <c r="DU28" s="975"/>
      <c r="DV28" s="975"/>
      <c r="DW28" s="975"/>
      <c r="DX28" s="975"/>
      <c r="DY28" s="975"/>
      <c r="DZ28" s="975"/>
      <c r="EA28" s="975"/>
      <c r="EB28" s="975"/>
      <c r="EC28" s="975"/>
      <c r="ED28" s="975"/>
      <c r="EE28" s="975"/>
      <c r="EF28" s="975"/>
      <c r="EG28" s="975"/>
      <c r="EH28" s="975"/>
      <c r="EI28" s="975"/>
      <c r="EJ28" s="975"/>
      <c r="EK28" s="975"/>
      <c r="EL28" s="975"/>
      <c r="EM28" s="975"/>
      <c r="EN28" s="975"/>
      <c r="EO28" s="975"/>
      <c r="EP28" s="975"/>
      <c r="EQ28" s="975"/>
      <c r="ER28" s="975"/>
      <c r="ES28" s="975"/>
      <c r="ET28" s="975"/>
      <c r="EU28" s="975"/>
      <c r="EV28" s="975"/>
      <c r="EW28" s="975"/>
      <c r="EX28" s="975"/>
      <c r="EY28" s="975"/>
      <c r="EZ28" s="975"/>
      <c r="FA28" s="975"/>
      <c r="FB28" s="975"/>
      <c r="FC28" s="975"/>
      <c r="FD28" s="975"/>
      <c r="FE28" s="975"/>
      <c r="FF28" s="975"/>
      <c r="FG28" s="975"/>
      <c r="FH28" s="975"/>
      <c r="FI28" s="975"/>
      <c r="FJ28" s="975"/>
      <c r="FK28" s="975"/>
      <c r="FL28" s="975"/>
      <c r="FM28" s="975"/>
      <c r="FN28" s="975"/>
      <c r="FO28" s="975"/>
      <c r="FP28" s="975"/>
      <c r="FQ28" s="975"/>
      <c r="FR28" s="975"/>
      <c r="FS28" s="975"/>
      <c r="FT28" s="975"/>
      <c r="FU28" s="975"/>
      <c r="FV28" s="975"/>
      <c r="FW28" s="975"/>
      <c r="FX28" s="975"/>
      <c r="FY28" s="975"/>
      <c r="FZ28" s="975"/>
      <c r="GA28" s="975"/>
      <c r="GB28" s="975"/>
      <c r="GC28" s="975"/>
      <c r="GD28" s="975"/>
      <c r="GE28" s="975"/>
      <c r="GF28" s="975"/>
      <c r="GG28" s="975"/>
      <c r="GH28" s="975"/>
      <c r="GI28" s="975"/>
      <c r="GJ28" s="975"/>
      <c r="GK28" s="975"/>
      <c r="GL28" s="975"/>
      <c r="GM28" s="975"/>
      <c r="GN28" s="975"/>
      <c r="GO28" s="975"/>
      <c r="GP28" s="975"/>
      <c r="GQ28" s="975"/>
      <c r="GR28" s="975"/>
      <c r="GS28" s="975"/>
      <c r="GT28" s="975"/>
      <c r="GU28" s="975"/>
      <c r="GV28" s="975"/>
      <c r="GW28" s="975"/>
      <c r="GX28" s="975"/>
      <c r="GY28" s="975"/>
      <c r="GZ28" s="975"/>
      <c r="HA28" s="975"/>
      <c r="HB28" s="975"/>
      <c r="HC28" s="975"/>
      <c r="HD28" s="975"/>
      <c r="HE28" s="975"/>
      <c r="HF28" s="975"/>
      <c r="HG28" s="975"/>
      <c r="HH28" s="975"/>
      <c r="HI28" s="975"/>
      <c r="HJ28" s="975"/>
      <c r="HK28" s="975"/>
      <c r="HL28" s="975"/>
      <c r="HM28" s="975"/>
      <c r="HN28" s="975"/>
      <c r="HO28" s="975"/>
      <c r="HP28" s="975"/>
      <c r="HQ28" s="975"/>
      <c r="HR28" s="975"/>
      <c r="HS28" s="975"/>
      <c r="HT28" s="975"/>
      <c r="HU28" s="975"/>
      <c r="HV28" s="975"/>
      <c r="HW28" s="975"/>
      <c r="HX28" s="975"/>
      <c r="HY28" s="975"/>
      <c r="HZ28" s="975"/>
      <c r="IA28" s="975"/>
      <c r="IB28" s="975"/>
      <c r="IC28" s="975"/>
      <c r="ID28" s="975"/>
      <c r="IE28" s="975"/>
      <c r="IF28" s="975"/>
      <c r="IG28" s="975"/>
      <c r="IH28" s="975"/>
      <c r="II28" s="975"/>
      <c r="IJ28" s="975"/>
      <c r="IK28" s="975"/>
      <c r="IL28" s="975"/>
      <c r="IM28" s="975"/>
      <c r="IN28" s="975"/>
      <c r="IO28" s="975"/>
      <c r="IP28" s="975"/>
      <c r="IQ28" s="975"/>
      <c r="IR28" s="975"/>
      <c r="IS28" s="975"/>
      <c r="IT28" s="975"/>
      <c r="IU28" s="975"/>
      <c r="IV28" s="975"/>
      <c r="IW28" s="975"/>
      <c r="IX28" s="975"/>
      <c r="IY28" s="975"/>
      <c r="IZ28" s="975"/>
      <c r="JA28" s="975"/>
      <c r="JB28" s="975"/>
      <c r="JC28" s="975"/>
      <c r="JD28" s="975"/>
      <c r="JE28" s="975"/>
      <c r="JF28" s="975"/>
      <c r="JG28" s="975"/>
      <c r="JH28" s="975"/>
      <c r="JI28" s="975"/>
      <c r="JJ28" s="975"/>
      <c r="JK28" s="975"/>
      <c r="JL28" s="975"/>
      <c r="JM28" s="975"/>
      <c r="JN28" s="975"/>
      <c r="JO28" s="975"/>
      <c r="JP28" s="975"/>
      <c r="JQ28" s="975"/>
      <c r="JR28" s="975"/>
      <c r="JS28" s="975"/>
      <c r="JT28" s="975"/>
      <c r="JU28" s="975"/>
      <c r="JV28" s="975"/>
      <c r="JW28" s="975"/>
      <c r="JX28" s="975"/>
      <c r="JY28" s="975"/>
      <c r="JZ28" s="975"/>
      <c r="KA28" s="975"/>
      <c r="KB28" s="975"/>
      <c r="KC28" s="975"/>
      <c r="KD28" s="975"/>
      <c r="KE28" s="975"/>
      <c r="KF28" s="975"/>
      <c r="KG28" s="975"/>
      <c r="KH28" s="975"/>
      <c r="KI28" s="975"/>
      <c r="KJ28" s="975"/>
      <c r="KK28" s="975"/>
      <c r="KL28" s="975"/>
      <c r="KM28" s="975"/>
      <c r="KN28" s="975"/>
      <c r="KO28" s="975"/>
      <c r="KP28" s="975"/>
      <c r="KQ28" s="975"/>
      <c r="KR28" s="975"/>
      <c r="KS28" s="975"/>
      <c r="KT28" s="975"/>
      <c r="KU28" s="975"/>
      <c r="KV28" s="975"/>
      <c r="KW28" s="975"/>
      <c r="KX28" s="975"/>
      <c r="KY28" s="975"/>
      <c r="KZ28" s="975"/>
      <c r="LA28" s="975"/>
      <c r="LB28" s="975"/>
      <c r="LC28" s="975"/>
      <c r="LD28" s="975"/>
      <c r="LE28" s="975"/>
      <c r="LF28" s="975"/>
      <c r="LG28" s="975"/>
      <c r="LH28" s="975"/>
      <c r="LI28" s="975"/>
      <c r="LJ28" s="975"/>
      <c r="LK28" s="975"/>
      <c r="LL28" s="975"/>
      <c r="LM28" s="975"/>
      <c r="LN28" s="975"/>
      <c r="LO28" s="975"/>
      <c r="LP28" s="975"/>
      <c r="LQ28" s="975"/>
      <c r="LR28" s="975"/>
      <c r="LS28" s="975"/>
      <c r="LT28" s="975"/>
      <c r="LU28" s="975"/>
      <c r="LV28" s="975"/>
      <c r="LW28" s="975"/>
      <c r="LX28" s="975"/>
      <c r="LY28" s="975"/>
      <c r="LZ28" s="975"/>
      <c r="MA28" s="975"/>
      <c r="MB28" s="975"/>
      <c r="MC28" s="975"/>
      <c r="MD28" s="975"/>
      <c r="ME28" s="975"/>
      <c r="MF28" s="975"/>
      <c r="MG28" s="975"/>
      <c r="MH28" s="975"/>
      <c r="MI28" s="975"/>
      <c r="MJ28" s="975"/>
      <c r="MK28" s="975"/>
      <c r="ML28" s="975"/>
      <c r="MM28" s="975"/>
      <c r="MN28" s="975"/>
      <c r="MO28" s="975"/>
      <c r="MP28" s="975"/>
      <c r="MQ28" s="975"/>
      <c r="MR28" s="975"/>
      <c r="MS28" s="975"/>
      <c r="MT28" s="975"/>
      <c r="MU28" s="975"/>
      <c r="MV28" s="975"/>
      <c r="MW28" s="975"/>
      <c r="MX28" s="975"/>
      <c r="MY28" s="975"/>
      <c r="MZ28" s="975"/>
      <c r="NA28" s="975"/>
      <c r="NB28" s="975"/>
      <c r="NC28" s="975"/>
      <c r="ND28" s="975"/>
      <c r="NE28" s="975"/>
      <c r="NF28" s="975"/>
      <c r="NG28" s="975"/>
      <c r="NH28" s="975"/>
      <c r="NI28" s="975"/>
      <c r="NJ28" s="975"/>
      <c r="NK28" s="975"/>
      <c r="NL28" s="975"/>
      <c r="NM28" s="975"/>
      <c r="NN28" s="975"/>
      <c r="NO28" s="975"/>
      <c r="NP28" s="975"/>
      <c r="NQ28" s="975"/>
      <c r="NR28" s="975"/>
      <c r="NS28" s="975"/>
      <c r="NT28" s="975"/>
      <c r="NU28" s="975"/>
      <c r="NV28" s="975"/>
      <c r="NW28" s="975"/>
      <c r="NX28" s="975"/>
      <c r="NY28" s="975"/>
      <c r="NZ28" s="975"/>
      <c r="OA28" s="975"/>
      <c r="OB28" s="975"/>
      <c r="OC28" s="975"/>
      <c r="OD28" s="975"/>
      <c r="OE28" s="975"/>
      <c r="OF28" s="975"/>
      <c r="OG28" s="975"/>
      <c r="OH28" s="975"/>
      <c r="OI28" s="975"/>
      <c r="OJ28" s="975"/>
      <c r="OK28" s="975"/>
      <c r="OL28" s="975"/>
      <c r="OM28" s="975"/>
      <c r="ON28" s="975"/>
      <c r="OO28" s="975"/>
      <c r="OP28" s="975"/>
      <c r="OQ28" s="975"/>
      <c r="OR28" s="975"/>
      <c r="OS28" s="975"/>
      <c r="OT28" s="975"/>
      <c r="OU28" s="975"/>
      <c r="OV28" s="975"/>
      <c r="OW28" s="975"/>
      <c r="OX28" s="975"/>
      <c r="OY28" s="975"/>
      <c r="OZ28" s="975"/>
      <c r="PA28" s="975"/>
      <c r="PB28" s="975"/>
      <c r="PC28" s="975"/>
      <c r="PD28" s="975"/>
      <c r="PE28" s="975"/>
      <c r="PF28" s="975"/>
      <c r="PG28" s="975"/>
      <c r="PH28" s="975"/>
      <c r="PI28" s="975"/>
      <c r="PJ28" s="975"/>
      <c r="PK28" s="975"/>
      <c r="PL28" s="975"/>
      <c r="PM28" s="975"/>
      <c r="PN28" s="975"/>
      <c r="PO28" s="975"/>
      <c r="PP28" s="975"/>
      <c r="PQ28" s="975"/>
      <c r="PR28" s="975"/>
      <c r="PS28" s="975"/>
      <c r="PT28" s="975"/>
      <c r="PU28" s="975"/>
      <c r="PV28" s="975"/>
      <c r="PW28" s="975"/>
      <c r="PX28" s="975"/>
      <c r="PY28" s="975"/>
      <c r="PZ28" s="975"/>
      <c r="QA28" s="975"/>
      <c r="QB28" s="975"/>
      <c r="QC28" s="975"/>
      <c r="QD28" s="975"/>
      <c r="QE28" s="975"/>
      <c r="QF28" s="975"/>
      <c r="QG28" s="975"/>
      <c r="QH28" s="975"/>
      <c r="QI28" s="975"/>
      <c r="QJ28" s="975"/>
      <c r="QK28" s="975"/>
      <c r="QL28" s="975"/>
      <c r="QM28" s="975"/>
      <c r="QN28" s="975"/>
      <c r="QO28" s="975"/>
      <c r="QP28" s="975"/>
      <c r="QQ28" s="975"/>
      <c r="QR28" s="975"/>
      <c r="QS28" s="975"/>
      <c r="QT28" s="975"/>
      <c r="QU28" s="975"/>
      <c r="QV28" s="975"/>
      <c r="QW28" s="975"/>
      <c r="QX28" s="975"/>
      <c r="QY28" s="975"/>
      <c r="QZ28" s="975"/>
      <c r="RA28" s="975"/>
      <c r="RB28" s="975"/>
      <c r="RC28" s="975"/>
      <c r="RD28" s="975"/>
      <c r="RE28" s="975"/>
      <c r="RF28" s="975"/>
      <c r="RG28" s="975"/>
      <c r="RH28" s="975"/>
      <c r="RI28" s="975"/>
      <c r="RJ28" s="975"/>
      <c r="RK28" s="975"/>
      <c r="RL28" s="975"/>
      <c r="RM28" s="975"/>
      <c r="RN28" s="975"/>
      <c r="RO28" s="975"/>
      <c r="RP28" s="975"/>
      <c r="RQ28" s="975"/>
      <c r="RR28" s="975"/>
      <c r="RS28" s="975"/>
      <c r="RT28" s="975"/>
      <c r="RU28" s="975"/>
      <c r="RV28" s="975"/>
      <c r="RW28" s="975"/>
      <c r="RX28" s="975"/>
      <c r="RY28" s="975"/>
      <c r="RZ28" s="975"/>
      <c r="SA28" s="975"/>
      <c r="SB28" s="975"/>
      <c r="SC28" s="975"/>
      <c r="SD28" s="975"/>
      <c r="SE28" s="975"/>
      <c r="SF28" s="975"/>
      <c r="SG28" s="975"/>
      <c r="SH28" s="975"/>
      <c r="SI28" s="975"/>
      <c r="SJ28" s="975"/>
      <c r="SK28" s="975"/>
      <c r="SL28" s="975"/>
      <c r="SM28" s="975"/>
      <c r="SN28" s="975"/>
      <c r="SO28" s="975"/>
      <c r="SP28" s="975"/>
    </row>
    <row r="29" spans="1:510" s="976" customFormat="1" ht="15.75" hidden="1" thickBot="1">
      <c r="A29" s="754"/>
      <c r="B29" s="975" t="s">
        <v>219</v>
      </c>
      <c r="C29" s="975" t="s">
        <v>220</v>
      </c>
      <c r="D29" s="975" t="s">
        <v>221</v>
      </c>
      <c r="E29" s="975" t="s">
        <v>222</v>
      </c>
      <c r="F29" s="975" t="s">
        <v>223</v>
      </c>
      <c r="G29" s="975" t="s">
        <v>224</v>
      </c>
      <c r="H29" s="975" t="s">
        <v>225</v>
      </c>
      <c r="I29" s="975" t="s">
        <v>226</v>
      </c>
      <c r="J29" s="975" t="s">
        <v>227</v>
      </c>
      <c r="K29" s="975" t="s">
        <v>228</v>
      </c>
      <c r="L29" s="975" t="s">
        <v>229</v>
      </c>
      <c r="M29" s="975" t="s">
        <v>230</v>
      </c>
      <c r="N29" s="975" t="s">
        <v>231</v>
      </c>
      <c r="O29" s="975" t="s">
        <v>232</v>
      </c>
      <c r="P29" s="975" t="s">
        <v>233</v>
      </c>
      <c r="Q29" s="975" t="s">
        <v>234</v>
      </c>
      <c r="R29" s="975" t="s">
        <v>235</v>
      </c>
      <c r="S29" s="975" t="s">
        <v>236</v>
      </c>
      <c r="T29" s="975" t="s">
        <v>237</v>
      </c>
      <c r="U29" s="975" t="s">
        <v>238</v>
      </c>
      <c r="V29" s="975" t="s">
        <v>239</v>
      </c>
      <c r="W29" s="975" t="s">
        <v>240</v>
      </c>
      <c r="X29" s="975" t="s">
        <v>241</v>
      </c>
      <c r="Y29" s="975" t="s">
        <v>242</v>
      </c>
      <c r="Z29" s="975" t="s">
        <v>243</v>
      </c>
      <c r="AA29" s="975" t="s">
        <v>244</v>
      </c>
      <c r="AB29" s="975" t="s">
        <v>245</v>
      </c>
      <c r="AC29" s="975" t="s">
        <v>246</v>
      </c>
      <c r="AD29" s="975" t="s">
        <v>247</v>
      </c>
      <c r="AE29" s="975" t="s">
        <v>248</v>
      </c>
      <c r="AF29" s="975" t="s">
        <v>249</v>
      </c>
      <c r="AG29" s="975" t="s">
        <v>250</v>
      </c>
      <c r="AH29" s="975" t="s">
        <v>251</v>
      </c>
      <c r="AI29" s="975" t="s">
        <v>252</v>
      </c>
      <c r="AJ29" s="975" t="s">
        <v>253</v>
      </c>
      <c r="AK29" s="975" t="s">
        <v>254</v>
      </c>
      <c r="AL29" s="975" t="s">
        <v>255</v>
      </c>
      <c r="AM29" s="975" t="s">
        <v>256</v>
      </c>
      <c r="AN29" s="975" t="s">
        <v>257</v>
      </c>
      <c r="AO29" s="975" t="s">
        <v>258</v>
      </c>
      <c r="AP29" s="975" t="s">
        <v>259</v>
      </c>
      <c r="AQ29" s="975" t="s">
        <v>260</v>
      </c>
      <c r="AR29" s="975" t="s">
        <v>261</v>
      </c>
      <c r="AS29" s="975" t="s">
        <v>262</v>
      </c>
      <c r="AT29" s="975" t="s">
        <v>263</v>
      </c>
      <c r="AU29" s="975" t="s">
        <v>264</v>
      </c>
      <c r="AV29" s="975" t="s">
        <v>265</v>
      </c>
      <c r="AW29" s="975" t="s">
        <v>266</v>
      </c>
      <c r="AX29" s="975" t="s">
        <v>267</v>
      </c>
      <c r="AY29" s="975" t="s">
        <v>268</v>
      </c>
      <c r="AZ29" s="975" t="s">
        <v>269</v>
      </c>
      <c r="BA29" s="975" t="s">
        <v>1400</v>
      </c>
      <c r="BB29" s="975" t="s">
        <v>1401</v>
      </c>
      <c r="BC29" s="975" t="s">
        <v>1402</v>
      </c>
      <c r="BD29" s="975" t="s">
        <v>1403</v>
      </c>
      <c r="BE29" s="975" t="s">
        <v>1404</v>
      </c>
      <c r="BF29" s="975" t="s">
        <v>1405</v>
      </c>
      <c r="BG29" s="975" t="s">
        <v>1406</v>
      </c>
      <c r="BH29" s="975" t="s">
        <v>1407</v>
      </c>
      <c r="BI29" s="975" t="s">
        <v>1408</v>
      </c>
      <c r="BJ29" s="975"/>
      <c r="BK29" s="975"/>
      <c r="BL29" s="975"/>
      <c r="BM29" s="975"/>
      <c r="BN29" s="975"/>
      <c r="BO29" s="975"/>
      <c r="BP29" s="975"/>
      <c r="BQ29" s="975"/>
      <c r="BR29" s="975"/>
      <c r="BS29" s="975"/>
      <c r="BT29" s="975"/>
      <c r="BU29" s="975"/>
      <c r="BV29" s="975"/>
      <c r="BW29" s="975"/>
      <c r="BX29" s="975"/>
      <c r="BY29" s="975"/>
      <c r="BZ29" s="975"/>
      <c r="CA29" s="975"/>
      <c r="CB29" s="975"/>
      <c r="CC29" s="975"/>
      <c r="CD29" s="975"/>
      <c r="CE29" s="975"/>
      <c r="CF29" s="975"/>
      <c r="CG29" s="975"/>
      <c r="CH29" s="975"/>
      <c r="CI29" s="975"/>
      <c r="CJ29" s="975"/>
      <c r="CK29" s="975"/>
      <c r="CL29" s="975"/>
      <c r="CM29" s="975"/>
      <c r="CN29" s="975"/>
      <c r="CO29" s="975"/>
      <c r="CP29" s="975"/>
      <c r="CQ29" s="975"/>
      <c r="CR29" s="975"/>
      <c r="CS29" s="975"/>
      <c r="CT29" s="975"/>
      <c r="CU29" s="975"/>
      <c r="CV29" s="975"/>
      <c r="CW29" s="975"/>
      <c r="CX29" s="975"/>
      <c r="CY29" s="975"/>
      <c r="CZ29" s="975"/>
      <c r="DA29" s="975"/>
      <c r="DB29" s="975"/>
      <c r="DC29" s="975"/>
      <c r="DD29" s="975"/>
      <c r="DE29" s="975"/>
      <c r="DF29" s="975"/>
      <c r="DG29" s="975"/>
      <c r="DH29" s="975"/>
      <c r="DI29" s="975"/>
      <c r="DJ29" s="975"/>
      <c r="DK29" s="975"/>
      <c r="DL29" s="975"/>
      <c r="DM29" s="975"/>
      <c r="DN29" s="975"/>
      <c r="DO29" s="975"/>
      <c r="DP29" s="975"/>
      <c r="DQ29" s="975"/>
      <c r="DR29" s="975"/>
      <c r="DS29" s="975"/>
      <c r="DT29" s="975"/>
      <c r="DU29" s="975"/>
      <c r="DV29" s="975"/>
      <c r="DW29" s="975"/>
      <c r="DX29" s="975"/>
      <c r="DY29" s="975"/>
      <c r="DZ29" s="975"/>
      <c r="EA29" s="975"/>
      <c r="EB29" s="975"/>
      <c r="EC29" s="975"/>
      <c r="ED29" s="975"/>
      <c r="EE29" s="975"/>
      <c r="EF29" s="975"/>
      <c r="EG29" s="975"/>
      <c r="EH29" s="975"/>
      <c r="EI29" s="975"/>
    </row>
    <row r="30" spans="1:510" s="976" customFormat="1" ht="16.5" hidden="1" thickTop="1" thickBot="1">
      <c r="A30" s="755" t="s">
        <v>97</v>
      </c>
      <c r="B30" s="975">
        <f t="shared" ref="B30:AG30" si="33">AVERAGEIFS($B25:$YJ25,$B$14:$YJ$14,RIGHT(LEFT(B$15,2),1),$B$13:$YJ$13,RIGHT(B$15,4))</f>
        <v>2690.8333333333335</v>
      </c>
      <c r="C30" s="975">
        <f t="shared" si="33"/>
        <v>3662.1666666666665</v>
      </c>
      <c r="D30" s="975">
        <f t="shared" si="33"/>
        <v>2043.1666666666667</v>
      </c>
      <c r="E30" s="975">
        <f t="shared" si="33"/>
        <v>2249.6666666666665</v>
      </c>
      <c r="F30" s="975">
        <f t="shared" si="33"/>
        <v>3621.6666666666665</v>
      </c>
      <c r="G30" s="975">
        <f t="shared" si="33"/>
        <v>2555.6666666666665</v>
      </c>
      <c r="H30" s="975">
        <f t="shared" si="33"/>
        <v>2215.1666666666665</v>
      </c>
      <c r="I30" s="975">
        <f t="shared" si="33"/>
        <v>2059.6666666666665</v>
      </c>
      <c r="J30" s="975">
        <f t="shared" si="33"/>
        <v>1766.1666666666667</v>
      </c>
      <c r="K30" s="975">
        <f t="shared" si="33"/>
        <v>2311.8333333333335</v>
      </c>
      <c r="L30" s="975">
        <f t="shared" si="33"/>
        <v>1804.5</v>
      </c>
      <c r="M30" s="975">
        <f t="shared" si="33"/>
        <v>1669.1666666666667</v>
      </c>
      <c r="N30" s="975">
        <f t="shared" si="33"/>
        <v>1091.3333333333333</v>
      </c>
      <c r="O30" s="975">
        <f t="shared" si="33"/>
        <v>1109.8333333333333</v>
      </c>
      <c r="P30" s="975">
        <f t="shared" si="33"/>
        <v>1295.6666666666667</v>
      </c>
      <c r="Q30" s="975">
        <f t="shared" si="33"/>
        <v>1244.5</v>
      </c>
      <c r="R30" s="975">
        <f t="shared" si="33"/>
        <v>1244.6666666666667</v>
      </c>
      <c r="S30" s="975">
        <f t="shared" si="33"/>
        <v>1341</v>
      </c>
      <c r="T30" s="975">
        <f t="shared" si="33"/>
        <v>1451.6666666666667</v>
      </c>
      <c r="U30" s="975">
        <f t="shared" si="33"/>
        <v>1406.6666666666667</v>
      </c>
      <c r="V30" s="975">
        <f>AVERAGEIFS($B25:$YJ25,$B$14:$YJ$14,RIGHT(LEFT(V$15,2),1),$B$13:$YJ$13,RIGHT(V$15,4))</f>
        <v>1147.1666666666667</v>
      </c>
      <c r="W30" s="975">
        <f>AVERAGEIFS($B25:$YJ25,$B$14:$YJ$14,RIGHT(LEFT(W$15,2),1),$B$13:$YJ$13,RIGHT(W$15,4))</f>
        <v>1101.3333333333333</v>
      </c>
      <c r="X30" s="975">
        <f>AVERAGEIFS($B25:$YJ25,$B$14:$YJ$14,RIGHT(LEFT(X$15,2),1),$B$13:$YJ$13,RIGHT(X$15,4))</f>
        <v>1044.8991020179596</v>
      </c>
      <c r="Y30" s="975" t="e">
        <f t="shared" si="33"/>
        <v>#DIV/0!</v>
      </c>
      <c r="Z30" s="975" t="e">
        <f t="shared" si="33"/>
        <v>#DIV/0!</v>
      </c>
      <c r="AA30" s="975" t="e">
        <f t="shared" si="33"/>
        <v>#DIV/0!</v>
      </c>
      <c r="AB30" s="975" t="e">
        <f t="shared" si="33"/>
        <v>#DIV/0!</v>
      </c>
      <c r="AC30" s="975" t="e">
        <f t="shared" si="33"/>
        <v>#DIV/0!</v>
      </c>
      <c r="AD30" s="975" t="e">
        <f t="shared" si="33"/>
        <v>#DIV/0!</v>
      </c>
      <c r="AE30" s="975" t="e">
        <f t="shared" si="33"/>
        <v>#DIV/0!</v>
      </c>
      <c r="AF30" s="975" t="e">
        <f t="shared" si="33"/>
        <v>#DIV/0!</v>
      </c>
      <c r="AG30" s="975" t="e">
        <f t="shared" si="33"/>
        <v>#DIV/0!</v>
      </c>
      <c r="AH30" s="975" t="e">
        <f t="shared" ref="AH30:BM30" si="34">AVERAGEIFS($B25:$YJ25,$B$14:$YJ$14,RIGHT(LEFT(AH$15,2),1),$B$13:$YJ$13,RIGHT(AH$15,4))</f>
        <v>#DIV/0!</v>
      </c>
      <c r="AI30" s="975" t="e">
        <f t="shared" si="34"/>
        <v>#DIV/0!</v>
      </c>
      <c r="AJ30" s="975" t="e">
        <f t="shared" si="34"/>
        <v>#DIV/0!</v>
      </c>
      <c r="AK30" s="975" t="e">
        <f t="shared" si="34"/>
        <v>#DIV/0!</v>
      </c>
      <c r="AL30" s="975" t="e">
        <f t="shared" si="34"/>
        <v>#DIV/0!</v>
      </c>
      <c r="AM30" s="975" t="e">
        <f t="shared" si="34"/>
        <v>#DIV/0!</v>
      </c>
      <c r="AN30" s="975" t="e">
        <f t="shared" si="34"/>
        <v>#DIV/0!</v>
      </c>
      <c r="AO30" s="975" t="e">
        <f t="shared" si="34"/>
        <v>#DIV/0!</v>
      </c>
      <c r="AP30" s="975" t="e">
        <f t="shared" si="34"/>
        <v>#DIV/0!</v>
      </c>
      <c r="AQ30" s="975" t="e">
        <f t="shared" si="34"/>
        <v>#DIV/0!</v>
      </c>
      <c r="AR30" s="975" t="e">
        <f t="shared" si="34"/>
        <v>#DIV/0!</v>
      </c>
      <c r="AS30" s="975" t="e">
        <f t="shared" si="34"/>
        <v>#DIV/0!</v>
      </c>
      <c r="AT30" s="975" t="e">
        <f t="shared" si="34"/>
        <v>#DIV/0!</v>
      </c>
      <c r="AU30" s="975" t="e">
        <f t="shared" si="34"/>
        <v>#DIV/0!</v>
      </c>
      <c r="AV30" s="975" t="e">
        <f t="shared" si="34"/>
        <v>#DIV/0!</v>
      </c>
      <c r="AW30" s="975" t="e">
        <f t="shared" si="34"/>
        <v>#DIV/0!</v>
      </c>
      <c r="AX30" s="975" t="e">
        <f t="shared" si="34"/>
        <v>#DIV/0!</v>
      </c>
      <c r="AY30" s="975" t="e">
        <f t="shared" si="34"/>
        <v>#DIV/0!</v>
      </c>
      <c r="AZ30" s="975" t="e">
        <f t="shared" si="34"/>
        <v>#DIV/0!</v>
      </c>
      <c r="BA30" s="975" t="e">
        <f t="shared" si="34"/>
        <v>#DIV/0!</v>
      </c>
      <c r="BB30" s="975" t="e">
        <f t="shared" si="34"/>
        <v>#DIV/0!</v>
      </c>
      <c r="BC30" s="975" t="e">
        <f t="shared" si="34"/>
        <v>#DIV/0!</v>
      </c>
      <c r="BD30" s="975" t="e">
        <f t="shared" si="34"/>
        <v>#DIV/0!</v>
      </c>
      <c r="BE30" s="975" t="e">
        <f t="shared" si="34"/>
        <v>#DIV/0!</v>
      </c>
      <c r="BF30" s="975" t="e">
        <f t="shared" si="34"/>
        <v>#DIV/0!</v>
      </c>
      <c r="BG30" s="975" t="e">
        <f t="shared" si="34"/>
        <v>#DIV/0!</v>
      </c>
      <c r="BH30" s="975" t="e">
        <f t="shared" si="34"/>
        <v>#DIV/0!</v>
      </c>
      <c r="BI30" s="975" t="e">
        <f t="shared" si="34"/>
        <v>#DIV/0!</v>
      </c>
      <c r="BJ30" s="975" t="e">
        <f t="shared" si="34"/>
        <v>#DIV/0!</v>
      </c>
      <c r="BK30" s="975" t="e">
        <f t="shared" si="34"/>
        <v>#DIV/0!</v>
      </c>
      <c r="BL30" s="975" t="e">
        <f t="shared" si="34"/>
        <v>#DIV/0!</v>
      </c>
      <c r="BM30" s="975" t="e">
        <f t="shared" si="34"/>
        <v>#DIV/0!</v>
      </c>
      <c r="BN30" s="975" t="e">
        <f t="shared" ref="BN30:CS30" si="35">AVERAGEIFS($B25:$YJ25,$B$14:$YJ$14,RIGHT(LEFT(BN$15,2),1),$B$13:$YJ$13,RIGHT(BN$15,4))</f>
        <v>#DIV/0!</v>
      </c>
      <c r="BO30" s="975" t="e">
        <f t="shared" si="35"/>
        <v>#DIV/0!</v>
      </c>
      <c r="BP30" s="975" t="e">
        <f t="shared" si="35"/>
        <v>#DIV/0!</v>
      </c>
      <c r="BQ30" s="975" t="e">
        <f t="shared" si="35"/>
        <v>#DIV/0!</v>
      </c>
      <c r="BR30" s="975" t="e">
        <f t="shared" si="35"/>
        <v>#DIV/0!</v>
      </c>
      <c r="BS30" s="975" t="e">
        <f t="shared" si="35"/>
        <v>#DIV/0!</v>
      </c>
      <c r="BT30" s="975" t="e">
        <f t="shared" si="35"/>
        <v>#DIV/0!</v>
      </c>
      <c r="BU30" s="975" t="e">
        <f t="shared" si="35"/>
        <v>#DIV/0!</v>
      </c>
      <c r="BV30" s="975" t="e">
        <f t="shared" si="35"/>
        <v>#DIV/0!</v>
      </c>
      <c r="BW30" s="975" t="e">
        <f t="shared" si="35"/>
        <v>#DIV/0!</v>
      </c>
      <c r="BX30" s="975" t="e">
        <f t="shared" si="35"/>
        <v>#DIV/0!</v>
      </c>
      <c r="BY30" s="975" t="e">
        <f t="shared" si="35"/>
        <v>#DIV/0!</v>
      </c>
      <c r="BZ30" s="975" t="e">
        <f t="shared" si="35"/>
        <v>#DIV/0!</v>
      </c>
      <c r="CA30" s="975" t="e">
        <f t="shared" si="35"/>
        <v>#DIV/0!</v>
      </c>
      <c r="CB30" s="975" t="e">
        <f t="shared" si="35"/>
        <v>#DIV/0!</v>
      </c>
      <c r="CC30" s="975" t="e">
        <f t="shared" si="35"/>
        <v>#DIV/0!</v>
      </c>
      <c r="CD30" s="975" t="e">
        <f t="shared" si="35"/>
        <v>#DIV/0!</v>
      </c>
      <c r="CE30" s="975" t="e">
        <f t="shared" si="35"/>
        <v>#DIV/0!</v>
      </c>
      <c r="CF30" s="975" t="e">
        <f t="shared" si="35"/>
        <v>#DIV/0!</v>
      </c>
      <c r="CG30" s="975" t="e">
        <f t="shared" si="35"/>
        <v>#DIV/0!</v>
      </c>
      <c r="CH30" s="975" t="e">
        <f t="shared" si="35"/>
        <v>#DIV/0!</v>
      </c>
      <c r="CI30" s="975" t="e">
        <f t="shared" si="35"/>
        <v>#DIV/0!</v>
      </c>
      <c r="CJ30" s="975" t="e">
        <f t="shared" si="35"/>
        <v>#DIV/0!</v>
      </c>
      <c r="CK30" s="975" t="e">
        <f t="shared" si="35"/>
        <v>#DIV/0!</v>
      </c>
      <c r="CL30" s="975" t="e">
        <f t="shared" si="35"/>
        <v>#DIV/0!</v>
      </c>
      <c r="CM30" s="975" t="e">
        <f t="shared" si="35"/>
        <v>#DIV/0!</v>
      </c>
      <c r="CN30" s="975" t="e">
        <f t="shared" si="35"/>
        <v>#DIV/0!</v>
      </c>
      <c r="CO30" s="975" t="e">
        <f t="shared" si="35"/>
        <v>#DIV/0!</v>
      </c>
      <c r="CP30" s="975" t="e">
        <f t="shared" si="35"/>
        <v>#DIV/0!</v>
      </c>
      <c r="CQ30" s="975" t="e">
        <f t="shared" si="35"/>
        <v>#DIV/0!</v>
      </c>
      <c r="CR30" s="975" t="e">
        <f t="shared" si="35"/>
        <v>#DIV/0!</v>
      </c>
      <c r="CS30" s="975" t="e">
        <f t="shared" si="35"/>
        <v>#DIV/0!</v>
      </c>
      <c r="CT30" s="975" t="e">
        <f t="shared" ref="CT30:DV30" si="36">AVERAGEIFS($B25:$YJ25,$B$14:$YJ$14,RIGHT(LEFT(CT$15,2),1),$B$13:$YJ$13,RIGHT(CT$15,4))</f>
        <v>#DIV/0!</v>
      </c>
      <c r="CU30" s="975" t="e">
        <f t="shared" si="36"/>
        <v>#DIV/0!</v>
      </c>
      <c r="CV30" s="975" t="e">
        <f t="shared" si="36"/>
        <v>#DIV/0!</v>
      </c>
      <c r="CW30" s="975" t="e">
        <f t="shared" si="36"/>
        <v>#DIV/0!</v>
      </c>
      <c r="CX30" s="975" t="e">
        <f t="shared" si="36"/>
        <v>#DIV/0!</v>
      </c>
      <c r="CY30" s="975" t="e">
        <f t="shared" si="36"/>
        <v>#DIV/0!</v>
      </c>
      <c r="CZ30" s="975" t="e">
        <f t="shared" si="36"/>
        <v>#DIV/0!</v>
      </c>
      <c r="DA30" s="975" t="e">
        <f t="shared" si="36"/>
        <v>#DIV/0!</v>
      </c>
      <c r="DB30" s="975" t="e">
        <f t="shared" si="36"/>
        <v>#DIV/0!</v>
      </c>
      <c r="DC30" s="975" t="e">
        <f t="shared" si="36"/>
        <v>#DIV/0!</v>
      </c>
      <c r="DD30" s="975" t="e">
        <f t="shared" si="36"/>
        <v>#DIV/0!</v>
      </c>
      <c r="DE30" s="975" t="e">
        <f t="shared" si="36"/>
        <v>#DIV/0!</v>
      </c>
      <c r="DF30" s="975" t="e">
        <f t="shared" si="36"/>
        <v>#DIV/0!</v>
      </c>
      <c r="DG30" s="975" t="e">
        <f t="shared" si="36"/>
        <v>#DIV/0!</v>
      </c>
      <c r="DH30" s="975" t="e">
        <f t="shared" si="36"/>
        <v>#DIV/0!</v>
      </c>
      <c r="DI30" s="975" t="e">
        <f t="shared" si="36"/>
        <v>#DIV/0!</v>
      </c>
      <c r="DJ30" s="975" t="e">
        <f t="shared" si="36"/>
        <v>#DIV/0!</v>
      </c>
      <c r="DK30" s="975" t="e">
        <f t="shared" si="36"/>
        <v>#DIV/0!</v>
      </c>
      <c r="DL30" s="975" t="e">
        <f t="shared" si="36"/>
        <v>#DIV/0!</v>
      </c>
      <c r="DM30" s="975" t="e">
        <f t="shared" si="36"/>
        <v>#DIV/0!</v>
      </c>
      <c r="DN30" s="975" t="e">
        <f t="shared" si="36"/>
        <v>#DIV/0!</v>
      </c>
      <c r="DO30" s="975" t="e">
        <f t="shared" si="36"/>
        <v>#DIV/0!</v>
      </c>
      <c r="DP30" s="975" t="e">
        <f t="shared" si="36"/>
        <v>#DIV/0!</v>
      </c>
      <c r="DQ30" s="975" t="e">
        <f t="shared" si="36"/>
        <v>#DIV/0!</v>
      </c>
      <c r="DR30" s="975" t="e">
        <f t="shared" si="36"/>
        <v>#DIV/0!</v>
      </c>
      <c r="DS30" s="975" t="e">
        <f t="shared" si="36"/>
        <v>#DIV/0!</v>
      </c>
      <c r="DT30" s="975" t="e">
        <f t="shared" si="36"/>
        <v>#DIV/0!</v>
      </c>
      <c r="DU30" s="975" t="e">
        <f t="shared" si="36"/>
        <v>#DIV/0!</v>
      </c>
      <c r="DV30" s="975" t="e">
        <f t="shared" si="36"/>
        <v>#DIV/0!</v>
      </c>
      <c r="DW30" s="975" t="e">
        <f>AVERAGEIFS($B25:$YJ25,$B$14:$YJ$14,RIGHT(LEFT(DW$15,2),1),$B$13:$YJ$13,RIGHT(DW$15,4))</f>
        <v>#DIV/0!</v>
      </c>
      <c r="DX30" s="975"/>
      <c r="DY30" s="975"/>
      <c r="DZ30" s="975"/>
      <c r="EA30" s="975"/>
      <c r="EB30" s="975"/>
      <c r="EC30" s="975"/>
      <c r="ED30" s="975"/>
      <c r="EE30" s="975"/>
      <c r="EF30" s="975"/>
      <c r="EG30" s="975"/>
      <c r="EH30" s="975"/>
      <c r="EI30" s="975"/>
    </row>
    <row r="31" spans="1:510" s="168" customFormat="1" hidden="1">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row>
    <row r="32" spans="1:510" s="949" customFormat="1">
      <c r="A32" s="948"/>
      <c r="B32" s="948"/>
      <c r="C32" s="948"/>
      <c r="D32" s="948"/>
      <c r="E32" s="948"/>
      <c r="F32" s="948"/>
      <c r="G32" s="948"/>
      <c r="H32" s="948"/>
      <c r="I32" s="948"/>
      <c r="J32" s="948"/>
      <c r="K32" s="948"/>
      <c r="L32" s="948"/>
      <c r="M32" s="948"/>
      <c r="N32" s="948"/>
      <c r="O32" s="948"/>
      <c r="P32" s="948"/>
      <c r="Q32" s="948"/>
      <c r="R32" s="948"/>
      <c r="S32" s="948"/>
      <c r="T32" s="948"/>
      <c r="U32" s="948"/>
      <c r="V32" s="948"/>
      <c r="W32" s="948"/>
      <c r="X32" s="948"/>
      <c r="Y32" s="948"/>
      <c r="Z32" s="948"/>
      <c r="AA32" s="948"/>
      <c r="AB32" s="948"/>
      <c r="AC32" s="948"/>
      <c r="AD32" s="948"/>
      <c r="AE32" s="948"/>
      <c r="AF32" s="948"/>
      <c r="AG32" s="948"/>
      <c r="AH32" s="948"/>
      <c r="AI32" s="948"/>
      <c r="AJ32" s="948"/>
      <c r="AK32" s="948"/>
      <c r="AL32" s="948"/>
      <c r="AM32" s="948"/>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c r="BP32" s="948"/>
      <c r="BQ32" s="948"/>
      <c r="BR32" s="948"/>
      <c r="BS32" s="948"/>
      <c r="BT32" s="948"/>
      <c r="BU32" s="948"/>
      <c r="BV32" s="948"/>
      <c r="BW32" s="948"/>
      <c r="BX32" s="948"/>
      <c r="BY32" s="948"/>
      <c r="BZ32" s="948"/>
      <c r="CA32" s="948"/>
      <c r="CB32" s="948"/>
      <c r="CC32" s="948"/>
      <c r="CD32" s="948"/>
      <c r="CE32" s="948"/>
      <c r="CF32" s="948"/>
      <c r="CG32" s="948"/>
      <c r="CH32" s="948"/>
      <c r="CI32" s="948"/>
      <c r="CJ32" s="948"/>
      <c r="CK32" s="948"/>
      <c r="CL32" s="948"/>
      <c r="CM32" s="948"/>
      <c r="CN32" s="948"/>
      <c r="CO32" s="948"/>
      <c r="CP32" s="948"/>
      <c r="CQ32" s="948"/>
      <c r="CR32" s="948"/>
      <c r="CS32" s="948"/>
      <c r="CT32" s="948"/>
      <c r="CU32" s="948"/>
      <c r="CV32" s="948"/>
      <c r="CW32" s="948"/>
      <c r="CX32" s="948"/>
      <c r="CY32" s="948"/>
      <c r="CZ32" s="948"/>
      <c r="DA32" s="948"/>
      <c r="DB32" s="948"/>
      <c r="DC32" s="948"/>
      <c r="DD32" s="948"/>
      <c r="DE32" s="948"/>
      <c r="DF32" s="948"/>
      <c r="DG32" s="948"/>
      <c r="DH32" s="948"/>
      <c r="DI32" s="948"/>
      <c r="DJ32" s="948"/>
      <c r="DK32" s="948"/>
      <c r="DL32" s="948"/>
      <c r="DM32" s="948"/>
      <c r="DN32" s="948"/>
      <c r="DO32" s="948"/>
      <c r="DP32" s="948"/>
      <c r="DQ32" s="948"/>
      <c r="DR32" s="948"/>
      <c r="DS32" s="948"/>
      <c r="DT32" s="948"/>
      <c r="DU32" s="948"/>
      <c r="DV32" s="948"/>
      <c r="DW32" s="948"/>
      <c r="DX32" s="948"/>
      <c r="DY32" s="948"/>
      <c r="DZ32" s="948"/>
      <c r="EA32" s="948"/>
      <c r="EB32" s="948"/>
      <c r="EC32" s="948"/>
      <c r="ED32" s="948"/>
      <c r="EE32" s="948"/>
      <c r="EF32" s="948"/>
      <c r="EG32" s="948"/>
      <c r="EH32" s="948"/>
      <c r="EI32" s="948"/>
    </row>
    <row r="33" spans="1:144" s="949" customFormat="1">
      <c r="A33" s="952"/>
    </row>
    <row r="34" spans="1:144" s="949" customFormat="1">
      <c r="A34" s="308"/>
    </row>
    <row r="35" spans="1:144" s="949" customFormat="1">
      <c r="A35" s="340"/>
    </row>
    <row r="36" spans="1:144" s="949" customFormat="1"/>
    <row r="37" spans="1:144" s="270" customFormat="1">
      <c r="DV37" s="298"/>
      <c r="DX37" s="683"/>
      <c r="DY37" s="683"/>
      <c r="DZ37" s="683"/>
      <c r="EA37" s="683"/>
      <c r="EB37" s="683"/>
      <c r="EC37" s="683"/>
      <c r="ED37" s="683"/>
      <c r="EE37" s="683"/>
      <c r="EF37" s="683"/>
      <c r="EG37" s="683"/>
      <c r="EH37" s="683"/>
      <c r="EI37" s="683"/>
    </row>
    <row r="38" spans="1:144" s="270" customFormat="1">
      <c r="DV38" s="298"/>
      <c r="DX38" s="683"/>
      <c r="DY38" s="683"/>
      <c r="DZ38" s="683"/>
      <c r="EA38" s="683"/>
      <c r="EB38" s="683"/>
      <c r="EC38" s="683"/>
      <c r="ED38" s="683"/>
      <c r="EE38" s="683"/>
      <c r="EF38" s="683"/>
      <c r="EG38" s="683"/>
      <c r="EH38" s="683"/>
      <c r="EI38" s="683"/>
    </row>
    <row r="39" spans="1:144" s="270" customFormat="1">
      <c r="DV39" s="298"/>
      <c r="DX39" s="683"/>
      <c r="DY39" s="683"/>
      <c r="DZ39" s="683"/>
      <c r="EA39" s="683"/>
      <c r="EB39" s="683"/>
      <c r="EC39" s="683"/>
      <c r="ED39" s="683"/>
      <c r="EE39" s="683"/>
      <c r="EF39" s="683"/>
      <c r="EG39" s="683"/>
      <c r="EH39" s="683"/>
      <c r="EI39" s="683"/>
    </row>
    <row r="40" spans="1:144" s="270" customFormat="1">
      <c r="DV40" s="298"/>
      <c r="DX40" s="683"/>
      <c r="DY40" s="683"/>
      <c r="DZ40" s="683"/>
      <c r="EA40" s="683"/>
      <c r="EB40" s="683"/>
      <c r="EC40" s="683"/>
      <c r="ED40" s="683"/>
      <c r="EE40" s="683"/>
      <c r="EF40" s="683"/>
      <c r="EG40" s="683"/>
      <c r="EH40" s="683"/>
      <c r="EI40" s="683"/>
    </row>
    <row r="41" spans="1:144" s="270" customFormat="1">
      <c r="DV41" s="298"/>
      <c r="DX41" s="683"/>
      <c r="DY41" s="683"/>
      <c r="DZ41" s="683"/>
      <c r="EA41" s="683"/>
      <c r="EB41" s="683"/>
      <c r="EC41" s="683"/>
      <c r="ED41" s="683"/>
      <c r="EE41" s="683"/>
      <c r="EF41" s="683"/>
      <c r="EG41" s="683"/>
      <c r="EH41" s="683"/>
      <c r="EI41" s="683"/>
    </row>
    <row r="42" spans="1:144" s="270" customFormat="1">
      <c r="DV42" s="298"/>
      <c r="DX42" s="683"/>
      <c r="DY42" s="683"/>
      <c r="DZ42" s="683"/>
      <c r="EA42" s="683"/>
      <c r="EB42" s="683"/>
      <c r="EC42" s="683"/>
      <c r="ED42" s="683"/>
      <c r="EE42" s="683"/>
      <c r="EF42" s="683"/>
      <c r="EG42" s="683"/>
      <c r="EH42" s="683"/>
      <c r="EI42" s="683"/>
    </row>
    <row r="43" spans="1:144">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row>
    <row r="44" spans="1:144">
      <c r="A44" s="300"/>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row>
    <row r="45" spans="1:144" s="270" customFormat="1">
      <c r="A45" s="301"/>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c r="BF45" s="302"/>
      <c r="BG45" s="302"/>
      <c r="BH45" s="302"/>
      <c r="BI45" s="302"/>
      <c r="BJ45" s="302"/>
      <c r="BK45" s="302"/>
      <c r="BL45" s="302"/>
      <c r="BM45" s="302"/>
      <c r="BN45" s="302"/>
      <c r="BO45" s="302"/>
      <c r="BP45" s="302"/>
      <c r="BQ45" s="302"/>
      <c r="BR45" s="302"/>
      <c r="BS45" s="302"/>
      <c r="BT45" s="302"/>
      <c r="BU45" s="302"/>
      <c r="BV45" s="302"/>
      <c r="BW45" s="302"/>
      <c r="BX45" s="302"/>
      <c r="BY45" s="302"/>
      <c r="BZ45" s="302"/>
      <c r="CA45" s="302"/>
      <c r="CB45" s="302"/>
      <c r="CC45" s="302"/>
      <c r="CD45" s="302"/>
      <c r="CE45" s="302"/>
      <c r="CF45" s="302"/>
      <c r="CG45" s="302"/>
      <c r="CH45" s="302"/>
      <c r="CI45" s="302"/>
      <c r="CJ45" s="302"/>
      <c r="CK45" s="302"/>
      <c r="CL45" s="302"/>
      <c r="CM45" s="302"/>
      <c r="CN45" s="302"/>
      <c r="CO45" s="302"/>
      <c r="CP45" s="302"/>
      <c r="CQ45" s="302"/>
      <c r="CR45" s="302"/>
      <c r="CS45" s="302"/>
      <c r="CT45" s="302"/>
      <c r="CU45" s="302"/>
      <c r="CV45" s="302"/>
      <c r="CW45" s="302"/>
      <c r="CX45" s="302"/>
      <c r="CY45" s="302"/>
      <c r="CZ45" s="302"/>
      <c r="DA45" s="302"/>
      <c r="DB45" s="302"/>
      <c r="DC45" s="302"/>
      <c r="DD45" s="302"/>
      <c r="DE45" s="302"/>
      <c r="DF45" s="302"/>
      <c r="DG45" s="302"/>
      <c r="DH45" s="302"/>
      <c r="DI45" s="302"/>
      <c r="DJ45" s="302"/>
      <c r="DK45" s="302"/>
      <c r="DL45" s="302"/>
      <c r="DM45" s="302"/>
      <c r="DN45" s="302"/>
      <c r="DO45" s="302"/>
      <c r="DP45" s="302"/>
      <c r="DQ45" s="302"/>
      <c r="DR45" s="302"/>
      <c r="DS45" s="302"/>
      <c r="DT45" s="302"/>
      <c r="DU45" s="302"/>
      <c r="DV45" s="302"/>
      <c r="DW45" s="302"/>
      <c r="DX45" s="302"/>
      <c r="DY45" s="302"/>
      <c r="DZ45" s="302"/>
      <c r="EA45" s="302"/>
      <c r="EB45" s="302"/>
      <c r="EC45" s="302"/>
      <c r="ED45" s="302"/>
      <c r="EE45" s="302"/>
      <c r="EF45" s="302"/>
      <c r="EG45" s="302"/>
      <c r="EH45" s="302"/>
      <c r="EI45" s="302"/>
      <c r="EJ45" s="182"/>
      <c r="EK45" s="182"/>
      <c r="EL45" s="182"/>
      <c r="EM45" s="182"/>
      <c r="EN45" s="182"/>
    </row>
    <row r="46" spans="1:144" s="270" customFormat="1">
      <c r="A46" s="303"/>
      <c r="B46" s="299"/>
      <c r="C46" s="299"/>
      <c r="D46" s="299"/>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c r="CU46" s="299"/>
      <c r="CV46" s="299"/>
      <c r="CW46" s="299"/>
      <c r="CX46" s="299"/>
      <c r="CY46" s="299"/>
      <c r="CZ46" s="299"/>
      <c r="DA46" s="299"/>
      <c r="DB46" s="299"/>
      <c r="DC46" s="299"/>
      <c r="DD46" s="299"/>
      <c r="DE46" s="299"/>
      <c r="DF46" s="299"/>
      <c r="DG46" s="299"/>
      <c r="DH46" s="299"/>
      <c r="DI46" s="299"/>
      <c r="DJ46" s="299"/>
      <c r="DK46" s="299"/>
      <c r="DL46" s="299"/>
      <c r="DM46" s="299"/>
      <c r="DN46" s="299"/>
      <c r="DO46" s="299"/>
      <c r="DP46" s="299"/>
      <c r="DQ46" s="299"/>
      <c r="DR46" s="299"/>
      <c r="DS46" s="299"/>
      <c r="DT46" s="299"/>
      <c r="DU46" s="299"/>
      <c r="DV46" s="299"/>
      <c r="DW46" s="299"/>
      <c r="DX46" s="299"/>
      <c r="DY46" s="299"/>
      <c r="DZ46" s="299"/>
      <c r="EA46" s="299"/>
      <c r="EB46" s="299"/>
      <c r="EC46" s="299"/>
      <c r="ED46" s="299"/>
      <c r="EE46" s="299"/>
      <c r="EF46" s="299"/>
      <c r="EG46" s="299"/>
      <c r="EH46" s="299"/>
      <c r="EI46" s="299"/>
      <c r="EJ46" s="182"/>
      <c r="EK46" s="182"/>
      <c r="EL46" s="182"/>
      <c r="EM46" s="182"/>
      <c r="EN46" s="182"/>
    </row>
    <row r="47" spans="1:144">
      <c r="A47" s="303"/>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c r="CQ47" s="299"/>
      <c r="CR47" s="299"/>
      <c r="CS47" s="299"/>
      <c r="CT47" s="299"/>
      <c r="CU47" s="299"/>
      <c r="CV47" s="299"/>
      <c r="CW47" s="299"/>
      <c r="CX47" s="299"/>
      <c r="CY47" s="299"/>
      <c r="CZ47" s="299"/>
      <c r="DA47" s="299"/>
      <c r="DB47" s="299"/>
      <c r="DC47" s="299"/>
      <c r="DD47" s="299"/>
      <c r="DE47" s="299"/>
      <c r="DF47" s="299"/>
      <c r="DG47" s="299"/>
      <c r="DH47" s="299"/>
      <c r="DI47" s="299"/>
      <c r="DJ47" s="299"/>
      <c r="DK47" s="299"/>
      <c r="DL47" s="299"/>
      <c r="DM47" s="299"/>
      <c r="DN47" s="299"/>
      <c r="DO47" s="299"/>
      <c r="DP47" s="299"/>
      <c r="DQ47" s="299"/>
      <c r="DR47" s="299"/>
      <c r="DS47" s="299"/>
      <c r="DT47" s="299"/>
      <c r="DU47" s="299"/>
      <c r="DV47" s="299"/>
      <c r="DW47" s="299"/>
      <c r="DX47" s="299"/>
      <c r="DY47" s="299"/>
      <c r="DZ47" s="299"/>
      <c r="EA47" s="299"/>
      <c r="EB47" s="299"/>
      <c r="EC47" s="299"/>
      <c r="ED47" s="299"/>
      <c r="EE47" s="299"/>
      <c r="EF47" s="299"/>
      <c r="EG47" s="299"/>
      <c r="EH47" s="299"/>
      <c r="EI47" s="299"/>
      <c r="EJ47" s="182"/>
      <c r="EK47" s="182"/>
      <c r="EL47" s="182"/>
      <c r="EM47" s="182"/>
      <c r="EN47" s="182"/>
    </row>
    <row r="48" spans="1:144">
      <c r="A48" s="303"/>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c r="CF48" s="299"/>
      <c r="CG48" s="299"/>
      <c r="CH48" s="299"/>
      <c r="CI48" s="299"/>
      <c r="CJ48" s="299"/>
      <c r="CK48" s="299"/>
      <c r="CL48" s="299"/>
      <c r="CM48" s="299"/>
      <c r="CN48" s="299"/>
      <c r="CO48" s="299"/>
      <c r="CP48" s="299"/>
      <c r="CQ48" s="299"/>
      <c r="CR48" s="299"/>
      <c r="CS48" s="299"/>
      <c r="CT48" s="299"/>
      <c r="CU48" s="299"/>
      <c r="CV48" s="299"/>
      <c r="CW48" s="299"/>
      <c r="CX48" s="299"/>
      <c r="CY48" s="299"/>
      <c r="CZ48" s="299"/>
      <c r="DA48" s="299"/>
      <c r="DB48" s="299"/>
      <c r="DC48" s="299"/>
      <c r="DD48" s="299"/>
      <c r="DE48" s="299"/>
      <c r="DF48" s="299"/>
      <c r="DG48" s="299"/>
      <c r="DH48" s="299"/>
      <c r="DI48" s="299"/>
      <c r="DJ48" s="299"/>
      <c r="DK48" s="299"/>
      <c r="DL48" s="299"/>
      <c r="DM48" s="299"/>
      <c r="DN48" s="299"/>
      <c r="DO48" s="299"/>
      <c r="DP48" s="299"/>
      <c r="DQ48" s="299"/>
      <c r="DR48" s="299"/>
      <c r="DS48" s="299"/>
      <c r="DT48" s="299"/>
      <c r="DU48" s="299"/>
      <c r="DV48" s="299"/>
      <c r="DW48" s="299"/>
      <c r="DX48" s="299"/>
      <c r="DY48" s="299"/>
      <c r="DZ48" s="299"/>
      <c r="EA48" s="299"/>
      <c r="EB48" s="299"/>
      <c r="EC48" s="299"/>
      <c r="ED48" s="299"/>
      <c r="EE48" s="299"/>
      <c r="EF48" s="299"/>
      <c r="EG48" s="299"/>
      <c r="EH48" s="299"/>
      <c r="EI48" s="299"/>
      <c r="EJ48" s="182"/>
      <c r="EK48" s="182"/>
      <c r="EL48" s="182"/>
      <c r="EM48" s="182"/>
      <c r="EN48" s="182"/>
    </row>
    <row r="49" spans="1:144">
      <c r="A49" s="301"/>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c r="CQ49" s="299"/>
      <c r="CR49" s="299"/>
      <c r="CS49" s="299"/>
      <c r="CT49" s="299"/>
      <c r="CU49" s="299"/>
      <c r="CV49" s="299"/>
      <c r="CW49" s="299"/>
      <c r="CX49" s="299"/>
      <c r="CY49" s="299"/>
      <c r="CZ49" s="299"/>
      <c r="DA49" s="299"/>
      <c r="DB49" s="299"/>
      <c r="DC49" s="299"/>
      <c r="DD49" s="299"/>
      <c r="DE49" s="299"/>
      <c r="DF49" s="299"/>
      <c r="DG49" s="299"/>
      <c r="DH49" s="299"/>
      <c r="DI49" s="299"/>
      <c r="DJ49" s="299"/>
      <c r="DK49" s="299"/>
      <c r="DL49" s="299"/>
      <c r="DM49" s="299"/>
      <c r="DN49" s="299"/>
      <c r="DO49" s="299"/>
      <c r="DP49" s="299"/>
      <c r="DQ49" s="299"/>
      <c r="DR49" s="299"/>
      <c r="DS49" s="299"/>
      <c r="DT49" s="299"/>
      <c r="DU49" s="299"/>
      <c r="DV49" s="299"/>
      <c r="DW49" s="299"/>
      <c r="DX49" s="299"/>
      <c r="DY49" s="299"/>
      <c r="DZ49" s="299"/>
      <c r="EA49" s="299"/>
      <c r="EB49" s="299"/>
      <c r="EC49" s="299"/>
      <c r="ED49" s="299"/>
      <c r="EE49" s="299"/>
      <c r="EF49" s="299"/>
      <c r="EG49" s="299"/>
      <c r="EH49" s="299"/>
      <c r="EI49" s="299"/>
      <c r="EJ49" s="182"/>
      <c r="EK49" s="182"/>
      <c r="EL49" s="182"/>
      <c r="EM49" s="182"/>
      <c r="EN49" s="182"/>
    </row>
    <row r="50" spans="1:144" s="270" customFormat="1">
      <c r="A50" s="79"/>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c r="CB50" s="299"/>
      <c r="CC50" s="299"/>
      <c r="CD50" s="299"/>
      <c r="CE50" s="299"/>
      <c r="CF50" s="299"/>
      <c r="CG50" s="299"/>
      <c r="CH50" s="299"/>
      <c r="CI50" s="299"/>
      <c r="CJ50" s="299"/>
      <c r="CK50" s="299"/>
      <c r="CL50" s="299"/>
      <c r="CM50" s="299"/>
      <c r="CN50" s="299"/>
      <c r="CO50" s="299"/>
      <c r="CP50" s="299"/>
      <c r="CQ50" s="299"/>
      <c r="CR50" s="299"/>
      <c r="CS50" s="299"/>
      <c r="CT50" s="299"/>
      <c r="CU50" s="299"/>
      <c r="CV50" s="299"/>
      <c r="CW50" s="299"/>
      <c r="CX50" s="299"/>
      <c r="CY50" s="299"/>
      <c r="CZ50" s="299"/>
      <c r="DA50" s="299"/>
      <c r="DB50" s="299"/>
      <c r="DC50" s="299"/>
      <c r="DD50" s="299"/>
      <c r="DE50" s="299"/>
      <c r="DF50" s="299"/>
      <c r="DG50" s="299"/>
      <c r="DH50" s="299"/>
      <c r="DI50" s="299"/>
      <c r="DJ50" s="299"/>
      <c r="DK50" s="299"/>
      <c r="DL50" s="299"/>
      <c r="DM50" s="299"/>
      <c r="DN50" s="299"/>
      <c r="DO50" s="299"/>
      <c r="DP50" s="299"/>
      <c r="DQ50" s="299"/>
      <c r="DR50" s="299"/>
      <c r="DS50" s="299"/>
      <c r="DT50" s="299"/>
      <c r="DU50" s="299"/>
      <c r="DV50" s="299"/>
      <c r="DW50" s="299"/>
      <c r="DX50" s="299"/>
      <c r="DY50" s="299"/>
      <c r="DZ50" s="299"/>
      <c r="EA50" s="299"/>
      <c r="EB50" s="299"/>
      <c r="EC50" s="299"/>
      <c r="ED50" s="299"/>
      <c r="EE50" s="299"/>
      <c r="EF50" s="299"/>
      <c r="EG50" s="299"/>
      <c r="EH50" s="299"/>
      <c r="EI50" s="299"/>
      <c r="EJ50" s="182"/>
      <c r="EK50" s="182"/>
      <c r="EL50" s="182"/>
      <c r="EM50" s="182"/>
      <c r="EN50" s="182"/>
    </row>
    <row r="51" spans="1:144" s="270" customFormat="1">
      <c r="A51" s="79"/>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c r="CB51" s="299"/>
      <c r="CC51" s="299"/>
      <c r="CD51" s="299"/>
      <c r="CE51" s="299"/>
      <c r="CF51" s="299"/>
      <c r="CG51" s="299"/>
      <c r="CH51" s="299"/>
      <c r="CI51" s="299"/>
      <c r="CJ51" s="299"/>
      <c r="CK51" s="299"/>
      <c r="CL51" s="299"/>
      <c r="CM51" s="299"/>
      <c r="CN51" s="299"/>
      <c r="CO51" s="299"/>
      <c r="CP51" s="299"/>
      <c r="CQ51" s="299"/>
      <c r="CR51" s="299"/>
      <c r="CS51" s="299"/>
      <c r="CT51" s="299"/>
      <c r="CU51" s="299"/>
      <c r="CV51" s="299"/>
      <c r="CW51" s="299"/>
      <c r="CX51" s="299"/>
      <c r="CY51" s="299"/>
      <c r="CZ51" s="299"/>
      <c r="DA51" s="299"/>
      <c r="DB51" s="299"/>
      <c r="DC51" s="299"/>
      <c r="DD51" s="299"/>
      <c r="DE51" s="299"/>
      <c r="DF51" s="299"/>
      <c r="DG51" s="299"/>
      <c r="DH51" s="299"/>
      <c r="DI51" s="299"/>
      <c r="DJ51" s="299"/>
      <c r="DK51" s="299"/>
      <c r="DL51" s="299"/>
      <c r="DM51" s="299"/>
      <c r="DN51" s="299"/>
      <c r="DO51" s="299"/>
      <c r="DP51" s="299"/>
      <c r="DQ51" s="299"/>
      <c r="DR51" s="299"/>
      <c r="DS51" s="299"/>
      <c r="DT51" s="299"/>
      <c r="DU51" s="299"/>
      <c r="DV51" s="299"/>
      <c r="DW51" s="299"/>
      <c r="DX51" s="299"/>
      <c r="DY51" s="299"/>
      <c r="DZ51" s="299"/>
      <c r="EA51" s="299"/>
      <c r="EB51" s="299"/>
      <c r="EC51" s="299"/>
      <c r="ED51" s="299"/>
      <c r="EE51" s="299"/>
      <c r="EF51" s="299"/>
      <c r="EG51" s="299"/>
      <c r="EH51" s="299"/>
      <c r="EI51" s="299"/>
      <c r="EJ51" s="182"/>
      <c r="EK51" s="182"/>
      <c r="EL51" s="182"/>
      <c r="EM51" s="182"/>
      <c r="EN51" s="182"/>
    </row>
    <row r="52" spans="1:144">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row>
    <row r="53" spans="1:144">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row>
    <row r="54" spans="1:144">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304"/>
      <c r="DE54" s="305"/>
      <c r="DF54" s="304"/>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row>
    <row r="55" spans="1:144">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304"/>
      <c r="DE55" s="305"/>
      <c r="DF55" s="304"/>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row>
    <row r="56" spans="1:144">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304"/>
      <c r="DE56" s="305"/>
      <c r="DF56" s="304"/>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row>
    <row r="57" spans="1:144">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304"/>
      <c r="DE57" s="305"/>
      <c r="DF57" s="304"/>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row>
    <row r="58" spans="1:144">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304"/>
      <c r="DE58" s="305"/>
      <c r="DF58" s="304"/>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row>
    <row r="59" spans="1:144">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304"/>
      <c r="DE59" s="305"/>
      <c r="DF59" s="304"/>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row>
    <row r="60" spans="1:144">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304"/>
      <c r="DE60" s="305"/>
      <c r="DF60" s="304"/>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row>
    <row r="61" spans="1:144">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304"/>
      <c r="DE61" s="305"/>
      <c r="DF61" s="304"/>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row>
    <row r="62" spans="1:144">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304"/>
      <c r="DE62" s="305"/>
      <c r="DF62" s="304"/>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row>
    <row r="63" spans="1:144">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304"/>
      <c r="DE63" s="305"/>
      <c r="DF63" s="304"/>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row>
    <row r="64" spans="1:144">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304"/>
      <c r="DE64" s="305"/>
      <c r="DF64" s="304"/>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row>
    <row r="65" spans="1:144">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304"/>
      <c r="DE65" s="305"/>
      <c r="DF65" s="304"/>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row>
    <row r="66" spans="1:144">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304"/>
      <c r="DE66" s="305"/>
      <c r="DF66" s="304"/>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row>
    <row r="67" spans="1:144">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304"/>
      <c r="DE67" s="305"/>
      <c r="DF67" s="304"/>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row>
    <row r="68" spans="1:144">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304"/>
      <c r="DE68" s="305"/>
      <c r="DF68" s="304"/>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row>
    <row r="69" spans="1:144">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304"/>
      <c r="DE69" s="305"/>
      <c r="DF69" s="304"/>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row>
    <row r="70" spans="1:144">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304"/>
      <c r="DE70" s="305"/>
      <c r="DF70" s="304"/>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row>
    <row r="71" spans="1:144">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304"/>
      <c r="DE71" s="305"/>
      <c r="DF71" s="304"/>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row>
    <row r="72" spans="1:144">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304"/>
      <c r="DE72" s="305"/>
      <c r="DF72" s="304"/>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row>
    <row r="73" spans="1:144">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304"/>
      <c r="DE73" s="305"/>
      <c r="DF73" s="304"/>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row>
    <row r="74" spans="1:144">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304"/>
      <c r="DE74" s="305"/>
      <c r="DF74" s="304"/>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row>
    <row r="75" spans="1:144">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304"/>
      <c r="DE75" s="305"/>
      <c r="DF75" s="304"/>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row>
    <row r="76" spans="1:144">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304"/>
      <c r="DE76" s="305"/>
      <c r="DF76" s="304"/>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row>
    <row r="77" spans="1:144">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304"/>
      <c r="DE77" s="305"/>
      <c r="DF77" s="304"/>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row>
    <row r="78" spans="1:144">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304"/>
      <c r="DE78" s="305"/>
      <c r="DF78" s="304"/>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row>
    <row r="79" spans="1:144">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304"/>
      <c r="DE79" s="305"/>
      <c r="DF79" s="304"/>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row>
    <row r="80" spans="1:144">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304"/>
      <c r="DE80" s="305"/>
      <c r="DF80" s="304"/>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row>
    <row r="81" spans="1:144">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304"/>
      <c r="DE81" s="305"/>
      <c r="DF81" s="304"/>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row>
    <row r="82" spans="1:144">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304"/>
      <c r="DE82" s="305"/>
      <c r="DF82" s="304"/>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row>
    <row r="83" spans="1:144">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304"/>
      <c r="DE83" s="305"/>
      <c r="DF83" s="304"/>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row>
    <row r="84" spans="1:144">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304"/>
      <c r="DE84" s="305"/>
      <c r="DF84" s="304"/>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row>
    <row r="85" spans="1:144">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304"/>
      <c r="DE85" s="305"/>
      <c r="DF85" s="304"/>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row>
    <row r="86" spans="1:144">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304"/>
      <c r="DE86" s="305"/>
      <c r="DF86" s="304"/>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row>
    <row r="87" spans="1:144">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304"/>
      <c r="DE87" s="305"/>
      <c r="DF87" s="304"/>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row>
    <row r="88" spans="1:144">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304"/>
      <c r="DE88" s="305"/>
      <c r="DF88" s="304"/>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row>
    <row r="89" spans="1:144">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304"/>
      <c r="DE89" s="305"/>
      <c r="DF89" s="304"/>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row>
    <row r="90" spans="1:144">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304"/>
      <c r="DE90" s="305"/>
      <c r="DF90" s="304"/>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row>
    <row r="91" spans="1:144">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304"/>
      <c r="DE91" s="305"/>
      <c r="DF91" s="304"/>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row>
    <row r="92" spans="1:144">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304"/>
      <c r="DE92" s="305"/>
      <c r="DF92" s="304"/>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row>
    <row r="93" spans="1:144">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304"/>
      <c r="DE93" s="305"/>
      <c r="DF93" s="304"/>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row>
    <row r="94" spans="1:144">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304"/>
      <c r="DE94" s="305"/>
      <c r="DF94" s="304"/>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row>
    <row r="95" spans="1:144">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304"/>
      <c r="DE95" s="305"/>
      <c r="DF95" s="304"/>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row>
    <row r="96" spans="1:144">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304"/>
      <c r="DE96" s="305"/>
      <c r="DF96" s="304"/>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row>
    <row r="97" spans="1:144">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304"/>
      <c r="DE97" s="305"/>
      <c r="DF97" s="304"/>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row>
    <row r="98" spans="1:144">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304"/>
      <c r="DE98" s="305"/>
      <c r="DF98" s="304"/>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row>
    <row r="99" spans="1:144">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304"/>
      <c r="DE99" s="305"/>
      <c r="DF99" s="304"/>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row>
    <row r="100" spans="1:144">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304"/>
      <c r="DE100" s="305"/>
      <c r="DF100" s="304"/>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row>
    <row r="101" spans="1:144">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304"/>
      <c r="DE101" s="305"/>
      <c r="DF101" s="304"/>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row>
    <row r="102" spans="1:144">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306"/>
      <c r="DE102" s="305"/>
      <c r="DF102" s="306"/>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row>
    <row r="103" spans="1:144">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306"/>
      <c r="DE103" s="305"/>
      <c r="DF103" s="306"/>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row>
    <row r="104" spans="1:144">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306"/>
      <c r="DE104" s="305"/>
      <c r="DF104" s="306"/>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row>
    <row r="105" spans="1:144">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306"/>
      <c r="DE105" s="305"/>
      <c r="DF105" s="306"/>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row>
    <row r="106" spans="1:144">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306"/>
      <c r="DE106" s="305"/>
      <c r="DF106" s="306"/>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row>
    <row r="107" spans="1:144">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306"/>
      <c r="DE107" s="305"/>
      <c r="DF107" s="306"/>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row>
    <row r="108" spans="1:144">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306"/>
      <c r="DE108" s="305"/>
      <c r="DF108" s="306"/>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row>
    <row r="109" spans="1:144">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306"/>
      <c r="DE109" s="305"/>
      <c r="DF109" s="306"/>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row>
    <row r="110" spans="1:144">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306"/>
      <c r="DE110" s="305"/>
      <c r="DF110" s="306"/>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row>
    <row r="111" spans="1:144">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306"/>
      <c r="DE111" s="305"/>
      <c r="DF111" s="306"/>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row>
    <row r="112" spans="1:144">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306"/>
      <c r="DE112" s="305"/>
      <c r="DF112" s="306"/>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row>
    <row r="113" spans="1:144">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306"/>
      <c r="DE113" s="305"/>
      <c r="DF113" s="306"/>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row>
    <row r="114" spans="1:144">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306"/>
      <c r="DE114" s="305"/>
      <c r="DF114" s="306"/>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row>
    <row r="115" spans="1:144">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307"/>
      <c r="DE115" s="305"/>
      <c r="DF115" s="307"/>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row>
    <row r="116" spans="1:144">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307"/>
      <c r="DE116" s="305"/>
      <c r="DF116" s="307"/>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row>
    <row r="117" spans="1:144">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307"/>
      <c r="DE117" s="305"/>
      <c r="DF117" s="307"/>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row>
    <row r="118" spans="1:144">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307"/>
      <c r="DE118" s="305"/>
      <c r="DF118" s="307"/>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row>
    <row r="119" spans="1:144">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307"/>
      <c r="DE119" s="305"/>
      <c r="DF119" s="307"/>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row>
    <row r="120" spans="1:144">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307"/>
      <c r="DE120" s="305"/>
      <c r="DF120" s="307"/>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row>
    <row r="121" spans="1:144">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307"/>
      <c r="DE121" s="305"/>
      <c r="DF121" s="307"/>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row>
    <row r="122" spans="1:144">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307"/>
      <c r="DE122" s="305"/>
      <c r="DF122" s="307"/>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row>
    <row r="123" spans="1:144">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307"/>
      <c r="DE123" s="305"/>
      <c r="DF123" s="307"/>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row>
    <row r="124" spans="1:144">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307"/>
      <c r="DE124" s="305"/>
      <c r="DF124" s="307"/>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row>
    <row r="125" spans="1:144">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307"/>
      <c r="DE125" s="305"/>
      <c r="DF125" s="307"/>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row>
    <row r="126" spans="1:144">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307"/>
      <c r="DE126" s="305"/>
      <c r="DF126" s="307"/>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row>
    <row r="127" spans="1:144">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307"/>
      <c r="DE127" s="305"/>
      <c r="DF127" s="307"/>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row>
    <row r="128" spans="1:144">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307"/>
      <c r="DE128" s="305"/>
      <c r="DF128" s="307"/>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row>
    <row r="129" spans="1:144">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307"/>
      <c r="DE129" s="305"/>
      <c r="DF129" s="307"/>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row>
    <row r="130" spans="1:144">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307"/>
      <c r="DE130" s="305"/>
      <c r="DF130" s="307"/>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row>
    <row r="131" spans="1:144">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307"/>
      <c r="DE131" s="305"/>
      <c r="DF131" s="307"/>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row>
    <row r="132" spans="1:14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307"/>
      <c r="DE132" s="305"/>
      <c r="DF132" s="307"/>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row>
    <row r="133" spans="1:14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307"/>
      <c r="DE133" s="305"/>
      <c r="DF133" s="307"/>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row>
    <row r="134" spans="1:14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307"/>
      <c r="DE134" s="305"/>
      <c r="DF134" s="307"/>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row>
    <row r="135" spans="1:14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307"/>
      <c r="DE135" s="305"/>
      <c r="DF135" s="307"/>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row>
    <row r="136" spans="1:14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305"/>
      <c r="DE136" s="305"/>
      <c r="DF136" s="305"/>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row>
    <row r="137" spans="1:14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305"/>
      <c r="DE137" s="305"/>
      <c r="DF137" s="305"/>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row>
    <row r="138" spans="1:14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305"/>
      <c r="DE138" s="305"/>
      <c r="DF138" s="305"/>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row>
    <row r="139" spans="1:14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305"/>
      <c r="DE139" s="305"/>
      <c r="DF139" s="305"/>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row>
    <row r="140" spans="1:14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305"/>
      <c r="DE140" s="305"/>
      <c r="DF140" s="305"/>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row>
    <row r="141" spans="1:14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305"/>
      <c r="DE141" s="305"/>
      <c r="DF141" s="305"/>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row>
    <row r="142" spans="1:14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305"/>
      <c r="DE142" s="305"/>
      <c r="DF142" s="305"/>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row>
    <row r="143" spans="1:14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305"/>
      <c r="DE143" s="305"/>
      <c r="DF143" s="305"/>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row>
    <row r="144" spans="1:14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305"/>
      <c r="DE144" s="305"/>
      <c r="DF144" s="305"/>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row>
    <row r="145" spans="1:14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305"/>
      <c r="DE145" s="305"/>
      <c r="DF145" s="305"/>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row>
    <row r="146" spans="1:14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305"/>
      <c r="DE146" s="305"/>
      <c r="DF146" s="305"/>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row>
    <row r="147" spans="1:14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305"/>
      <c r="DE147" s="305"/>
      <c r="DF147" s="305"/>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row>
    <row r="148" spans="1:14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305"/>
      <c r="DE148" s="305"/>
      <c r="DF148" s="305"/>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row>
    <row r="149" spans="1:14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305"/>
      <c r="DE149" s="305"/>
      <c r="DF149" s="305"/>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row>
    <row r="150" spans="1:14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305"/>
      <c r="DE150" s="305"/>
      <c r="DF150" s="305"/>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row>
    <row r="151" spans="1:14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305"/>
      <c r="DE151" s="305"/>
      <c r="DF151" s="305"/>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row>
    <row r="152" spans="1:14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305"/>
      <c r="DE152" s="305"/>
      <c r="DF152" s="305"/>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row>
    <row r="153" spans="1:14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305"/>
      <c r="DE153" s="305"/>
      <c r="DF153" s="305"/>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row>
    <row r="154" spans="1:14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305"/>
      <c r="DE154" s="305"/>
      <c r="DF154" s="305"/>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row>
    <row r="155" spans="1:14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row>
    <row r="156" spans="1:14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614"/>
  <sheetViews>
    <sheetView showGridLines="0" zoomScaleNormal="100" workbookViewId="0">
      <pane ySplit="6" topLeftCell="A7" activePane="bottomLeft" state="frozen"/>
      <selection pane="bottomLeft" activeCell="C672" sqref="C672"/>
    </sheetView>
  </sheetViews>
  <sheetFormatPr defaultColWidth="9.140625" defaultRowHeight="15"/>
  <cols>
    <col min="1" max="1" width="27.140625" style="165" bestFit="1" customWidth="1"/>
    <col min="2" max="2" width="52.140625" style="33" customWidth="1"/>
    <col min="3" max="3" width="40.7109375" style="165" customWidth="1"/>
    <col min="4" max="4" width="15.5703125" style="33" customWidth="1"/>
    <col min="5" max="5" width="16" style="33" customWidth="1"/>
    <col min="6" max="6" width="16" style="165" customWidth="1"/>
    <col min="7" max="7" width="15.85546875" style="165" customWidth="1"/>
    <col min="8" max="8" width="9.140625" style="206"/>
    <col min="9" max="11" width="9.140625" style="165"/>
    <col min="12" max="12" width="9.140625" style="206"/>
    <col min="13" max="16384" width="9.140625" style="165"/>
  </cols>
  <sheetData>
    <row r="5" spans="1:8" ht="15.75" thickBot="1">
      <c r="A5" s="1065" t="s">
        <v>1167</v>
      </c>
      <c r="B5" s="1065"/>
      <c r="C5" s="1065"/>
      <c r="D5" s="1065"/>
      <c r="E5" s="1065"/>
      <c r="F5" s="1065"/>
      <c r="G5" s="1065"/>
    </row>
    <row r="6" spans="1:8" ht="30.75" customHeight="1" thickBot="1">
      <c r="A6" s="615" t="s">
        <v>348</v>
      </c>
      <c r="B6" s="616" t="s">
        <v>347</v>
      </c>
      <c r="C6" s="617" t="s">
        <v>1169</v>
      </c>
      <c r="D6" s="768" t="s">
        <v>1320</v>
      </c>
      <c r="E6" s="769" t="s">
        <v>1321</v>
      </c>
      <c r="F6" s="770" t="s">
        <v>1322</v>
      </c>
      <c r="G6" s="771" t="s">
        <v>1323</v>
      </c>
    </row>
    <row r="7" spans="1:8">
      <c r="A7" s="547" t="s">
        <v>1027</v>
      </c>
      <c r="B7" s="541" t="s">
        <v>942</v>
      </c>
      <c r="C7" s="547" t="s">
        <v>761</v>
      </c>
      <c r="D7" s="873">
        <v>41.333333333333336</v>
      </c>
      <c r="E7" s="874">
        <v>41.25</v>
      </c>
      <c r="F7" s="874">
        <v>28.084500000000002</v>
      </c>
      <c r="G7" s="875">
        <v>29.181000000000004</v>
      </c>
      <c r="H7" s="550"/>
    </row>
    <row r="8" spans="1:8">
      <c r="A8" s="547" t="s">
        <v>1027</v>
      </c>
      <c r="B8" s="541" t="s">
        <v>942</v>
      </c>
      <c r="C8" s="547" t="s">
        <v>762</v>
      </c>
      <c r="D8" s="876">
        <v>1007.2500000000001</v>
      </c>
      <c r="E8" s="874">
        <v>1153.6666666666667</v>
      </c>
      <c r="F8" s="874">
        <v>767.44634999999994</v>
      </c>
      <c r="G8" s="875">
        <v>738.49336666666659</v>
      </c>
      <c r="H8" s="550"/>
    </row>
    <row r="9" spans="1:8">
      <c r="A9" s="547" t="s">
        <v>1027</v>
      </c>
      <c r="B9" s="541" t="s">
        <v>942</v>
      </c>
      <c r="C9" s="547" t="s">
        <v>463</v>
      </c>
      <c r="D9" s="876">
        <v>1737.1666666666667</v>
      </c>
      <c r="E9" s="874">
        <v>2113.0833333333339</v>
      </c>
      <c r="F9" s="874">
        <v>1288.8297166666666</v>
      </c>
      <c r="G9" s="875">
        <v>1272.5727250000002</v>
      </c>
      <c r="H9" s="550"/>
    </row>
    <row r="10" spans="1:8">
      <c r="A10" s="547" t="s">
        <v>1027</v>
      </c>
      <c r="B10" s="541" t="s">
        <v>942</v>
      </c>
      <c r="C10" s="547" t="s">
        <v>464</v>
      </c>
      <c r="D10" s="876">
        <v>1852.083333333333</v>
      </c>
      <c r="E10" s="874">
        <v>2411.3333333333335</v>
      </c>
      <c r="F10" s="874">
        <v>1305.7367333333334</v>
      </c>
      <c r="G10" s="875">
        <v>1366.7672083333334</v>
      </c>
      <c r="H10" s="550"/>
    </row>
    <row r="11" spans="1:8">
      <c r="A11" s="547" t="s">
        <v>1027</v>
      </c>
      <c r="B11" s="541" t="s">
        <v>942</v>
      </c>
      <c r="C11" s="547" t="s">
        <v>465</v>
      </c>
      <c r="D11" s="876">
        <v>1214</v>
      </c>
      <c r="E11" s="874">
        <v>1612.333333333333</v>
      </c>
      <c r="F11" s="874">
        <v>786.83233333333339</v>
      </c>
      <c r="G11" s="875">
        <v>838.10030833333337</v>
      </c>
      <c r="H11" s="550"/>
    </row>
    <row r="12" spans="1:8">
      <c r="A12" s="547" t="s">
        <v>1027</v>
      </c>
      <c r="B12" s="541" t="s">
        <v>942</v>
      </c>
      <c r="C12" s="547" t="s">
        <v>880</v>
      </c>
      <c r="D12" s="876">
        <v>13.916666666666666</v>
      </c>
      <c r="E12" s="874">
        <v>0</v>
      </c>
      <c r="F12" s="874">
        <v>19.757999999999999</v>
      </c>
      <c r="G12" s="875">
        <v>0</v>
      </c>
      <c r="H12" s="550"/>
    </row>
    <row r="13" spans="1:8">
      <c r="A13" s="547" t="s">
        <v>1027</v>
      </c>
      <c r="B13" s="541" t="s">
        <v>942</v>
      </c>
      <c r="C13" s="547" t="s">
        <v>763</v>
      </c>
      <c r="D13" s="876">
        <v>557.41666666666663</v>
      </c>
      <c r="E13" s="874">
        <v>773.83333333333337</v>
      </c>
      <c r="F13" s="874">
        <v>371.12740833333334</v>
      </c>
      <c r="G13" s="875">
        <v>448.14689999999996</v>
      </c>
      <c r="H13" s="550"/>
    </row>
    <row r="14" spans="1:8">
      <c r="A14" s="547" t="s">
        <v>1027</v>
      </c>
      <c r="B14" s="541" t="s">
        <v>456</v>
      </c>
      <c r="C14" s="547" t="s">
        <v>622</v>
      </c>
      <c r="D14" s="876">
        <v>417.91666666666669</v>
      </c>
      <c r="E14" s="874">
        <v>417.41666666666674</v>
      </c>
      <c r="F14" s="874">
        <v>457.24440000000004</v>
      </c>
      <c r="G14" s="875">
        <v>455.37889999999993</v>
      </c>
      <c r="H14" s="550"/>
    </row>
    <row r="15" spans="1:8">
      <c r="A15" s="547" t="s">
        <v>1027</v>
      </c>
      <c r="B15" s="541" t="s">
        <v>456</v>
      </c>
      <c r="C15" s="547" t="s">
        <v>1094</v>
      </c>
      <c r="D15" s="876">
        <v>23.083333333333336</v>
      </c>
      <c r="E15" s="874">
        <v>21.75</v>
      </c>
      <c r="F15" s="874">
        <v>24.799000000000003</v>
      </c>
      <c r="G15" s="875">
        <v>19.042000000000002</v>
      </c>
      <c r="H15" s="550"/>
    </row>
    <row r="16" spans="1:8">
      <c r="A16" s="547" t="s">
        <v>1027</v>
      </c>
      <c r="B16" s="541" t="s">
        <v>456</v>
      </c>
      <c r="C16" s="547" t="s">
        <v>943</v>
      </c>
      <c r="D16" s="876">
        <v>1569.9166666666667</v>
      </c>
      <c r="E16" s="874">
        <v>1533.8333333333335</v>
      </c>
      <c r="F16" s="874">
        <v>1714.77215</v>
      </c>
      <c r="G16" s="875">
        <v>1672.0951666666667</v>
      </c>
      <c r="H16" s="550"/>
    </row>
    <row r="17" spans="1:15">
      <c r="A17" s="1066" t="s">
        <v>1297</v>
      </c>
      <c r="B17" s="1067"/>
      <c r="C17" s="1067"/>
      <c r="D17" s="877">
        <v>8434.0833333333339</v>
      </c>
      <c r="E17" s="878">
        <v>10078.5</v>
      </c>
      <c r="F17" s="878">
        <v>6764.6305916666679</v>
      </c>
      <c r="G17" s="879">
        <v>6839.7775750000001</v>
      </c>
      <c r="H17" s="550"/>
    </row>
    <row r="18" spans="1:15">
      <c r="A18" s="551" t="s">
        <v>43</v>
      </c>
      <c r="B18" s="552" t="s">
        <v>958</v>
      </c>
      <c r="C18" s="552" t="s">
        <v>886</v>
      </c>
      <c r="D18" s="880">
        <v>31.083333333333332</v>
      </c>
      <c r="E18" s="874">
        <v>69.583333333333343</v>
      </c>
      <c r="F18" s="874">
        <v>20.3325</v>
      </c>
      <c r="G18" s="875">
        <v>52.259000000000015</v>
      </c>
      <c r="H18" s="550"/>
      <c r="J18" s="683"/>
    </row>
    <row r="19" spans="1:15">
      <c r="A19" s="553" t="s">
        <v>43</v>
      </c>
      <c r="B19" s="552" t="s">
        <v>1380</v>
      </c>
      <c r="C19" s="552" t="s">
        <v>477</v>
      </c>
      <c r="D19" s="880">
        <v>0</v>
      </c>
      <c r="E19" s="874">
        <v>0.91666666666666663</v>
      </c>
      <c r="F19" s="874">
        <v>0</v>
      </c>
      <c r="G19" s="875">
        <v>1.1910000000000001</v>
      </c>
      <c r="H19" s="550"/>
      <c r="J19" s="683"/>
    </row>
    <row r="20" spans="1:15">
      <c r="A20" s="553" t="s">
        <v>43</v>
      </c>
      <c r="B20" s="552" t="s">
        <v>408</v>
      </c>
      <c r="C20" s="552" t="s">
        <v>477</v>
      </c>
      <c r="D20" s="880">
        <v>2.083333333333333</v>
      </c>
      <c r="E20" s="874">
        <v>0</v>
      </c>
      <c r="F20" s="874">
        <v>4.0605000000000002</v>
      </c>
      <c r="G20" s="875">
        <v>0</v>
      </c>
      <c r="H20" s="550"/>
      <c r="J20" s="683"/>
    </row>
    <row r="21" spans="1:15">
      <c r="A21" s="553" t="s">
        <v>43</v>
      </c>
      <c r="B21" s="552" t="s">
        <v>1381</v>
      </c>
      <c r="C21" s="552" t="s">
        <v>481</v>
      </c>
      <c r="D21" s="880">
        <v>0</v>
      </c>
      <c r="E21" s="874">
        <v>17.416666666666668</v>
      </c>
      <c r="F21" s="874">
        <v>0</v>
      </c>
      <c r="G21" s="875">
        <v>14.230999999999998</v>
      </c>
      <c r="H21" s="550"/>
      <c r="J21" s="683"/>
    </row>
    <row r="22" spans="1:15">
      <c r="A22" s="553" t="s">
        <v>43</v>
      </c>
      <c r="B22" s="552" t="s">
        <v>59</v>
      </c>
      <c r="C22" s="552" t="s">
        <v>717</v>
      </c>
      <c r="D22" s="880">
        <v>0.33333333333333331</v>
      </c>
      <c r="E22" s="874">
        <v>0.58333333333333326</v>
      </c>
      <c r="F22" s="874">
        <v>3.5999999999999997E-2</v>
      </c>
      <c r="G22" s="875">
        <v>1.2E-2</v>
      </c>
      <c r="H22" s="550"/>
      <c r="J22" s="683"/>
    </row>
    <row r="23" spans="1:15">
      <c r="A23" s="553" t="s">
        <v>43</v>
      </c>
      <c r="B23" s="552" t="s">
        <v>1352</v>
      </c>
      <c r="C23" s="552" t="s">
        <v>674</v>
      </c>
      <c r="D23" s="880">
        <v>45.75</v>
      </c>
      <c r="E23" s="874">
        <v>38.5</v>
      </c>
      <c r="F23" s="874">
        <v>20.596999999999998</v>
      </c>
      <c r="G23" s="875">
        <v>15.389000000000003</v>
      </c>
      <c r="H23" s="550"/>
      <c r="J23" s="683"/>
    </row>
    <row r="24" spans="1:15">
      <c r="A24" s="553" t="s">
        <v>43</v>
      </c>
      <c r="B24" s="552" t="s">
        <v>1352</v>
      </c>
      <c r="C24" s="552" t="s">
        <v>478</v>
      </c>
      <c r="D24" s="880">
        <v>921.50000000000023</v>
      </c>
      <c r="E24" s="874">
        <v>985.9166666666664</v>
      </c>
      <c r="F24" s="874">
        <v>820.91080833333353</v>
      </c>
      <c r="G24" s="875">
        <v>885.24479999999994</v>
      </c>
      <c r="H24" s="550"/>
      <c r="J24" s="683"/>
    </row>
    <row r="25" spans="1:15">
      <c r="A25" s="553" t="s">
        <v>43</v>
      </c>
      <c r="B25" s="552" t="s">
        <v>1264</v>
      </c>
      <c r="C25" s="552" t="s">
        <v>613</v>
      </c>
      <c r="D25" s="880">
        <v>0</v>
      </c>
      <c r="E25" s="874">
        <v>5.5833333333333339</v>
      </c>
      <c r="F25" s="874">
        <v>0</v>
      </c>
      <c r="G25" s="875">
        <v>10.617999999999999</v>
      </c>
      <c r="H25" s="550"/>
      <c r="J25" s="683"/>
    </row>
    <row r="26" spans="1:15">
      <c r="A26" s="553" t="s">
        <v>43</v>
      </c>
      <c r="B26" s="552" t="s">
        <v>480</v>
      </c>
      <c r="C26" s="552" t="s">
        <v>481</v>
      </c>
      <c r="D26" s="880">
        <v>274</v>
      </c>
      <c r="E26" s="874">
        <v>19.000000000000004</v>
      </c>
      <c r="F26" s="874">
        <v>237.84495833333332</v>
      </c>
      <c r="G26" s="875">
        <v>16.746500000000001</v>
      </c>
      <c r="H26" s="550"/>
      <c r="J26" s="683"/>
    </row>
    <row r="27" spans="1:15" s="298" customFormat="1">
      <c r="A27" s="553" t="s">
        <v>43</v>
      </c>
      <c r="B27" s="552" t="s">
        <v>411</v>
      </c>
      <c r="C27" s="552" t="s">
        <v>482</v>
      </c>
      <c r="D27" s="880">
        <v>201.41666666666669</v>
      </c>
      <c r="E27" s="874">
        <v>77.25</v>
      </c>
      <c r="F27" s="874">
        <v>12.097499999999997</v>
      </c>
      <c r="G27" s="875">
        <v>17.373999999999999</v>
      </c>
      <c r="H27" s="550"/>
      <c r="J27" s="683"/>
      <c r="L27" s="206"/>
    </row>
    <row r="28" spans="1:15" s="683" customFormat="1">
      <c r="A28" s="553" t="s">
        <v>43</v>
      </c>
      <c r="B28" s="552" t="s">
        <v>409</v>
      </c>
      <c r="C28" s="552" t="s">
        <v>484</v>
      </c>
      <c r="D28" s="880">
        <v>11.416666666666666</v>
      </c>
      <c r="E28" s="874">
        <v>4.75</v>
      </c>
      <c r="F28" s="874">
        <v>16.767499999999998</v>
      </c>
      <c r="G28" s="875">
        <v>5.0374999999999996</v>
      </c>
      <c r="H28" s="550"/>
      <c r="L28" s="206"/>
      <c r="O28" s="165"/>
    </row>
    <row r="29" spans="1:15" s="683" customFormat="1">
      <c r="A29" s="553" t="s">
        <v>43</v>
      </c>
      <c r="B29" s="552" t="s">
        <v>829</v>
      </c>
      <c r="C29" s="552" t="s">
        <v>479</v>
      </c>
      <c r="D29" s="880">
        <v>338.91666666666663</v>
      </c>
      <c r="E29" s="874">
        <v>350.25000000000011</v>
      </c>
      <c r="F29" s="874">
        <v>297.14199999999994</v>
      </c>
      <c r="G29" s="875">
        <v>300.20899999999995</v>
      </c>
      <c r="H29" s="550"/>
      <c r="L29" s="206"/>
      <c r="O29" s="165"/>
    </row>
    <row r="30" spans="1:15" s="683" customFormat="1">
      <c r="A30" s="553" t="s">
        <v>43</v>
      </c>
      <c r="B30" s="552" t="s">
        <v>959</v>
      </c>
      <c r="C30" s="552" t="s">
        <v>1379</v>
      </c>
      <c r="D30" s="880">
        <v>808.83333333333326</v>
      </c>
      <c r="E30" s="874">
        <v>745.75</v>
      </c>
      <c r="F30" s="874">
        <v>643.85884999999996</v>
      </c>
      <c r="G30" s="875">
        <v>570.59037499999999</v>
      </c>
      <c r="H30" s="550"/>
      <c r="L30" s="206"/>
    </row>
    <row r="31" spans="1:15">
      <c r="A31" s="553" t="s">
        <v>43</v>
      </c>
      <c r="B31" s="554" t="s">
        <v>1100</v>
      </c>
      <c r="C31" s="554" t="s">
        <v>477</v>
      </c>
      <c r="D31" s="880">
        <v>0.66666666666666663</v>
      </c>
      <c r="E31" s="874">
        <v>3.0833333333333335</v>
      </c>
      <c r="F31" s="874">
        <v>1.5149999999999999</v>
      </c>
      <c r="G31" s="875">
        <v>4.8210000000000006</v>
      </c>
      <c r="H31" s="550"/>
      <c r="J31" s="683"/>
      <c r="O31" s="683"/>
    </row>
    <row r="32" spans="1:15">
      <c r="A32" s="1066" t="s">
        <v>1298</v>
      </c>
      <c r="B32" s="1067"/>
      <c r="C32" s="1067"/>
      <c r="D32" s="881">
        <v>2636.0000000000005</v>
      </c>
      <c r="E32" s="882">
        <v>2318.5833333333335</v>
      </c>
      <c r="F32" s="882">
        <v>2075.1626166666665</v>
      </c>
      <c r="G32" s="883">
        <v>1893.7231749999999</v>
      </c>
      <c r="H32" s="550"/>
      <c r="J32" s="683"/>
    </row>
    <row r="33" spans="1:12" s="683" customFormat="1">
      <c r="A33" s="547" t="s">
        <v>351</v>
      </c>
      <c r="B33" s="541" t="s">
        <v>466</v>
      </c>
      <c r="C33" s="541" t="s">
        <v>467</v>
      </c>
      <c r="D33" s="884">
        <v>96.833333333333329</v>
      </c>
      <c r="E33" s="874">
        <v>89.666666666666657</v>
      </c>
      <c r="F33" s="874">
        <v>36.344500000000004</v>
      </c>
      <c r="G33" s="875">
        <v>34.191499999999998</v>
      </c>
      <c r="H33" s="550"/>
      <c r="L33" s="206"/>
    </row>
    <row r="34" spans="1:12" s="683" customFormat="1">
      <c r="A34" s="548" t="s">
        <v>351</v>
      </c>
      <c r="B34" s="541" t="s">
        <v>468</v>
      </c>
      <c r="C34" s="541" t="s">
        <v>467</v>
      </c>
      <c r="D34" s="885">
        <v>31.666666666666668</v>
      </c>
      <c r="E34" s="875">
        <v>10.916666666666668</v>
      </c>
      <c r="F34" s="874">
        <v>12.760500000000002</v>
      </c>
      <c r="G34" s="886">
        <v>7.8495000000000008</v>
      </c>
      <c r="H34" s="550"/>
      <c r="L34" s="206"/>
    </row>
    <row r="35" spans="1:12" s="683" customFormat="1">
      <c r="A35" s="1066" t="s">
        <v>872</v>
      </c>
      <c r="B35" s="1067"/>
      <c r="C35" s="1067"/>
      <c r="D35" s="877">
        <v>128.5</v>
      </c>
      <c r="E35" s="878">
        <v>100.58333333333333</v>
      </c>
      <c r="F35" s="879">
        <v>49.105000000000004</v>
      </c>
      <c r="G35" s="879">
        <v>42.040999999999997</v>
      </c>
      <c r="H35" s="550"/>
      <c r="L35" s="206"/>
    </row>
    <row r="36" spans="1:12">
      <c r="A36" s="546" t="s">
        <v>68</v>
      </c>
      <c r="B36" s="541" t="s">
        <v>1273</v>
      </c>
      <c r="C36" s="555" t="s">
        <v>469</v>
      </c>
      <c r="D36" s="880">
        <v>2.5</v>
      </c>
      <c r="E36" s="874">
        <v>5.833333333333333</v>
      </c>
      <c r="F36" s="874">
        <v>2.4925000000000002</v>
      </c>
      <c r="G36" s="875">
        <v>3.3299999999999996</v>
      </c>
      <c r="H36" s="550"/>
      <c r="J36" s="683"/>
    </row>
    <row r="37" spans="1:12">
      <c r="A37" s="547" t="s">
        <v>68</v>
      </c>
      <c r="B37" s="541" t="s">
        <v>354</v>
      </c>
      <c r="C37" s="541" t="s">
        <v>470</v>
      </c>
      <c r="D37" s="880">
        <v>15.833333333333334</v>
      </c>
      <c r="E37" s="874">
        <v>2.8333333333333335</v>
      </c>
      <c r="F37" s="874">
        <v>6.4109999999999996</v>
      </c>
      <c r="G37" s="875">
        <v>0.84950000000000003</v>
      </c>
      <c r="H37" s="550"/>
      <c r="J37" s="683"/>
    </row>
    <row r="38" spans="1:12">
      <c r="A38" s="547" t="s">
        <v>68</v>
      </c>
      <c r="B38" s="541" t="s">
        <v>356</v>
      </c>
      <c r="C38" s="541" t="s">
        <v>469</v>
      </c>
      <c r="D38" s="880">
        <v>8.75</v>
      </c>
      <c r="E38" s="874">
        <v>10.916666666666666</v>
      </c>
      <c r="F38" s="874">
        <v>4.1280000000000001</v>
      </c>
      <c r="G38" s="875">
        <v>6.4055000000000009</v>
      </c>
      <c r="H38" s="550"/>
      <c r="J38" s="683"/>
    </row>
    <row r="39" spans="1:12">
      <c r="A39" s="547" t="s">
        <v>68</v>
      </c>
      <c r="B39" s="541" t="s">
        <v>1274</v>
      </c>
      <c r="C39" s="541" t="s">
        <v>470</v>
      </c>
      <c r="D39" s="880">
        <v>0</v>
      </c>
      <c r="E39" s="874">
        <v>10.000000000000002</v>
      </c>
      <c r="F39" s="874">
        <v>0</v>
      </c>
      <c r="G39" s="875">
        <v>4.6559999999999997</v>
      </c>
      <c r="H39" s="550"/>
      <c r="J39" s="683"/>
    </row>
    <row r="40" spans="1:12">
      <c r="A40" s="547" t="s">
        <v>68</v>
      </c>
      <c r="B40" s="541" t="s">
        <v>1275</v>
      </c>
      <c r="C40" s="541" t="s">
        <v>1272</v>
      </c>
      <c r="D40" s="880">
        <v>0</v>
      </c>
      <c r="E40" s="874">
        <v>0.33333333333333331</v>
      </c>
      <c r="F40" s="874">
        <v>0</v>
      </c>
      <c r="G40" s="875">
        <v>0.24</v>
      </c>
      <c r="H40" s="550"/>
      <c r="J40" s="683"/>
    </row>
    <row r="41" spans="1:12">
      <c r="A41" s="547" t="s">
        <v>68</v>
      </c>
      <c r="B41" s="541" t="s">
        <v>352</v>
      </c>
      <c r="C41" s="541" t="s">
        <v>471</v>
      </c>
      <c r="D41" s="880">
        <v>26.333333333333332</v>
      </c>
      <c r="E41" s="874">
        <v>31.75</v>
      </c>
      <c r="F41" s="874">
        <v>15.054999999999998</v>
      </c>
      <c r="G41" s="875">
        <v>12.221000000000004</v>
      </c>
      <c r="H41" s="550"/>
      <c r="J41" s="683"/>
    </row>
    <row r="42" spans="1:12" s="683" customFormat="1">
      <c r="A42" s="547" t="s">
        <v>68</v>
      </c>
      <c r="B42" s="541" t="s">
        <v>472</v>
      </c>
      <c r="C42" s="541" t="s">
        <v>473</v>
      </c>
      <c r="D42" s="880">
        <v>2.9166666666666665</v>
      </c>
      <c r="E42" s="874">
        <v>0.83333333333333337</v>
      </c>
      <c r="F42" s="874">
        <v>2.5739999999999994</v>
      </c>
      <c r="G42" s="875">
        <v>0.18650000000000003</v>
      </c>
      <c r="H42" s="550"/>
      <c r="L42" s="206"/>
    </row>
    <row r="43" spans="1:12" s="683" customFormat="1">
      <c r="A43" s="547" t="s">
        <v>68</v>
      </c>
      <c r="B43" s="541" t="s">
        <v>881</v>
      </c>
      <c r="C43" s="541" t="s">
        <v>597</v>
      </c>
      <c r="D43" s="880">
        <v>76.749999999999986</v>
      </c>
      <c r="E43" s="874">
        <v>84.249999999999986</v>
      </c>
      <c r="F43" s="874">
        <v>84.291999999999987</v>
      </c>
      <c r="G43" s="875">
        <v>67.132000000000005</v>
      </c>
      <c r="H43" s="550"/>
      <c r="L43" s="206"/>
    </row>
    <row r="44" spans="1:12" s="683" customFormat="1">
      <c r="A44" s="547" t="s">
        <v>68</v>
      </c>
      <c r="B44" s="541" t="s">
        <v>355</v>
      </c>
      <c r="C44" s="541" t="s">
        <v>463</v>
      </c>
      <c r="D44" s="880">
        <v>9.9166666666666679</v>
      </c>
      <c r="E44" s="874">
        <v>11.75</v>
      </c>
      <c r="F44" s="874">
        <v>6.2155000000000005</v>
      </c>
      <c r="G44" s="875">
        <v>7.7450000000000001</v>
      </c>
      <c r="H44" s="550"/>
      <c r="L44" s="206"/>
    </row>
    <row r="45" spans="1:12">
      <c r="A45" s="547" t="s">
        <v>68</v>
      </c>
      <c r="B45" s="541" t="s">
        <v>355</v>
      </c>
      <c r="C45" s="541" t="s">
        <v>764</v>
      </c>
      <c r="D45" s="880">
        <v>0</v>
      </c>
      <c r="E45" s="874">
        <v>14.916666666666666</v>
      </c>
      <c r="F45" s="874">
        <v>0</v>
      </c>
      <c r="G45" s="875">
        <v>5.3994999999999997</v>
      </c>
      <c r="H45" s="550"/>
      <c r="J45" s="683"/>
    </row>
    <row r="46" spans="1:12">
      <c r="A46" s="547" t="s">
        <v>68</v>
      </c>
      <c r="B46" s="541" t="s">
        <v>353</v>
      </c>
      <c r="C46" s="541" t="s">
        <v>474</v>
      </c>
      <c r="D46" s="880">
        <v>4.583333333333333</v>
      </c>
      <c r="E46" s="874">
        <v>4.8333333333333321</v>
      </c>
      <c r="F46" s="874">
        <v>3.3275000000000001</v>
      </c>
      <c r="G46" s="875">
        <v>3.246</v>
      </c>
      <c r="H46" s="550"/>
      <c r="J46" s="683"/>
    </row>
    <row r="47" spans="1:12">
      <c r="A47" s="1066" t="s">
        <v>1026</v>
      </c>
      <c r="B47" s="1067"/>
      <c r="C47" s="1067"/>
      <c r="D47" s="881">
        <v>147.58333333333331</v>
      </c>
      <c r="E47" s="887">
        <v>178.25</v>
      </c>
      <c r="F47" s="882">
        <v>124.49549999999999</v>
      </c>
      <c r="G47" s="888">
        <v>111.41100000000002</v>
      </c>
      <c r="H47" s="550"/>
      <c r="J47" s="683"/>
    </row>
    <row r="48" spans="1:12">
      <c r="A48" s="546" t="s">
        <v>44</v>
      </c>
      <c r="B48" s="541" t="s">
        <v>357</v>
      </c>
      <c r="C48" s="541" t="s">
        <v>475</v>
      </c>
      <c r="D48" s="880">
        <v>202.00000000000003</v>
      </c>
      <c r="E48" s="874">
        <v>187.74999999999997</v>
      </c>
      <c r="F48" s="874">
        <v>397.35639999999995</v>
      </c>
      <c r="G48" s="875">
        <v>357.85990833333329</v>
      </c>
      <c r="H48" s="550"/>
      <c r="J48" s="683"/>
    </row>
    <row r="49" spans="1:10">
      <c r="A49" s="548" t="s">
        <v>44</v>
      </c>
      <c r="B49" s="541" t="s">
        <v>358</v>
      </c>
      <c r="C49" s="541" t="s">
        <v>476</v>
      </c>
      <c r="D49" s="880">
        <v>1078.25</v>
      </c>
      <c r="E49" s="874">
        <v>814.25</v>
      </c>
      <c r="F49" s="874">
        <v>302.82139999999998</v>
      </c>
      <c r="G49" s="875">
        <v>284.42190833333331</v>
      </c>
      <c r="H49" s="550"/>
      <c r="J49" s="683"/>
    </row>
    <row r="50" spans="1:10">
      <c r="A50" s="1066" t="s">
        <v>873</v>
      </c>
      <c r="B50" s="1067"/>
      <c r="C50" s="1067"/>
      <c r="D50" s="889">
        <v>1280.25</v>
      </c>
      <c r="E50" s="882">
        <v>1002</v>
      </c>
      <c r="F50" s="882">
        <v>700.17779999999993</v>
      </c>
      <c r="G50" s="887">
        <v>642.2818166666666</v>
      </c>
      <c r="H50" s="550"/>
      <c r="J50" s="683"/>
    </row>
    <row r="51" spans="1:10">
      <c r="A51" s="546" t="s">
        <v>69</v>
      </c>
      <c r="B51" s="541" t="s">
        <v>386</v>
      </c>
      <c r="C51" s="541" t="s">
        <v>485</v>
      </c>
      <c r="D51" s="880">
        <v>0.75</v>
      </c>
      <c r="E51" s="874">
        <v>0.91666666666666674</v>
      </c>
      <c r="F51" s="874">
        <v>2.5500000000000002E-2</v>
      </c>
      <c r="G51" s="875">
        <v>4.5500000000000006E-2</v>
      </c>
      <c r="H51" s="550"/>
      <c r="I51" s="683"/>
      <c r="J51" s="683"/>
    </row>
    <row r="52" spans="1:10">
      <c r="A52" s="547" t="s">
        <v>69</v>
      </c>
      <c r="B52" s="541" t="s">
        <v>382</v>
      </c>
      <c r="C52" s="541" t="s">
        <v>486</v>
      </c>
      <c r="D52" s="880">
        <v>1.4999999999999996</v>
      </c>
      <c r="E52" s="874">
        <v>1</v>
      </c>
      <c r="F52" s="874">
        <v>0.87349999999999994</v>
      </c>
      <c r="G52" s="875">
        <v>0.65249999999999997</v>
      </c>
      <c r="H52" s="550"/>
      <c r="I52" s="683"/>
      <c r="J52" s="683"/>
    </row>
    <row r="53" spans="1:10">
      <c r="A53" s="547" t="s">
        <v>69</v>
      </c>
      <c r="B53" s="541" t="s">
        <v>944</v>
      </c>
      <c r="C53" s="541" t="s">
        <v>475</v>
      </c>
      <c r="D53" s="880">
        <v>0.25</v>
      </c>
      <c r="E53" s="874">
        <v>0</v>
      </c>
      <c r="F53" s="874">
        <v>0.18000000000000002</v>
      </c>
      <c r="G53" s="875">
        <v>0</v>
      </c>
      <c r="H53" s="550"/>
      <c r="I53" s="683"/>
      <c r="J53" s="683"/>
    </row>
    <row r="54" spans="1:10">
      <c r="A54" s="547" t="s">
        <v>69</v>
      </c>
      <c r="B54" s="541" t="s">
        <v>945</v>
      </c>
      <c r="C54" s="541" t="s">
        <v>487</v>
      </c>
      <c r="D54" s="880">
        <v>1.9999999999999996</v>
      </c>
      <c r="E54" s="874">
        <v>2.1666666666666665</v>
      </c>
      <c r="F54" s="874">
        <v>0.9674999999999998</v>
      </c>
      <c r="G54" s="875">
        <v>0.49900000000000005</v>
      </c>
      <c r="H54" s="550"/>
      <c r="I54" s="683"/>
      <c r="J54" s="683"/>
    </row>
    <row r="55" spans="1:10">
      <c r="A55" s="547" t="s">
        <v>69</v>
      </c>
      <c r="B55" s="541" t="s">
        <v>402</v>
      </c>
      <c r="C55" s="541" t="s">
        <v>488</v>
      </c>
      <c r="D55" s="880">
        <v>0.33333333333333331</v>
      </c>
      <c r="E55" s="874">
        <v>0.41666666666666663</v>
      </c>
      <c r="F55" s="874">
        <v>1.9000000000000003E-2</v>
      </c>
      <c r="G55" s="875">
        <v>3.6000000000000004E-2</v>
      </c>
      <c r="H55" s="550"/>
      <c r="I55" s="683"/>
      <c r="J55" s="683"/>
    </row>
    <row r="56" spans="1:10">
      <c r="A56" s="547" t="s">
        <v>69</v>
      </c>
      <c r="B56" s="541" t="s">
        <v>789</v>
      </c>
      <c r="C56" s="541" t="s">
        <v>782</v>
      </c>
      <c r="D56" s="880">
        <v>3.916666666666667</v>
      </c>
      <c r="E56" s="874">
        <v>3.8333333333333339</v>
      </c>
      <c r="F56" s="874">
        <v>2.4899999999999998</v>
      </c>
      <c r="G56" s="875">
        <v>2.48</v>
      </c>
      <c r="H56" s="550"/>
      <c r="I56" s="683"/>
      <c r="J56" s="683"/>
    </row>
    <row r="57" spans="1:10">
      <c r="A57" s="547" t="s">
        <v>69</v>
      </c>
      <c r="B57" s="541" t="s">
        <v>1214</v>
      </c>
      <c r="C57" s="541" t="s">
        <v>524</v>
      </c>
      <c r="D57" s="880">
        <v>0</v>
      </c>
      <c r="E57" s="874">
        <v>19.416666666666664</v>
      </c>
      <c r="F57" s="874">
        <v>0</v>
      </c>
      <c r="G57" s="875">
        <v>10.128500000000001</v>
      </c>
      <c r="H57" s="550"/>
      <c r="I57" s="683"/>
      <c r="J57" s="683"/>
    </row>
    <row r="58" spans="1:10">
      <c r="A58" s="547" t="s">
        <v>69</v>
      </c>
      <c r="B58" s="541" t="s">
        <v>1215</v>
      </c>
      <c r="C58" s="541" t="s">
        <v>530</v>
      </c>
      <c r="D58" s="880">
        <v>6.9166666666666661</v>
      </c>
      <c r="E58" s="874">
        <v>13.499999999999998</v>
      </c>
      <c r="F58" s="874">
        <v>3.988</v>
      </c>
      <c r="G58" s="875">
        <v>6.9245000000000019</v>
      </c>
      <c r="H58" s="550"/>
      <c r="I58" s="683"/>
      <c r="J58" s="683"/>
    </row>
    <row r="59" spans="1:10">
      <c r="A59" s="547" t="s">
        <v>69</v>
      </c>
      <c r="B59" s="541" t="s">
        <v>373</v>
      </c>
      <c r="C59" s="541" t="s">
        <v>489</v>
      </c>
      <c r="D59" s="880">
        <v>15.416666666666666</v>
      </c>
      <c r="E59" s="874">
        <v>15.583333333333334</v>
      </c>
      <c r="F59" s="874">
        <v>11.2805</v>
      </c>
      <c r="G59" s="875">
        <v>24.795999999999999</v>
      </c>
      <c r="H59" s="550"/>
      <c r="I59" s="683"/>
      <c r="J59" s="683"/>
    </row>
    <row r="60" spans="1:10">
      <c r="A60" s="547" t="s">
        <v>69</v>
      </c>
      <c r="B60" s="541" t="s">
        <v>391</v>
      </c>
      <c r="C60" s="541" t="s">
        <v>490</v>
      </c>
      <c r="D60" s="880">
        <v>1</v>
      </c>
      <c r="E60" s="874">
        <v>1</v>
      </c>
      <c r="F60" s="874">
        <v>0.61049999999999993</v>
      </c>
      <c r="G60" s="875">
        <v>0.72899999999999987</v>
      </c>
      <c r="H60" s="550"/>
      <c r="I60" s="683"/>
      <c r="J60" s="683"/>
    </row>
    <row r="61" spans="1:10">
      <c r="A61" s="547" t="s">
        <v>69</v>
      </c>
      <c r="B61" s="541" t="s">
        <v>388</v>
      </c>
      <c r="C61" s="541" t="s">
        <v>469</v>
      </c>
      <c r="D61" s="880">
        <v>9.0833333333333357</v>
      </c>
      <c r="E61" s="874">
        <v>7.666666666666667</v>
      </c>
      <c r="F61" s="874">
        <v>6.400500000000001</v>
      </c>
      <c r="G61" s="875">
        <v>5.5670000000000002</v>
      </c>
      <c r="H61" s="550"/>
      <c r="I61" s="683"/>
      <c r="J61" s="683"/>
    </row>
    <row r="62" spans="1:10">
      <c r="A62" s="547" t="s">
        <v>69</v>
      </c>
      <c r="B62" s="541" t="s">
        <v>388</v>
      </c>
      <c r="C62" s="541" t="s">
        <v>1324</v>
      </c>
      <c r="D62" s="880">
        <v>4.5</v>
      </c>
      <c r="E62" s="874">
        <v>4.7499999999999991</v>
      </c>
      <c r="F62" s="874">
        <v>3.5489999999999995</v>
      </c>
      <c r="G62" s="875">
        <v>4.7215000000000007</v>
      </c>
      <c r="H62" s="550"/>
      <c r="I62" s="683"/>
      <c r="J62" s="683"/>
    </row>
    <row r="63" spans="1:10">
      <c r="A63" s="547" t="s">
        <v>69</v>
      </c>
      <c r="B63" s="541" t="s">
        <v>388</v>
      </c>
      <c r="C63" s="541" t="s">
        <v>487</v>
      </c>
      <c r="D63" s="880">
        <v>11.166666666666666</v>
      </c>
      <c r="E63" s="874">
        <v>12.000000000000002</v>
      </c>
      <c r="F63" s="874">
        <v>7.8170000000000002</v>
      </c>
      <c r="G63" s="875">
        <v>8.6420000000000012</v>
      </c>
      <c r="H63" s="550"/>
      <c r="I63" s="683"/>
      <c r="J63" s="683"/>
    </row>
    <row r="64" spans="1:10">
      <c r="A64" s="547" t="s">
        <v>69</v>
      </c>
      <c r="B64" s="541" t="s">
        <v>847</v>
      </c>
      <c r="C64" s="541" t="s">
        <v>526</v>
      </c>
      <c r="D64" s="880">
        <v>4.833333333333333</v>
      </c>
      <c r="E64" s="874">
        <v>3.0833333333333335</v>
      </c>
      <c r="F64" s="874">
        <v>1.7270000000000001</v>
      </c>
      <c r="G64" s="875">
        <v>0.17250000000000001</v>
      </c>
      <c r="H64" s="550"/>
      <c r="I64" s="683"/>
      <c r="J64" s="683"/>
    </row>
    <row r="65" spans="1:10">
      <c r="A65" s="547" t="s">
        <v>69</v>
      </c>
      <c r="B65" s="541" t="s">
        <v>946</v>
      </c>
      <c r="C65" s="541" t="s">
        <v>487</v>
      </c>
      <c r="D65" s="880">
        <v>7.75</v>
      </c>
      <c r="E65" s="874">
        <v>10.416666666666668</v>
      </c>
      <c r="F65" s="874">
        <v>1.6820000000000002</v>
      </c>
      <c r="G65" s="875">
        <v>2.0435000000000003</v>
      </c>
      <c r="H65" s="550"/>
      <c r="I65" s="683"/>
      <c r="J65" s="683"/>
    </row>
    <row r="66" spans="1:10">
      <c r="A66" s="547" t="s">
        <v>69</v>
      </c>
      <c r="B66" s="541" t="s">
        <v>947</v>
      </c>
      <c r="C66" s="541" t="s">
        <v>491</v>
      </c>
      <c r="D66" s="880">
        <v>293.91666666666663</v>
      </c>
      <c r="E66" s="874">
        <v>303.66666666666663</v>
      </c>
      <c r="F66" s="874">
        <v>71.421999999999997</v>
      </c>
      <c r="G66" s="875">
        <v>64.753500000000003</v>
      </c>
      <c r="H66" s="550"/>
      <c r="I66" s="683"/>
      <c r="J66" s="683"/>
    </row>
    <row r="67" spans="1:10">
      <c r="A67" s="547" t="s">
        <v>69</v>
      </c>
      <c r="B67" s="541" t="s">
        <v>882</v>
      </c>
      <c r="C67" s="541" t="s">
        <v>883</v>
      </c>
      <c r="D67" s="880">
        <v>1.4999999999999998</v>
      </c>
      <c r="E67" s="874">
        <v>1.8333333333333333</v>
      </c>
      <c r="F67" s="874">
        <v>0.28200000000000003</v>
      </c>
      <c r="G67" s="875">
        <v>1.0195000000000001</v>
      </c>
      <c r="H67" s="550"/>
      <c r="I67" s="683"/>
      <c r="J67" s="683"/>
    </row>
    <row r="68" spans="1:10">
      <c r="A68" s="547" t="s">
        <v>69</v>
      </c>
      <c r="B68" s="541" t="s">
        <v>948</v>
      </c>
      <c r="C68" s="541" t="s">
        <v>494</v>
      </c>
      <c r="D68" s="880">
        <v>10.666666666666668</v>
      </c>
      <c r="E68" s="874">
        <v>13.500000000000002</v>
      </c>
      <c r="F68" s="874">
        <v>0.66800000000000015</v>
      </c>
      <c r="G68" s="875">
        <v>1.0900000000000001</v>
      </c>
      <c r="H68" s="550"/>
      <c r="I68" s="683"/>
      <c r="J68" s="683"/>
    </row>
    <row r="69" spans="1:10">
      <c r="A69" s="547" t="s">
        <v>69</v>
      </c>
      <c r="B69" s="541" t="s">
        <v>364</v>
      </c>
      <c r="C69" s="541" t="s">
        <v>496</v>
      </c>
      <c r="D69" s="880">
        <v>3.5</v>
      </c>
      <c r="E69" s="874">
        <v>8.3333333333333321</v>
      </c>
      <c r="F69" s="874">
        <v>4.4525000000000006</v>
      </c>
      <c r="G69" s="875">
        <v>5.841000000000002</v>
      </c>
      <c r="H69" s="550"/>
      <c r="I69" s="683"/>
      <c r="J69" s="683"/>
    </row>
    <row r="70" spans="1:10">
      <c r="A70" s="547" t="s">
        <v>69</v>
      </c>
      <c r="B70" s="541" t="s">
        <v>364</v>
      </c>
      <c r="C70" s="541" t="s">
        <v>497</v>
      </c>
      <c r="D70" s="880">
        <v>4</v>
      </c>
      <c r="E70" s="874">
        <v>3.1666666666666679</v>
      </c>
      <c r="F70" s="874">
        <v>5.1825000000000001</v>
      </c>
      <c r="G70" s="875">
        <v>3.8370000000000002</v>
      </c>
      <c r="H70" s="550"/>
      <c r="I70" s="683"/>
      <c r="J70" s="683"/>
    </row>
    <row r="71" spans="1:10">
      <c r="A71" s="547" t="s">
        <v>69</v>
      </c>
      <c r="B71" s="541" t="s">
        <v>364</v>
      </c>
      <c r="C71" s="541" t="s">
        <v>498</v>
      </c>
      <c r="D71" s="880">
        <v>16.166666666666668</v>
      </c>
      <c r="E71" s="874">
        <v>12.083333333333334</v>
      </c>
      <c r="F71" s="874">
        <v>18.141999999999999</v>
      </c>
      <c r="G71" s="875">
        <v>7.8014999999999999</v>
      </c>
      <c r="H71" s="550"/>
      <c r="I71" s="683"/>
      <c r="J71" s="683"/>
    </row>
    <row r="72" spans="1:10">
      <c r="A72" s="547" t="s">
        <v>69</v>
      </c>
      <c r="B72" s="541" t="s">
        <v>364</v>
      </c>
      <c r="C72" s="541" t="s">
        <v>499</v>
      </c>
      <c r="D72" s="880">
        <v>221.25000000000003</v>
      </c>
      <c r="E72" s="874">
        <v>201.91666666666666</v>
      </c>
      <c r="F72" s="874">
        <v>63.805500000000002</v>
      </c>
      <c r="G72" s="875">
        <v>62.268999999999991</v>
      </c>
      <c r="H72" s="550"/>
      <c r="I72" s="683"/>
      <c r="J72" s="683"/>
    </row>
    <row r="73" spans="1:10">
      <c r="A73" s="547" t="s">
        <v>69</v>
      </c>
      <c r="B73" s="541" t="s">
        <v>364</v>
      </c>
      <c r="C73" s="541" t="s">
        <v>500</v>
      </c>
      <c r="D73" s="880">
        <v>7.083333333333333</v>
      </c>
      <c r="E73" s="874">
        <v>24.416666666666664</v>
      </c>
      <c r="F73" s="874">
        <v>4.7644999999999991</v>
      </c>
      <c r="G73" s="875">
        <v>3.0375000000000001</v>
      </c>
      <c r="H73" s="550"/>
      <c r="I73" s="683"/>
      <c r="J73" s="683"/>
    </row>
    <row r="74" spans="1:10">
      <c r="A74" s="547" t="s">
        <v>69</v>
      </c>
      <c r="B74" s="541" t="s">
        <v>364</v>
      </c>
      <c r="C74" s="541" t="s">
        <v>501</v>
      </c>
      <c r="D74" s="880">
        <v>1.5833333333333328</v>
      </c>
      <c r="E74" s="874">
        <v>1</v>
      </c>
      <c r="F74" s="874">
        <v>4.6500000000000007E-2</v>
      </c>
      <c r="G74" s="875">
        <v>6.0000000000000019E-3</v>
      </c>
      <c r="H74" s="550"/>
      <c r="I74" s="683"/>
      <c r="J74" s="683"/>
    </row>
    <row r="75" spans="1:10">
      <c r="A75" s="547" t="s">
        <v>69</v>
      </c>
      <c r="B75" s="541" t="s">
        <v>371</v>
      </c>
      <c r="C75" s="541" t="s">
        <v>502</v>
      </c>
      <c r="D75" s="880">
        <v>1.7500000000000002</v>
      </c>
      <c r="E75" s="874">
        <v>1.9166666666666667</v>
      </c>
      <c r="F75" s="874">
        <v>4.1499999999999995E-2</v>
      </c>
      <c r="G75" s="875">
        <v>0.08</v>
      </c>
      <c r="H75" s="550"/>
      <c r="I75" s="683"/>
      <c r="J75" s="683"/>
    </row>
    <row r="76" spans="1:10">
      <c r="A76" s="547" t="s">
        <v>69</v>
      </c>
      <c r="B76" s="541" t="s">
        <v>371</v>
      </c>
      <c r="C76" s="541" t="s">
        <v>545</v>
      </c>
      <c r="D76" s="880">
        <v>7.8333333333333339</v>
      </c>
      <c r="E76" s="874">
        <v>8.9166666666666679</v>
      </c>
      <c r="F76" s="874">
        <v>1.6244999999999998</v>
      </c>
      <c r="G76" s="875">
        <v>1.5640000000000001</v>
      </c>
      <c r="H76" s="550"/>
      <c r="I76" s="683"/>
      <c r="J76" s="683"/>
    </row>
    <row r="77" spans="1:10">
      <c r="A77" s="547" t="s">
        <v>69</v>
      </c>
      <c r="B77" s="541" t="s">
        <v>379</v>
      </c>
      <c r="C77" s="541" t="s">
        <v>503</v>
      </c>
      <c r="D77" s="880">
        <v>12.083333333333332</v>
      </c>
      <c r="E77" s="874">
        <v>11.166666666666666</v>
      </c>
      <c r="F77" s="874">
        <v>6.5660000000000007</v>
      </c>
      <c r="G77" s="875">
        <v>4.6275000000000004</v>
      </c>
      <c r="H77" s="550"/>
      <c r="I77" s="722"/>
      <c r="J77" s="683"/>
    </row>
    <row r="78" spans="1:10">
      <c r="A78" s="547" t="s">
        <v>69</v>
      </c>
      <c r="B78" s="541" t="s">
        <v>369</v>
      </c>
      <c r="C78" s="541" t="s">
        <v>504</v>
      </c>
      <c r="D78" s="880">
        <v>2.0833333333333335</v>
      </c>
      <c r="E78" s="874">
        <v>2.7499999999999996</v>
      </c>
      <c r="F78" s="874">
        <v>6.4000000000000001E-2</v>
      </c>
      <c r="G78" s="875">
        <v>9.0499999999999997E-2</v>
      </c>
      <c r="H78" s="550"/>
      <c r="I78" s="722"/>
      <c r="J78" s="683"/>
    </row>
    <row r="79" spans="1:10">
      <c r="A79" s="547" t="s">
        <v>69</v>
      </c>
      <c r="B79" s="541" t="s">
        <v>369</v>
      </c>
      <c r="C79" s="541" t="s">
        <v>505</v>
      </c>
      <c r="D79" s="880">
        <v>2.1666666666666665</v>
      </c>
      <c r="E79" s="874">
        <v>0</v>
      </c>
      <c r="F79" s="874">
        <v>8.1500000000000017E-2</v>
      </c>
      <c r="G79" s="875">
        <v>0</v>
      </c>
      <c r="H79" s="550"/>
      <c r="I79" s="722"/>
      <c r="J79" s="683"/>
    </row>
    <row r="80" spans="1:10">
      <c r="A80" s="547" t="s">
        <v>69</v>
      </c>
      <c r="B80" s="541" t="s">
        <v>455</v>
      </c>
      <c r="C80" s="541" t="s">
        <v>493</v>
      </c>
      <c r="D80" s="880">
        <v>11.416666666666668</v>
      </c>
      <c r="E80" s="874">
        <v>17.166666666666668</v>
      </c>
      <c r="F80" s="874">
        <v>3.8334999999999995</v>
      </c>
      <c r="G80" s="875">
        <v>6.6835000000000013</v>
      </c>
      <c r="H80" s="550"/>
      <c r="I80" s="722"/>
      <c r="J80" s="683"/>
    </row>
    <row r="81" spans="1:10">
      <c r="A81" s="547" t="s">
        <v>69</v>
      </c>
      <c r="B81" s="541" t="s">
        <v>387</v>
      </c>
      <c r="C81" s="541" t="s">
        <v>506</v>
      </c>
      <c r="D81" s="880">
        <v>1</v>
      </c>
      <c r="E81" s="874">
        <v>0.91666666666666674</v>
      </c>
      <c r="F81" s="874">
        <v>0.95499999999999985</v>
      </c>
      <c r="G81" s="875">
        <v>1.0015000000000001</v>
      </c>
      <c r="H81" s="550"/>
      <c r="I81" s="722"/>
      <c r="J81" s="683"/>
    </row>
    <row r="82" spans="1:10">
      <c r="A82" s="547" t="s">
        <v>69</v>
      </c>
      <c r="B82" s="541" t="s">
        <v>387</v>
      </c>
      <c r="C82" s="541" t="s">
        <v>1097</v>
      </c>
      <c r="D82" s="880">
        <v>0.75</v>
      </c>
      <c r="E82" s="874">
        <v>3.083333333333333</v>
      </c>
      <c r="F82" s="874">
        <v>0.58549999999999991</v>
      </c>
      <c r="G82" s="875">
        <v>3.1</v>
      </c>
      <c r="H82" s="550"/>
      <c r="I82" s="722"/>
      <c r="J82" s="683"/>
    </row>
    <row r="83" spans="1:10">
      <c r="A83" s="547" t="s">
        <v>69</v>
      </c>
      <c r="B83" s="541" t="s">
        <v>390</v>
      </c>
      <c r="C83" s="541" t="s">
        <v>487</v>
      </c>
      <c r="D83" s="880">
        <v>3.4166666666666665</v>
      </c>
      <c r="E83" s="874">
        <v>3.166666666666667</v>
      </c>
      <c r="F83" s="874">
        <v>4.1584999999999992</v>
      </c>
      <c r="G83" s="875">
        <v>3.1679999999999997</v>
      </c>
      <c r="H83" s="550"/>
      <c r="I83" s="722"/>
      <c r="J83" s="683"/>
    </row>
    <row r="84" spans="1:10">
      <c r="A84" s="547" t="s">
        <v>69</v>
      </c>
      <c r="B84" s="541" t="s">
        <v>384</v>
      </c>
      <c r="C84" s="541" t="s">
        <v>507</v>
      </c>
      <c r="D84" s="880">
        <v>0.58333333333333326</v>
      </c>
      <c r="E84" s="874">
        <v>0.33333333333333331</v>
      </c>
      <c r="F84" s="874">
        <v>6.4500000000000002E-2</v>
      </c>
      <c r="G84" s="875">
        <v>2.7E-2</v>
      </c>
      <c r="H84" s="550"/>
      <c r="I84" s="722"/>
      <c r="J84" s="683"/>
    </row>
    <row r="85" spans="1:10">
      <c r="A85" s="547" t="s">
        <v>69</v>
      </c>
      <c r="B85" s="541" t="s">
        <v>1216</v>
      </c>
      <c r="C85" s="541" t="s">
        <v>528</v>
      </c>
      <c r="D85" s="880">
        <v>0</v>
      </c>
      <c r="E85" s="874">
        <v>0.91666666666666663</v>
      </c>
      <c r="F85" s="874">
        <v>0</v>
      </c>
      <c r="G85" s="875">
        <v>0.221</v>
      </c>
      <c r="H85" s="550"/>
      <c r="I85" s="722"/>
      <c r="J85" s="683"/>
    </row>
    <row r="86" spans="1:10">
      <c r="A86" s="547" t="s">
        <v>69</v>
      </c>
      <c r="B86" s="541" t="s">
        <v>378</v>
      </c>
      <c r="C86" s="541" t="s">
        <v>508</v>
      </c>
      <c r="D86" s="880">
        <v>6.166666666666667</v>
      </c>
      <c r="E86" s="874">
        <v>8.6666666666666679</v>
      </c>
      <c r="F86" s="874">
        <v>2.4480000000000004</v>
      </c>
      <c r="G86" s="875">
        <v>2.6184999999999996</v>
      </c>
      <c r="H86" s="550"/>
      <c r="I86" s="722"/>
      <c r="J86" s="683"/>
    </row>
    <row r="87" spans="1:10">
      <c r="A87" s="547" t="s">
        <v>69</v>
      </c>
      <c r="B87" s="541" t="s">
        <v>1325</v>
      </c>
      <c r="C87" s="541" t="s">
        <v>544</v>
      </c>
      <c r="D87" s="880">
        <v>0</v>
      </c>
      <c r="E87" s="874">
        <v>0.25</v>
      </c>
      <c r="F87" s="874">
        <v>0</v>
      </c>
      <c r="G87" s="875">
        <v>6.0000000000000001E-3</v>
      </c>
      <c r="H87" s="550"/>
      <c r="I87" s="722"/>
      <c r="J87" s="683"/>
    </row>
    <row r="88" spans="1:10">
      <c r="A88" s="547" t="s">
        <v>69</v>
      </c>
      <c r="B88" s="541" t="s">
        <v>392</v>
      </c>
      <c r="C88" s="541" t="s">
        <v>509</v>
      </c>
      <c r="D88" s="880">
        <v>0.25</v>
      </c>
      <c r="E88" s="874">
        <v>0</v>
      </c>
      <c r="F88" s="874">
        <v>0.1095</v>
      </c>
      <c r="G88" s="875">
        <v>0</v>
      </c>
      <c r="H88" s="550"/>
      <c r="I88" s="722"/>
      <c r="J88" s="683"/>
    </row>
    <row r="89" spans="1:10">
      <c r="A89" s="547" t="s">
        <v>69</v>
      </c>
      <c r="B89" s="541" t="s">
        <v>949</v>
      </c>
      <c r="C89" s="541" t="s">
        <v>497</v>
      </c>
      <c r="D89" s="880">
        <v>1.5833333333333335</v>
      </c>
      <c r="E89" s="874">
        <v>0</v>
      </c>
      <c r="F89" s="874">
        <v>2.2499999999999999E-2</v>
      </c>
      <c r="G89" s="875">
        <v>0</v>
      </c>
      <c r="H89" s="550"/>
      <c r="I89" s="722"/>
      <c r="J89" s="683"/>
    </row>
    <row r="90" spans="1:10">
      <c r="A90" s="547" t="s">
        <v>69</v>
      </c>
      <c r="B90" s="541" t="s">
        <v>950</v>
      </c>
      <c r="C90" s="541" t="s">
        <v>509</v>
      </c>
      <c r="D90" s="880">
        <v>1.2499999999999998</v>
      </c>
      <c r="E90" s="874">
        <v>1.6666666666666663</v>
      </c>
      <c r="F90" s="874">
        <v>1.079</v>
      </c>
      <c r="G90" s="875">
        <v>1.7469999999999999</v>
      </c>
      <c r="H90" s="550"/>
      <c r="I90" s="722"/>
      <c r="J90" s="683"/>
    </row>
    <row r="91" spans="1:10">
      <c r="A91" s="547" t="s">
        <v>69</v>
      </c>
      <c r="B91" s="541" t="s">
        <v>376</v>
      </c>
      <c r="C91" s="541" t="s">
        <v>510</v>
      </c>
      <c r="D91" s="880">
        <v>1</v>
      </c>
      <c r="E91" s="874">
        <v>0.91666666666666674</v>
      </c>
      <c r="F91" s="874">
        <v>0.6</v>
      </c>
      <c r="G91" s="875">
        <v>0.85399999999999998</v>
      </c>
      <c r="H91" s="550"/>
      <c r="I91" s="722"/>
      <c r="J91" s="683"/>
    </row>
    <row r="92" spans="1:10">
      <c r="A92" s="547" t="s">
        <v>69</v>
      </c>
      <c r="B92" s="541" t="s">
        <v>370</v>
      </c>
      <c r="C92" s="541" t="s">
        <v>511</v>
      </c>
      <c r="D92" s="880">
        <v>1.4166666666666665</v>
      </c>
      <c r="E92" s="874">
        <v>1</v>
      </c>
      <c r="F92" s="874">
        <v>1.1739999999999999</v>
      </c>
      <c r="G92" s="875">
        <v>0.94599999999999995</v>
      </c>
      <c r="H92" s="550"/>
      <c r="I92" s="722"/>
      <c r="J92" s="683"/>
    </row>
    <row r="93" spans="1:10">
      <c r="A93" s="547" t="s">
        <v>69</v>
      </c>
      <c r="B93" s="541" t="s">
        <v>393</v>
      </c>
      <c r="C93" s="541" t="s">
        <v>512</v>
      </c>
      <c r="D93" s="880">
        <v>1</v>
      </c>
      <c r="E93" s="874">
        <v>1</v>
      </c>
      <c r="F93" s="874">
        <v>0.12849999999999998</v>
      </c>
      <c r="G93" s="875">
        <v>0.16650000000000004</v>
      </c>
      <c r="H93" s="550"/>
      <c r="I93" s="722"/>
      <c r="J93" s="683"/>
    </row>
    <row r="94" spans="1:10">
      <c r="A94" s="547" t="s">
        <v>69</v>
      </c>
      <c r="B94" s="541" t="s">
        <v>1217</v>
      </c>
      <c r="C94" s="541" t="s">
        <v>514</v>
      </c>
      <c r="D94" s="880">
        <v>1.5</v>
      </c>
      <c r="E94" s="874">
        <v>0</v>
      </c>
      <c r="F94" s="874">
        <v>5.1499999999999997E-2</v>
      </c>
      <c r="G94" s="875">
        <v>0</v>
      </c>
      <c r="H94" s="550"/>
      <c r="I94" s="722"/>
      <c r="J94" s="683"/>
    </row>
    <row r="95" spans="1:10">
      <c r="A95" s="547" t="s">
        <v>69</v>
      </c>
      <c r="B95" s="541" t="s">
        <v>404</v>
      </c>
      <c r="C95" s="541" t="s">
        <v>527</v>
      </c>
      <c r="D95" s="880">
        <v>3.416666666666667</v>
      </c>
      <c r="E95" s="874">
        <v>2.6666666666666665</v>
      </c>
      <c r="F95" s="874">
        <v>4.7480000000000011</v>
      </c>
      <c r="G95" s="875">
        <v>2.7765</v>
      </c>
      <c r="H95" s="550"/>
      <c r="I95" s="722"/>
      <c r="J95" s="683"/>
    </row>
    <row r="96" spans="1:10">
      <c r="A96" s="547" t="s">
        <v>69</v>
      </c>
      <c r="B96" s="541" t="s">
        <v>398</v>
      </c>
      <c r="C96" s="541" t="s">
        <v>515</v>
      </c>
      <c r="D96" s="880">
        <v>3</v>
      </c>
      <c r="E96" s="874">
        <v>3</v>
      </c>
      <c r="F96" s="874">
        <v>0.1845</v>
      </c>
      <c r="G96" s="875">
        <v>0.2</v>
      </c>
      <c r="H96" s="550"/>
      <c r="I96" s="722"/>
      <c r="J96" s="683"/>
    </row>
    <row r="97" spans="1:10">
      <c r="A97" s="547" t="s">
        <v>69</v>
      </c>
      <c r="B97" s="541" t="s">
        <v>790</v>
      </c>
      <c r="C97" s="541" t="s">
        <v>513</v>
      </c>
      <c r="D97" s="880">
        <v>2.5000000000000004</v>
      </c>
      <c r="E97" s="874">
        <v>0</v>
      </c>
      <c r="F97" s="874">
        <v>0.05</v>
      </c>
      <c r="G97" s="875">
        <v>0</v>
      </c>
      <c r="H97" s="550"/>
      <c r="I97" s="722"/>
      <c r="J97" s="683"/>
    </row>
    <row r="98" spans="1:10">
      <c r="A98" s="547" t="s">
        <v>69</v>
      </c>
      <c r="B98" s="541" t="s">
        <v>403</v>
      </c>
      <c r="C98" s="541" t="s">
        <v>516</v>
      </c>
      <c r="D98" s="880">
        <v>1.5</v>
      </c>
      <c r="E98" s="874">
        <v>3.2500000000000009</v>
      </c>
      <c r="F98" s="874">
        <v>0.03</v>
      </c>
      <c r="G98" s="875">
        <v>1.0134999999999998</v>
      </c>
      <c r="H98" s="550"/>
      <c r="I98" s="683"/>
      <c r="J98" s="683"/>
    </row>
    <row r="99" spans="1:10">
      <c r="A99" s="547" t="s">
        <v>69</v>
      </c>
      <c r="B99" s="541" t="s">
        <v>951</v>
      </c>
      <c r="C99" s="541" t="s">
        <v>597</v>
      </c>
      <c r="D99" s="880">
        <v>1.0833333333333333</v>
      </c>
      <c r="E99" s="874">
        <v>2.75</v>
      </c>
      <c r="F99" s="874">
        <v>0.33249999999999996</v>
      </c>
      <c r="G99" s="875">
        <v>3.0940000000000003</v>
      </c>
      <c r="H99" s="550"/>
      <c r="I99" s="683"/>
      <c r="J99" s="683"/>
    </row>
    <row r="100" spans="1:10">
      <c r="A100" s="547" t="s">
        <v>69</v>
      </c>
      <c r="B100" s="541" t="s">
        <v>400</v>
      </c>
      <c r="C100" s="541" t="s">
        <v>517</v>
      </c>
      <c r="D100" s="880">
        <v>3.1666666666666661</v>
      </c>
      <c r="E100" s="874">
        <v>0.99999999999999989</v>
      </c>
      <c r="F100" s="874">
        <v>1.6170000000000002</v>
      </c>
      <c r="G100" s="875">
        <v>0.11</v>
      </c>
      <c r="H100" s="550"/>
      <c r="I100" s="683"/>
      <c r="J100" s="683"/>
    </row>
    <row r="101" spans="1:10">
      <c r="A101" s="547" t="s">
        <v>69</v>
      </c>
      <c r="B101" s="541" t="s">
        <v>365</v>
      </c>
      <c r="C101" s="541" t="s">
        <v>518</v>
      </c>
      <c r="D101" s="880">
        <v>3.0833333333333335</v>
      </c>
      <c r="E101" s="874">
        <v>4.75</v>
      </c>
      <c r="F101" s="874">
        <v>0.48499999999999993</v>
      </c>
      <c r="G101" s="875">
        <v>0.23749999999999999</v>
      </c>
      <c r="H101" s="550"/>
      <c r="I101" s="683"/>
      <c r="J101" s="683"/>
    </row>
    <row r="102" spans="1:10">
      <c r="A102" s="547" t="s">
        <v>69</v>
      </c>
      <c r="B102" s="541" t="s">
        <v>1326</v>
      </c>
      <c r="C102" s="541" t="s">
        <v>883</v>
      </c>
      <c r="D102" s="880">
        <v>0</v>
      </c>
      <c r="E102" s="874">
        <v>4.583333333333333</v>
      </c>
      <c r="F102" s="874">
        <v>0</v>
      </c>
      <c r="G102" s="875">
        <v>0.63749999999999996</v>
      </c>
      <c r="H102" s="550"/>
      <c r="I102" s="683"/>
      <c r="J102" s="683"/>
    </row>
    <row r="103" spans="1:10">
      <c r="A103" s="547" t="s">
        <v>69</v>
      </c>
      <c r="B103" s="541" t="s">
        <v>287</v>
      </c>
      <c r="C103" s="541" t="s">
        <v>495</v>
      </c>
      <c r="D103" s="880">
        <v>2.166666666666667</v>
      </c>
      <c r="E103" s="874">
        <v>5.916666666666667</v>
      </c>
      <c r="F103" s="874">
        <v>0.75150000000000006</v>
      </c>
      <c r="G103" s="875">
        <v>0.74949999999999994</v>
      </c>
      <c r="H103" s="550"/>
      <c r="I103" s="683"/>
      <c r="J103" s="683"/>
    </row>
    <row r="104" spans="1:10">
      <c r="A104" s="547" t="s">
        <v>69</v>
      </c>
      <c r="B104" s="541" t="s">
        <v>287</v>
      </c>
      <c r="C104" s="541" t="s">
        <v>519</v>
      </c>
      <c r="D104" s="880">
        <v>26</v>
      </c>
      <c r="E104" s="874">
        <v>27.333333333333336</v>
      </c>
      <c r="F104" s="874">
        <v>12.456000000000003</v>
      </c>
      <c r="G104" s="875">
        <v>12.622000000000002</v>
      </c>
      <c r="H104" s="550"/>
      <c r="I104" s="683"/>
      <c r="J104" s="683"/>
    </row>
    <row r="105" spans="1:10">
      <c r="A105" s="547" t="s">
        <v>69</v>
      </c>
      <c r="B105" s="541" t="s">
        <v>287</v>
      </c>
      <c r="C105" s="541" t="s">
        <v>520</v>
      </c>
      <c r="D105" s="880">
        <v>38.166666666666664</v>
      </c>
      <c r="E105" s="874">
        <v>37</v>
      </c>
      <c r="F105" s="874">
        <v>13.924000000000001</v>
      </c>
      <c r="G105" s="875">
        <v>12.91</v>
      </c>
      <c r="H105" s="550"/>
      <c r="I105" s="683"/>
      <c r="J105" s="683"/>
    </row>
    <row r="106" spans="1:10">
      <c r="A106" s="547" t="s">
        <v>69</v>
      </c>
      <c r="B106" s="541" t="s">
        <v>287</v>
      </c>
      <c r="C106" s="541" t="s">
        <v>521</v>
      </c>
      <c r="D106" s="880">
        <v>3.083333333333333</v>
      </c>
      <c r="E106" s="874">
        <v>0.91666666666666663</v>
      </c>
      <c r="F106" s="874">
        <v>5.5000000000000007E-2</v>
      </c>
      <c r="G106" s="875">
        <v>6.9000000000000006E-2</v>
      </c>
      <c r="H106" s="550"/>
      <c r="I106" s="683"/>
      <c r="J106" s="683"/>
    </row>
    <row r="107" spans="1:10">
      <c r="A107" s="547" t="s">
        <v>69</v>
      </c>
      <c r="B107" s="541" t="s">
        <v>287</v>
      </c>
      <c r="C107" s="541" t="s">
        <v>522</v>
      </c>
      <c r="D107" s="880">
        <v>10.333333333333334</v>
      </c>
      <c r="E107" s="874">
        <v>11.833333333333332</v>
      </c>
      <c r="F107" s="874">
        <v>6.2984999999999998</v>
      </c>
      <c r="G107" s="875">
        <v>7.1070000000000002</v>
      </c>
      <c r="H107" s="550"/>
      <c r="I107" s="683"/>
      <c r="J107" s="683"/>
    </row>
    <row r="108" spans="1:10">
      <c r="A108" s="547" t="s">
        <v>69</v>
      </c>
      <c r="B108" s="541" t="s">
        <v>287</v>
      </c>
      <c r="C108" s="541" t="s">
        <v>498</v>
      </c>
      <c r="D108" s="880">
        <v>19.833333333333332</v>
      </c>
      <c r="E108" s="874">
        <v>24.416666666666671</v>
      </c>
      <c r="F108" s="874">
        <v>11.093999999999999</v>
      </c>
      <c r="G108" s="875">
        <v>11.660000000000002</v>
      </c>
      <c r="H108" s="550"/>
      <c r="I108" s="683"/>
      <c r="J108" s="683"/>
    </row>
    <row r="109" spans="1:10">
      <c r="A109" s="547" t="s">
        <v>69</v>
      </c>
      <c r="B109" s="541" t="s">
        <v>287</v>
      </c>
      <c r="C109" s="541" t="s">
        <v>952</v>
      </c>
      <c r="D109" s="880">
        <v>79.916666666666657</v>
      </c>
      <c r="E109" s="874">
        <v>69.333333333333329</v>
      </c>
      <c r="F109" s="874">
        <v>5.2255000000000011</v>
      </c>
      <c r="G109" s="875">
        <v>5.5545000000000009</v>
      </c>
      <c r="H109" s="550"/>
      <c r="I109" s="683"/>
      <c r="J109" s="683"/>
    </row>
    <row r="110" spans="1:10">
      <c r="A110" s="547" t="s">
        <v>69</v>
      </c>
      <c r="B110" s="541" t="s">
        <v>287</v>
      </c>
      <c r="C110" s="541" t="s">
        <v>501</v>
      </c>
      <c r="D110" s="880">
        <v>6.083333333333333</v>
      </c>
      <c r="E110" s="874">
        <v>7.9166666666666661</v>
      </c>
      <c r="F110" s="874">
        <v>0.7759999999999998</v>
      </c>
      <c r="G110" s="875">
        <v>0.76450000000000018</v>
      </c>
      <c r="H110" s="550"/>
      <c r="I110" s="683"/>
      <c r="J110" s="683"/>
    </row>
    <row r="111" spans="1:10">
      <c r="A111" s="547" t="s">
        <v>69</v>
      </c>
      <c r="B111" s="541" t="s">
        <v>287</v>
      </c>
      <c r="C111" s="541" t="s">
        <v>523</v>
      </c>
      <c r="D111" s="880">
        <v>92.583333333333329</v>
      </c>
      <c r="E111" s="874">
        <v>100.99999999999999</v>
      </c>
      <c r="F111" s="874">
        <v>36.982999999999997</v>
      </c>
      <c r="G111" s="875">
        <v>38.5565</v>
      </c>
      <c r="H111" s="550"/>
      <c r="I111" s="683"/>
      <c r="J111" s="683"/>
    </row>
    <row r="112" spans="1:10">
      <c r="A112" s="547" t="s">
        <v>69</v>
      </c>
      <c r="B112" s="541" t="s">
        <v>287</v>
      </c>
      <c r="C112" s="541" t="s">
        <v>953</v>
      </c>
      <c r="D112" s="880">
        <v>52.166666666666664</v>
      </c>
      <c r="E112" s="874">
        <v>67.333333333333329</v>
      </c>
      <c r="F112" s="874">
        <v>5.4719999999999995</v>
      </c>
      <c r="G112" s="875">
        <v>5.3895</v>
      </c>
      <c r="H112" s="550"/>
      <c r="I112" s="683"/>
      <c r="J112" s="683"/>
    </row>
    <row r="113" spans="1:12">
      <c r="A113" s="547" t="s">
        <v>69</v>
      </c>
      <c r="B113" s="541" t="s">
        <v>360</v>
      </c>
      <c r="C113" s="541" t="s">
        <v>485</v>
      </c>
      <c r="D113" s="880">
        <v>64.083333333333343</v>
      </c>
      <c r="E113" s="874">
        <v>71.666666666666671</v>
      </c>
      <c r="F113" s="874">
        <v>6.3309999999999995</v>
      </c>
      <c r="G113" s="875">
        <v>5.96</v>
      </c>
      <c r="H113" s="550"/>
      <c r="I113" s="683"/>
      <c r="J113" s="683"/>
    </row>
    <row r="114" spans="1:12">
      <c r="A114" s="547" t="s">
        <v>69</v>
      </c>
      <c r="B114" s="541" t="s">
        <v>360</v>
      </c>
      <c r="C114" s="541" t="s">
        <v>519</v>
      </c>
      <c r="D114" s="880">
        <v>109.33333333333333</v>
      </c>
      <c r="E114" s="874">
        <v>122.08333333333334</v>
      </c>
      <c r="F114" s="874">
        <v>10.452</v>
      </c>
      <c r="G114" s="875">
        <v>10.671499999999998</v>
      </c>
      <c r="H114" s="550"/>
      <c r="I114" s="683"/>
      <c r="J114" s="683"/>
    </row>
    <row r="115" spans="1:12" s="298" customFormat="1">
      <c r="A115" s="547" t="s">
        <v>69</v>
      </c>
      <c r="B115" s="541" t="s">
        <v>360</v>
      </c>
      <c r="C115" s="541" t="s">
        <v>482</v>
      </c>
      <c r="D115" s="880">
        <v>9.1666666666666661</v>
      </c>
      <c r="E115" s="874">
        <v>10.000000000000002</v>
      </c>
      <c r="F115" s="874">
        <v>0.9345</v>
      </c>
      <c r="G115" s="875">
        <v>0.98449999999999993</v>
      </c>
      <c r="H115" s="550"/>
      <c r="I115" s="683"/>
      <c r="J115" s="683"/>
      <c r="L115" s="206"/>
    </row>
    <row r="116" spans="1:12">
      <c r="A116" s="547" t="s">
        <v>69</v>
      </c>
      <c r="B116" s="541" t="s">
        <v>360</v>
      </c>
      <c r="C116" s="541" t="s">
        <v>524</v>
      </c>
      <c r="D116" s="880">
        <v>43.833333333333329</v>
      </c>
      <c r="E116" s="874">
        <v>29.666666666666668</v>
      </c>
      <c r="F116" s="874">
        <v>9.7609999999999992</v>
      </c>
      <c r="G116" s="875">
        <v>4.87</v>
      </c>
      <c r="H116" s="550"/>
      <c r="I116" s="683"/>
      <c r="J116" s="683"/>
    </row>
    <row r="117" spans="1:12">
      <c r="A117" s="547" t="s">
        <v>69</v>
      </c>
      <c r="B117" s="541" t="s">
        <v>360</v>
      </c>
      <c r="C117" s="541" t="s">
        <v>783</v>
      </c>
      <c r="D117" s="880">
        <v>334.41666666666669</v>
      </c>
      <c r="E117" s="874">
        <v>294.33333333333337</v>
      </c>
      <c r="F117" s="874">
        <v>73.223499999999987</v>
      </c>
      <c r="G117" s="875">
        <v>52.06450000000001</v>
      </c>
      <c r="H117" s="550"/>
      <c r="I117" s="683"/>
      <c r="J117" s="683"/>
    </row>
    <row r="118" spans="1:12">
      <c r="A118" s="547" t="s">
        <v>69</v>
      </c>
      <c r="B118" s="541" t="s">
        <v>360</v>
      </c>
      <c r="C118" s="541" t="s">
        <v>784</v>
      </c>
      <c r="D118" s="880">
        <v>133.41666666666666</v>
      </c>
      <c r="E118" s="874">
        <v>127.75</v>
      </c>
      <c r="F118" s="874">
        <v>9.2079999999999984</v>
      </c>
      <c r="G118" s="875">
        <v>9.8360000000000003</v>
      </c>
      <c r="H118" s="550"/>
      <c r="I118" s="683"/>
      <c r="J118" s="683"/>
    </row>
    <row r="119" spans="1:12">
      <c r="A119" s="547" t="s">
        <v>69</v>
      </c>
      <c r="B119" s="541" t="s">
        <v>360</v>
      </c>
      <c r="C119" s="541" t="s">
        <v>525</v>
      </c>
      <c r="D119" s="880">
        <v>44.833333333333329</v>
      </c>
      <c r="E119" s="874">
        <v>39.333333333333329</v>
      </c>
      <c r="F119" s="874">
        <v>6.1994999999999996</v>
      </c>
      <c r="G119" s="875">
        <v>6.1330000000000009</v>
      </c>
      <c r="H119" s="550"/>
      <c r="I119" s="683"/>
      <c r="J119" s="683"/>
    </row>
    <row r="120" spans="1:12">
      <c r="A120" s="547" t="s">
        <v>69</v>
      </c>
      <c r="B120" s="541" t="s">
        <v>360</v>
      </c>
      <c r="C120" s="541" t="s">
        <v>526</v>
      </c>
      <c r="D120" s="880">
        <v>11.833333333333336</v>
      </c>
      <c r="E120" s="874">
        <v>9.1666666666666661</v>
      </c>
      <c r="F120" s="874">
        <v>3.1894999999999989</v>
      </c>
      <c r="G120" s="875">
        <v>0.495</v>
      </c>
      <c r="H120" s="550"/>
      <c r="I120" s="683"/>
      <c r="J120" s="683"/>
    </row>
    <row r="121" spans="1:12">
      <c r="A121" s="547" t="s">
        <v>69</v>
      </c>
      <c r="B121" s="541" t="s">
        <v>360</v>
      </c>
      <c r="C121" s="541" t="s">
        <v>527</v>
      </c>
      <c r="D121" s="880">
        <v>41.75</v>
      </c>
      <c r="E121" s="874">
        <v>37.666666666666671</v>
      </c>
      <c r="F121" s="874">
        <v>16.981999999999999</v>
      </c>
      <c r="G121" s="875">
        <v>13.254999999999999</v>
      </c>
      <c r="H121" s="550"/>
      <c r="I121" s="683"/>
      <c r="J121" s="683"/>
    </row>
    <row r="122" spans="1:12">
      <c r="A122" s="547" t="s">
        <v>69</v>
      </c>
      <c r="B122" s="541" t="s">
        <v>360</v>
      </c>
      <c r="C122" s="541" t="s">
        <v>493</v>
      </c>
      <c r="D122" s="880">
        <v>16.833333333333332</v>
      </c>
      <c r="E122" s="874">
        <v>45.833333333333329</v>
      </c>
      <c r="F122" s="874">
        <v>11.331999999999997</v>
      </c>
      <c r="G122" s="875">
        <v>11.628</v>
      </c>
      <c r="H122" s="550"/>
      <c r="I122" s="683"/>
      <c r="J122" s="683"/>
    </row>
    <row r="123" spans="1:12">
      <c r="A123" s="547" t="s">
        <v>69</v>
      </c>
      <c r="B123" s="541" t="s">
        <v>954</v>
      </c>
      <c r="C123" s="541" t="s">
        <v>487</v>
      </c>
      <c r="D123" s="880">
        <v>9.3333333333333339</v>
      </c>
      <c r="E123" s="874">
        <v>9.5</v>
      </c>
      <c r="F123" s="874">
        <v>0.44749999999999995</v>
      </c>
      <c r="G123" s="875">
        <v>0.60499999999999998</v>
      </c>
      <c r="H123" s="550"/>
      <c r="I123" s="683"/>
      <c r="J123" s="683"/>
    </row>
    <row r="124" spans="1:12">
      <c r="A124" s="547" t="s">
        <v>69</v>
      </c>
      <c r="B124" s="541" t="s">
        <v>288</v>
      </c>
      <c r="C124" s="541" t="s">
        <v>463</v>
      </c>
      <c r="D124" s="880">
        <v>6.0000000000000009</v>
      </c>
      <c r="E124" s="874">
        <v>20.166666666666668</v>
      </c>
      <c r="F124" s="874">
        <v>1.8390000000000002</v>
      </c>
      <c r="G124" s="875">
        <v>2.8319999999999999</v>
      </c>
      <c r="H124" s="550"/>
      <c r="I124" s="683"/>
      <c r="J124" s="683"/>
    </row>
    <row r="125" spans="1:12">
      <c r="A125" s="547" t="s">
        <v>69</v>
      </c>
      <c r="B125" s="541" t="s">
        <v>288</v>
      </c>
      <c r="C125" s="541" t="s">
        <v>554</v>
      </c>
      <c r="D125" s="880">
        <v>5.9166666666666661</v>
      </c>
      <c r="E125" s="874">
        <v>1</v>
      </c>
      <c r="F125" s="874">
        <v>2.1969999999999996</v>
      </c>
      <c r="G125" s="875">
        <v>0.49199999999999999</v>
      </c>
      <c r="H125" s="550"/>
      <c r="I125" s="683"/>
      <c r="J125" s="683"/>
    </row>
    <row r="126" spans="1:12">
      <c r="A126" s="547" t="s">
        <v>69</v>
      </c>
      <c r="B126" s="541" t="s">
        <v>361</v>
      </c>
      <c r="C126" s="541" t="s">
        <v>497</v>
      </c>
      <c r="D126" s="880">
        <v>3.25</v>
      </c>
      <c r="E126" s="874">
        <v>4.75</v>
      </c>
      <c r="F126" s="874">
        <v>1.5605000000000002</v>
      </c>
      <c r="G126" s="875">
        <v>1.5104999999999997</v>
      </c>
      <c r="H126" s="550"/>
      <c r="I126" s="683"/>
      <c r="J126" s="683"/>
    </row>
    <row r="127" spans="1:12">
      <c r="A127" s="547" t="s">
        <v>69</v>
      </c>
      <c r="B127" s="541" t="s">
        <v>395</v>
      </c>
      <c r="C127" s="541" t="s">
        <v>530</v>
      </c>
      <c r="D127" s="880">
        <v>6.5833333333333339</v>
      </c>
      <c r="E127" s="874">
        <v>0</v>
      </c>
      <c r="F127" s="874">
        <v>3.4375</v>
      </c>
      <c r="G127" s="875">
        <v>0</v>
      </c>
      <c r="H127" s="550"/>
      <c r="I127" s="683"/>
      <c r="J127" s="683"/>
    </row>
    <row r="128" spans="1:12">
      <c r="A128" s="547" t="s">
        <v>69</v>
      </c>
      <c r="B128" s="541" t="s">
        <v>1327</v>
      </c>
      <c r="C128" s="541" t="s">
        <v>644</v>
      </c>
      <c r="D128" s="880">
        <v>0</v>
      </c>
      <c r="E128" s="874">
        <v>0.75</v>
      </c>
      <c r="F128" s="874">
        <v>0</v>
      </c>
      <c r="G128" s="875">
        <v>1.4999999999999999E-2</v>
      </c>
      <c r="H128" s="550"/>
      <c r="I128" s="683"/>
      <c r="J128" s="683"/>
    </row>
    <row r="129" spans="1:10">
      <c r="A129" s="547" t="s">
        <v>69</v>
      </c>
      <c r="B129" s="541" t="s">
        <v>394</v>
      </c>
      <c r="C129" s="541" t="s">
        <v>531</v>
      </c>
      <c r="D129" s="880">
        <v>2</v>
      </c>
      <c r="E129" s="874">
        <v>2</v>
      </c>
      <c r="F129" s="874">
        <v>0.23199999999999998</v>
      </c>
      <c r="G129" s="875">
        <v>0.31250000000000006</v>
      </c>
      <c r="H129" s="550"/>
      <c r="I129" s="683"/>
      <c r="J129" s="683"/>
    </row>
    <row r="130" spans="1:10">
      <c r="A130" s="547" t="s">
        <v>69</v>
      </c>
      <c r="B130" s="541" t="s">
        <v>1339</v>
      </c>
      <c r="C130" s="541" t="s">
        <v>507</v>
      </c>
      <c r="D130" s="880">
        <v>1.6666666666666667</v>
      </c>
      <c r="E130" s="874">
        <v>1.1666666666666667</v>
      </c>
      <c r="F130" s="874">
        <v>0.13450000000000001</v>
      </c>
      <c r="G130" s="875">
        <v>8.299999999999999E-2</v>
      </c>
      <c r="H130" s="550"/>
      <c r="I130" s="683"/>
      <c r="J130" s="683"/>
    </row>
    <row r="131" spans="1:10">
      <c r="A131" s="547" t="s">
        <v>69</v>
      </c>
      <c r="B131" s="541" t="s">
        <v>368</v>
      </c>
      <c r="C131" s="541" t="s">
        <v>528</v>
      </c>
      <c r="D131" s="880">
        <v>12</v>
      </c>
      <c r="E131" s="874">
        <v>10.833333333333332</v>
      </c>
      <c r="F131" s="874">
        <v>20.329000000000001</v>
      </c>
      <c r="G131" s="875">
        <v>17.7865</v>
      </c>
      <c r="H131" s="550"/>
      <c r="I131" s="683"/>
      <c r="J131" s="683"/>
    </row>
    <row r="132" spans="1:10">
      <c r="A132" s="547" t="s">
        <v>69</v>
      </c>
      <c r="B132" s="541" t="s">
        <v>368</v>
      </c>
      <c r="C132" s="541" t="s">
        <v>524</v>
      </c>
      <c r="D132" s="880">
        <v>2</v>
      </c>
      <c r="E132" s="874">
        <v>2</v>
      </c>
      <c r="F132" s="874">
        <v>3</v>
      </c>
      <c r="G132" s="875">
        <v>3</v>
      </c>
      <c r="H132" s="550"/>
      <c r="I132" s="683"/>
      <c r="J132" s="683"/>
    </row>
    <row r="133" spans="1:10">
      <c r="A133" s="547" t="s">
        <v>69</v>
      </c>
      <c r="B133" s="541" t="s">
        <v>1218</v>
      </c>
      <c r="C133" s="541" t="s">
        <v>514</v>
      </c>
      <c r="D133" s="880">
        <v>0</v>
      </c>
      <c r="E133" s="874">
        <v>0.83333333333333326</v>
      </c>
      <c r="F133" s="874">
        <v>0</v>
      </c>
      <c r="G133" s="875">
        <v>7.0999999999999994E-2</v>
      </c>
      <c r="H133" s="550"/>
      <c r="I133" s="683"/>
      <c r="J133" s="683"/>
    </row>
    <row r="134" spans="1:10">
      <c r="A134" s="547" t="s">
        <v>69</v>
      </c>
      <c r="B134" s="541" t="s">
        <v>405</v>
      </c>
      <c r="C134" s="541" t="s">
        <v>487</v>
      </c>
      <c r="D134" s="880">
        <v>5.666666666666667</v>
      </c>
      <c r="E134" s="874">
        <v>8.8333333333333321</v>
      </c>
      <c r="F134" s="874">
        <v>1.056</v>
      </c>
      <c r="G134" s="875">
        <v>1.4355</v>
      </c>
      <c r="H134" s="550"/>
      <c r="I134" s="683"/>
      <c r="J134" s="683"/>
    </row>
    <row r="135" spans="1:10">
      <c r="A135" s="547" t="s">
        <v>69</v>
      </c>
      <c r="B135" s="541" t="s">
        <v>791</v>
      </c>
      <c r="C135" s="541" t="s">
        <v>524</v>
      </c>
      <c r="D135" s="880">
        <v>1.6666666666666667</v>
      </c>
      <c r="E135" s="874">
        <v>0.16666666666666666</v>
      </c>
      <c r="F135" s="874">
        <v>0.30950000000000005</v>
      </c>
      <c r="G135" s="875">
        <v>2.8999999999999998E-2</v>
      </c>
      <c r="H135" s="550"/>
      <c r="I135" s="683"/>
      <c r="J135" s="683"/>
    </row>
    <row r="136" spans="1:10">
      <c r="A136" s="547" t="s">
        <v>69</v>
      </c>
      <c r="B136" s="541" t="s">
        <v>406</v>
      </c>
      <c r="C136" s="541" t="s">
        <v>509</v>
      </c>
      <c r="D136" s="880">
        <v>8.3333333333333329E-2</v>
      </c>
      <c r="E136" s="874">
        <v>0</v>
      </c>
      <c r="F136" s="874">
        <v>0</v>
      </c>
      <c r="G136" s="875">
        <v>0</v>
      </c>
      <c r="H136" s="550"/>
      <c r="I136" s="683"/>
      <c r="J136" s="683"/>
    </row>
    <row r="137" spans="1:10">
      <c r="A137" s="547" t="s">
        <v>69</v>
      </c>
      <c r="B137" s="541" t="s">
        <v>380</v>
      </c>
      <c r="C137" s="541" t="s">
        <v>532</v>
      </c>
      <c r="D137" s="880">
        <v>0.33333333333333331</v>
      </c>
      <c r="E137" s="874">
        <v>0</v>
      </c>
      <c r="F137" s="874">
        <v>0.15</v>
      </c>
      <c r="G137" s="875">
        <v>0</v>
      </c>
      <c r="H137" s="550"/>
      <c r="I137" s="683"/>
      <c r="J137" s="683"/>
    </row>
    <row r="138" spans="1:10">
      <c r="A138" s="547" t="s">
        <v>69</v>
      </c>
      <c r="B138" s="541" t="s">
        <v>1338</v>
      </c>
      <c r="C138" s="541" t="s">
        <v>487</v>
      </c>
      <c r="D138" s="880">
        <v>4.5000000000000009</v>
      </c>
      <c r="E138" s="874">
        <v>7.5000000000000018</v>
      </c>
      <c r="F138" s="874">
        <v>3.8304999999999993</v>
      </c>
      <c r="G138" s="875">
        <v>6.4909999999999997</v>
      </c>
      <c r="H138" s="550"/>
      <c r="I138" s="683"/>
      <c r="J138" s="683"/>
    </row>
    <row r="139" spans="1:10">
      <c r="A139" s="547" t="s">
        <v>69</v>
      </c>
      <c r="B139" s="541" t="s">
        <v>828</v>
      </c>
      <c r="C139" s="541" t="s">
        <v>785</v>
      </c>
      <c r="D139" s="880">
        <v>23.833333333333332</v>
      </c>
      <c r="E139" s="874">
        <v>36.083333333333336</v>
      </c>
      <c r="F139" s="874">
        <v>4.9184999999999999</v>
      </c>
      <c r="G139" s="875">
        <v>5.9715000000000007</v>
      </c>
      <c r="H139" s="550"/>
      <c r="I139" s="683"/>
      <c r="J139" s="683"/>
    </row>
    <row r="140" spans="1:10">
      <c r="A140" s="547" t="s">
        <v>69</v>
      </c>
      <c r="B140" s="541" t="s">
        <v>1337</v>
      </c>
      <c r="C140" s="541" t="s">
        <v>597</v>
      </c>
      <c r="D140" s="880">
        <v>4.0833333333333339</v>
      </c>
      <c r="E140" s="874">
        <v>1.8333333333333335</v>
      </c>
      <c r="F140" s="874">
        <v>0.95600000000000007</v>
      </c>
      <c r="G140" s="875">
        <v>0.36099999999999999</v>
      </c>
      <c r="H140" s="550"/>
      <c r="I140" s="683"/>
      <c r="J140" s="683"/>
    </row>
    <row r="141" spans="1:10">
      <c r="A141" s="547" t="s">
        <v>69</v>
      </c>
      <c r="B141" s="541" t="s">
        <v>1337</v>
      </c>
      <c r="C141" s="541" t="s">
        <v>533</v>
      </c>
      <c r="D141" s="880">
        <v>37.750000000000007</v>
      </c>
      <c r="E141" s="874">
        <v>8.8333333333333321</v>
      </c>
      <c r="F141" s="874">
        <v>15.369500000000002</v>
      </c>
      <c r="G141" s="875">
        <v>7.7144999999999992</v>
      </c>
      <c r="H141" s="550"/>
      <c r="I141" s="683"/>
      <c r="J141" s="683"/>
    </row>
    <row r="142" spans="1:10">
      <c r="A142" s="547" t="s">
        <v>69</v>
      </c>
      <c r="B142" s="541" t="s">
        <v>366</v>
      </c>
      <c r="C142" s="541" t="s">
        <v>534</v>
      </c>
      <c r="D142" s="880">
        <v>5.916666666666667</v>
      </c>
      <c r="E142" s="874">
        <v>11.583333333333334</v>
      </c>
      <c r="F142" s="874">
        <v>1.101</v>
      </c>
      <c r="G142" s="875">
        <v>1.5364999999999998</v>
      </c>
      <c r="H142" s="550"/>
      <c r="I142" s="683"/>
      <c r="J142" s="683"/>
    </row>
    <row r="143" spans="1:10">
      <c r="A143" s="547" t="s">
        <v>69</v>
      </c>
      <c r="B143" s="541" t="s">
        <v>366</v>
      </c>
      <c r="C143" s="541" t="s">
        <v>542</v>
      </c>
      <c r="D143" s="880">
        <v>0</v>
      </c>
      <c r="E143" s="874">
        <v>2.4166666666666665</v>
      </c>
      <c r="F143" s="874">
        <v>0</v>
      </c>
      <c r="G143" s="875">
        <v>0.79749999999999988</v>
      </c>
      <c r="H143" s="550"/>
      <c r="I143" s="683"/>
      <c r="J143" s="683"/>
    </row>
    <row r="144" spans="1:10">
      <c r="A144" s="547" t="s">
        <v>69</v>
      </c>
      <c r="B144" s="541" t="s">
        <v>366</v>
      </c>
      <c r="C144" s="541" t="s">
        <v>535</v>
      </c>
      <c r="D144" s="880">
        <v>83.833333333333329</v>
      </c>
      <c r="E144" s="874">
        <v>66.166666666666657</v>
      </c>
      <c r="F144" s="874">
        <v>51.19400000000001</v>
      </c>
      <c r="G144" s="875">
        <v>38.629000000000005</v>
      </c>
      <c r="H144" s="550"/>
      <c r="I144" s="683"/>
      <c r="J144" s="683"/>
    </row>
    <row r="145" spans="1:10">
      <c r="A145" s="547" t="s">
        <v>69</v>
      </c>
      <c r="B145" s="541" t="s">
        <v>374</v>
      </c>
      <c r="C145" s="541" t="s">
        <v>536</v>
      </c>
      <c r="D145" s="880">
        <v>18.666666666666664</v>
      </c>
      <c r="E145" s="874">
        <v>15.91666666666667</v>
      </c>
      <c r="F145" s="874">
        <v>3.5549999999999997</v>
      </c>
      <c r="G145" s="875">
        <v>2.7719999999999998</v>
      </c>
      <c r="H145" s="550"/>
      <c r="I145" s="683"/>
      <c r="J145" s="683"/>
    </row>
    <row r="146" spans="1:10">
      <c r="A146" s="547" t="s">
        <v>69</v>
      </c>
      <c r="B146" s="541" t="s">
        <v>1336</v>
      </c>
      <c r="C146" s="541" t="s">
        <v>537</v>
      </c>
      <c r="D146" s="880">
        <v>2</v>
      </c>
      <c r="E146" s="874">
        <v>2</v>
      </c>
      <c r="F146" s="874">
        <v>0.04</v>
      </c>
      <c r="G146" s="875">
        <v>2.3999999999999997E-2</v>
      </c>
      <c r="H146" s="550"/>
      <c r="I146" s="683"/>
      <c r="J146" s="683"/>
    </row>
    <row r="147" spans="1:10">
      <c r="A147" s="547" t="s">
        <v>69</v>
      </c>
      <c r="B147" s="541" t="s">
        <v>383</v>
      </c>
      <c r="C147" s="541" t="s">
        <v>538</v>
      </c>
      <c r="D147" s="880">
        <v>4.5833333333333321</v>
      </c>
      <c r="E147" s="874">
        <v>5.5</v>
      </c>
      <c r="F147" s="874">
        <v>4.8469999999999995</v>
      </c>
      <c r="G147" s="875">
        <v>5.2405000000000008</v>
      </c>
      <c r="H147" s="550"/>
      <c r="I147" s="683"/>
      <c r="J147" s="683"/>
    </row>
    <row r="148" spans="1:10">
      <c r="A148" s="547" t="s">
        <v>69</v>
      </c>
      <c r="B148" s="541" t="s">
        <v>1328</v>
      </c>
      <c r="C148" s="541" t="s">
        <v>543</v>
      </c>
      <c r="D148" s="880">
        <v>0</v>
      </c>
      <c r="E148" s="874">
        <v>0.33333333333333331</v>
      </c>
      <c r="F148" s="874">
        <v>0</v>
      </c>
      <c r="G148" s="875">
        <v>7.7499999999999999E-2</v>
      </c>
      <c r="H148" s="550"/>
      <c r="I148" s="683"/>
      <c r="J148" s="683"/>
    </row>
    <row r="149" spans="1:10">
      <c r="A149" s="547" t="s">
        <v>69</v>
      </c>
      <c r="B149" s="541" t="s">
        <v>359</v>
      </c>
      <c r="C149" s="541" t="s">
        <v>539</v>
      </c>
      <c r="D149" s="880">
        <v>12.583333333333334</v>
      </c>
      <c r="E149" s="874">
        <v>10.416666666666668</v>
      </c>
      <c r="F149" s="874">
        <v>7.2484999999999991</v>
      </c>
      <c r="G149" s="875">
        <v>7.2469999999999999</v>
      </c>
      <c r="H149" s="550"/>
      <c r="I149" s="683"/>
      <c r="J149" s="683"/>
    </row>
    <row r="150" spans="1:10">
      <c r="A150" s="547" t="s">
        <v>69</v>
      </c>
      <c r="B150" s="541" t="s">
        <v>359</v>
      </c>
      <c r="C150" s="541" t="s">
        <v>540</v>
      </c>
      <c r="D150" s="880">
        <v>1.7499999999999998</v>
      </c>
      <c r="E150" s="874">
        <v>4.5</v>
      </c>
      <c r="F150" s="874">
        <v>0.1595</v>
      </c>
      <c r="G150" s="875">
        <v>0.23299999999999998</v>
      </c>
      <c r="H150" s="550"/>
      <c r="I150" s="683"/>
      <c r="J150" s="683"/>
    </row>
    <row r="151" spans="1:10">
      <c r="A151" s="547" t="s">
        <v>69</v>
      </c>
      <c r="B151" s="541" t="s">
        <v>367</v>
      </c>
      <c r="C151" s="541" t="s">
        <v>501</v>
      </c>
      <c r="D151" s="880">
        <v>0</v>
      </c>
      <c r="E151" s="874">
        <v>1.1666666666666665</v>
      </c>
      <c r="F151" s="874">
        <v>0</v>
      </c>
      <c r="G151" s="875">
        <v>0.13100000000000001</v>
      </c>
      <c r="H151" s="550"/>
      <c r="I151" s="683"/>
      <c r="J151" s="683"/>
    </row>
    <row r="152" spans="1:10">
      <c r="A152" s="547" t="s">
        <v>69</v>
      </c>
      <c r="B152" s="541" t="s">
        <v>367</v>
      </c>
      <c r="C152" s="541" t="s">
        <v>541</v>
      </c>
      <c r="D152" s="880">
        <v>3</v>
      </c>
      <c r="E152" s="874">
        <v>7.9166666666666643</v>
      </c>
      <c r="F152" s="874">
        <v>0.29900000000000004</v>
      </c>
      <c r="G152" s="875">
        <v>0.93149999999999977</v>
      </c>
      <c r="H152" s="550"/>
      <c r="I152" s="683"/>
      <c r="J152" s="683"/>
    </row>
    <row r="153" spans="1:10">
      <c r="A153" s="547" t="s">
        <v>69</v>
      </c>
      <c r="B153" s="541" t="s">
        <v>1335</v>
      </c>
      <c r="C153" s="541" t="s">
        <v>542</v>
      </c>
      <c r="D153" s="880">
        <v>0.5</v>
      </c>
      <c r="E153" s="874">
        <v>0.66666666666666663</v>
      </c>
      <c r="F153" s="874">
        <v>8.9499999999999996E-2</v>
      </c>
      <c r="G153" s="875">
        <v>7.7000000000000013E-2</v>
      </c>
      <c r="H153" s="550"/>
      <c r="I153" s="683"/>
      <c r="J153" s="683"/>
    </row>
    <row r="154" spans="1:10">
      <c r="A154" s="547" t="s">
        <v>69</v>
      </c>
      <c r="B154" s="541" t="s">
        <v>397</v>
      </c>
      <c r="C154" s="541" t="s">
        <v>495</v>
      </c>
      <c r="D154" s="880">
        <v>0.83333333333333326</v>
      </c>
      <c r="E154" s="874">
        <v>0.91666666666666652</v>
      </c>
      <c r="F154" s="874">
        <v>0.04</v>
      </c>
      <c r="G154" s="875">
        <v>6.0999999999999999E-2</v>
      </c>
      <c r="H154" s="550"/>
      <c r="I154" s="683"/>
      <c r="J154" s="683"/>
    </row>
    <row r="155" spans="1:10">
      <c r="A155" s="547" t="s">
        <v>69</v>
      </c>
      <c r="B155" s="541" t="s">
        <v>397</v>
      </c>
      <c r="C155" s="541" t="s">
        <v>542</v>
      </c>
      <c r="D155" s="880">
        <v>1.7499999999999998</v>
      </c>
      <c r="E155" s="874">
        <v>0.91666666666666674</v>
      </c>
      <c r="F155" s="874">
        <v>0.60850000000000004</v>
      </c>
      <c r="G155" s="875">
        <v>0.159</v>
      </c>
      <c r="H155" s="550"/>
      <c r="I155" s="683"/>
      <c r="J155" s="683"/>
    </row>
    <row r="156" spans="1:10">
      <c r="A156" s="547" t="s">
        <v>69</v>
      </c>
      <c r="B156" s="541" t="s">
        <v>362</v>
      </c>
      <c r="C156" s="541" t="s">
        <v>528</v>
      </c>
      <c r="D156" s="880">
        <v>2</v>
      </c>
      <c r="E156" s="874">
        <v>1.8333333333333335</v>
      </c>
      <c r="F156" s="874">
        <v>0.26199999999999996</v>
      </c>
      <c r="G156" s="875">
        <v>0.25650000000000001</v>
      </c>
      <c r="H156" s="550"/>
      <c r="I156" s="683"/>
      <c r="J156" s="683"/>
    </row>
    <row r="157" spans="1:10">
      <c r="A157" s="547" t="s">
        <v>69</v>
      </c>
      <c r="B157" s="541" t="s">
        <v>401</v>
      </c>
      <c r="C157" s="541" t="s">
        <v>543</v>
      </c>
      <c r="D157" s="880">
        <v>0.83333333333333337</v>
      </c>
      <c r="E157" s="874">
        <v>0.41666666666666663</v>
      </c>
      <c r="F157" s="874">
        <v>8.7000000000000022E-2</v>
      </c>
      <c r="G157" s="875">
        <v>5.1999999999999998E-2</v>
      </c>
      <c r="H157" s="550"/>
      <c r="I157" s="683"/>
      <c r="J157" s="683"/>
    </row>
    <row r="158" spans="1:10">
      <c r="A158" s="547" t="s">
        <v>69</v>
      </c>
      <c r="B158" s="541" t="s">
        <v>407</v>
      </c>
      <c r="C158" s="541" t="s">
        <v>524</v>
      </c>
      <c r="D158" s="880">
        <v>14.000000000000002</v>
      </c>
      <c r="E158" s="874">
        <v>14.416666666666663</v>
      </c>
      <c r="F158" s="874">
        <v>1.0374999999999999</v>
      </c>
      <c r="G158" s="875">
        <v>0.43199999999999988</v>
      </c>
      <c r="H158" s="550"/>
      <c r="I158" s="683"/>
      <c r="J158" s="683"/>
    </row>
    <row r="159" spans="1:10">
      <c r="A159" s="547" t="s">
        <v>69</v>
      </c>
      <c r="B159" s="541" t="s">
        <v>396</v>
      </c>
      <c r="C159" s="541" t="s">
        <v>544</v>
      </c>
      <c r="D159" s="880">
        <v>0.83333333333333326</v>
      </c>
      <c r="E159" s="874">
        <v>0.41666666666666663</v>
      </c>
      <c r="F159" s="874">
        <v>3.5999999999999997E-2</v>
      </c>
      <c r="G159" s="875">
        <v>3.6000000000000004E-2</v>
      </c>
      <c r="H159" s="550"/>
      <c r="I159" s="683"/>
      <c r="J159" s="683"/>
    </row>
    <row r="160" spans="1:10">
      <c r="A160" s="547" t="s">
        <v>69</v>
      </c>
      <c r="B160" s="541" t="s">
        <v>1098</v>
      </c>
      <c r="C160" s="541" t="s">
        <v>497</v>
      </c>
      <c r="D160" s="880">
        <v>0.25</v>
      </c>
      <c r="E160" s="874">
        <v>3.3333333333333326</v>
      </c>
      <c r="F160" s="874">
        <v>5.0000000000000001E-3</v>
      </c>
      <c r="G160" s="875">
        <v>9.5500000000000015E-2</v>
      </c>
      <c r="H160" s="550"/>
      <c r="I160" s="683"/>
      <c r="J160" s="683"/>
    </row>
    <row r="161" spans="1:10">
      <c r="A161" s="547" t="s">
        <v>69</v>
      </c>
      <c r="B161" s="541" t="s">
        <v>349</v>
      </c>
      <c r="C161" s="541" t="s">
        <v>507</v>
      </c>
      <c r="D161" s="880">
        <v>1.5</v>
      </c>
      <c r="E161" s="874">
        <v>1.25</v>
      </c>
      <c r="F161" s="874">
        <v>0.13650000000000001</v>
      </c>
      <c r="G161" s="875">
        <v>0.18899999999999997</v>
      </c>
      <c r="H161" s="550"/>
      <c r="I161" s="683"/>
      <c r="J161" s="683"/>
    </row>
    <row r="162" spans="1:10">
      <c r="A162" s="547" t="s">
        <v>69</v>
      </c>
      <c r="B162" s="541" t="s">
        <v>1219</v>
      </c>
      <c r="C162" s="541" t="s">
        <v>546</v>
      </c>
      <c r="D162" s="880">
        <v>3.083333333333333</v>
      </c>
      <c r="E162" s="874">
        <v>2.833333333333333</v>
      </c>
      <c r="F162" s="874">
        <v>0.58850000000000002</v>
      </c>
      <c r="G162" s="875">
        <v>0.90149999999999997</v>
      </c>
      <c r="H162" s="550"/>
      <c r="I162" s="683"/>
      <c r="J162" s="683"/>
    </row>
    <row r="163" spans="1:10">
      <c r="A163" s="547" t="s">
        <v>69</v>
      </c>
      <c r="B163" s="541" t="s">
        <v>372</v>
      </c>
      <c r="C163" s="541" t="s">
        <v>547</v>
      </c>
      <c r="D163" s="880">
        <v>0.91666666666666674</v>
      </c>
      <c r="E163" s="874">
        <v>1.6666666666666663</v>
      </c>
      <c r="F163" s="874">
        <v>0.14350000000000002</v>
      </c>
      <c r="G163" s="875">
        <v>0.24000000000000002</v>
      </c>
      <c r="H163" s="550"/>
      <c r="I163" s="683"/>
      <c r="J163" s="683"/>
    </row>
    <row r="164" spans="1:10">
      <c r="A164" s="547" t="s">
        <v>69</v>
      </c>
      <c r="B164" s="541" t="s">
        <v>363</v>
      </c>
      <c r="C164" s="541" t="s">
        <v>491</v>
      </c>
      <c r="D164" s="880">
        <v>1</v>
      </c>
      <c r="E164" s="874">
        <v>1</v>
      </c>
      <c r="F164" s="874">
        <v>1.2</v>
      </c>
      <c r="G164" s="875">
        <v>1.2</v>
      </c>
      <c r="H164" s="550"/>
      <c r="I164" s="683"/>
      <c r="J164" s="683"/>
    </row>
    <row r="165" spans="1:10">
      <c r="A165" s="547" t="s">
        <v>69</v>
      </c>
      <c r="B165" s="541" t="s">
        <v>955</v>
      </c>
      <c r="C165" s="541" t="s">
        <v>548</v>
      </c>
      <c r="D165" s="880">
        <v>3.0000000000000004</v>
      </c>
      <c r="E165" s="874">
        <v>3.416666666666667</v>
      </c>
      <c r="F165" s="874">
        <v>1.1784999999999999</v>
      </c>
      <c r="G165" s="875">
        <v>1.6319999999999997</v>
      </c>
      <c r="H165" s="550"/>
      <c r="I165" s="683"/>
      <c r="J165" s="683"/>
    </row>
    <row r="166" spans="1:10">
      <c r="A166" s="547" t="s">
        <v>69</v>
      </c>
      <c r="B166" s="541" t="s">
        <v>389</v>
      </c>
      <c r="C166" s="541" t="s">
        <v>549</v>
      </c>
      <c r="D166" s="880">
        <v>1.4166666666666665</v>
      </c>
      <c r="E166" s="874">
        <v>1</v>
      </c>
      <c r="F166" s="874">
        <v>0.185</v>
      </c>
      <c r="G166" s="875">
        <v>0.4385</v>
      </c>
      <c r="H166" s="550"/>
      <c r="I166" s="683"/>
      <c r="J166" s="683"/>
    </row>
    <row r="167" spans="1:10">
      <c r="A167" s="547" t="s">
        <v>69</v>
      </c>
      <c r="B167" s="541" t="s">
        <v>389</v>
      </c>
      <c r="C167" s="541" t="s">
        <v>498</v>
      </c>
      <c r="D167" s="880">
        <v>0</v>
      </c>
      <c r="E167" s="874">
        <v>8.25</v>
      </c>
      <c r="F167" s="874">
        <v>0</v>
      </c>
      <c r="G167" s="875">
        <v>14.116999999999997</v>
      </c>
      <c r="H167" s="550"/>
      <c r="I167" s="683"/>
      <c r="J167" s="683"/>
    </row>
    <row r="168" spans="1:10">
      <c r="A168" s="547" t="s">
        <v>69</v>
      </c>
      <c r="B168" s="541" t="s">
        <v>389</v>
      </c>
      <c r="C168" s="541" t="s">
        <v>493</v>
      </c>
      <c r="D168" s="880">
        <v>0</v>
      </c>
      <c r="E168" s="874">
        <v>5.666666666666667</v>
      </c>
      <c r="F168" s="874">
        <v>0</v>
      </c>
      <c r="G168" s="875">
        <v>9.4074999999999989</v>
      </c>
      <c r="H168" s="550"/>
      <c r="I168" s="683"/>
      <c r="J168" s="683"/>
    </row>
    <row r="169" spans="1:10">
      <c r="A169" s="547" t="s">
        <v>69</v>
      </c>
      <c r="B169" s="541" t="s">
        <v>1334</v>
      </c>
      <c r="C169" s="541" t="s">
        <v>487</v>
      </c>
      <c r="D169" s="880">
        <v>0.25</v>
      </c>
      <c r="E169" s="874">
        <v>0</v>
      </c>
      <c r="F169" s="874">
        <v>1.4999999999999999E-2</v>
      </c>
      <c r="G169" s="875">
        <v>0</v>
      </c>
      <c r="H169" s="550"/>
      <c r="I169" s="683"/>
      <c r="J169" s="683"/>
    </row>
    <row r="170" spans="1:10">
      <c r="A170" s="547" t="s">
        <v>69</v>
      </c>
      <c r="B170" s="541" t="s">
        <v>377</v>
      </c>
      <c r="C170" s="541" t="s">
        <v>550</v>
      </c>
      <c r="D170" s="880">
        <v>3.083333333333333</v>
      </c>
      <c r="E170" s="874">
        <v>1.25</v>
      </c>
      <c r="F170" s="874">
        <v>1.413</v>
      </c>
      <c r="G170" s="875">
        <v>0.60099999999999998</v>
      </c>
      <c r="H170" s="550"/>
      <c r="I170" s="683"/>
      <c r="J170" s="683"/>
    </row>
    <row r="171" spans="1:10">
      <c r="A171" s="547" t="s">
        <v>69</v>
      </c>
      <c r="B171" s="541" t="s">
        <v>1220</v>
      </c>
      <c r="C171" s="541" t="s">
        <v>485</v>
      </c>
      <c r="D171" s="880">
        <v>1</v>
      </c>
      <c r="E171" s="874">
        <v>0</v>
      </c>
      <c r="F171" s="874">
        <v>0.27850000000000003</v>
      </c>
      <c r="G171" s="875">
        <v>0</v>
      </c>
      <c r="H171" s="550"/>
      <c r="I171" s="683"/>
      <c r="J171" s="683"/>
    </row>
    <row r="172" spans="1:10">
      <c r="A172" s="547" t="s">
        <v>69</v>
      </c>
      <c r="B172" s="541" t="s">
        <v>1221</v>
      </c>
      <c r="C172" s="541" t="s">
        <v>520</v>
      </c>
      <c r="D172" s="880">
        <v>173.75</v>
      </c>
      <c r="E172" s="874">
        <v>169.58333333333334</v>
      </c>
      <c r="F172" s="874">
        <v>20.989500000000003</v>
      </c>
      <c r="G172" s="875">
        <v>21.700500000000002</v>
      </c>
      <c r="H172" s="550"/>
      <c r="I172" s="683"/>
      <c r="J172" s="683"/>
    </row>
    <row r="173" spans="1:10">
      <c r="A173" s="547" t="s">
        <v>69</v>
      </c>
      <c r="B173" s="541" t="s">
        <v>1333</v>
      </c>
      <c r="C173" s="541" t="s">
        <v>516</v>
      </c>
      <c r="D173" s="880">
        <v>0.5</v>
      </c>
      <c r="E173" s="874">
        <v>0.41666666666666663</v>
      </c>
      <c r="F173" s="874">
        <v>0.15100000000000002</v>
      </c>
      <c r="G173" s="875">
        <v>5.4000000000000006E-2</v>
      </c>
      <c r="H173" s="550"/>
      <c r="I173" s="683"/>
      <c r="J173" s="683"/>
    </row>
    <row r="174" spans="1:10">
      <c r="A174" s="547" t="s">
        <v>69</v>
      </c>
      <c r="B174" s="541" t="s">
        <v>1222</v>
      </c>
      <c r="C174" s="541" t="s">
        <v>491</v>
      </c>
      <c r="D174" s="880">
        <v>5.583333333333333</v>
      </c>
      <c r="E174" s="874">
        <v>6.7499999999999991</v>
      </c>
      <c r="F174" s="874">
        <v>4.819</v>
      </c>
      <c r="G174" s="875">
        <v>7.1529999999999987</v>
      </c>
      <c r="H174" s="550"/>
      <c r="I174" s="683"/>
      <c r="J174" s="683"/>
    </row>
    <row r="175" spans="1:10">
      <c r="A175" s="547" t="s">
        <v>69</v>
      </c>
      <c r="B175" s="541" t="s">
        <v>1223</v>
      </c>
      <c r="C175" s="541" t="s">
        <v>551</v>
      </c>
      <c r="D175" s="880">
        <v>2.6666666666666665</v>
      </c>
      <c r="E175" s="874">
        <v>1.6666666666666665</v>
      </c>
      <c r="F175" s="874">
        <v>0.11649999999999999</v>
      </c>
      <c r="G175" s="875">
        <v>4.6499999999999993E-2</v>
      </c>
      <c r="H175" s="550"/>
      <c r="I175" s="683"/>
      <c r="J175" s="683"/>
    </row>
    <row r="176" spans="1:10">
      <c r="A176" s="547" t="s">
        <v>69</v>
      </c>
      <c r="B176" s="542" t="s">
        <v>1224</v>
      </c>
      <c r="C176" s="541" t="s">
        <v>497</v>
      </c>
      <c r="D176" s="880">
        <v>4.7500000000000009</v>
      </c>
      <c r="E176" s="874">
        <v>2.5833333333333335</v>
      </c>
      <c r="F176" s="874">
        <v>1.6795</v>
      </c>
      <c r="G176" s="875">
        <v>0.25300000000000006</v>
      </c>
      <c r="H176" s="550"/>
      <c r="I176" s="683"/>
      <c r="J176" s="683"/>
    </row>
    <row r="177" spans="1:12">
      <c r="A177" s="547" t="s">
        <v>69</v>
      </c>
      <c r="B177" s="541" t="s">
        <v>1329</v>
      </c>
      <c r="C177" s="541" t="s">
        <v>546</v>
      </c>
      <c r="D177" s="880">
        <v>0</v>
      </c>
      <c r="E177" s="874">
        <v>0.5</v>
      </c>
      <c r="F177" s="874">
        <v>0</v>
      </c>
      <c r="G177" s="875">
        <v>3.5000000000000003E-2</v>
      </c>
      <c r="H177" s="550"/>
      <c r="I177" s="683"/>
      <c r="J177" s="683"/>
    </row>
    <row r="178" spans="1:12">
      <c r="A178" s="547" t="s">
        <v>69</v>
      </c>
      <c r="B178" s="541" t="s">
        <v>1225</v>
      </c>
      <c r="C178" s="541" t="s">
        <v>546</v>
      </c>
      <c r="D178" s="880">
        <v>1.6666666666666667</v>
      </c>
      <c r="E178" s="874">
        <v>1.3333333333333333</v>
      </c>
      <c r="F178" s="874">
        <v>0.22750000000000001</v>
      </c>
      <c r="G178" s="875">
        <v>0.20500000000000002</v>
      </c>
      <c r="H178" s="550"/>
      <c r="I178" s="683"/>
      <c r="J178" s="683"/>
    </row>
    <row r="179" spans="1:12" s="683" customFormat="1">
      <c r="A179" s="547" t="s">
        <v>69</v>
      </c>
      <c r="B179" s="541" t="s">
        <v>1226</v>
      </c>
      <c r="C179" s="541" t="s">
        <v>552</v>
      </c>
      <c r="D179" s="880">
        <v>1.5</v>
      </c>
      <c r="E179" s="874">
        <v>1.7500000000000002</v>
      </c>
      <c r="F179" s="874">
        <v>2.2000000000000006E-2</v>
      </c>
      <c r="G179" s="875">
        <v>2.5000000000000008E-2</v>
      </c>
      <c r="H179" s="550"/>
      <c r="L179" s="206"/>
    </row>
    <row r="180" spans="1:12" s="683" customFormat="1">
      <c r="A180" s="547" t="s">
        <v>69</v>
      </c>
      <c r="B180" s="541" t="s">
        <v>1227</v>
      </c>
      <c r="C180" s="541" t="s">
        <v>553</v>
      </c>
      <c r="D180" s="880">
        <v>3.166666666666667</v>
      </c>
      <c r="E180" s="874">
        <v>2.2499999999999996</v>
      </c>
      <c r="F180" s="874">
        <v>1.7474999999999998</v>
      </c>
      <c r="G180" s="875">
        <v>1.2574999999999998</v>
      </c>
      <c r="H180" s="550"/>
      <c r="L180" s="206"/>
    </row>
    <row r="181" spans="1:12" s="683" customFormat="1">
      <c r="A181" s="547" t="s">
        <v>69</v>
      </c>
      <c r="B181" s="541" t="s">
        <v>1228</v>
      </c>
      <c r="C181" s="541" t="s">
        <v>507</v>
      </c>
      <c r="D181" s="880">
        <v>1.9166666666666661</v>
      </c>
      <c r="E181" s="874">
        <v>1.6666666666666667</v>
      </c>
      <c r="F181" s="874">
        <v>1.1064999999999996</v>
      </c>
      <c r="G181" s="875">
        <v>0.76700000000000002</v>
      </c>
      <c r="H181" s="550"/>
      <c r="L181" s="206"/>
    </row>
    <row r="182" spans="1:12" s="683" customFormat="1">
      <c r="A182" s="547" t="s">
        <v>69</v>
      </c>
      <c r="B182" s="541" t="s">
        <v>1332</v>
      </c>
      <c r="C182" s="541" t="s">
        <v>542</v>
      </c>
      <c r="D182" s="880">
        <v>23</v>
      </c>
      <c r="E182" s="874">
        <v>4.0833333333333339</v>
      </c>
      <c r="F182" s="874">
        <v>14.6815</v>
      </c>
      <c r="G182" s="875">
        <v>0.91499999999999992</v>
      </c>
      <c r="H182" s="550"/>
      <c r="L182" s="206"/>
    </row>
    <row r="183" spans="1:12" s="683" customFormat="1">
      <c r="A183" s="547" t="s">
        <v>69</v>
      </c>
      <c r="B183" s="541" t="s">
        <v>1332</v>
      </c>
      <c r="C183" s="541" t="s">
        <v>493</v>
      </c>
      <c r="D183" s="880">
        <v>43.749999999999993</v>
      </c>
      <c r="E183" s="874">
        <v>45.666666666666671</v>
      </c>
      <c r="F183" s="874">
        <v>17.003999999999998</v>
      </c>
      <c r="G183" s="875">
        <v>15.639999999999999</v>
      </c>
      <c r="H183" s="550"/>
      <c r="L183" s="206"/>
    </row>
    <row r="184" spans="1:12" s="683" customFormat="1">
      <c r="A184" s="547" t="s">
        <v>69</v>
      </c>
      <c r="B184" s="541" t="s">
        <v>1332</v>
      </c>
      <c r="C184" s="541" t="s">
        <v>786</v>
      </c>
      <c r="D184" s="880">
        <v>18.083333333333332</v>
      </c>
      <c r="E184" s="874">
        <v>0</v>
      </c>
      <c r="F184" s="874">
        <v>5.2145000000000001</v>
      </c>
      <c r="G184" s="875">
        <v>0</v>
      </c>
      <c r="H184" s="550"/>
      <c r="L184" s="206"/>
    </row>
    <row r="185" spans="1:12" s="683" customFormat="1">
      <c r="A185" s="547" t="s">
        <v>69</v>
      </c>
      <c r="B185" s="541" t="s">
        <v>1332</v>
      </c>
      <c r="C185" s="541" t="s">
        <v>554</v>
      </c>
      <c r="D185" s="880">
        <v>177.33333333333334</v>
      </c>
      <c r="E185" s="874">
        <v>170.25</v>
      </c>
      <c r="F185" s="874">
        <v>7.419999999999999</v>
      </c>
      <c r="G185" s="875">
        <v>6.855999999999999</v>
      </c>
      <c r="H185" s="550"/>
      <c r="L185" s="206"/>
    </row>
    <row r="186" spans="1:12" s="683" customFormat="1">
      <c r="A186" s="547" t="s">
        <v>69</v>
      </c>
      <c r="B186" s="541" t="s">
        <v>1330</v>
      </c>
      <c r="C186" s="541" t="s">
        <v>507</v>
      </c>
      <c r="D186" s="880">
        <v>0</v>
      </c>
      <c r="E186" s="874">
        <v>1</v>
      </c>
      <c r="F186" s="874">
        <v>0</v>
      </c>
      <c r="G186" s="875">
        <v>0.34199999999999992</v>
      </c>
      <c r="H186" s="550"/>
      <c r="L186" s="206"/>
    </row>
    <row r="187" spans="1:12" s="683" customFormat="1">
      <c r="A187" s="547" t="s">
        <v>69</v>
      </c>
      <c r="B187" s="541" t="s">
        <v>289</v>
      </c>
      <c r="C187" s="541" t="s">
        <v>787</v>
      </c>
      <c r="D187" s="880">
        <v>8.9166666666666661</v>
      </c>
      <c r="E187" s="874">
        <v>4.5</v>
      </c>
      <c r="F187" s="874">
        <v>2.3994999999999997</v>
      </c>
      <c r="G187" s="875">
        <v>0.68549999999999989</v>
      </c>
      <c r="H187" s="550"/>
      <c r="L187" s="206"/>
    </row>
    <row r="188" spans="1:12" s="683" customFormat="1">
      <c r="A188" s="547" t="s">
        <v>69</v>
      </c>
      <c r="B188" s="541" t="s">
        <v>289</v>
      </c>
      <c r="C188" s="541" t="s">
        <v>788</v>
      </c>
      <c r="D188" s="880">
        <v>1.5</v>
      </c>
      <c r="E188" s="874">
        <v>2.1666666666666665</v>
      </c>
      <c r="F188" s="874">
        <v>0.10750000000000001</v>
      </c>
      <c r="G188" s="875">
        <v>0.49449999999999994</v>
      </c>
      <c r="H188" s="550"/>
      <c r="L188" s="206"/>
    </row>
    <row r="189" spans="1:12" s="683" customFormat="1">
      <c r="A189" s="547" t="s">
        <v>69</v>
      </c>
      <c r="B189" s="541" t="s">
        <v>289</v>
      </c>
      <c r="C189" s="541" t="s">
        <v>470</v>
      </c>
      <c r="D189" s="880">
        <v>11.583333333333334</v>
      </c>
      <c r="E189" s="874">
        <v>11.333333333333332</v>
      </c>
      <c r="F189" s="874">
        <v>2.5175000000000001</v>
      </c>
      <c r="G189" s="875">
        <v>3.1934999999999998</v>
      </c>
      <c r="H189" s="550"/>
      <c r="L189" s="206"/>
    </row>
    <row r="190" spans="1:12" s="683" customFormat="1">
      <c r="A190" s="547" t="s">
        <v>69</v>
      </c>
      <c r="B190" s="541" t="s">
        <v>289</v>
      </c>
      <c r="C190" s="541" t="s">
        <v>555</v>
      </c>
      <c r="D190" s="880">
        <v>23.083333333333336</v>
      </c>
      <c r="E190" s="874">
        <v>33.583333333333336</v>
      </c>
      <c r="F190" s="874">
        <v>6.5180000000000025</v>
      </c>
      <c r="G190" s="875">
        <v>12.592999999999998</v>
      </c>
      <c r="H190" s="550"/>
      <c r="L190" s="206"/>
    </row>
    <row r="191" spans="1:12" s="683" customFormat="1">
      <c r="A191" s="547" t="s">
        <v>69</v>
      </c>
      <c r="B191" s="541" t="s">
        <v>375</v>
      </c>
      <c r="C191" s="541" t="s">
        <v>530</v>
      </c>
      <c r="D191" s="880">
        <v>2.333333333333333</v>
      </c>
      <c r="E191" s="874">
        <v>0.75</v>
      </c>
      <c r="F191" s="874">
        <v>0.11649999999999998</v>
      </c>
      <c r="G191" s="875">
        <v>2.0500000000000001E-2</v>
      </c>
      <c r="H191" s="550"/>
      <c r="L191" s="206"/>
    </row>
    <row r="192" spans="1:12" s="683" customFormat="1">
      <c r="A192" s="547" t="s">
        <v>69</v>
      </c>
      <c r="B192" s="541" t="s">
        <v>1099</v>
      </c>
      <c r="C192" s="541" t="s">
        <v>469</v>
      </c>
      <c r="D192" s="880">
        <v>0</v>
      </c>
      <c r="E192" s="874">
        <v>3.75</v>
      </c>
      <c r="F192" s="874">
        <v>0</v>
      </c>
      <c r="G192" s="875">
        <v>1.1930000000000001</v>
      </c>
      <c r="H192" s="550"/>
      <c r="L192" s="206"/>
    </row>
    <row r="193" spans="1:12" s="683" customFormat="1">
      <c r="A193" s="547" t="s">
        <v>69</v>
      </c>
      <c r="B193" s="541" t="s">
        <v>385</v>
      </c>
      <c r="C193" s="541" t="s">
        <v>556</v>
      </c>
      <c r="D193" s="880">
        <v>7.1666666666666679</v>
      </c>
      <c r="E193" s="874">
        <v>8</v>
      </c>
      <c r="F193" s="874">
        <v>0.93299999999999994</v>
      </c>
      <c r="G193" s="875">
        <v>0.9285000000000001</v>
      </c>
      <c r="H193" s="550"/>
      <c r="L193" s="206"/>
    </row>
    <row r="194" spans="1:12" s="683" customFormat="1">
      <c r="A194" s="547" t="s">
        <v>69</v>
      </c>
      <c r="B194" s="541" t="s">
        <v>381</v>
      </c>
      <c r="C194" s="541" t="s">
        <v>463</v>
      </c>
      <c r="D194" s="880">
        <v>1</v>
      </c>
      <c r="E194" s="874">
        <v>1</v>
      </c>
      <c r="F194" s="874">
        <v>6.0000000000000019E-3</v>
      </c>
      <c r="G194" s="875">
        <v>6.0000000000000019E-3</v>
      </c>
      <c r="H194" s="550"/>
      <c r="L194" s="206"/>
    </row>
    <row r="195" spans="1:12" s="683" customFormat="1">
      <c r="A195" s="547" t="s">
        <v>69</v>
      </c>
      <c r="B195" s="541" t="s">
        <v>1331</v>
      </c>
      <c r="C195" s="541" t="s">
        <v>956</v>
      </c>
      <c r="D195" s="880">
        <v>0.5</v>
      </c>
      <c r="E195" s="874">
        <v>0</v>
      </c>
      <c r="F195" s="874">
        <v>1.1464999999999999</v>
      </c>
      <c r="G195" s="875">
        <v>0</v>
      </c>
      <c r="H195" s="550"/>
      <c r="L195" s="206"/>
    </row>
    <row r="196" spans="1:12">
      <c r="A196" s="1066" t="s">
        <v>957</v>
      </c>
      <c r="B196" s="1067"/>
      <c r="C196" s="1068"/>
      <c r="D196" s="881">
        <f>SUM(D51:D195)</f>
        <v>2652.916666666667</v>
      </c>
      <c r="E196" s="882">
        <f t="shared" ref="E196:G196" si="0">SUM(E51:E195)</f>
        <v>2659.9999999999982</v>
      </c>
      <c r="F196" s="888">
        <f t="shared" si="0"/>
        <v>706.49699999999962</v>
      </c>
      <c r="G196" s="883">
        <f t="shared" si="0"/>
        <v>673.93150000000014</v>
      </c>
      <c r="H196" s="550"/>
      <c r="I196" s="683"/>
      <c r="J196" s="683"/>
    </row>
    <row r="197" spans="1:12" s="683" customFormat="1">
      <c r="A197" s="546" t="s">
        <v>98</v>
      </c>
      <c r="B197" s="541" t="s">
        <v>557</v>
      </c>
      <c r="C197" s="541" t="s">
        <v>558</v>
      </c>
      <c r="D197" s="880">
        <v>665.41666666666663</v>
      </c>
      <c r="E197" s="874">
        <v>313.83333333333326</v>
      </c>
      <c r="F197" s="874">
        <v>617.85839999999985</v>
      </c>
      <c r="G197" s="875">
        <v>253.93996666666666</v>
      </c>
      <c r="H197" s="550"/>
      <c r="L197" s="206"/>
    </row>
    <row r="198" spans="1:12">
      <c r="A198" s="548" t="s">
        <v>98</v>
      </c>
      <c r="B198" s="541" t="s">
        <v>1207</v>
      </c>
      <c r="C198" s="541" t="s">
        <v>1206</v>
      </c>
      <c r="D198" s="880">
        <v>0</v>
      </c>
      <c r="E198" s="874">
        <v>5.666666666666667</v>
      </c>
      <c r="F198" s="874">
        <v>0</v>
      </c>
      <c r="G198" s="875">
        <v>3.8404999999999991</v>
      </c>
      <c r="H198" s="550"/>
      <c r="I198" s="683"/>
      <c r="J198" s="683"/>
    </row>
    <row r="199" spans="1:12">
      <c r="A199" s="1066" t="s">
        <v>1290</v>
      </c>
      <c r="B199" s="1067"/>
      <c r="C199" s="1068"/>
      <c r="D199" s="889">
        <v>665.41666666666663</v>
      </c>
      <c r="E199" s="882">
        <v>319.49999999999994</v>
      </c>
      <c r="F199" s="888">
        <v>617.85839999999985</v>
      </c>
      <c r="G199" s="883">
        <v>257.78046666666665</v>
      </c>
      <c r="H199" s="550"/>
      <c r="I199" s="683"/>
      <c r="J199" s="683"/>
    </row>
    <row r="200" spans="1:12">
      <c r="A200" s="549" t="s">
        <v>830</v>
      </c>
      <c r="B200" s="541" t="s">
        <v>412</v>
      </c>
      <c r="C200" s="541" t="s">
        <v>559</v>
      </c>
      <c r="D200" s="880">
        <v>2</v>
      </c>
      <c r="E200" s="874">
        <v>2.0833333333333335</v>
      </c>
      <c r="F200" s="874">
        <v>1.321</v>
      </c>
      <c r="G200" s="875">
        <v>1.2925</v>
      </c>
      <c r="H200" s="550"/>
      <c r="I200" s="683"/>
      <c r="J200" s="683"/>
    </row>
    <row r="201" spans="1:12">
      <c r="A201" s="1066" t="s">
        <v>960</v>
      </c>
      <c r="B201" s="1067"/>
      <c r="C201" s="1068"/>
      <c r="D201" s="889">
        <v>2</v>
      </c>
      <c r="E201" s="882">
        <v>2.0833333333333335</v>
      </c>
      <c r="F201" s="882">
        <v>1.321</v>
      </c>
      <c r="G201" s="887">
        <v>1.2925</v>
      </c>
      <c r="H201" s="550"/>
      <c r="I201" s="683"/>
      <c r="J201" s="683"/>
    </row>
    <row r="202" spans="1:12">
      <c r="A202" s="546" t="s">
        <v>70</v>
      </c>
      <c r="B202" s="541" t="s">
        <v>415</v>
      </c>
      <c r="C202" s="541" t="s">
        <v>560</v>
      </c>
      <c r="D202" s="880">
        <v>1</v>
      </c>
      <c r="E202" s="874">
        <v>1.8333333333333335</v>
      </c>
      <c r="F202" s="874">
        <v>0.92599999999999993</v>
      </c>
      <c r="G202" s="875">
        <v>1.6139999999999999</v>
      </c>
      <c r="H202" s="550"/>
      <c r="I202" s="683"/>
      <c r="J202" s="683"/>
    </row>
    <row r="203" spans="1:12">
      <c r="A203" s="547" t="s">
        <v>70</v>
      </c>
      <c r="B203" s="541" t="s">
        <v>413</v>
      </c>
      <c r="C203" s="541" t="s">
        <v>561</v>
      </c>
      <c r="D203" s="880">
        <v>4.166666666666667</v>
      </c>
      <c r="E203" s="874">
        <v>4.5833333333333339</v>
      </c>
      <c r="F203" s="874">
        <v>2.9680000000000004</v>
      </c>
      <c r="G203" s="875">
        <v>3.6254999999999997</v>
      </c>
      <c r="H203" s="550"/>
      <c r="J203" s="683"/>
    </row>
    <row r="204" spans="1:12">
      <c r="A204" s="547" t="s">
        <v>70</v>
      </c>
      <c r="B204" s="541" t="s">
        <v>288</v>
      </c>
      <c r="C204" s="541" t="s">
        <v>487</v>
      </c>
      <c r="D204" s="880">
        <v>2</v>
      </c>
      <c r="E204" s="874">
        <v>2</v>
      </c>
      <c r="F204" s="874">
        <v>2.133</v>
      </c>
      <c r="G204" s="875">
        <v>2.3449999999999998</v>
      </c>
      <c r="H204" s="550"/>
      <c r="J204" s="683"/>
    </row>
    <row r="205" spans="1:12">
      <c r="A205" s="547" t="s">
        <v>70</v>
      </c>
      <c r="B205" s="541" t="s">
        <v>419</v>
      </c>
      <c r="C205" s="541" t="s">
        <v>562</v>
      </c>
      <c r="D205" s="880">
        <v>1.3333333333333333</v>
      </c>
      <c r="E205" s="874">
        <v>1.6666666666666667</v>
      </c>
      <c r="F205" s="874">
        <v>1.55E-2</v>
      </c>
      <c r="G205" s="875">
        <v>1.6E-2</v>
      </c>
      <c r="H205" s="550"/>
      <c r="J205" s="683"/>
    </row>
    <row r="206" spans="1:12">
      <c r="A206" s="547" t="s">
        <v>70</v>
      </c>
      <c r="B206" s="541" t="s">
        <v>414</v>
      </c>
      <c r="C206" s="541" t="s">
        <v>503</v>
      </c>
      <c r="D206" s="880">
        <v>28.499999999999996</v>
      </c>
      <c r="E206" s="874">
        <v>28.416666666666668</v>
      </c>
      <c r="F206" s="874">
        <v>21.018000000000001</v>
      </c>
      <c r="G206" s="875">
        <v>27.73</v>
      </c>
      <c r="H206" s="550"/>
      <c r="J206" s="683"/>
    </row>
    <row r="207" spans="1:12">
      <c r="A207" s="547" t="s">
        <v>70</v>
      </c>
      <c r="B207" s="541" t="s">
        <v>417</v>
      </c>
      <c r="C207" s="541" t="s">
        <v>563</v>
      </c>
      <c r="D207" s="880">
        <v>26.166666666666668</v>
      </c>
      <c r="E207" s="874">
        <v>26.75</v>
      </c>
      <c r="F207" s="874">
        <v>9.9224999999999994</v>
      </c>
      <c r="G207" s="875">
        <v>11.452</v>
      </c>
      <c r="H207" s="550"/>
      <c r="J207" s="683"/>
    </row>
    <row r="208" spans="1:12">
      <c r="A208" s="547" t="s">
        <v>70</v>
      </c>
      <c r="B208" s="541" t="s">
        <v>367</v>
      </c>
      <c r="C208" s="541" t="s">
        <v>526</v>
      </c>
      <c r="D208" s="880">
        <v>0.41666666666666663</v>
      </c>
      <c r="E208" s="874">
        <v>0.49999999999999994</v>
      </c>
      <c r="F208" s="874">
        <v>0.01</v>
      </c>
      <c r="G208" s="875">
        <v>3.6999999999999998E-2</v>
      </c>
      <c r="H208" s="550"/>
      <c r="J208" s="683"/>
    </row>
    <row r="209" spans="1:12">
      <c r="A209" s="547" t="s">
        <v>70</v>
      </c>
      <c r="B209" s="541" t="s">
        <v>367</v>
      </c>
      <c r="C209" s="541" t="s">
        <v>541</v>
      </c>
      <c r="D209" s="880">
        <v>8.3333333333333329E-2</v>
      </c>
      <c r="E209" s="874">
        <v>0.49999999999999994</v>
      </c>
      <c r="F209" s="874">
        <v>0.02</v>
      </c>
      <c r="G209" s="875">
        <v>8.5000000000000006E-2</v>
      </c>
      <c r="H209" s="550"/>
      <c r="J209" s="683"/>
    </row>
    <row r="210" spans="1:12" s="683" customFormat="1">
      <c r="A210" s="547" t="s">
        <v>70</v>
      </c>
      <c r="B210" s="541" t="s">
        <v>1210</v>
      </c>
      <c r="C210" s="541" t="s">
        <v>1208</v>
      </c>
      <c r="D210" s="880">
        <v>0</v>
      </c>
      <c r="E210" s="874">
        <v>3.666666666666667</v>
      </c>
      <c r="F210" s="874">
        <v>0</v>
      </c>
      <c r="G210" s="875">
        <v>2.7645</v>
      </c>
      <c r="H210" s="550"/>
      <c r="L210" s="206"/>
    </row>
    <row r="211" spans="1:12" s="683" customFormat="1">
      <c r="A211" s="547" t="s">
        <v>70</v>
      </c>
      <c r="B211" s="541" t="s">
        <v>1211</v>
      </c>
      <c r="C211" s="541" t="s">
        <v>564</v>
      </c>
      <c r="D211" s="880">
        <v>0</v>
      </c>
      <c r="E211" s="874">
        <v>1.3333333333333335</v>
      </c>
      <c r="F211" s="874">
        <v>0</v>
      </c>
      <c r="G211" s="875">
        <v>1.21</v>
      </c>
      <c r="H211" s="550"/>
      <c r="L211" s="206"/>
    </row>
    <row r="212" spans="1:12" s="683" customFormat="1">
      <c r="A212" s="547" t="s">
        <v>70</v>
      </c>
      <c r="B212" s="541" t="s">
        <v>399</v>
      </c>
      <c r="C212" s="541" t="s">
        <v>564</v>
      </c>
      <c r="D212" s="880">
        <v>1.3333333333333333</v>
      </c>
      <c r="E212" s="874">
        <v>0</v>
      </c>
      <c r="F212" s="874">
        <v>0.8919999999999999</v>
      </c>
      <c r="G212" s="875">
        <v>0</v>
      </c>
      <c r="H212" s="550"/>
      <c r="L212" s="206"/>
    </row>
    <row r="213" spans="1:12" s="683" customFormat="1">
      <c r="A213" s="547" t="s">
        <v>70</v>
      </c>
      <c r="B213" s="541" t="s">
        <v>1212</v>
      </c>
      <c r="C213" s="541" t="s">
        <v>1209</v>
      </c>
      <c r="D213" s="880">
        <v>0</v>
      </c>
      <c r="E213" s="874">
        <v>3.1666666666666665</v>
      </c>
      <c r="F213" s="874">
        <v>0</v>
      </c>
      <c r="G213" s="875">
        <v>3.4055000000000004</v>
      </c>
      <c r="H213" s="550"/>
      <c r="L213" s="206"/>
    </row>
    <row r="214" spans="1:12" s="683" customFormat="1">
      <c r="A214" s="547" t="s">
        <v>70</v>
      </c>
      <c r="B214" s="541" t="s">
        <v>416</v>
      </c>
      <c r="C214" s="541" t="s">
        <v>495</v>
      </c>
      <c r="D214" s="880">
        <v>4.5000000000000009</v>
      </c>
      <c r="E214" s="874">
        <v>5.583333333333333</v>
      </c>
      <c r="F214" s="874">
        <v>3.7919999999999994</v>
      </c>
      <c r="G214" s="875">
        <v>4.4175000000000004</v>
      </c>
      <c r="H214" s="550"/>
      <c r="L214" s="206"/>
    </row>
    <row r="215" spans="1:12" s="683" customFormat="1">
      <c r="A215" s="547" t="s">
        <v>70</v>
      </c>
      <c r="B215" s="541" t="s">
        <v>1213</v>
      </c>
      <c r="C215" s="541" t="s">
        <v>565</v>
      </c>
      <c r="D215" s="880">
        <v>18.583333333333336</v>
      </c>
      <c r="E215" s="874">
        <v>89.083333333333343</v>
      </c>
      <c r="F215" s="874">
        <v>0.8620000000000001</v>
      </c>
      <c r="G215" s="875">
        <v>5.8715000000000011</v>
      </c>
      <c r="H215" s="550"/>
      <c r="L215" s="206"/>
    </row>
    <row r="216" spans="1:12" s="683" customFormat="1">
      <c r="A216" s="547" t="s">
        <v>70</v>
      </c>
      <c r="B216" s="541" t="s">
        <v>1213</v>
      </c>
      <c r="C216" s="541" t="s">
        <v>469</v>
      </c>
      <c r="D216" s="880">
        <v>4.0833333333333321</v>
      </c>
      <c r="E216" s="874">
        <v>4.6666666666666661</v>
      </c>
      <c r="F216" s="874">
        <v>2.8540000000000001</v>
      </c>
      <c r="G216" s="875">
        <v>3.8474999999999997</v>
      </c>
      <c r="H216" s="550"/>
      <c r="L216" s="206"/>
    </row>
    <row r="217" spans="1:12" s="683" customFormat="1">
      <c r="A217" s="547" t="s">
        <v>70</v>
      </c>
      <c r="B217" s="541" t="s">
        <v>1213</v>
      </c>
      <c r="C217" s="541" t="s">
        <v>554</v>
      </c>
      <c r="D217" s="880">
        <v>86.999999999999986</v>
      </c>
      <c r="E217" s="874">
        <v>0</v>
      </c>
      <c r="F217" s="874">
        <v>5.3020000000000005</v>
      </c>
      <c r="G217" s="875">
        <v>0</v>
      </c>
      <c r="H217" s="550"/>
      <c r="L217" s="206"/>
    </row>
    <row r="218" spans="1:12">
      <c r="A218" s="1066" t="s">
        <v>961</v>
      </c>
      <c r="B218" s="1067"/>
      <c r="C218" s="1068"/>
      <c r="D218" s="889">
        <v>179.16666666666666</v>
      </c>
      <c r="E218" s="882">
        <v>173.75</v>
      </c>
      <c r="F218" s="882">
        <v>50.715000000000011</v>
      </c>
      <c r="G218" s="890">
        <v>68.420999999999992</v>
      </c>
      <c r="H218" s="550"/>
      <c r="J218" s="683"/>
    </row>
    <row r="219" spans="1:12">
      <c r="A219" s="548" t="s">
        <v>454</v>
      </c>
      <c r="B219" s="541" t="s">
        <v>418</v>
      </c>
      <c r="C219" s="548" t="s">
        <v>566</v>
      </c>
      <c r="D219" s="891">
        <v>2.7499999999999996</v>
      </c>
      <c r="E219" s="892">
        <v>2.5000000000000004</v>
      </c>
      <c r="F219" s="892">
        <v>0.4875000000000001</v>
      </c>
      <c r="G219" s="893">
        <v>0.51250000000000007</v>
      </c>
      <c r="H219" s="550"/>
      <c r="J219" s="683"/>
    </row>
    <row r="220" spans="1:12">
      <c r="A220" s="1066" t="s">
        <v>962</v>
      </c>
      <c r="B220" s="1067"/>
      <c r="C220" s="1068"/>
      <c r="D220" s="894">
        <v>2.7499999999999996</v>
      </c>
      <c r="E220" s="895">
        <v>2.5000000000000004</v>
      </c>
      <c r="F220" s="895">
        <v>0.4875000000000001</v>
      </c>
      <c r="G220" s="896">
        <v>0.51250000000000007</v>
      </c>
      <c r="H220" s="550"/>
      <c r="J220" s="683"/>
    </row>
    <row r="221" spans="1:12">
      <c r="A221" s="546" t="s">
        <v>8</v>
      </c>
      <c r="B221" s="541" t="s">
        <v>567</v>
      </c>
      <c r="C221" s="541" t="s">
        <v>568</v>
      </c>
      <c r="D221" s="880">
        <v>2.9166666666666656</v>
      </c>
      <c r="E221" s="874">
        <v>0.16666666666666666</v>
      </c>
      <c r="F221" s="874">
        <v>1.5695000000000001</v>
      </c>
      <c r="G221" s="875">
        <v>0.11649999999999999</v>
      </c>
      <c r="H221" s="550"/>
      <c r="J221" s="683"/>
    </row>
    <row r="222" spans="1:12">
      <c r="A222" s="547" t="s">
        <v>8</v>
      </c>
      <c r="B222" s="541" t="s">
        <v>1234</v>
      </c>
      <c r="C222" s="541" t="s">
        <v>569</v>
      </c>
      <c r="D222" s="880">
        <v>1</v>
      </c>
      <c r="E222" s="874">
        <v>0.75</v>
      </c>
      <c r="F222" s="874">
        <v>0.44200000000000006</v>
      </c>
      <c r="G222" s="875">
        <v>0.21999999999999997</v>
      </c>
      <c r="H222" s="550"/>
      <c r="J222" s="683"/>
    </row>
    <row r="223" spans="1:12">
      <c r="A223" s="547" t="s">
        <v>8</v>
      </c>
      <c r="B223" s="541" t="s">
        <v>884</v>
      </c>
      <c r="C223" s="541" t="s">
        <v>969</v>
      </c>
      <c r="D223" s="880">
        <v>0</v>
      </c>
      <c r="E223" s="874">
        <v>3.083333333333333</v>
      </c>
      <c r="F223" s="874">
        <v>0</v>
      </c>
      <c r="G223" s="875">
        <v>1.96</v>
      </c>
      <c r="H223" s="550"/>
      <c r="J223" s="683"/>
    </row>
    <row r="224" spans="1:12">
      <c r="A224" s="547" t="s">
        <v>8</v>
      </c>
      <c r="B224" s="541" t="s">
        <v>884</v>
      </c>
      <c r="C224" s="541" t="s">
        <v>569</v>
      </c>
      <c r="D224" s="880">
        <v>140.25</v>
      </c>
      <c r="E224" s="874">
        <v>149.58333333333331</v>
      </c>
      <c r="F224" s="874">
        <v>295.60140000000007</v>
      </c>
      <c r="G224" s="875">
        <v>294.63941666666665</v>
      </c>
      <c r="H224" s="550"/>
      <c r="J224" s="683"/>
    </row>
    <row r="225" spans="1:10">
      <c r="A225" s="547" t="s">
        <v>8</v>
      </c>
      <c r="B225" s="541" t="s">
        <v>884</v>
      </c>
      <c r="C225" s="541" t="s">
        <v>1229</v>
      </c>
      <c r="D225" s="880">
        <v>0</v>
      </c>
      <c r="E225" s="874">
        <v>1.1666666666666665</v>
      </c>
      <c r="F225" s="874">
        <v>0</v>
      </c>
      <c r="G225" s="875">
        <v>0.44500000000000001</v>
      </c>
      <c r="H225" s="550"/>
      <c r="J225" s="683"/>
    </row>
    <row r="226" spans="1:10">
      <c r="A226" s="547" t="s">
        <v>8</v>
      </c>
      <c r="B226" s="541" t="s">
        <v>1346</v>
      </c>
      <c r="C226" s="541" t="s">
        <v>1229</v>
      </c>
      <c r="D226" s="880">
        <v>0</v>
      </c>
      <c r="E226" s="874">
        <v>0</v>
      </c>
      <c r="F226" s="874">
        <v>0</v>
      </c>
      <c r="G226" s="875">
        <v>0</v>
      </c>
      <c r="H226" s="550"/>
      <c r="J226" s="683"/>
    </row>
    <row r="227" spans="1:10">
      <c r="A227" s="547" t="s">
        <v>8</v>
      </c>
      <c r="B227" s="541" t="s">
        <v>427</v>
      </c>
      <c r="C227" s="541" t="s">
        <v>571</v>
      </c>
      <c r="D227" s="880">
        <v>1035.8333333333333</v>
      </c>
      <c r="E227" s="874">
        <v>1025.8333333333335</v>
      </c>
      <c r="F227" s="874">
        <v>857.80138333333332</v>
      </c>
      <c r="G227" s="875">
        <v>832.48637499999995</v>
      </c>
      <c r="H227" s="550"/>
      <c r="J227" s="683"/>
    </row>
    <row r="228" spans="1:10">
      <c r="A228" s="547" t="s">
        <v>8</v>
      </c>
      <c r="B228" s="541" t="s">
        <v>450</v>
      </c>
      <c r="C228" s="541" t="s">
        <v>572</v>
      </c>
      <c r="D228" s="880">
        <v>4.4166666666666661</v>
      </c>
      <c r="E228" s="874">
        <v>5.083333333333333</v>
      </c>
      <c r="F228" s="874">
        <v>1.6965000000000001</v>
      </c>
      <c r="G228" s="875">
        <v>1.4989999999999999</v>
      </c>
      <c r="H228" s="550"/>
      <c r="J228" s="683"/>
    </row>
    <row r="229" spans="1:10">
      <c r="A229" s="547" t="s">
        <v>8</v>
      </c>
      <c r="B229" s="541" t="s">
        <v>422</v>
      </c>
      <c r="C229" s="541" t="s">
        <v>573</v>
      </c>
      <c r="D229" s="880">
        <v>1221.1666666666667</v>
      </c>
      <c r="E229" s="874">
        <v>1328.1666666666667</v>
      </c>
      <c r="F229" s="874">
        <v>1088.4632583333332</v>
      </c>
      <c r="G229" s="875">
        <v>1166.2157583333333</v>
      </c>
      <c r="H229" s="550"/>
      <c r="J229" s="683"/>
    </row>
    <row r="230" spans="1:10">
      <c r="A230" s="547" t="s">
        <v>8</v>
      </c>
      <c r="B230" s="541" t="s">
        <v>422</v>
      </c>
      <c r="C230" s="541" t="s">
        <v>574</v>
      </c>
      <c r="D230" s="880">
        <v>1682.7500000000005</v>
      </c>
      <c r="E230" s="874">
        <v>1727.8333333333328</v>
      </c>
      <c r="F230" s="874">
        <v>1345.0902499999997</v>
      </c>
      <c r="G230" s="875">
        <v>1348.2088000000001</v>
      </c>
      <c r="H230" s="550"/>
      <c r="J230" s="683"/>
    </row>
    <row r="231" spans="1:10">
      <c r="A231" s="547" t="s">
        <v>8</v>
      </c>
      <c r="B231" s="541" t="s">
        <v>429</v>
      </c>
      <c r="C231" s="541" t="s">
        <v>575</v>
      </c>
      <c r="D231" s="880">
        <v>260.41666666666669</v>
      </c>
      <c r="E231" s="874">
        <v>318.74999999999994</v>
      </c>
      <c r="F231" s="874">
        <v>236.53000000000003</v>
      </c>
      <c r="G231" s="875">
        <v>285.64550000000003</v>
      </c>
      <c r="H231" s="550"/>
      <c r="J231" s="683"/>
    </row>
    <row r="232" spans="1:10">
      <c r="A232" s="547" t="s">
        <v>8</v>
      </c>
      <c r="B232" s="541" t="s">
        <v>963</v>
      </c>
      <c r="C232" s="541" t="s">
        <v>852</v>
      </c>
      <c r="D232" s="880">
        <v>2.75</v>
      </c>
      <c r="E232" s="874">
        <v>0.83333333333333337</v>
      </c>
      <c r="F232" s="874">
        <v>2.7044999999999999</v>
      </c>
      <c r="G232" s="875">
        <v>0.79499999999999993</v>
      </c>
      <c r="H232" s="550"/>
      <c r="J232" s="683"/>
    </row>
    <row r="233" spans="1:10">
      <c r="A233" s="547" t="s">
        <v>8</v>
      </c>
      <c r="B233" s="541" t="s">
        <v>1235</v>
      </c>
      <c r="C233" s="541" t="s">
        <v>620</v>
      </c>
      <c r="D233" s="880">
        <v>2.1666666666666661</v>
      </c>
      <c r="E233" s="874">
        <v>4.583333333333333</v>
      </c>
      <c r="F233" s="874">
        <v>1.0275000000000001</v>
      </c>
      <c r="G233" s="875">
        <v>1.216</v>
      </c>
      <c r="H233" s="550"/>
      <c r="J233" s="683"/>
    </row>
    <row r="234" spans="1:10">
      <c r="A234" s="547" t="s">
        <v>8</v>
      </c>
      <c r="B234" s="541" t="s">
        <v>431</v>
      </c>
      <c r="C234" s="541" t="s">
        <v>576</v>
      </c>
      <c r="D234" s="880">
        <v>331.5</v>
      </c>
      <c r="E234" s="874">
        <v>647.83333333333337</v>
      </c>
      <c r="F234" s="874">
        <v>196.41199999999998</v>
      </c>
      <c r="G234" s="875">
        <v>284.39499999999998</v>
      </c>
      <c r="H234" s="550"/>
      <c r="J234" s="683"/>
    </row>
    <row r="235" spans="1:10">
      <c r="A235" s="547" t="s">
        <v>8</v>
      </c>
      <c r="B235" s="541" t="s">
        <v>1236</v>
      </c>
      <c r="C235" s="541" t="s">
        <v>602</v>
      </c>
      <c r="D235" s="880">
        <v>0</v>
      </c>
      <c r="E235" s="874">
        <v>0.74999999999999989</v>
      </c>
      <c r="F235" s="874">
        <v>0</v>
      </c>
      <c r="G235" s="875">
        <v>0.29499999999999998</v>
      </c>
      <c r="H235" s="550"/>
      <c r="J235" s="683"/>
    </row>
    <row r="236" spans="1:10">
      <c r="A236" s="547" t="s">
        <v>8</v>
      </c>
      <c r="B236" s="541" t="s">
        <v>1237</v>
      </c>
      <c r="C236" s="541" t="s">
        <v>641</v>
      </c>
      <c r="D236" s="880">
        <v>587.83333333333314</v>
      </c>
      <c r="E236" s="874">
        <v>511.91666666666674</v>
      </c>
      <c r="F236" s="874">
        <v>463.22199999999987</v>
      </c>
      <c r="G236" s="875">
        <v>390.65999166666666</v>
      </c>
      <c r="H236" s="550"/>
      <c r="J236" s="683"/>
    </row>
    <row r="237" spans="1:10">
      <c r="A237" s="547" t="s">
        <v>8</v>
      </c>
      <c r="B237" s="541" t="s">
        <v>778</v>
      </c>
      <c r="C237" s="541" t="s">
        <v>597</v>
      </c>
      <c r="D237" s="880">
        <v>247.08333333333331</v>
      </c>
      <c r="E237" s="874">
        <v>227.83333333333331</v>
      </c>
      <c r="F237" s="874">
        <v>85.793500000000009</v>
      </c>
      <c r="G237" s="875">
        <v>87.826000000000008</v>
      </c>
      <c r="H237" s="550"/>
      <c r="J237" s="683"/>
    </row>
    <row r="238" spans="1:10">
      <c r="A238" s="547" t="s">
        <v>8</v>
      </c>
      <c r="B238" s="541" t="s">
        <v>423</v>
      </c>
      <c r="C238" s="541" t="s">
        <v>578</v>
      </c>
      <c r="D238" s="880">
        <v>639.41666666666663</v>
      </c>
      <c r="E238" s="874">
        <v>726.99999999999989</v>
      </c>
      <c r="F238" s="874">
        <v>581.90149999999994</v>
      </c>
      <c r="G238" s="875">
        <v>647.32900000000018</v>
      </c>
      <c r="H238" s="550"/>
      <c r="J238" s="683"/>
    </row>
    <row r="239" spans="1:10">
      <c r="A239" s="547" t="s">
        <v>8</v>
      </c>
      <c r="B239" s="541" t="s">
        <v>423</v>
      </c>
      <c r="C239" s="541" t="s">
        <v>579</v>
      </c>
      <c r="D239" s="880">
        <v>601.25000000000011</v>
      </c>
      <c r="E239" s="874">
        <v>669.50000000000011</v>
      </c>
      <c r="F239" s="874">
        <v>536.49849999999992</v>
      </c>
      <c r="G239" s="875">
        <v>610.02195833333337</v>
      </c>
      <c r="H239" s="550"/>
      <c r="J239" s="683"/>
    </row>
    <row r="240" spans="1:10">
      <c r="A240" s="547" t="s">
        <v>8</v>
      </c>
      <c r="B240" s="541" t="s">
        <v>580</v>
      </c>
      <c r="C240" s="541" t="s">
        <v>581</v>
      </c>
      <c r="D240" s="880">
        <v>536.41666666666663</v>
      </c>
      <c r="E240" s="874">
        <v>558.83333333333337</v>
      </c>
      <c r="F240" s="874">
        <v>405.25946666666675</v>
      </c>
      <c r="G240" s="875">
        <v>426.61693333333318</v>
      </c>
      <c r="H240" s="550"/>
      <c r="J240" s="683"/>
    </row>
    <row r="241" spans="1:10">
      <c r="A241" s="547" t="s">
        <v>8</v>
      </c>
      <c r="B241" s="541" t="s">
        <v>1347</v>
      </c>
      <c r="C241" s="541" t="s">
        <v>582</v>
      </c>
      <c r="D241" s="880">
        <v>2</v>
      </c>
      <c r="E241" s="874">
        <v>1.2499999999999998</v>
      </c>
      <c r="F241" s="874">
        <v>0.35200000000000009</v>
      </c>
      <c r="G241" s="875">
        <v>0.25749999999999995</v>
      </c>
      <c r="H241" s="550"/>
      <c r="J241" s="683"/>
    </row>
    <row r="242" spans="1:10">
      <c r="A242" s="547" t="s">
        <v>8</v>
      </c>
      <c r="B242" s="541" t="s">
        <v>964</v>
      </c>
      <c r="C242" s="541" t="s">
        <v>602</v>
      </c>
      <c r="D242" s="880">
        <v>4.4166666666666661</v>
      </c>
      <c r="E242" s="874">
        <v>34.416666666666664</v>
      </c>
      <c r="F242" s="874">
        <v>4.1105</v>
      </c>
      <c r="G242" s="875">
        <v>34.945</v>
      </c>
      <c r="H242" s="550"/>
      <c r="J242" s="683"/>
    </row>
    <row r="243" spans="1:10">
      <c r="A243" s="547" t="s">
        <v>8</v>
      </c>
      <c r="B243" s="541" t="s">
        <v>964</v>
      </c>
      <c r="C243" s="541" t="s">
        <v>587</v>
      </c>
      <c r="D243" s="880">
        <v>18.5</v>
      </c>
      <c r="E243" s="874">
        <v>6.166666666666667</v>
      </c>
      <c r="F243" s="874">
        <v>20.404499999999999</v>
      </c>
      <c r="G243" s="875">
        <v>5.8460000000000001</v>
      </c>
      <c r="H243" s="550"/>
      <c r="J243" s="683"/>
    </row>
    <row r="244" spans="1:10">
      <c r="A244" s="547" t="s">
        <v>8</v>
      </c>
      <c r="B244" s="541" t="s">
        <v>965</v>
      </c>
      <c r="C244" s="541" t="s">
        <v>587</v>
      </c>
      <c r="D244" s="880">
        <v>2.3333333333333335</v>
      </c>
      <c r="E244" s="874">
        <v>4.166666666666667</v>
      </c>
      <c r="F244" s="874">
        <v>1.2549999999999999</v>
      </c>
      <c r="G244" s="875">
        <v>0.69249999999999989</v>
      </c>
      <c r="H244" s="550"/>
      <c r="J244" s="683"/>
    </row>
    <row r="245" spans="1:10">
      <c r="A245" s="547" t="s">
        <v>8</v>
      </c>
      <c r="B245" s="541" t="s">
        <v>1348</v>
      </c>
      <c r="C245" s="541" t="s">
        <v>639</v>
      </c>
      <c r="D245" s="880">
        <v>1</v>
      </c>
      <c r="E245" s="874">
        <v>1.0833333333333333</v>
      </c>
      <c r="F245" s="874">
        <v>1.9944999999999999</v>
      </c>
      <c r="G245" s="875">
        <v>1.7415</v>
      </c>
      <c r="H245" s="550"/>
      <c r="J245" s="683"/>
    </row>
    <row r="246" spans="1:10">
      <c r="A246" s="547" t="s">
        <v>8</v>
      </c>
      <c r="B246" s="541" t="s">
        <v>966</v>
      </c>
      <c r="C246" s="541" t="s">
        <v>856</v>
      </c>
      <c r="D246" s="880">
        <v>1.6666666666666667</v>
      </c>
      <c r="E246" s="874">
        <v>0</v>
      </c>
      <c r="F246" s="874">
        <v>0.88749999999999996</v>
      </c>
      <c r="G246" s="875">
        <v>0</v>
      </c>
      <c r="H246" s="550"/>
      <c r="J246" s="683"/>
    </row>
    <row r="247" spans="1:10">
      <c r="A247" s="547" t="s">
        <v>8</v>
      </c>
      <c r="B247" s="541" t="s">
        <v>451</v>
      </c>
      <c r="C247" s="541" t="s">
        <v>583</v>
      </c>
      <c r="D247" s="880">
        <v>1</v>
      </c>
      <c r="E247" s="874">
        <v>1.1666666666666665</v>
      </c>
      <c r="F247" s="874">
        <v>0.61299999999999999</v>
      </c>
      <c r="G247" s="875">
        <v>0.52450000000000008</v>
      </c>
      <c r="H247" s="550"/>
      <c r="J247" s="683"/>
    </row>
    <row r="248" spans="1:10">
      <c r="A248" s="547" t="s">
        <v>8</v>
      </c>
      <c r="B248" s="541" t="s">
        <v>421</v>
      </c>
      <c r="C248" s="541" t="s">
        <v>585</v>
      </c>
      <c r="D248" s="880">
        <v>4</v>
      </c>
      <c r="E248" s="874">
        <v>2.6666666666666665</v>
      </c>
      <c r="F248" s="874">
        <v>0.35</v>
      </c>
      <c r="G248" s="875">
        <v>0.17850000000000002</v>
      </c>
      <c r="H248" s="550"/>
      <c r="J248" s="683"/>
    </row>
    <row r="249" spans="1:10">
      <c r="A249" s="547" t="s">
        <v>8</v>
      </c>
      <c r="B249" s="541" t="s">
        <v>967</v>
      </c>
      <c r="C249" s="541" t="s">
        <v>597</v>
      </c>
      <c r="D249" s="880">
        <v>5.6666666666666661</v>
      </c>
      <c r="E249" s="874">
        <v>6.416666666666667</v>
      </c>
      <c r="F249" s="874">
        <v>3.8380000000000001</v>
      </c>
      <c r="G249" s="875">
        <v>4.3295000000000003</v>
      </c>
      <c r="H249" s="550"/>
      <c r="J249" s="683"/>
    </row>
    <row r="250" spans="1:10">
      <c r="A250" s="547" t="s">
        <v>8</v>
      </c>
      <c r="B250" s="541" t="s">
        <v>832</v>
      </c>
      <c r="C250" s="541" t="s">
        <v>625</v>
      </c>
      <c r="D250" s="880">
        <v>34.916666666666664</v>
      </c>
      <c r="E250" s="874">
        <v>8.6666666666666661</v>
      </c>
      <c r="F250" s="874">
        <v>32.530999999999999</v>
      </c>
      <c r="G250" s="875">
        <v>9.3339999999999996</v>
      </c>
      <c r="H250" s="550"/>
      <c r="J250" s="683"/>
    </row>
    <row r="251" spans="1:10">
      <c r="A251" s="547" t="s">
        <v>8</v>
      </c>
      <c r="B251" s="541" t="s">
        <v>1349</v>
      </c>
      <c r="C251" s="541" t="s">
        <v>597</v>
      </c>
      <c r="D251" s="880">
        <v>0</v>
      </c>
      <c r="E251" s="874">
        <v>0</v>
      </c>
      <c r="F251" s="874">
        <v>0</v>
      </c>
      <c r="G251" s="875">
        <v>0</v>
      </c>
      <c r="H251" s="550"/>
      <c r="J251" s="683"/>
    </row>
    <row r="252" spans="1:10">
      <c r="A252" s="547" t="s">
        <v>8</v>
      </c>
      <c r="B252" s="541" t="s">
        <v>426</v>
      </c>
      <c r="C252" s="541" t="s">
        <v>586</v>
      </c>
      <c r="D252" s="880">
        <v>419.58333333333331</v>
      </c>
      <c r="E252" s="874">
        <v>492.66666666666669</v>
      </c>
      <c r="F252" s="874">
        <v>334.31349999999998</v>
      </c>
      <c r="G252" s="875">
        <v>388.18349999999998</v>
      </c>
      <c r="H252" s="550"/>
      <c r="J252" s="683"/>
    </row>
    <row r="253" spans="1:10">
      <c r="A253" s="547" t="s">
        <v>8</v>
      </c>
      <c r="B253" s="541" t="s">
        <v>440</v>
      </c>
      <c r="C253" s="541" t="s">
        <v>592</v>
      </c>
      <c r="D253" s="880">
        <v>3</v>
      </c>
      <c r="E253" s="874">
        <v>0.5</v>
      </c>
      <c r="F253" s="874">
        <v>2.8</v>
      </c>
      <c r="G253" s="875">
        <v>0.36699999999999999</v>
      </c>
      <c r="H253" s="550"/>
      <c r="J253" s="683"/>
    </row>
    <row r="254" spans="1:10">
      <c r="A254" s="547" t="s">
        <v>8</v>
      </c>
      <c r="B254" s="541" t="s">
        <v>430</v>
      </c>
      <c r="C254" s="541" t="s">
        <v>588</v>
      </c>
      <c r="D254" s="880">
        <v>401.41666666666652</v>
      </c>
      <c r="E254" s="874">
        <v>499.16666666666669</v>
      </c>
      <c r="F254" s="874">
        <v>334.62500000000011</v>
      </c>
      <c r="G254" s="875">
        <v>410.19647499999991</v>
      </c>
      <c r="H254" s="550"/>
      <c r="J254" s="683"/>
    </row>
    <row r="255" spans="1:10">
      <c r="A255" s="547" t="s">
        <v>8</v>
      </c>
      <c r="B255" s="541" t="s">
        <v>445</v>
      </c>
      <c r="C255" s="541" t="s">
        <v>445</v>
      </c>
      <c r="D255" s="880">
        <v>2.666666666666667</v>
      </c>
      <c r="E255" s="874">
        <v>3</v>
      </c>
      <c r="F255" s="874">
        <v>1.5450000000000004</v>
      </c>
      <c r="G255" s="875">
        <v>2.2324999999999999</v>
      </c>
      <c r="H255" s="550"/>
      <c r="J255" s="683"/>
    </row>
    <row r="256" spans="1:10">
      <c r="A256" s="547" t="s">
        <v>8</v>
      </c>
      <c r="B256" s="541" t="s">
        <v>590</v>
      </c>
      <c r="C256" s="541" t="s">
        <v>597</v>
      </c>
      <c r="D256" s="880">
        <v>3.583333333333333</v>
      </c>
      <c r="E256" s="874">
        <v>0</v>
      </c>
      <c r="F256" s="874">
        <v>2.3759999999999999</v>
      </c>
      <c r="G256" s="875">
        <v>0</v>
      </c>
      <c r="H256" s="550"/>
      <c r="J256" s="683"/>
    </row>
    <row r="257" spans="1:12">
      <c r="A257" s="547" t="s">
        <v>8</v>
      </c>
      <c r="B257" s="541" t="s">
        <v>779</v>
      </c>
      <c r="C257" s="541" t="s">
        <v>594</v>
      </c>
      <c r="D257" s="880">
        <v>107.49999999999999</v>
      </c>
      <c r="E257" s="874">
        <v>167.83333333333331</v>
      </c>
      <c r="F257" s="874">
        <v>233.15849999999998</v>
      </c>
      <c r="G257" s="875">
        <v>336.16499999999996</v>
      </c>
      <c r="H257" s="550"/>
      <c r="J257" s="683"/>
    </row>
    <row r="258" spans="1:12">
      <c r="A258" s="547" t="s">
        <v>8</v>
      </c>
      <c r="B258" s="541" t="s">
        <v>848</v>
      </c>
      <c r="C258" s="541" t="s">
        <v>849</v>
      </c>
      <c r="D258" s="880">
        <v>28.083333333333336</v>
      </c>
      <c r="E258" s="874">
        <v>65.083333333333329</v>
      </c>
      <c r="F258" s="874">
        <v>14.501000000000001</v>
      </c>
      <c r="G258" s="875">
        <v>105.91400000000002</v>
      </c>
      <c r="H258" s="550"/>
      <c r="J258" s="683"/>
    </row>
    <row r="259" spans="1:12">
      <c r="A259" s="547" t="s">
        <v>8</v>
      </c>
      <c r="B259" s="541" t="s">
        <v>442</v>
      </c>
      <c r="C259" s="541" t="s">
        <v>591</v>
      </c>
      <c r="D259" s="880">
        <v>0.75</v>
      </c>
      <c r="E259" s="874">
        <v>0</v>
      </c>
      <c r="F259" s="874">
        <v>2.2000000000000006E-2</v>
      </c>
      <c r="G259" s="875">
        <v>0</v>
      </c>
      <c r="H259" s="550"/>
      <c r="J259" s="683"/>
    </row>
    <row r="260" spans="1:12">
      <c r="A260" s="547" t="s">
        <v>8</v>
      </c>
      <c r="B260" s="541" t="s">
        <v>452</v>
      </c>
      <c r="C260" s="541" t="s">
        <v>593</v>
      </c>
      <c r="D260" s="880">
        <v>625.08333333333337</v>
      </c>
      <c r="E260" s="874">
        <v>674.00000000000011</v>
      </c>
      <c r="F260" s="874">
        <v>426.6875</v>
      </c>
      <c r="G260" s="875">
        <v>434.04799166666663</v>
      </c>
      <c r="H260" s="550"/>
      <c r="J260" s="683"/>
    </row>
    <row r="261" spans="1:12">
      <c r="A261" s="547" t="s">
        <v>8</v>
      </c>
      <c r="B261" s="541" t="s">
        <v>1350</v>
      </c>
      <c r="C261" s="541" t="s">
        <v>487</v>
      </c>
      <c r="D261" s="880">
        <v>0</v>
      </c>
      <c r="E261" s="874">
        <v>41.75</v>
      </c>
      <c r="F261" s="874">
        <v>0</v>
      </c>
      <c r="G261" s="875">
        <v>32.475000000000001</v>
      </c>
      <c r="H261" s="550"/>
      <c r="J261" s="683"/>
    </row>
    <row r="262" spans="1:12">
      <c r="A262" s="547" t="s">
        <v>8</v>
      </c>
      <c r="B262" s="541" t="s">
        <v>833</v>
      </c>
      <c r="C262" s="541" t="s">
        <v>596</v>
      </c>
      <c r="D262" s="880">
        <v>19.499999999999996</v>
      </c>
      <c r="E262" s="874">
        <v>13.583333333333332</v>
      </c>
      <c r="F262" s="874">
        <v>15.864999999999997</v>
      </c>
      <c r="G262" s="875">
        <v>13.614500000000003</v>
      </c>
      <c r="H262" s="550"/>
      <c r="J262" s="683"/>
    </row>
    <row r="263" spans="1:12">
      <c r="A263" s="547" t="s">
        <v>8</v>
      </c>
      <c r="B263" s="541" t="s">
        <v>290</v>
      </c>
      <c r="C263" s="541" t="s">
        <v>597</v>
      </c>
      <c r="D263" s="880">
        <v>1.5833333333333335</v>
      </c>
      <c r="E263" s="874">
        <v>0</v>
      </c>
      <c r="F263" s="874">
        <v>1.4019999999999999</v>
      </c>
      <c r="G263" s="875">
        <v>0</v>
      </c>
      <c r="H263" s="550"/>
      <c r="J263" s="683"/>
    </row>
    <row r="264" spans="1:12">
      <c r="A264" s="547" t="s">
        <v>8</v>
      </c>
      <c r="B264" s="541" t="s">
        <v>599</v>
      </c>
      <c r="C264" s="541" t="s">
        <v>600</v>
      </c>
      <c r="D264" s="880">
        <v>394.49999999999994</v>
      </c>
      <c r="E264" s="874">
        <v>383.08333333333331</v>
      </c>
      <c r="F264" s="874">
        <v>395.76290000000006</v>
      </c>
      <c r="G264" s="875">
        <v>374.5754</v>
      </c>
      <c r="H264" s="550"/>
      <c r="J264" s="683"/>
    </row>
    <row r="265" spans="1:12" s="298" customFormat="1">
      <c r="A265" s="547" t="s">
        <v>8</v>
      </c>
      <c r="B265" s="541" t="s">
        <v>1351</v>
      </c>
      <c r="C265" s="541" t="s">
        <v>601</v>
      </c>
      <c r="D265" s="880">
        <v>1</v>
      </c>
      <c r="E265" s="874">
        <v>0.49999999999999994</v>
      </c>
      <c r="F265" s="874">
        <v>0.21800000000000003</v>
      </c>
      <c r="G265" s="875">
        <v>0.10250000000000001</v>
      </c>
      <c r="H265" s="550"/>
      <c r="J265" s="683"/>
      <c r="L265" s="206"/>
    </row>
    <row r="266" spans="1:12">
      <c r="A266" s="547" t="s">
        <v>8</v>
      </c>
      <c r="B266" s="541" t="s">
        <v>1238</v>
      </c>
      <c r="C266" s="541" t="s">
        <v>568</v>
      </c>
      <c r="D266" s="880">
        <v>0</v>
      </c>
      <c r="E266" s="874">
        <v>27.416666666666664</v>
      </c>
      <c r="F266" s="874">
        <v>0</v>
      </c>
      <c r="G266" s="875">
        <v>23.15</v>
      </c>
      <c r="H266" s="550"/>
      <c r="J266" s="683"/>
    </row>
    <row r="267" spans="1:12">
      <c r="A267" s="547" t="s">
        <v>8</v>
      </c>
      <c r="B267" s="541" t="s">
        <v>850</v>
      </c>
      <c r="C267" s="541" t="s">
        <v>642</v>
      </c>
      <c r="D267" s="880">
        <v>231.33333333333329</v>
      </c>
      <c r="E267" s="874">
        <v>153.25</v>
      </c>
      <c r="F267" s="874">
        <v>98.503500000000003</v>
      </c>
      <c r="G267" s="875">
        <v>86.592999999999989</v>
      </c>
      <c r="H267" s="550"/>
      <c r="J267" s="683"/>
    </row>
    <row r="268" spans="1:12">
      <c r="A268" s="547" t="s">
        <v>8</v>
      </c>
      <c r="B268" s="541" t="s">
        <v>1352</v>
      </c>
      <c r="C268" s="541" t="s">
        <v>478</v>
      </c>
      <c r="D268" s="880">
        <v>0.91666666666666663</v>
      </c>
      <c r="E268" s="874">
        <v>0</v>
      </c>
      <c r="F268" s="874">
        <v>0.59899999999999998</v>
      </c>
      <c r="G268" s="875">
        <v>0</v>
      </c>
      <c r="H268" s="550"/>
      <c r="J268" s="683"/>
    </row>
    <row r="269" spans="1:12">
      <c r="A269" s="547" t="s">
        <v>8</v>
      </c>
      <c r="B269" s="541" t="s">
        <v>437</v>
      </c>
      <c r="C269" s="541" t="s">
        <v>604</v>
      </c>
      <c r="D269" s="880">
        <v>101.16666666666666</v>
      </c>
      <c r="E269" s="874">
        <v>96.499999999999986</v>
      </c>
      <c r="F269" s="874">
        <v>67.823999999999998</v>
      </c>
      <c r="G269" s="875">
        <v>73.263999999999996</v>
      </c>
      <c r="H269" s="550"/>
      <c r="J269" s="683"/>
    </row>
    <row r="270" spans="1:12">
      <c r="A270" s="547" t="s">
        <v>8</v>
      </c>
      <c r="B270" s="541" t="s">
        <v>885</v>
      </c>
      <c r="C270" s="541" t="s">
        <v>886</v>
      </c>
      <c r="D270" s="880">
        <v>2</v>
      </c>
      <c r="E270" s="874">
        <v>2</v>
      </c>
      <c r="F270" s="874">
        <v>1.6620000000000001</v>
      </c>
      <c r="G270" s="875">
        <v>1.117</v>
      </c>
      <c r="H270" s="550"/>
      <c r="J270" s="683"/>
    </row>
    <row r="271" spans="1:12">
      <c r="A271" s="547" t="s">
        <v>8</v>
      </c>
      <c r="B271" s="541" t="s">
        <v>1110</v>
      </c>
      <c r="C271" s="541" t="s">
        <v>1340</v>
      </c>
      <c r="D271" s="880">
        <v>44.75</v>
      </c>
      <c r="E271" s="874">
        <v>182.5</v>
      </c>
      <c r="F271" s="874">
        <v>28.704000000000001</v>
      </c>
      <c r="G271" s="875">
        <v>157.59899999999999</v>
      </c>
      <c r="H271" s="550"/>
      <c r="J271" s="683"/>
    </row>
    <row r="272" spans="1:12">
      <c r="A272" s="547" t="s">
        <v>8</v>
      </c>
      <c r="B272" s="541" t="s">
        <v>1239</v>
      </c>
      <c r="C272" s="541" t="s">
        <v>525</v>
      </c>
      <c r="D272" s="880">
        <v>0</v>
      </c>
      <c r="E272" s="874">
        <v>0.41666666666666663</v>
      </c>
      <c r="F272" s="874">
        <v>0</v>
      </c>
      <c r="G272" s="875">
        <v>2.8999999999999998E-2</v>
      </c>
      <c r="H272" s="550"/>
      <c r="J272" s="683"/>
    </row>
    <row r="273" spans="1:12" s="298" customFormat="1">
      <c r="A273" s="547" t="s">
        <v>8</v>
      </c>
      <c r="B273" s="541" t="s">
        <v>968</v>
      </c>
      <c r="C273" s="541" t="s">
        <v>969</v>
      </c>
      <c r="D273" s="880">
        <v>0.91666666666666674</v>
      </c>
      <c r="E273" s="874">
        <v>0.33333333333333331</v>
      </c>
      <c r="F273" s="874">
        <v>0.38850000000000007</v>
      </c>
      <c r="G273" s="875">
        <v>1.0999999999999999E-2</v>
      </c>
      <c r="H273" s="550"/>
      <c r="J273" s="683"/>
      <c r="L273" s="206"/>
    </row>
    <row r="274" spans="1:12">
      <c r="A274" s="547" t="s">
        <v>8</v>
      </c>
      <c r="B274" s="541" t="s">
        <v>970</v>
      </c>
      <c r="C274" s="541" t="s">
        <v>886</v>
      </c>
      <c r="D274" s="880">
        <v>24.833333333333329</v>
      </c>
      <c r="E274" s="874">
        <v>165.41666666666666</v>
      </c>
      <c r="F274" s="874">
        <v>49.053500000000007</v>
      </c>
      <c r="G274" s="875">
        <v>347.21194166666663</v>
      </c>
      <c r="H274" s="550"/>
      <c r="J274" s="683"/>
    </row>
    <row r="275" spans="1:12">
      <c r="A275" s="547" t="s">
        <v>8</v>
      </c>
      <c r="B275" s="541" t="s">
        <v>1240</v>
      </c>
      <c r="C275" s="541" t="s">
        <v>602</v>
      </c>
      <c r="D275" s="880">
        <v>199.16666666666666</v>
      </c>
      <c r="E275" s="874">
        <v>143.08333333333331</v>
      </c>
      <c r="F275" s="874">
        <v>162.52599999999998</v>
      </c>
      <c r="G275" s="875">
        <v>153.78700000000003</v>
      </c>
      <c r="H275" s="550"/>
      <c r="J275" s="683"/>
    </row>
    <row r="276" spans="1:12">
      <c r="A276" s="547" t="s">
        <v>8</v>
      </c>
      <c r="B276" s="541" t="s">
        <v>780</v>
      </c>
      <c r="C276" s="541" t="s">
        <v>603</v>
      </c>
      <c r="D276" s="880">
        <v>389.83333333333337</v>
      </c>
      <c r="E276" s="874">
        <v>807.50000000000023</v>
      </c>
      <c r="F276" s="874">
        <v>527.45040000000006</v>
      </c>
      <c r="G276" s="875">
        <v>639.72689999999989</v>
      </c>
      <c r="H276" s="550"/>
      <c r="J276" s="683"/>
    </row>
    <row r="277" spans="1:12">
      <c r="A277" s="547" t="s">
        <v>8</v>
      </c>
      <c r="B277" s="541" t="s">
        <v>1241</v>
      </c>
      <c r="C277" s="541" t="s">
        <v>606</v>
      </c>
      <c r="D277" s="880">
        <v>1022</v>
      </c>
      <c r="E277" s="874">
        <v>1142.3333333333335</v>
      </c>
      <c r="F277" s="874">
        <v>848.40930000000003</v>
      </c>
      <c r="G277" s="875">
        <v>926.45429999999988</v>
      </c>
      <c r="H277" s="550"/>
      <c r="J277" s="683"/>
    </row>
    <row r="278" spans="1:12">
      <c r="A278" s="547" t="s">
        <v>8</v>
      </c>
      <c r="B278" s="541" t="s">
        <v>1111</v>
      </c>
      <c r="C278" s="541" t="s">
        <v>627</v>
      </c>
      <c r="D278" s="880">
        <v>3.4166666666666656</v>
      </c>
      <c r="E278" s="874">
        <v>0</v>
      </c>
      <c r="F278" s="874">
        <v>2.1149999999999998</v>
      </c>
      <c r="G278" s="875">
        <v>0</v>
      </c>
      <c r="H278" s="550"/>
      <c r="J278" s="683"/>
    </row>
    <row r="279" spans="1:12">
      <c r="A279" s="547" t="s">
        <v>8</v>
      </c>
      <c r="B279" s="541" t="s">
        <v>971</v>
      </c>
      <c r="C279" s="541" t="s">
        <v>641</v>
      </c>
      <c r="D279" s="880">
        <v>24.500000000000004</v>
      </c>
      <c r="E279" s="874">
        <v>7.666666666666667</v>
      </c>
      <c r="F279" s="874">
        <v>52.874499999999998</v>
      </c>
      <c r="G279" s="875">
        <v>16.895500000000002</v>
      </c>
      <c r="H279" s="550"/>
      <c r="J279" s="683"/>
    </row>
    <row r="280" spans="1:12">
      <c r="A280" s="547" t="s">
        <v>8</v>
      </c>
      <c r="B280" s="541" t="s">
        <v>1242</v>
      </c>
      <c r="C280" s="541" t="s">
        <v>625</v>
      </c>
      <c r="D280" s="880">
        <v>0</v>
      </c>
      <c r="E280" s="874">
        <v>67.416666666666671</v>
      </c>
      <c r="F280" s="874">
        <v>0</v>
      </c>
      <c r="G280" s="875">
        <v>67.804000000000002</v>
      </c>
      <c r="H280" s="550"/>
      <c r="J280" s="683"/>
    </row>
    <row r="281" spans="1:12">
      <c r="A281" s="547" t="s">
        <v>8</v>
      </c>
      <c r="B281" s="541" t="s">
        <v>443</v>
      </c>
      <c r="C281" s="541" t="s">
        <v>607</v>
      </c>
      <c r="D281" s="880">
        <v>102.66666666666667</v>
      </c>
      <c r="E281" s="874">
        <v>88.25</v>
      </c>
      <c r="F281" s="874">
        <v>202.16400000000002</v>
      </c>
      <c r="G281" s="875">
        <v>171.69</v>
      </c>
      <c r="H281" s="550"/>
      <c r="J281" s="683"/>
    </row>
    <row r="282" spans="1:12">
      <c r="A282" s="547" t="s">
        <v>8</v>
      </c>
      <c r="B282" s="541" t="s">
        <v>1243</v>
      </c>
      <c r="C282" s="541" t="s">
        <v>1230</v>
      </c>
      <c r="D282" s="880">
        <v>9.0833333333333321</v>
      </c>
      <c r="E282" s="874">
        <v>8.1666666666666661</v>
      </c>
      <c r="F282" s="874">
        <v>6.274</v>
      </c>
      <c r="G282" s="875">
        <v>9.2004999999999999</v>
      </c>
      <c r="H282" s="550"/>
      <c r="J282" s="683"/>
    </row>
    <row r="283" spans="1:12">
      <c r="A283" s="547" t="s">
        <v>8</v>
      </c>
      <c r="B283" s="541" t="s">
        <v>459</v>
      </c>
      <c r="C283" s="541" t="s">
        <v>608</v>
      </c>
      <c r="D283" s="880">
        <v>13.999999999999998</v>
      </c>
      <c r="E283" s="874">
        <v>0.5</v>
      </c>
      <c r="F283" s="874">
        <v>29.25</v>
      </c>
      <c r="G283" s="875">
        <v>0.504</v>
      </c>
      <c r="H283" s="550"/>
      <c r="J283" s="683"/>
    </row>
    <row r="284" spans="1:12">
      <c r="A284" s="547" t="s">
        <v>8</v>
      </c>
      <c r="B284" s="541" t="s">
        <v>972</v>
      </c>
      <c r="C284" s="541" t="s">
        <v>602</v>
      </c>
      <c r="D284" s="880">
        <v>1.0833333333333333</v>
      </c>
      <c r="E284" s="874">
        <v>0</v>
      </c>
      <c r="F284" s="874">
        <v>0.38999999999999996</v>
      </c>
      <c r="G284" s="875">
        <v>0</v>
      </c>
      <c r="H284" s="550"/>
      <c r="J284" s="683"/>
    </row>
    <row r="285" spans="1:12">
      <c r="A285" s="547" t="s">
        <v>8</v>
      </c>
      <c r="B285" s="541" t="s">
        <v>428</v>
      </c>
      <c r="C285" s="541" t="s">
        <v>496</v>
      </c>
      <c r="D285" s="880">
        <v>2385.333333333333</v>
      </c>
      <c r="E285" s="874">
        <v>2450</v>
      </c>
      <c r="F285" s="874">
        <v>1594.5742083333334</v>
      </c>
      <c r="G285" s="875">
        <v>1648.3481999999999</v>
      </c>
      <c r="H285" s="550"/>
      <c r="J285" s="683"/>
    </row>
    <row r="286" spans="1:12">
      <c r="A286" s="547" t="s">
        <v>8</v>
      </c>
      <c r="B286" s="541" t="s">
        <v>444</v>
      </c>
      <c r="C286" s="541" t="s">
        <v>609</v>
      </c>
      <c r="D286" s="880">
        <v>8.3333333333333329E-2</v>
      </c>
      <c r="E286" s="874">
        <v>0.41666666666666663</v>
      </c>
      <c r="F286" s="874">
        <v>2E-3</v>
      </c>
      <c r="G286" s="875">
        <v>1.0499999999999999E-2</v>
      </c>
      <c r="H286" s="550"/>
      <c r="J286" s="683"/>
    </row>
    <row r="287" spans="1:12">
      <c r="A287" s="547" t="s">
        <v>8</v>
      </c>
      <c r="B287" s="541" t="s">
        <v>1244</v>
      </c>
      <c r="C287" s="541" t="s">
        <v>859</v>
      </c>
      <c r="D287" s="880">
        <v>0</v>
      </c>
      <c r="E287" s="874">
        <v>26.916666666666668</v>
      </c>
      <c r="F287" s="874">
        <v>0</v>
      </c>
      <c r="G287" s="875">
        <v>52.222000000000001</v>
      </c>
      <c r="H287" s="550"/>
      <c r="J287" s="683"/>
    </row>
    <row r="288" spans="1:12">
      <c r="A288" s="547" t="s">
        <v>8</v>
      </c>
      <c r="B288" s="541" t="s">
        <v>1353</v>
      </c>
      <c r="C288" s="541" t="s">
        <v>569</v>
      </c>
      <c r="D288" s="880">
        <v>0</v>
      </c>
      <c r="E288" s="874">
        <v>37.166666666666671</v>
      </c>
      <c r="F288" s="874">
        <v>0</v>
      </c>
      <c r="G288" s="875">
        <v>58.951983333333338</v>
      </c>
      <c r="H288" s="550"/>
      <c r="J288" s="683"/>
    </row>
    <row r="289" spans="1:12">
      <c r="A289" s="547" t="s">
        <v>8</v>
      </c>
      <c r="B289" s="541" t="s">
        <v>1245</v>
      </c>
      <c r="C289" s="541" t="s">
        <v>852</v>
      </c>
      <c r="D289" s="880">
        <v>0.66666666666666663</v>
      </c>
      <c r="E289" s="874">
        <v>2.0833333333333335</v>
      </c>
      <c r="F289" s="874">
        <v>1.4E-2</v>
      </c>
      <c r="G289" s="875">
        <v>6.900000000000002E-2</v>
      </c>
      <c r="H289" s="550"/>
      <c r="J289" s="683"/>
    </row>
    <row r="290" spans="1:12">
      <c r="A290" s="547" t="s">
        <v>8</v>
      </c>
      <c r="B290" s="541" t="s">
        <v>851</v>
      </c>
      <c r="C290" s="541" t="s">
        <v>852</v>
      </c>
      <c r="D290" s="880">
        <v>0.75</v>
      </c>
      <c r="E290" s="874">
        <v>0</v>
      </c>
      <c r="F290" s="874">
        <v>0.28599999999999998</v>
      </c>
      <c r="G290" s="875">
        <v>0</v>
      </c>
      <c r="H290" s="550"/>
      <c r="J290" s="683"/>
    </row>
    <row r="291" spans="1:12">
      <c r="A291" s="547" t="s">
        <v>8</v>
      </c>
      <c r="B291" s="541" t="s">
        <v>1246</v>
      </c>
      <c r="C291" s="541" t="s">
        <v>595</v>
      </c>
      <c r="D291" s="880">
        <v>1</v>
      </c>
      <c r="E291" s="874">
        <v>46.5</v>
      </c>
      <c r="F291" s="874">
        <v>1.4520000000000004</v>
      </c>
      <c r="G291" s="875">
        <v>44.935999999999993</v>
      </c>
      <c r="H291" s="550"/>
      <c r="J291" s="683"/>
    </row>
    <row r="292" spans="1:12">
      <c r="A292" s="547" t="s">
        <v>8</v>
      </c>
      <c r="B292" s="541" t="s">
        <v>1354</v>
      </c>
      <c r="C292" s="541" t="s">
        <v>609</v>
      </c>
      <c r="D292" s="880">
        <v>0</v>
      </c>
      <c r="E292" s="874">
        <v>0.33333333333333331</v>
      </c>
      <c r="F292" s="874">
        <v>0</v>
      </c>
      <c r="G292" s="875">
        <v>8.8499999999999995E-2</v>
      </c>
      <c r="H292" s="550"/>
      <c r="J292" s="683"/>
    </row>
    <row r="293" spans="1:12" s="298" customFormat="1">
      <c r="A293" s="547" t="s">
        <v>8</v>
      </c>
      <c r="B293" s="541" t="s">
        <v>435</v>
      </c>
      <c r="C293" s="541" t="s">
        <v>610</v>
      </c>
      <c r="D293" s="880">
        <v>0.83333333333333337</v>
      </c>
      <c r="E293" s="874">
        <v>1.3333333333333333</v>
      </c>
      <c r="F293" s="874">
        <v>0.19999999999999998</v>
      </c>
      <c r="G293" s="875">
        <v>0.3725</v>
      </c>
      <c r="H293" s="550"/>
      <c r="J293" s="683"/>
      <c r="L293" s="206"/>
    </row>
    <row r="294" spans="1:12">
      <c r="A294" s="547" t="s">
        <v>8</v>
      </c>
      <c r="B294" s="541" t="s">
        <v>441</v>
      </c>
      <c r="C294" s="541" t="s">
        <v>611</v>
      </c>
      <c r="D294" s="880">
        <v>4</v>
      </c>
      <c r="E294" s="874">
        <v>7.166666666666667</v>
      </c>
      <c r="F294" s="874">
        <v>3.9975000000000001</v>
      </c>
      <c r="G294" s="875">
        <v>6.458499999999999</v>
      </c>
      <c r="H294" s="550"/>
      <c r="J294" s="683"/>
    </row>
    <row r="295" spans="1:12">
      <c r="A295" s="547" t="s">
        <v>8</v>
      </c>
      <c r="B295" s="541" t="s">
        <v>853</v>
      </c>
      <c r="C295" s="541" t="s">
        <v>854</v>
      </c>
      <c r="D295" s="880">
        <v>1</v>
      </c>
      <c r="E295" s="874">
        <v>1</v>
      </c>
      <c r="F295" s="874">
        <v>0.95999999999999985</v>
      </c>
      <c r="G295" s="875">
        <v>0.95999999999999985</v>
      </c>
      <c r="H295" s="550"/>
      <c r="J295" s="683"/>
    </row>
    <row r="296" spans="1:12">
      <c r="A296" s="547" t="s">
        <v>8</v>
      </c>
      <c r="B296" s="541" t="s">
        <v>327</v>
      </c>
      <c r="C296" s="541" t="s">
        <v>612</v>
      </c>
      <c r="D296" s="880">
        <v>21.666666666666668</v>
      </c>
      <c r="E296" s="874">
        <v>16.249999999999996</v>
      </c>
      <c r="F296" s="874">
        <v>8.7989999999999995</v>
      </c>
      <c r="G296" s="875">
        <v>9.5739999999999998</v>
      </c>
      <c r="H296" s="550"/>
      <c r="J296" s="683"/>
    </row>
    <row r="297" spans="1:12">
      <c r="A297" s="547" t="s">
        <v>8</v>
      </c>
      <c r="B297" s="541" t="s">
        <v>973</v>
      </c>
      <c r="C297" s="541" t="s">
        <v>852</v>
      </c>
      <c r="D297" s="880">
        <v>55.75</v>
      </c>
      <c r="E297" s="874">
        <v>94.666666666666671</v>
      </c>
      <c r="F297" s="874">
        <v>55.869000000000007</v>
      </c>
      <c r="G297" s="875">
        <v>90.305499999999995</v>
      </c>
      <c r="H297" s="550"/>
      <c r="J297" s="683"/>
    </row>
    <row r="298" spans="1:12">
      <c r="A298" s="547" t="s">
        <v>8</v>
      </c>
      <c r="B298" s="541" t="s">
        <v>614</v>
      </c>
      <c r="C298" s="541" t="s">
        <v>598</v>
      </c>
      <c r="D298" s="880">
        <v>1.0833333333333333</v>
      </c>
      <c r="E298" s="874">
        <v>1.0833333333333333</v>
      </c>
      <c r="F298" s="874">
        <v>2.3000000000000003E-2</v>
      </c>
      <c r="G298" s="875">
        <v>1.3000000000000005E-2</v>
      </c>
      <c r="H298" s="550"/>
      <c r="J298" s="683"/>
    </row>
    <row r="299" spans="1:12">
      <c r="A299" s="547" t="s">
        <v>8</v>
      </c>
      <c r="B299" s="541" t="s">
        <v>781</v>
      </c>
      <c r="C299" s="541" t="s">
        <v>496</v>
      </c>
      <c r="D299" s="880">
        <v>2</v>
      </c>
      <c r="E299" s="874">
        <v>2</v>
      </c>
      <c r="F299" s="874">
        <v>2.7839999999999998</v>
      </c>
      <c r="G299" s="875">
        <v>2.6215000000000002</v>
      </c>
      <c r="H299" s="550"/>
      <c r="J299" s="683"/>
    </row>
    <row r="300" spans="1:12">
      <c r="A300" s="547" t="s">
        <v>8</v>
      </c>
      <c r="B300" s="541" t="s">
        <v>448</v>
      </c>
      <c r="C300" s="541" t="s">
        <v>577</v>
      </c>
      <c r="D300" s="880">
        <v>214.00000000000003</v>
      </c>
      <c r="E300" s="874">
        <v>204.33333333333334</v>
      </c>
      <c r="F300" s="874">
        <v>170.00099999999998</v>
      </c>
      <c r="G300" s="875">
        <v>163.35100000000003</v>
      </c>
      <c r="H300" s="550"/>
      <c r="J300" s="683"/>
    </row>
    <row r="301" spans="1:12">
      <c r="A301" s="547" t="s">
        <v>8</v>
      </c>
      <c r="B301" s="541" t="s">
        <v>60</v>
      </c>
      <c r="C301" s="541" t="s">
        <v>601</v>
      </c>
      <c r="D301" s="880">
        <v>8.1666666666666661</v>
      </c>
      <c r="E301" s="874">
        <v>0</v>
      </c>
      <c r="F301" s="874">
        <v>8.8699999999999992</v>
      </c>
      <c r="G301" s="875">
        <v>0</v>
      </c>
      <c r="H301" s="550"/>
      <c r="J301" s="683"/>
    </row>
    <row r="302" spans="1:12">
      <c r="A302" s="547" t="s">
        <v>8</v>
      </c>
      <c r="B302" s="541" t="s">
        <v>460</v>
      </c>
      <c r="C302" s="541" t="s">
        <v>615</v>
      </c>
      <c r="D302" s="880">
        <v>15.833333333333332</v>
      </c>
      <c r="E302" s="874">
        <v>12.75</v>
      </c>
      <c r="F302" s="874">
        <v>6.2639999999999993</v>
      </c>
      <c r="G302" s="875">
        <v>0.41299999999999998</v>
      </c>
      <c r="H302" s="550"/>
      <c r="J302" s="683"/>
    </row>
    <row r="303" spans="1:12">
      <c r="A303" s="547" t="s">
        <v>8</v>
      </c>
      <c r="B303" s="541" t="s">
        <v>460</v>
      </c>
      <c r="C303" s="541" t="s">
        <v>1109</v>
      </c>
      <c r="D303" s="880">
        <v>4</v>
      </c>
      <c r="E303" s="874">
        <v>0</v>
      </c>
      <c r="F303" s="874">
        <v>9.5644999999999989</v>
      </c>
      <c r="G303" s="875">
        <v>0</v>
      </c>
      <c r="H303" s="550"/>
      <c r="J303" s="683"/>
    </row>
    <row r="304" spans="1:12">
      <c r="A304" s="547" t="s">
        <v>8</v>
      </c>
      <c r="B304" s="541" t="s">
        <v>432</v>
      </c>
      <c r="C304" s="541" t="s">
        <v>618</v>
      </c>
      <c r="D304" s="880">
        <v>227.16666666666669</v>
      </c>
      <c r="E304" s="874">
        <v>211.25000000000003</v>
      </c>
      <c r="F304" s="874">
        <v>490.44590000000005</v>
      </c>
      <c r="G304" s="875">
        <v>462.07190000000003</v>
      </c>
      <c r="H304" s="550"/>
      <c r="J304" s="683"/>
    </row>
    <row r="305" spans="1:10">
      <c r="A305" s="547" t="s">
        <v>8</v>
      </c>
      <c r="B305" s="541" t="s">
        <v>1247</v>
      </c>
      <c r="C305" s="541" t="s">
        <v>619</v>
      </c>
      <c r="D305" s="880">
        <v>301.75000000000006</v>
      </c>
      <c r="E305" s="874">
        <v>296.58333333333331</v>
      </c>
      <c r="F305" s="874">
        <v>634.74990833333334</v>
      </c>
      <c r="G305" s="875">
        <v>484.78390000000007</v>
      </c>
      <c r="H305" s="550"/>
      <c r="J305" s="683"/>
    </row>
    <row r="306" spans="1:10">
      <c r="A306" s="547" t="s">
        <v>8</v>
      </c>
      <c r="B306" s="541" t="s">
        <v>439</v>
      </c>
      <c r="C306" s="541" t="s">
        <v>859</v>
      </c>
      <c r="D306" s="880">
        <v>0</v>
      </c>
      <c r="E306" s="874">
        <v>34.583333333333329</v>
      </c>
      <c r="F306" s="874">
        <v>0</v>
      </c>
      <c r="G306" s="875">
        <v>49.671999999999997</v>
      </c>
      <c r="H306" s="550"/>
      <c r="J306" s="683"/>
    </row>
    <row r="307" spans="1:10">
      <c r="A307" s="547" t="s">
        <v>8</v>
      </c>
      <c r="B307" s="541" t="s">
        <v>439</v>
      </c>
      <c r="C307" s="541" t="s">
        <v>621</v>
      </c>
      <c r="D307" s="880">
        <v>2207.75</v>
      </c>
      <c r="E307" s="874">
        <v>2344.3333333333335</v>
      </c>
      <c r="F307" s="874">
        <v>2108.2460833333334</v>
      </c>
      <c r="G307" s="875">
        <v>2280.7320833333333</v>
      </c>
      <c r="H307" s="550"/>
      <c r="J307" s="683"/>
    </row>
    <row r="308" spans="1:10">
      <c r="A308" s="547" t="s">
        <v>8</v>
      </c>
      <c r="B308" s="541" t="s">
        <v>1248</v>
      </c>
      <c r="C308" s="541" t="s">
        <v>777</v>
      </c>
      <c r="D308" s="880">
        <v>1242.75</v>
      </c>
      <c r="E308" s="874">
        <v>1239.3333333333333</v>
      </c>
      <c r="F308" s="874">
        <v>982.92229999999995</v>
      </c>
      <c r="G308" s="875">
        <v>956.86580000000004</v>
      </c>
      <c r="H308" s="550"/>
      <c r="J308" s="683"/>
    </row>
    <row r="309" spans="1:10">
      <c r="A309" s="547" t="s">
        <v>8</v>
      </c>
      <c r="B309" s="541" t="s">
        <v>1248</v>
      </c>
      <c r="C309" s="541" t="s">
        <v>622</v>
      </c>
      <c r="D309" s="880">
        <v>1911.1666666666665</v>
      </c>
      <c r="E309" s="874">
        <v>1694.9166666666667</v>
      </c>
      <c r="F309" s="874">
        <v>1248.3097666666667</v>
      </c>
      <c r="G309" s="875">
        <v>1116.9957750000001</v>
      </c>
      <c r="H309" s="550"/>
      <c r="J309" s="683"/>
    </row>
    <row r="310" spans="1:10">
      <c r="A310" s="547" t="s">
        <v>8</v>
      </c>
      <c r="B310" s="541" t="s">
        <v>1248</v>
      </c>
      <c r="C310" s="541" t="s">
        <v>761</v>
      </c>
      <c r="D310" s="880">
        <v>26.333333333333336</v>
      </c>
      <c r="E310" s="874">
        <v>25.75</v>
      </c>
      <c r="F310" s="874">
        <v>6.2965</v>
      </c>
      <c r="G310" s="875">
        <v>5.9624999999999995</v>
      </c>
      <c r="H310" s="550"/>
      <c r="J310" s="683"/>
    </row>
    <row r="311" spans="1:10">
      <c r="A311" s="547" t="s">
        <v>8</v>
      </c>
      <c r="B311" s="541" t="s">
        <v>1249</v>
      </c>
      <c r="C311" s="541" t="s">
        <v>568</v>
      </c>
      <c r="D311" s="880">
        <v>0</v>
      </c>
      <c r="E311" s="874">
        <v>1.9166666666666665</v>
      </c>
      <c r="F311" s="874">
        <v>0</v>
      </c>
      <c r="G311" s="875">
        <v>2.0645000000000002</v>
      </c>
      <c r="H311" s="550"/>
      <c r="J311" s="683"/>
    </row>
    <row r="312" spans="1:10">
      <c r="A312" s="547" t="s">
        <v>8</v>
      </c>
      <c r="B312" s="541" t="s">
        <v>1250</v>
      </c>
      <c r="C312" s="541" t="s">
        <v>616</v>
      </c>
      <c r="D312" s="880">
        <v>4.583333333333333</v>
      </c>
      <c r="E312" s="874">
        <v>23.666666666666664</v>
      </c>
      <c r="F312" s="874">
        <v>4.4029999999999996</v>
      </c>
      <c r="G312" s="875">
        <v>13.855499999999999</v>
      </c>
      <c r="H312" s="550"/>
      <c r="J312" s="683"/>
    </row>
    <row r="313" spans="1:10">
      <c r="A313" s="547" t="s">
        <v>8</v>
      </c>
      <c r="B313" s="541" t="s">
        <v>1355</v>
      </c>
      <c r="C313" s="541" t="s">
        <v>634</v>
      </c>
      <c r="D313" s="880">
        <v>1016.25</v>
      </c>
      <c r="E313" s="874">
        <v>1248.5</v>
      </c>
      <c r="F313" s="874">
        <v>815.15830000000005</v>
      </c>
      <c r="G313" s="875">
        <v>1017.5188000000002</v>
      </c>
      <c r="H313" s="550"/>
      <c r="J313" s="683"/>
    </row>
    <row r="314" spans="1:10">
      <c r="A314" s="547" t="s">
        <v>8</v>
      </c>
      <c r="B314" s="541" t="s">
        <v>874</v>
      </c>
      <c r="C314" s="541" t="s">
        <v>350</v>
      </c>
      <c r="D314" s="880">
        <v>415.33333333333343</v>
      </c>
      <c r="E314" s="874">
        <v>422.50000000000006</v>
      </c>
      <c r="F314" s="874">
        <v>261.10149999999999</v>
      </c>
      <c r="G314" s="875">
        <v>291.44949999999994</v>
      </c>
      <c r="H314" s="550"/>
      <c r="J314" s="683"/>
    </row>
    <row r="315" spans="1:10">
      <c r="A315" s="547" t="s">
        <v>8</v>
      </c>
      <c r="B315" s="541" t="s">
        <v>1356</v>
      </c>
      <c r="C315" s="541" t="s">
        <v>635</v>
      </c>
      <c r="D315" s="880">
        <v>805.66666666666652</v>
      </c>
      <c r="E315" s="874">
        <v>871.33333333333348</v>
      </c>
      <c r="F315" s="874">
        <v>498.57242500000001</v>
      </c>
      <c r="G315" s="875">
        <v>623.17843333333337</v>
      </c>
      <c r="H315" s="550"/>
      <c r="J315" s="683"/>
    </row>
    <row r="316" spans="1:10">
      <c r="A316" s="547" t="s">
        <v>8</v>
      </c>
      <c r="B316" s="541" t="s">
        <v>436</v>
      </c>
      <c r="C316" s="541" t="s">
        <v>616</v>
      </c>
      <c r="D316" s="880">
        <v>0</v>
      </c>
      <c r="E316" s="874">
        <v>54.25</v>
      </c>
      <c r="F316" s="874">
        <v>0</v>
      </c>
      <c r="G316" s="875">
        <v>33.381</v>
      </c>
      <c r="H316" s="550"/>
      <c r="J316" s="683"/>
    </row>
    <row r="317" spans="1:10">
      <c r="A317" s="547" t="s">
        <v>8</v>
      </c>
      <c r="B317" s="541" t="s">
        <v>436</v>
      </c>
      <c r="C317" s="541" t="s">
        <v>570</v>
      </c>
      <c r="D317" s="880">
        <v>6.5000000000000009</v>
      </c>
      <c r="E317" s="874">
        <v>4.5833333333333339</v>
      </c>
      <c r="F317" s="874">
        <v>5.4795000000000007</v>
      </c>
      <c r="G317" s="875">
        <v>3.0244999999999997</v>
      </c>
      <c r="H317" s="550"/>
      <c r="J317" s="683"/>
    </row>
    <row r="318" spans="1:10">
      <c r="A318" s="547" t="s">
        <v>8</v>
      </c>
      <c r="B318" s="541" t="s">
        <v>436</v>
      </c>
      <c r="C318" s="541" t="s">
        <v>623</v>
      </c>
      <c r="D318" s="880">
        <v>1067.4166666666667</v>
      </c>
      <c r="E318" s="874">
        <v>1136.8333333333333</v>
      </c>
      <c r="F318" s="874">
        <v>935.38883333333331</v>
      </c>
      <c r="G318" s="875">
        <v>981.63980833333324</v>
      </c>
      <c r="H318" s="550"/>
      <c r="J318" s="683"/>
    </row>
    <row r="319" spans="1:10">
      <c r="A319" s="547" t="s">
        <v>8</v>
      </c>
      <c r="B319" s="541" t="s">
        <v>436</v>
      </c>
      <c r="C319" s="541" t="s">
        <v>1341</v>
      </c>
      <c r="D319" s="880">
        <v>913.58333333333326</v>
      </c>
      <c r="E319" s="874">
        <v>939.58333333333337</v>
      </c>
      <c r="F319" s="874">
        <v>595.96239999999989</v>
      </c>
      <c r="G319" s="875">
        <v>608.61640000000011</v>
      </c>
      <c r="H319" s="550"/>
      <c r="J319" s="683"/>
    </row>
    <row r="320" spans="1:10">
      <c r="A320" s="547" t="s">
        <v>8</v>
      </c>
      <c r="B320" s="541" t="s">
        <v>436</v>
      </c>
      <c r="C320" s="541" t="s">
        <v>1342</v>
      </c>
      <c r="D320" s="880">
        <v>755.41666666666652</v>
      </c>
      <c r="E320" s="874">
        <v>732.66666666666674</v>
      </c>
      <c r="F320" s="874">
        <v>605.97189166666681</v>
      </c>
      <c r="G320" s="875">
        <v>594.38890000000004</v>
      </c>
      <c r="H320" s="550"/>
      <c r="J320" s="683"/>
    </row>
    <row r="321" spans="1:12">
      <c r="A321" s="547" t="s">
        <v>8</v>
      </c>
      <c r="B321" s="541" t="s">
        <v>436</v>
      </c>
      <c r="C321" s="541" t="s">
        <v>624</v>
      </c>
      <c r="D321" s="880">
        <v>12.833333333333334</v>
      </c>
      <c r="E321" s="874">
        <v>10.750000000000002</v>
      </c>
      <c r="F321" s="874">
        <v>8.4109999999999996</v>
      </c>
      <c r="G321" s="875">
        <v>6.7905000000000006</v>
      </c>
      <c r="H321" s="550"/>
      <c r="J321" s="683"/>
    </row>
    <row r="322" spans="1:12">
      <c r="A322" s="547" t="s">
        <v>8</v>
      </c>
      <c r="B322" s="541" t="s">
        <v>424</v>
      </c>
      <c r="C322" s="541" t="s">
        <v>625</v>
      </c>
      <c r="D322" s="880">
        <v>4.0833333333333339</v>
      </c>
      <c r="E322" s="874">
        <v>2.583333333333333</v>
      </c>
      <c r="F322" s="874">
        <v>1.7835000000000001</v>
      </c>
      <c r="G322" s="875">
        <v>0.98099999999999987</v>
      </c>
      <c r="H322" s="550"/>
      <c r="J322" s="683"/>
    </row>
    <row r="323" spans="1:12">
      <c r="A323" s="547" t="s">
        <v>8</v>
      </c>
      <c r="B323" s="541" t="s">
        <v>424</v>
      </c>
      <c r="C323" s="541" t="s">
        <v>626</v>
      </c>
      <c r="D323" s="880">
        <v>634.75000000000011</v>
      </c>
      <c r="E323" s="874">
        <v>737.25000000000011</v>
      </c>
      <c r="F323" s="874">
        <v>533.40345833333333</v>
      </c>
      <c r="G323" s="875">
        <v>623.26594999999998</v>
      </c>
      <c r="H323" s="550"/>
      <c r="J323" s="683"/>
    </row>
    <row r="324" spans="1:12">
      <c r="A324" s="547" t="s">
        <v>8</v>
      </c>
      <c r="B324" s="541" t="s">
        <v>834</v>
      </c>
      <c r="C324" s="541" t="s">
        <v>587</v>
      </c>
      <c r="D324" s="880">
        <v>3.3333333333333335</v>
      </c>
      <c r="E324" s="874">
        <v>0.41666666666666663</v>
      </c>
      <c r="F324" s="874">
        <v>1.4555000000000002</v>
      </c>
      <c r="G324" s="875">
        <v>0.53599999999999992</v>
      </c>
      <c r="H324" s="550"/>
      <c r="J324" s="683"/>
    </row>
    <row r="325" spans="1:12">
      <c r="A325" s="547" t="s">
        <v>8</v>
      </c>
      <c r="B325" s="541" t="s">
        <v>875</v>
      </c>
      <c r="C325" s="541" t="s">
        <v>589</v>
      </c>
      <c r="D325" s="880">
        <v>0.25</v>
      </c>
      <c r="E325" s="874">
        <v>131.41666666666666</v>
      </c>
      <c r="F325" s="874">
        <v>3.5999999999999997E-2</v>
      </c>
      <c r="G325" s="875">
        <v>221.30250000000009</v>
      </c>
      <c r="H325" s="550"/>
      <c r="J325" s="683"/>
    </row>
    <row r="326" spans="1:12">
      <c r="A326" s="547" t="s">
        <v>8</v>
      </c>
      <c r="B326" s="541" t="s">
        <v>1357</v>
      </c>
      <c r="C326" s="541" t="s">
        <v>591</v>
      </c>
      <c r="D326" s="880">
        <v>0</v>
      </c>
      <c r="E326" s="874">
        <v>3.833333333333333</v>
      </c>
      <c r="F326" s="874">
        <v>0</v>
      </c>
      <c r="G326" s="875">
        <v>3.1734999999999998</v>
      </c>
      <c r="H326" s="550"/>
      <c r="J326" s="683"/>
    </row>
    <row r="327" spans="1:12">
      <c r="A327" s="547" t="s">
        <v>8</v>
      </c>
      <c r="B327" s="541" t="s">
        <v>974</v>
      </c>
      <c r="C327" s="541" t="s">
        <v>584</v>
      </c>
      <c r="D327" s="880">
        <v>94.333333333333343</v>
      </c>
      <c r="E327" s="874">
        <v>149.5</v>
      </c>
      <c r="F327" s="874">
        <v>58.298500000000004</v>
      </c>
      <c r="G327" s="875">
        <v>91.417500000000004</v>
      </c>
      <c r="H327" s="550"/>
      <c r="J327" s="683"/>
    </row>
    <row r="328" spans="1:12">
      <c r="A328" s="547" t="s">
        <v>8</v>
      </c>
      <c r="B328" s="541" t="s">
        <v>1251</v>
      </c>
      <c r="C328" s="541" t="s">
        <v>1231</v>
      </c>
      <c r="D328" s="880">
        <v>0</v>
      </c>
      <c r="E328" s="874">
        <v>4.2499999999999991</v>
      </c>
      <c r="F328" s="874">
        <v>0</v>
      </c>
      <c r="G328" s="875">
        <v>1.96</v>
      </c>
      <c r="H328" s="550"/>
      <c r="J328" s="683"/>
    </row>
    <row r="329" spans="1:12">
      <c r="A329" s="547" t="s">
        <v>8</v>
      </c>
      <c r="B329" s="541" t="s">
        <v>1358</v>
      </c>
      <c r="C329" s="541" t="s">
        <v>1343</v>
      </c>
      <c r="D329" s="880">
        <v>0</v>
      </c>
      <c r="E329" s="874">
        <v>9</v>
      </c>
      <c r="F329" s="874">
        <v>0</v>
      </c>
      <c r="G329" s="875">
        <v>7.4489999999999998</v>
      </c>
      <c r="H329" s="550"/>
      <c r="J329" s="683"/>
    </row>
    <row r="330" spans="1:12">
      <c r="A330" s="547" t="s">
        <v>8</v>
      </c>
      <c r="B330" s="541" t="s">
        <v>628</v>
      </c>
      <c r="C330" s="541" t="s">
        <v>617</v>
      </c>
      <c r="D330" s="880">
        <v>0.33333333333333331</v>
      </c>
      <c r="E330" s="874">
        <v>0.66666666666666663</v>
      </c>
      <c r="F330" s="874">
        <v>0.15</v>
      </c>
      <c r="G330" s="875">
        <v>0.37800000000000006</v>
      </c>
      <c r="H330" s="550"/>
      <c r="J330" s="683"/>
    </row>
    <row r="331" spans="1:12">
      <c r="A331" s="547" t="s">
        <v>8</v>
      </c>
      <c r="B331" s="541" t="s">
        <v>855</v>
      </c>
      <c r="C331" s="541" t="s">
        <v>856</v>
      </c>
      <c r="D331" s="880">
        <v>0.91666666666666663</v>
      </c>
      <c r="E331" s="874">
        <v>0</v>
      </c>
      <c r="F331" s="874">
        <v>0.29449999999999998</v>
      </c>
      <c r="G331" s="875">
        <v>0</v>
      </c>
      <c r="H331" s="550"/>
      <c r="J331" s="683"/>
    </row>
    <row r="332" spans="1:12">
      <c r="A332" s="547" t="s">
        <v>8</v>
      </c>
      <c r="B332" s="541" t="s">
        <v>447</v>
      </c>
      <c r="C332" s="541" t="s">
        <v>583</v>
      </c>
      <c r="D332" s="880">
        <v>2</v>
      </c>
      <c r="E332" s="874">
        <v>2</v>
      </c>
      <c r="F332" s="874">
        <v>0.34149999999999997</v>
      </c>
      <c r="G332" s="875">
        <v>0.29500000000000004</v>
      </c>
      <c r="H332" s="550"/>
      <c r="J332" s="683"/>
    </row>
    <row r="333" spans="1:12" s="683" customFormat="1">
      <c r="A333" s="547" t="s">
        <v>8</v>
      </c>
      <c r="B333" s="541" t="s">
        <v>438</v>
      </c>
      <c r="C333" s="541" t="s">
        <v>629</v>
      </c>
      <c r="D333" s="880">
        <v>80.916666666666671</v>
      </c>
      <c r="E333" s="874">
        <v>84.416666666666671</v>
      </c>
      <c r="F333" s="874">
        <v>83.251000000000005</v>
      </c>
      <c r="G333" s="875">
        <v>86.209500000000006</v>
      </c>
      <c r="H333" s="550"/>
      <c r="L333" s="206"/>
    </row>
    <row r="334" spans="1:12" s="683" customFormat="1">
      <c r="A334" s="547" t="s">
        <v>8</v>
      </c>
      <c r="B334" s="541" t="s">
        <v>887</v>
      </c>
      <c r="C334" s="541" t="s">
        <v>888</v>
      </c>
      <c r="D334" s="880">
        <v>32</v>
      </c>
      <c r="E334" s="874">
        <v>51.083333333333329</v>
      </c>
      <c r="F334" s="874">
        <v>23.928999999999998</v>
      </c>
      <c r="G334" s="875">
        <v>38.45300000000001</v>
      </c>
      <c r="H334" s="550"/>
      <c r="L334" s="206"/>
    </row>
    <row r="335" spans="1:12" s="683" customFormat="1">
      <c r="A335" s="547" t="s">
        <v>8</v>
      </c>
      <c r="B335" s="541" t="s">
        <v>420</v>
      </c>
      <c r="C335" s="541" t="s">
        <v>1232</v>
      </c>
      <c r="D335" s="880">
        <v>916.41666666666663</v>
      </c>
      <c r="E335" s="874">
        <v>1089.7499999999998</v>
      </c>
      <c r="F335" s="874">
        <v>769.88940000000014</v>
      </c>
      <c r="G335" s="875">
        <v>987.06885000000011</v>
      </c>
      <c r="H335" s="550"/>
      <c r="L335" s="206"/>
    </row>
    <row r="336" spans="1:12" s="683" customFormat="1">
      <c r="A336" s="547" t="s">
        <v>8</v>
      </c>
      <c r="B336" s="541" t="s">
        <v>420</v>
      </c>
      <c r="C336" s="541" t="s">
        <v>630</v>
      </c>
      <c r="D336" s="880">
        <v>378.25</v>
      </c>
      <c r="E336" s="874">
        <v>387.49999999999994</v>
      </c>
      <c r="F336" s="874">
        <v>330.85449999999997</v>
      </c>
      <c r="G336" s="875">
        <v>374.16691666666668</v>
      </c>
      <c r="H336" s="550"/>
      <c r="L336" s="206"/>
    </row>
    <row r="337" spans="1:12" s="683" customFormat="1">
      <c r="A337" s="547" t="s">
        <v>8</v>
      </c>
      <c r="B337" s="541" t="s">
        <v>420</v>
      </c>
      <c r="C337" s="541" t="s">
        <v>631</v>
      </c>
      <c r="D337" s="880">
        <v>239.08333333333337</v>
      </c>
      <c r="E337" s="874">
        <v>65.416666666666671</v>
      </c>
      <c r="F337" s="874">
        <v>208.96499999999997</v>
      </c>
      <c r="G337" s="875">
        <v>63.994</v>
      </c>
      <c r="H337" s="550"/>
      <c r="L337" s="206"/>
    </row>
    <row r="338" spans="1:12" s="683" customFormat="1">
      <c r="A338" s="547" t="s">
        <v>8</v>
      </c>
      <c r="B338" s="541" t="s">
        <v>1359</v>
      </c>
      <c r="C338" s="541" t="s">
        <v>587</v>
      </c>
      <c r="D338" s="880">
        <v>0</v>
      </c>
      <c r="E338" s="874">
        <v>0.16666666666666666</v>
      </c>
      <c r="F338" s="874">
        <v>0</v>
      </c>
      <c r="G338" s="875">
        <v>0.10500000000000001</v>
      </c>
      <c r="H338" s="550"/>
      <c r="L338" s="206"/>
    </row>
    <row r="339" spans="1:12" s="683" customFormat="1">
      <c r="A339" s="547" t="s">
        <v>8</v>
      </c>
      <c r="B339" s="541" t="s">
        <v>632</v>
      </c>
      <c r="C339" s="541" t="s">
        <v>587</v>
      </c>
      <c r="D339" s="880">
        <v>0.33333333333333331</v>
      </c>
      <c r="E339" s="874">
        <v>0</v>
      </c>
      <c r="F339" s="874">
        <v>8.0000000000000002E-3</v>
      </c>
      <c r="G339" s="875">
        <v>0</v>
      </c>
      <c r="H339" s="550"/>
      <c r="L339" s="206"/>
    </row>
    <row r="340" spans="1:12" s="683" customFormat="1">
      <c r="A340" s="547" t="s">
        <v>8</v>
      </c>
      <c r="B340" s="541" t="s">
        <v>1252</v>
      </c>
      <c r="C340" s="541" t="s">
        <v>587</v>
      </c>
      <c r="D340" s="880">
        <v>0</v>
      </c>
      <c r="E340" s="874">
        <v>1.0833333333333335</v>
      </c>
      <c r="F340" s="874">
        <v>0</v>
      </c>
      <c r="G340" s="875">
        <v>0.4504999999999999</v>
      </c>
      <c r="H340" s="550"/>
      <c r="L340" s="206"/>
    </row>
    <row r="341" spans="1:12" s="683" customFormat="1">
      <c r="A341" s="547" t="s">
        <v>8</v>
      </c>
      <c r="B341" s="541" t="s">
        <v>425</v>
      </c>
      <c r="C341" s="541" t="s">
        <v>633</v>
      </c>
      <c r="D341" s="880">
        <v>47.500000000000007</v>
      </c>
      <c r="E341" s="874">
        <v>4.3333333333333321</v>
      </c>
      <c r="F341" s="874">
        <v>47.777000000000008</v>
      </c>
      <c r="G341" s="875">
        <v>3.3130000000000002</v>
      </c>
      <c r="H341" s="550"/>
      <c r="L341" s="206"/>
    </row>
    <row r="342" spans="1:12" s="683" customFormat="1">
      <c r="A342" s="547" t="s">
        <v>8</v>
      </c>
      <c r="B342" s="541" t="s">
        <v>1360</v>
      </c>
      <c r="C342" s="541" t="s">
        <v>1344</v>
      </c>
      <c r="D342" s="880">
        <v>0</v>
      </c>
      <c r="E342" s="874">
        <v>8.3333333333333329E-2</v>
      </c>
      <c r="F342" s="874">
        <v>0</v>
      </c>
      <c r="G342" s="875">
        <v>1E-3</v>
      </c>
      <c r="H342" s="550"/>
      <c r="L342" s="206"/>
    </row>
    <row r="343" spans="1:12" s="683" customFormat="1">
      <c r="A343" s="547" t="s">
        <v>8</v>
      </c>
      <c r="B343" s="541" t="s">
        <v>446</v>
      </c>
      <c r="C343" s="541" t="s">
        <v>496</v>
      </c>
      <c r="D343" s="880">
        <v>5.3333333333333339</v>
      </c>
      <c r="E343" s="874">
        <v>3.8333333333333339</v>
      </c>
      <c r="F343" s="874">
        <v>5.7140000000000013</v>
      </c>
      <c r="G343" s="875">
        <v>4.3739999999999997</v>
      </c>
      <c r="H343" s="550"/>
      <c r="L343" s="206"/>
    </row>
    <row r="344" spans="1:12" s="683" customFormat="1">
      <c r="A344" s="547" t="s">
        <v>8</v>
      </c>
      <c r="B344" s="541" t="s">
        <v>449</v>
      </c>
      <c r="C344" s="541" t="s">
        <v>1233</v>
      </c>
      <c r="D344" s="880">
        <v>3.5833333333333335</v>
      </c>
      <c r="E344" s="874">
        <v>3.666666666666667</v>
      </c>
      <c r="F344" s="874">
        <v>2.6069999999999998</v>
      </c>
      <c r="G344" s="875">
        <v>2.4890000000000003</v>
      </c>
      <c r="H344" s="550"/>
      <c r="L344" s="206"/>
    </row>
    <row r="345" spans="1:12" s="683" customFormat="1">
      <c r="A345" s="547" t="s">
        <v>8</v>
      </c>
      <c r="B345" s="541" t="s">
        <v>975</v>
      </c>
      <c r="C345" s="541" t="s">
        <v>496</v>
      </c>
      <c r="D345" s="880">
        <v>2.583333333333333</v>
      </c>
      <c r="E345" s="874">
        <v>38.166666666666664</v>
      </c>
      <c r="F345" s="874">
        <v>0.29500000000000004</v>
      </c>
      <c r="G345" s="875">
        <v>30.913499999999992</v>
      </c>
      <c r="H345" s="550"/>
      <c r="L345" s="206"/>
    </row>
    <row r="346" spans="1:12" s="683" customFormat="1">
      <c r="A346" s="547" t="s">
        <v>8</v>
      </c>
      <c r="B346" s="541" t="s">
        <v>458</v>
      </c>
      <c r="C346" s="541" t="s">
        <v>636</v>
      </c>
      <c r="D346" s="880">
        <v>944.33333333333326</v>
      </c>
      <c r="E346" s="874">
        <v>996.83333333333326</v>
      </c>
      <c r="F346" s="874">
        <v>690.49989999999991</v>
      </c>
      <c r="G346" s="875">
        <v>727.04889999999989</v>
      </c>
      <c r="H346" s="550"/>
      <c r="L346" s="206"/>
    </row>
    <row r="347" spans="1:12" s="683" customFormat="1">
      <c r="A347" s="547" t="s">
        <v>8</v>
      </c>
      <c r="B347" s="541" t="s">
        <v>434</v>
      </c>
      <c r="C347" s="541" t="s">
        <v>637</v>
      </c>
      <c r="D347" s="880">
        <v>851.16666666666663</v>
      </c>
      <c r="E347" s="874">
        <v>798.33333333333326</v>
      </c>
      <c r="F347" s="874">
        <v>739.65281666666669</v>
      </c>
      <c r="G347" s="875">
        <v>645.40684999999985</v>
      </c>
      <c r="H347" s="550"/>
      <c r="L347" s="206"/>
    </row>
    <row r="348" spans="1:12" s="683" customFormat="1">
      <c r="A348" s="547" t="s">
        <v>8</v>
      </c>
      <c r="B348" s="541" t="s">
        <v>433</v>
      </c>
      <c r="C348" s="541" t="s">
        <v>638</v>
      </c>
      <c r="D348" s="880">
        <v>1544.3333333333333</v>
      </c>
      <c r="E348" s="874">
        <v>1471.6666666666665</v>
      </c>
      <c r="F348" s="874">
        <v>1139.157275</v>
      </c>
      <c r="G348" s="875">
        <v>1039.6952916666669</v>
      </c>
      <c r="H348" s="550"/>
      <c r="L348" s="206"/>
    </row>
    <row r="349" spans="1:12" s="683" customFormat="1">
      <c r="A349" s="547" t="s">
        <v>8</v>
      </c>
      <c r="B349" s="541" t="s">
        <v>1253</v>
      </c>
      <c r="C349" s="541" t="s">
        <v>856</v>
      </c>
      <c r="D349" s="880">
        <v>0.16666666666666666</v>
      </c>
      <c r="E349" s="874">
        <v>1.7499999999999998</v>
      </c>
      <c r="F349" s="874">
        <v>8.2000000000000003E-2</v>
      </c>
      <c r="G349" s="875">
        <v>2.2570000000000001</v>
      </c>
      <c r="H349" s="550"/>
      <c r="L349" s="206"/>
    </row>
    <row r="350" spans="1:12" s="683" customFormat="1">
      <c r="A350" s="547" t="s">
        <v>8</v>
      </c>
      <c r="B350" s="541" t="s">
        <v>1361</v>
      </c>
      <c r="C350" s="541" t="s">
        <v>1231</v>
      </c>
      <c r="D350" s="880">
        <v>0</v>
      </c>
      <c r="E350" s="874">
        <v>0.16666666666666666</v>
      </c>
      <c r="F350" s="874">
        <v>0</v>
      </c>
      <c r="G350" s="875">
        <v>0.02</v>
      </c>
      <c r="H350" s="550"/>
      <c r="L350" s="206"/>
    </row>
    <row r="351" spans="1:12" s="683" customFormat="1">
      <c r="A351" s="547" t="s">
        <v>8</v>
      </c>
      <c r="B351" s="541" t="s">
        <v>1254</v>
      </c>
      <c r="C351" s="541" t="s">
        <v>496</v>
      </c>
      <c r="D351" s="880">
        <v>1.1666666666666667</v>
      </c>
      <c r="E351" s="874">
        <v>0</v>
      </c>
      <c r="F351" s="874">
        <v>0.17200000000000001</v>
      </c>
      <c r="G351" s="875">
        <v>0</v>
      </c>
      <c r="H351" s="550"/>
      <c r="L351" s="206"/>
    </row>
    <row r="352" spans="1:12" s="683" customFormat="1">
      <c r="A352" s="547" t="s">
        <v>8</v>
      </c>
      <c r="B352" s="541" t="s">
        <v>1255</v>
      </c>
      <c r="C352" s="541" t="s">
        <v>1345</v>
      </c>
      <c r="D352" s="880">
        <v>0</v>
      </c>
      <c r="E352" s="874">
        <v>5.916666666666667</v>
      </c>
      <c r="F352" s="874">
        <v>0</v>
      </c>
      <c r="G352" s="875">
        <v>3.4764999999999997</v>
      </c>
      <c r="H352" s="550"/>
      <c r="L352" s="206"/>
    </row>
    <row r="353" spans="1:12" s="683" customFormat="1">
      <c r="A353" s="547" t="s">
        <v>8</v>
      </c>
      <c r="B353" s="541" t="s">
        <v>1255</v>
      </c>
      <c r="C353" s="541" t="s">
        <v>597</v>
      </c>
      <c r="D353" s="880">
        <v>0</v>
      </c>
      <c r="E353" s="874">
        <v>13.75</v>
      </c>
      <c r="F353" s="874">
        <v>0</v>
      </c>
      <c r="G353" s="875">
        <v>10.391000000000002</v>
      </c>
      <c r="H353" s="550"/>
      <c r="L353" s="206"/>
    </row>
    <row r="354" spans="1:12" s="683" customFormat="1">
      <c r="A354" s="547" t="s">
        <v>8</v>
      </c>
      <c r="B354" s="541" t="s">
        <v>1255</v>
      </c>
      <c r="C354" s="541" t="s">
        <v>640</v>
      </c>
      <c r="D354" s="880">
        <v>53.583333333333336</v>
      </c>
      <c r="E354" s="874">
        <v>60.833333333333336</v>
      </c>
      <c r="F354" s="874">
        <v>70.256999999999991</v>
      </c>
      <c r="G354" s="875">
        <v>77.555999999999997</v>
      </c>
      <c r="H354" s="550"/>
      <c r="L354" s="206"/>
    </row>
    <row r="355" spans="1:12" s="683" customFormat="1">
      <c r="A355" s="547" t="s">
        <v>8</v>
      </c>
      <c r="B355" s="541" t="s">
        <v>1255</v>
      </c>
      <c r="C355" s="541" t="s">
        <v>496</v>
      </c>
      <c r="D355" s="880">
        <v>60.166666666666664</v>
      </c>
      <c r="E355" s="874">
        <v>83.416666666666686</v>
      </c>
      <c r="F355" s="874">
        <v>45.6995</v>
      </c>
      <c r="G355" s="875">
        <v>71.131</v>
      </c>
      <c r="H355" s="550"/>
      <c r="L355" s="206"/>
    </row>
    <row r="356" spans="1:12" s="683" customFormat="1">
      <c r="A356" s="547" t="s">
        <v>8</v>
      </c>
      <c r="B356" s="541" t="s">
        <v>1362</v>
      </c>
      <c r="C356" s="541" t="s">
        <v>601</v>
      </c>
      <c r="D356" s="880">
        <v>0</v>
      </c>
      <c r="E356" s="874">
        <v>0.49999999999999994</v>
      </c>
      <c r="F356" s="874">
        <v>0</v>
      </c>
      <c r="G356" s="875">
        <v>0.12000000000000001</v>
      </c>
      <c r="H356" s="550"/>
      <c r="L356" s="206"/>
    </row>
    <row r="357" spans="1:12" s="683" customFormat="1">
      <c r="A357" s="547" t="s">
        <v>8</v>
      </c>
      <c r="B357" s="541" t="s">
        <v>889</v>
      </c>
      <c r="C357" s="541" t="s">
        <v>597</v>
      </c>
      <c r="D357" s="880">
        <v>0.16666666666666666</v>
      </c>
      <c r="E357" s="874">
        <v>0</v>
      </c>
      <c r="F357" s="874">
        <v>4.9999999999999996E-2</v>
      </c>
      <c r="G357" s="875">
        <v>0</v>
      </c>
      <c r="H357" s="550"/>
      <c r="L357" s="206"/>
    </row>
    <row r="358" spans="1:12" s="683" customFormat="1">
      <c r="A358" s="547" t="s">
        <v>8</v>
      </c>
      <c r="B358" s="541" t="s">
        <v>1256</v>
      </c>
      <c r="C358" s="541" t="s">
        <v>613</v>
      </c>
      <c r="D358" s="880">
        <v>473.58333333333337</v>
      </c>
      <c r="E358" s="874">
        <v>538.25000000000011</v>
      </c>
      <c r="F358" s="874">
        <v>458.80692499999986</v>
      </c>
      <c r="G358" s="875">
        <v>474.63248333333331</v>
      </c>
      <c r="H358" s="550"/>
      <c r="L358" s="206"/>
    </row>
    <row r="359" spans="1:12" s="683" customFormat="1">
      <c r="A359" s="547" t="s">
        <v>8</v>
      </c>
      <c r="B359" s="541" t="s">
        <v>1257</v>
      </c>
      <c r="C359" s="541" t="s">
        <v>605</v>
      </c>
      <c r="D359" s="880">
        <v>3.4166666666666665</v>
      </c>
      <c r="E359" s="874">
        <v>4</v>
      </c>
      <c r="F359" s="874">
        <v>3.2730000000000001</v>
      </c>
      <c r="G359" s="875">
        <v>2.798</v>
      </c>
      <c r="H359" s="550"/>
      <c r="L359" s="206"/>
    </row>
    <row r="360" spans="1:12">
      <c r="A360" s="1066" t="s">
        <v>1295</v>
      </c>
      <c r="B360" s="1067"/>
      <c r="C360" s="1068"/>
      <c r="D360" s="889">
        <v>31561.333333333328</v>
      </c>
      <c r="E360" s="882">
        <v>34152.583333333321</v>
      </c>
      <c r="F360" s="882">
        <v>26289.596149999998</v>
      </c>
      <c r="G360" s="887">
        <v>28419.867966666676</v>
      </c>
      <c r="H360" s="550"/>
    </row>
    <row r="361" spans="1:12">
      <c r="A361" s="546" t="s">
        <v>71</v>
      </c>
      <c r="B361" s="541" t="s">
        <v>291</v>
      </c>
      <c r="C361" s="541" t="s">
        <v>643</v>
      </c>
      <c r="D361" s="880">
        <v>1.0833333333333333</v>
      </c>
      <c r="E361" s="874">
        <v>1.1666666666666665</v>
      </c>
      <c r="F361" s="874">
        <v>0.22250000000000003</v>
      </c>
      <c r="G361" s="875">
        <v>0.223</v>
      </c>
      <c r="H361" s="550"/>
    </row>
    <row r="362" spans="1:12">
      <c r="A362" s="547" t="s">
        <v>71</v>
      </c>
      <c r="B362" s="541" t="s">
        <v>976</v>
      </c>
      <c r="C362" s="541" t="s">
        <v>644</v>
      </c>
      <c r="D362" s="880">
        <v>2.9166666666666665</v>
      </c>
      <c r="E362" s="874">
        <v>2.833333333333333</v>
      </c>
      <c r="F362" s="874">
        <v>2.4815000000000005</v>
      </c>
      <c r="G362" s="875">
        <v>2.2464999999999997</v>
      </c>
      <c r="H362" s="550"/>
    </row>
    <row r="363" spans="1:12">
      <c r="A363" s="547" t="s">
        <v>71</v>
      </c>
      <c r="B363" s="541" t="s">
        <v>646</v>
      </c>
      <c r="C363" s="541" t="s">
        <v>647</v>
      </c>
      <c r="D363" s="880">
        <v>0</v>
      </c>
      <c r="E363" s="874">
        <v>0.58333333333333326</v>
      </c>
      <c r="F363" s="874">
        <v>0</v>
      </c>
      <c r="G363" s="875">
        <v>0.19500000000000001</v>
      </c>
      <c r="H363" s="550"/>
    </row>
    <row r="364" spans="1:12">
      <c r="A364" s="547" t="s">
        <v>71</v>
      </c>
      <c r="B364" s="541" t="s">
        <v>648</v>
      </c>
      <c r="C364" s="541" t="s">
        <v>488</v>
      </c>
      <c r="D364" s="880">
        <v>1.4166666666666665</v>
      </c>
      <c r="E364" s="874">
        <v>1.5</v>
      </c>
      <c r="F364" s="874">
        <v>1.71</v>
      </c>
      <c r="G364" s="875">
        <v>2.0695000000000001</v>
      </c>
      <c r="H364" s="550"/>
    </row>
    <row r="365" spans="1:12">
      <c r="A365" s="547" t="s">
        <v>71</v>
      </c>
      <c r="B365" s="541" t="s">
        <v>890</v>
      </c>
      <c r="C365" s="541" t="s">
        <v>514</v>
      </c>
      <c r="D365" s="880">
        <v>0.41666666666666663</v>
      </c>
      <c r="E365" s="874">
        <v>0.58333333333333326</v>
      </c>
      <c r="F365" s="874">
        <v>4.3999999999999997E-2</v>
      </c>
      <c r="G365" s="875">
        <v>0.21199999999999999</v>
      </c>
      <c r="H365" s="550"/>
    </row>
    <row r="366" spans="1:12">
      <c r="A366" s="547" t="s">
        <v>71</v>
      </c>
      <c r="B366" s="541" t="s">
        <v>1289</v>
      </c>
      <c r="C366" s="541" t="s">
        <v>649</v>
      </c>
      <c r="D366" s="880">
        <v>0.99999999999999989</v>
      </c>
      <c r="E366" s="874">
        <v>0.5</v>
      </c>
      <c r="F366" s="874">
        <v>0.17649999999999999</v>
      </c>
      <c r="G366" s="875">
        <v>0.14399999999999999</v>
      </c>
      <c r="H366" s="550"/>
    </row>
    <row r="367" spans="1:12">
      <c r="A367" s="547" t="s">
        <v>71</v>
      </c>
      <c r="B367" s="541" t="s">
        <v>1258</v>
      </c>
      <c r="C367" s="541" t="s">
        <v>645</v>
      </c>
      <c r="D367" s="880">
        <v>22.166666666666664</v>
      </c>
      <c r="E367" s="874">
        <v>29.333333333333329</v>
      </c>
      <c r="F367" s="874">
        <v>1.8624999999999998</v>
      </c>
      <c r="G367" s="875">
        <v>2.1074999999999999</v>
      </c>
      <c r="H367" s="550"/>
    </row>
    <row r="368" spans="1:12">
      <c r="A368" s="547" t="s">
        <v>71</v>
      </c>
      <c r="B368" s="541" t="s">
        <v>1258</v>
      </c>
      <c r="C368" s="541" t="s">
        <v>1363</v>
      </c>
      <c r="D368" s="880">
        <v>0</v>
      </c>
      <c r="E368" s="874">
        <v>8.3333333333333329E-2</v>
      </c>
      <c r="F368" s="874">
        <v>0</v>
      </c>
      <c r="G368" s="875">
        <v>1.95E-2</v>
      </c>
      <c r="H368" s="550"/>
    </row>
    <row r="369" spans="1:12" s="683" customFormat="1">
      <c r="A369" s="547" t="s">
        <v>71</v>
      </c>
      <c r="B369" s="541" t="s">
        <v>292</v>
      </c>
      <c r="C369" s="541" t="s">
        <v>650</v>
      </c>
      <c r="D369" s="880">
        <v>1.9166666666666667</v>
      </c>
      <c r="E369" s="874">
        <v>1.9166666666666665</v>
      </c>
      <c r="F369" s="874">
        <v>0.13400000000000001</v>
      </c>
      <c r="G369" s="875">
        <v>0.184</v>
      </c>
      <c r="H369" s="550"/>
      <c r="L369" s="206"/>
    </row>
    <row r="370" spans="1:12">
      <c r="A370" s="548" t="s">
        <v>71</v>
      </c>
      <c r="B370" s="541" t="s">
        <v>293</v>
      </c>
      <c r="C370" s="541" t="s">
        <v>651</v>
      </c>
      <c r="D370" s="880">
        <v>20.916666666666668</v>
      </c>
      <c r="E370" s="874">
        <v>18.5</v>
      </c>
      <c r="F370" s="874">
        <v>11.475999999999999</v>
      </c>
      <c r="G370" s="875">
        <v>8.9749999999999979</v>
      </c>
      <c r="H370" s="550"/>
    </row>
    <row r="371" spans="1:12">
      <c r="A371" s="1066" t="s">
        <v>977</v>
      </c>
      <c r="B371" s="1067"/>
      <c r="C371" s="1068"/>
      <c r="D371" s="889">
        <v>51.833333333333329</v>
      </c>
      <c r="E371" s="882">
        <v>56.999999999999993</v>
      </c>
      <c r="F371" s="882">
        <v>18.106999999999999</v>
      </c>
      <c r="G371" s="887">
        <v>16.375999999999998</v>
      </c>
      <c r="H371" s="550"/>
    </row>
    <row r="372" spans="1:12">
      <c r="A372" s="546" t="s">
        <v>53</v>
      </c>
      <c r="B372" s="541" t="s">
        <v>876</v>
      </c>
      <c r="C372" s="541" t="s">
        <v>1105</v>
      </c>
      <c r="D372" s="880">
        <v>6.916666666666667</v>
      </c>
      <c r="E372" s="874">
        <v>109.25</v>
      </c>
      <c r="F372" s="874">
        <v>11.635999999999999</v>
      </c>
      <c r="G372" s="875">
        <v>202.11098333333334</v>
      </c>
      <c r="H372" s="550"/>
    </row>
    <row r="373" spans="1:12" s="298" customFormat="1">
      <c r="A373" s="547" t="s">
        <v>53</v>
      </c>
      <c r="B373" s="541" t="s">
        <v>876</v>
      </c>
      <c r="C373" s="541" t="s">
        <v>658</v>
      </c>
      <c r="D373" s="880">
        <v>6.333333333333333</v>
      </c>
      <c r="E373" s="874">
        <v>9.4166666666666661</v>
      </c>
      <c r="F373" s="874">
        <v>6.0210000000000008</v>
      </c>
      <c r="G373" s="875">
        <v>14.948000000000002</v>
      </c>
      <c r="H373" s="550"/>
      <c r="L373" s="206"/>
    </row>
    <row r="374" spans="1:12">
      <c r="A374" s="547" t="s">
        <v>53</v>
      </c>
      <c r="B374" s="541" t="s">
        <v>876</v>
      </c>
      <c r="C374" s="541" t="s">
        <v>659</v>
      </c>
      <c r="D374" s="880">
        <v>290.75</v>
      </c>
      <c r="E374" s="874">
        <v>300.66666666666669</v>
      </c>
      <c r="F374" s="874">
        <v>386.60539999999997</v>
      </c>
      <c r="G374" s="875">
        <v>393.54689999999999</v>
      </c>
      <c r="H374" s="550"/>
      <c r="J374" s="683"/>
    </row>
    <row r="375" spans="1:12">
      <c r="A375" s="547" t="s">
        <v>53</v>
      </c>
      <c r="B375" s="541" t="s">
        <v>876</v>
      </c>
      <c r="C375" s="541" t="s">
        <v>660</v>
      </c>
      <c r="D375" s="880">
        <v>18.416666666666668</v>
      </c>
      <c r="E375" s="874">
        <v>17.166666666666668</v>
      </c>
      <c r="F375" s="874">
        <v>33.226000000000006</v>
      </c>
      <c r="G375" s="875">
        <v>30.818000000000005</v>
      </c>
      <c r="H375" s="550"/>
      <c r="J375" s="683"/>
    </row>
    <row r="376" spans="1:12">
      <c r="A376" s="547" t="s">
        <v>53</v>
      </c>
      <c r="B376" s="541" t="s">
        <v>876</v>
      </c>
      <c r="C376" s="541" t="s">
        <v>661</v>
      </c>
      <c r="D376" s="880">
        <v>1.25</v>
      </c>
      <c r="E376" s="874">
        <v>0.41666666666666663</v>
      </c>
      <c r="F376" s="874">
        <v>0.59100000000000008</v>
      </c>
      <c r="G376" s="875">
        <v>0.20349999999999999</v>
      </c>
      <c r="H376" s="550"/>
      <c r="J376" s="683"/>
    </row>
    <row r="377" spans="1:12">
      <c r="A377" s="547" t="s">
        <v>53</v>
      </c>
      <c r="B377" s="541" t="s">
        <v>843</v>
      </c>
      <c r="C377" s="541" t="s">
        <v>981</v>
      </c>
      <c r="D377" s="880">
        <v>72.500000000000014</v>
      </c>
      <c r="E377" s="874">
        <v>42.333333333333329</v>
      </c>
      <c r="F377" s="874">
        <v>8.3475000000000001</v>
      </c>
      <c r="G377" s="875">
        <v>5.3635000000000002</v>
      </c>
      <c r="H377" s="550"/>
      <c r="J377" s="683"/>
    </row>
    <row r="378" spans="1:12">
      <c r="A378" s="547" t="s">
        <v>53</v>
      </c>
      <c r="B378" s="541" t="s">
        <v>982</v>
      </c>
      <c r="C378" s="541" t="s">
        <v>662</v>
      </c>
      <c r="D378" s="880">
        <v>3185.0833333333326</v>
      </c>
      <c r="E378" s="874">
        <v>3195.3333333333335</v>
      </c>
      <c r="F378" s="874">
        <v>1771.4176583333335</v>
      </c>
      <c r="G378" s="875">
        <v>1840.94165</v>
      </c>
      <c r="H378" s="550"/>
      <c r="J378" s="683"/>
    </row>
    <row r="379" spans="1:12">
      <c r="A379" s="547" t="s">
        <v>53</v>
      </c>
      <c r="B379" s="541" t="s">
        <v>982</v>
      </c>
      <c r="C379" s="541" t="s">
        <v>663</v>
      </c>
      <c r="D379" s="880">
        <v>4188.916666666667</v>
      </c>
      <c r="E379" s="874">
        <v>3935.666666666667</v>
      </c>
      <c r="F379" s="874">
        <v>2817.6714499999998</v>
      </c>
      <c r="G379" s="875">
        <v>2735.7754666666669</v>
      </c>
      <c r="H379" s="550"/>
      <c r="J379" s="683"/>
    </row>
    <row r="380" spans="1:12">
      <c r="A380" s="547" t="s">
        <v>53</v>
      </c>
      <c r="B380" s="541" t="s">
        <v>982</v>
      </c>
      <c r="C380" s="541" t="s">
        <v>775</v>
      </c>
      <c r="D380" s="880">
        <v>2146.583333333333</v>
      </c>
      <c r="E380" s="874">
        <v>2889.6666666666665</v>
      </c>
      <c r="F380" s="874">
        <v>2266.7095666666669</v>
      </c>
      <c r="G380" s="875">
        <v>2869.9149333333335</v>
      </c>
      <c r="H380" s="550"/>
      <c r="J380" s="683"/>
    </row>
    <row r="381" spans="1:12">
      <c r="A381" s="547" t="s">
        <v>53</v>
      </c>
      <c r="B381" s="541" t="s">
        <v>982</v>
      </c>
      <c r="C381" s="541" t="s">
        <v>527</v>
      </c>
      <c r="D381" s="880">
        <v>6247.2499999999991</v>
      </c>
      <c r="E381" s="874">
        <v>6371.7499999999991</v>
      </c>
      <c r="F381" s="874">
        <v>3143.1693249999998</v>
      </c>
      <c r="G381" s="875">
        <v>3172.6563666666661</v>
      </c>
      <c r="H381" s="550"/>
      <c r="J381" s="683"/>
    </row>
    <row r="382" spans="1:12">
      <c r="A382" s="547" t="s">
        <v>53</v>
      </c>
      <c r="B382" s="541" t="s">
        <v>982</v>
      </c>
      <c r="C382" s="541" t="s">
        <v>664</v>
      </c>
      <c r="D382" s="880">
        <v>3611.4999999999995</v>
      </c>
      <c r="E382" s="874">
        <v>3489.333333333333</v>
      </c>
      <c r="F382" s="874">
        <v>2087.1695833333333</v>
      </c>
      <c r="G382" s="875">
        <v>2073.1280750000001</v>
      </c>
      <c r="H382" s="550"/>
      <c r="J382" s="683"/>
    </row>
    <row r="383" spans="1:12">
      <c r="A383" s="547" t="s">
        <v>53</v>
      </c>
      <c r="B383" s="541" t="s">
        <v>982</v>
      </c>
      <c r="C383" s="541" t="s">
        <v>665</v>
      </c>
      <c r="D383" s="880">
        <v>3291.4166666666665</v>
      </c>
      <c r="E383" s="874">
        <v>2994.9166666666661</v>
      </c>
      <c r="F383" s="874">
        <v>2088.9075916666666</v>
      </c>
      <c r="G383" s="875">
        <v>1952.3576416666667</v>
      </c>
      <c r="H383" s="550"/>
      <c r="J383" s="683"/>
    </row>
    <row r="384" spans="1:12">
      <c r="A384" s="547" t="s">
        <v>53</v>
      </c>
      <c r="B384" s="541" t="s">
        <v>982</v>
      </c>
      <c r="C384" s="541" t="s">
        <v>666</v>
      </c>
      <c r="D384" s="880">
        <v>63.25</v>
      </c>
      <c r="E384" s="874">
        <v>76.249999999999986</v>
      </c>
      <c r="F384" s="874">
        <v>42.595999999999989</v>
      </c>
      <c r="G384" s="875">
        <v>54.902000000000001</v>
      </c>
      <c r="H384" s="550"/>
      <c r="J384" s="683"/>
    </row>
    <row r="385" spans="1:10">
      <c r="A385" s="547" t="s">
        <v>53</v>
      </c>
      <c r="B385" s="541" t="s">
        <v>54</v>
      </c>
      <c r="C385" s="541" t="s">
        <v>983</v>
      </c>
      <c r="D385" s="880">
        <v>385.33333333333331</v>
      </c>
      <c r="E385" s="874">
        <v>389.08333333333337</v>
      </c>
      <c r="F385" s="874">
        <v>314.09490833333331</v>
      </c>
      <c r="G385" s="875">
        <v>324.46490833333337</v>
      </c>
      <c r="H385" s="550"/>
      <c r="J385" s="683"/>
    </row>
    <row r="386" spans="1:10">
      <c r="A386" s="547" t="s">
        <v>53</v>
      </c>
      <c r="B386" s="541" t="s">
        <v>54</v>
      </c>
      <c r="C386" s="541" t="s">
        <v>984</v>
      </c>
      <c r="D386" s="880">
        <v>2914.8333333333335</v>
      </c>
      <c r="E386" s="874">
        <v>2800.333333333333</v>
      </c>
      <c r="F386" s="874">
        <v>3205.663833333334</v>
      </c>
      <c r="G386" s="875">
        <v>3072.4053750000007</v>
      </c>
      <c r="H386" s="550"/>
      <c r="J386" s="683"/>
    </row>
    <row r="387" spans="1:10">
      <c r="A387" s="547" t="s">
        <v>53</v>
      </c>
      <c r="B387" s="541" t="s">
        <v>891</v>
      </c>
      <c r="C387" s="541" t="s">
        <v>688</v>
      </c>
      <c r="D387" s="880">
        <v>1.2499999999999998</v>
      </c>
      <c r="E387" s="874">
        <v>2.5833333333333335</v>
      </c>
      <c r="F387" s="874">
        <v>0.12</v>
      </c>
      <c r="G387" s="875">
        <v>1.087</v>
      </c>
      <c r="H387" s="550"/>
      <c r="J387" s="683"/>
    </row>
    <row r="388" spans="1:10">
      <c r="A388" s="547" t="s">
        <v>53</v>
      </c>
      <c r="B388" s="541" t="s">
        <v>1262</v>
      </c>
      <c r="C388" s="541" t="s">
        <v>688</v>
      </c>
      <c r="D388" s="880">
        <v>0</v>
      </c>
      <c r="E388" s="874">
        <v>4</v>
      </c>
      <c r="F388" s="874">
        <v>0</v>
      </c>
      <c r="G388" s="875">
        <v>3.5880000000000001</v>
      </c>
      <c r="H388" s="550"/>
      <c r="J388" s="683"/>
    </row>
    <row r="389" spans="1:10">
      <c r="A389" s="547" t="s">
        <v>53</v>
      </c>
      <c r="B389" s="541" t="s">
        <v>294</v>
      </c>
      <c r="C389" s="541" t="s">
        <v>668</v>
      </c>
      <c r="D389" s="880">
        <v>6.666666666666667</v>
      </c>
      <c r="E389" s="874">
        <v>7.0833333333333339</v>
      </c>
      <c r="F389" s="874">
        <v>12.807</v>
      </c>
      <c r="G389" s="875">
        <v>13.01</v>
      </c>
      <c r="H389" s="550"/>
      <c r="J389" s="683"/>
    </row>
    <row r="390" spans="1:10">
      <c r="A390" s="547" t="s">
        <v>53</v>
      </c>
      <c r="B390" s="541" t="s">
        <v>1263</v>
      </c>
      <c r="C390" s="541" t="s">
        <v>969</v>
      </c>
      <c r="D390" s="880">
        <v>0</v>
      </c>
      <c r="E390" s="874">
        <v>42.5</v>
      </c>
      <c r="F390" s="874">
        <v>0</v>
      </c>
      <c r="G390" s="875">
        <v>84.362500000000011</v>
      </c>
      <c r="H390" s="550"/>
      <c r="J390" s="683"/>
    </row>
    <row r="391" spans="1:10">
      <c r="A391" s="547" t="s">
        <v>53</v>
      </c>
      <c r="B391" s="541" t="s">
        <v>295</v>
      </c>
      <c r="C391" s="541" t="s">
        <v>669</v>
      </c>
      <c r="D391" s="880">
        <v>1414.4166666666665</v>
      </c>
      <c r="E391" s="874">
        <v>1653.416666666667</v>
      </c>
      <c r="F391" s="874">
        <v>649.92339166666659</v>
      </c>
      <c r="G391" s="875">
        <v>767.96785</v>
      </c>
      <c r="H391" s="550"/>
      <c r="J391" s="683"/>
    </row>
    <row r="392" spans="1:10">
      <c r="A392" s="547" t="s">
        <v>53</v>
      </c>
      <c r="B392" s="541" t="s">
        <v>295</v>
      </c>
      <c r="C392" s="541" t="s">
        <v>670</v>
      </c>
      <c r="D392" s="880">
        <v>3543.666666666667</v>
      </c>
      <c r="E392" s="874">
        <v>4234.25</v>
      </c>
      <c r="F392" s="874">
        <v>3306.9973249999994</v>
      </c>
      <c r="G392" s="875">
        <v>3545.5577833333332</v>
      </c>
      <c r="H392" s="550"/>
      <c r="J392" s="683"/>
    </row>
    <row r="393" spans="1:10">
      <c r="A393" s="547" t="s">
        <v>53</v>
      </c>
      <c r="B393" s="541" t="s">
        <v>295</v>
      </c>
      <c r="C393" s="541" t="s">
        <v>671</v>
      </c>
      <c r="D393" s="880">
        <v>3139.0000000000005</v>
      </c>
      <c r="E393" s="874">
        <v>3641.3333333333335</v>
      </c>
      <c r="F393" s="874">
        <v>2919.3509249999997</v>
      </c>
      <c r="G393" s="875">
        <v>2830.7254249999992</v>
      </c>
      <c r="H393" s="550"/>
      <c r="J393" s="683"/>
    </row>
    <row r="394" spans="1:10">
      <c r="A394" s="547" t="s">
        <v>53</v>
      </c>
      <c r="B394" s="541" t="s">
        <v>295</v>
      </c>
      <c r="C394" s="541" t="s">
        <v>857</v>
      </c>
      <c r="D394" s="880">
        <v>1097.5833333333333</v>
      </c>
      <c r="E394" s="874">
        <v>2191.1666666666665</v>
      </c>
      <c r="F394" s="874">
        <v>960.11681666666664</v>
      </c>
      <c r="G394" s="875">
        <v>1932.5306166666667</v>
      </c>
      <c r="H394" s="550"/>
      <c r="J394" s="683"/>
    </row>
    <row r="395" spans="1:10">
      <c r="A395" s="547" t="s">
        <v>53</v>
      </c>
      <c r="B395" s="541" t="s">
        <v>295</v>
      </c>
      <c r="C395" s="541" t="s">
        <v>577</v>
      </c>
      <c r="D395" s="880">
        <v>1.0833333333333333</v>
      </c>
      <c r="E395" s="874">
        <v>1.1666666666666667</v>
      </c>
      <c r="F395" s="874">
        <v>1.252</v>
      </c>
      <c r="G395" s="875">
        <v>1.98</v>
      </c>
      <c r="H395" s="550"/>
      <c r="J395" s="683"/>
    </row>
    <row r="396" spans="1:10">
      <c r="A396" s="547" t="s">
        <v>53</v>
      </c>
      <c r="B396" s="541" t="s">
        <v>295</v>
      </c>
      <c r="C396" s="541" t="s">
        <v>672</v>
      </c>
      <c r="D396" s="880">
        <v>4138</v>
      </c>
      <c r="E396" s="874">
        <v>4431.5000000000009</v>
      </c>
      <c r="F396" s="874">
        <v>3741.3472499999993</v>
      </c>
      <c r="G396" s="875">
        <v>4004.2687000000005</v>
      </c>
      <c r="H396" s="550"/>
      <c r="J396" s="683"/>
    </row>
    <row r="397" spans="1:10">
      <c r="A397" s="547" t="s">
        <v>53</v>
      </c>
      <c r="B397" s="541" t="s">
        <v>673</v>
      </c>
      <c r="C397" s="541" t="s">
        <v>674</v>
      </c>
      <c r="D397" s="880">
        <v>89.333333333333343</v>
      </c>
      <c r="E397" s="874">
        <v>85.249999999999986</v>
      </c>
      <c r="F397" s="874">
        <v>22.573999999999998</v>
      </c>
      <c r="G397" s="875">
        <v>21.463000000000001</v>
      </c>
      <c r="H397" s="550"/>
      <c r="J397" s="683"/>
    </row>
    <row r="398" spans="1:10">
      <c r="A398" s="547" t="s">
        <v>53</v>
      </c>
      <c r="B398" s="541" t="s">
        <v>985</v>
      </c>
      <c r="C398" s="541" t="s">
        <v>986</v>
      </c>
      <c r="D398" s="880">
        <v>2.333333333333333</v>
      </c>
      <c r="E398" s="874">
        <v>0</v>
      </c>
      <c r="F398" s="874">
        <v>2.5345000000000004</v>
      </c>
      <c r="G398" s="875">
        <v>0</v>
      </c>
      <c r="H398" s="550"/>
      <c r="J398" s="683"/>
    </row>
    <row r="399" spans="1:10">
      <c r="A399" s="547" t="s">
        <v>53</v>
      </c>
      <c r="B399" s="541" t="s">
        <v>1276</v>
      </c>
      <c r="C399" s="541" t="s">
        <v>613</v>
      </c>
      <c r="D399" s="880">
        <v>0</v>
      </c>
      <c r="E399" s="874">
        <v>46.666666666666664</v>
      </c>
      <c r="F399" s="874">
        <v>0</v>
      </c>
      <c r="G399" s="875">
        <v>74.597999999999985</v>
      </c>
      <c r="H399" s="550"/>
      <c r="J399" s="683"/>
    </row>
    <row r="400" spans="1:10">
      <c r="A400" s="547" t="s">
        <v>53</v>
      </c>
      <c r="B400" s="541" t="s">
        <v>1365</v>
      </c>
      <c r="C400" s="541" t="s">
        <v>675</v>
      </c>
      <c r="D400" s="880">
        <v>1550.2500000000002</v>
      </c>
      <c r="E400" s="874">
        <v>1539.6666666666667</v>
      </c>
      <c r="F400" s="874">
        <v>1048.3222749999998</v>
      </c>
      <c r="G400" s="875">
        <v>955.77329999999984</v>
      </c>
      <c r="H400" s="550"/>
      <c r="J400" s="683"/>
    </row>
    <row r="401" spans="1:12">
      <c r="A401" s="547" t="s">
        <v>53</v>
      </c>
      <c r="B401" s="541" t="s">
        <v>1365</v>
      </c>
      <c r="C401" s="541" t="s">
        <v>676</v>
      </c>
      <c r="D401" s="880">
        <v>1103.1666666666667</v>
      </c>
      <c r="E401" s="874">
        <v>1216.5833333333335</v>
      </c>
      <c r="F401" s="874">
        <v>637.34780833333321</v>
      </c>
      <c r="G401" s="875">
        <v>686.79682500000001</v>
      </c>
      <c r="H401" s="550"/>
      <c r="J401" s="683"/>
    </row>
    <row r="402" spans="1:12" s="298" customFormat="1">
      <c r="A402" s="547" t="s">
        <v>53</v>
      </c>
      <c r="B402" s="541" t="s">
        <v>296</v>
      </c>
      <c r="C402" s="541" t="s">
        <v>677</v>
      </c>
      <c r="D402" s="880">
        <v>1894.9166666666667</v>
      </c>
      <c r="E402" s="874">
        <v>1957.6666666666667</v>
      </c>
      <c r="F402" s="874">
        <v>1204.6882583333331</v>
      </c>
      <c r="G402" s="875">
        <v>1209.0472666666669</v>
      </c>
      <c r="H402" s="550"/>
      <c r="J402" s="683"/>
      <c r="L402" s="206"/>
    </row>
    <row r="403" spans="1:12">
      <c r="A403" s="547" t="s">
        <v>53</v>
      </c>
      <c r="B403" s="541" t="s">
        <v>297</v>
      </c>
      <c r="C403" s="541" t="s">
        <v>678</v>
      </c>
      <c r="D403" s="880">
        <v>2585.3333333333326</v>
      </c>
      <c r="E403" s="874">
        <v>2976.4999999999995</v>
      </c>
      <c r="F403" s="874">
        <v>1710.35565</v>
      </c>
      <c r="G403" s="875">
        <v>1928.4551666666666</v>
      </c>
      <c r="H403" s="550"/>
      <c r="J403" s="683"/>
    </row>
    <row r="404" spans="1:12">
      <c r="A404" s="547" t="s">
        <v>53</v>
      </c>
      <c r="B404" s="541" t="s">
        <v>297</v>
      </c>
      <c r="C404" s="541" t="s">
        <v>679</v>
      </c>
      <c r="D404" s="880">
        <v>1642.25</v>
      </c>
      <c r="E404" s="874">
        <v>1900.5</v>
      </c>
      <c r="F404" s="874">
        <v>1082.7557666666667</v>
      </c>
      <c r="G404" s="875">
        <v>1206.934225</v>
      </c>
      <c r="H404" s="550"/>
      <c r="J404" s="683"/>
    </row>
    <row r="405" spans="1:12">
      <c r="A405" s="547" t="s">
        <v>53</v>
      </c>
      <c r="B405" s="541" t="s">
        <v>297</v>
      </c>
      <c r="C405" s="541" t="s">
        <v>680</v>
      </c>
      <c r="D405" s="880">
        <v>1464.8333333333335</v>
      </c>
      <c r="E405" s="874">
        <v>1381.2499999999998</v>
      </c>
      <c r="F405" s="874">
        <v>1061.5633</v>
      </c>
      <c r="G405" s="875">
        <v>987.70629166666674</v>
      </c>
      <c r="H405" s="550"/>
      <c r="J405" s="683"/>
    </row>
    <row r="406" spans="1:12">
      <c r="A406" s="547" t="s">
        <v>53</v>
      </c>
      <c r="B406" s="541" t="s">
        <v>297</v>
      </c>
      <c r="C406" s="541" t="s">
        <v>1106</v>
      </c>
      <c r="D406" s="880">
        <v>25.333333333333336</v>
      </c>
      <c r="E406" s="874">
        <v>488.91666666666663</v>
      </c>
      <c r="F406" s="874">
        <v>43.569500000000005</v>
      </c>
      <c r="G406" s="875">
        <v>830.52283333333332</v>
      </c>
      <c r="H406" s="550"/>
      <c r="J406" s="683"/>
    </row>
    <row r="407" spans="1:12" s="298" customFormat="1">
      <c r="A407" s="547" t="s">
        <v>53</v>
      </c>
      <c r="B407" s="541" t="s">
        <v>297</v>
      </c>
      <c r="C407" s="541" t="s">
        <v>681</v>
      </c>
      <c r="D407" s="880">
        <v>1182.2500000000002</v>
      </c>
      <c r="E407" s="874">
        <v>1216.1666666666667</v>
      </c>
      <c r="F407" s="874">
        <v>795.40980833333322</v>
      </c>
      <c r="G407" s="875">
        <v>842.36530833333313</v>
      </c>
      <c r="H407" s="550"/>
      <c r="J407" s="683"/>
      <c r="L407" s="206"/>
    </row>
    <row r="408" spans="1:12">
      <c r="A408" s="547" t="s">
        <v>53</v>
      </c>
      <c r="B408" s="541" t="s">
        <v>297</v>
      </c>
      <c r="C408" s="541" t="s">
        <v>877</v>
      </c>
      <c r="D408" s="880">
        <v>1882.5833333333335</v>
      </c>
      <c r="E408" s="874">
        <v>1916.1666666666667</v>
      </c>
      <c r="F408" s="874">
        <v>1257.3197250000001</v>
      </c>
      <c r="G408" s="875">
        <v>1274.1892166666667</v>
      </c>
      <c r="H408" s="550"/>
      <c r="J408" s="683"/>
    </row>
    <row r="409" spans="1:12">
      <c r="A409" s="547" t="s">
        <v>53</v>
      </c>
      <c r="B409" s="541" t="s">
        <v>297</v>
      </c>
      <c r="C409" s="541" t="s">
        <v>535</v>
      </c>
      <c r="D409" s="880">
        <v>2832.75</v>
      </c>
      <c r="E409" s="874">
        <v>3387.583333333333</v>
      </c>
      <c r="F409" s="874">
        <v>1771.0666833333332</v>
      </c>
      <c r="G409" s="875">
        <v>2155.9355583333336</v>
      </c>
      <c r="H409" s="550"/>
      <c r="J409" s="683"/>
    </row>
    <row r="410" spans="1:12">
      <c r="A410" s="547" t="s">
        <v>53</v>
      </c>
      <c r="B410" s="541" t="s">
        <v>987</v>
      </c>
      <c r="C410" s="541" t="s">
        <v>493</v>
      </c>
      <c r="D410" s="880">
        <v>481.58333333333331</v>
      </c>
      <c r="E410" s="874">
        <v>1400.1666666666667</v>
      </c>
      <c r="F410" s="874">
        <v>429.45591666666667</v>
      </c>
      <c r="G410" s="875">
        <v>1319.8982333333336</v>
      </c>
      <c r="H410" s="550"/>
      <c r="J410" s="683"/>
    </row>
    <row r="411" spans="1:12">
      <c r="A411" s="547" t="s">
        <v>53</v>
      </c>
      <c r="B411" s="541" t="s">
        <v>987</v>
      </c>
      <c r="C411" s="541" t="s">
        <v>664</v>
      </c>
      <c r="D411" s="880">
        <v>0</v>
      </c>
      <c r="E411" s="874">
        <v>61</v>
      </c>
      <c r="F411" s="874">
        <v>0</v>
      </c>
      <c r="G411" s="875">
        <v>36.806999999999995</v>
      </c>
      <c r="H411" s="550"/>
      <c r="J411" s="683"/>
    </row>
    <row r="412" spans="1:12">
      <c r="A412" s="547" t="s">
        <v>53</v>
      </c>
      <c r="B412" s="541" t="s">
        <v>1107</v>
      </c>
      <c r="C412" s="541" t="s">
        <v>986</v>
      </c>
      <c r="D412" s="880">
        <v>2.1666666666666665</v>
      </c>
      <c r="E412" s="874">
        <v>67.000000000000014</v>
      </c>
      <c r="F412" s="874">
        <v>0.61199999999999999</v>
      </c>
      <c r="G412" s="875">
        <v>133.04150000000001</v>
      </c>
      <c r="H412" s="550"/>
      <c r="J412" s="683"/>
    </row>
    <row r="413" spans="1:12">
      <c r="A413" s="547" t="s">
        <v>53</v>
      </c>
      <c r="B413" s="541" t="s">
        <v>55</v>
      </c>
      <c r="C413" s="541" t="s">
        <v>674</v>
      </c>
      <c r="D413" s="880">
        <v>71.416666666666657</v>
      </c>
      <c r="E413" s="874">
        <v>67.083333333333343</v>
      </c>
      <c r="F413" s="874">
        <v>66.861500000000007</v>
      </c>
      <c r="G413" s="875">
        <v>70.005500000000012</v>
      </c>
      <c r="H413" s="550"/>
      <c r="J413" s="683"/>
    </row>
    <row r="414" spans="1:12">
      <c r="A414" s="547" t="s">
        <v>53</v>
      </c>
      <c r="B414" s="541" t="s">
        <v>55</v>
      </c>
      <c r="C414" s="541" t="s">
        <v>1259</v>
      </c>
      <c r="D414" s="880">
        <v>1124.25</v>
      </c>
      <c r="E414" s="874">
        <v>1198.0833333333333</v>
      </c>
      <c r="F414" s="874">
        <v>885.80430833333332</v>
      </c>
      <c r="G414" s="875">
        <v>921.17730833333337</v>
      </c>
      <c r="H414" s="550"/>
      <c r="J414" s="683"/>
    </row>
    <row r="415" spans="1:12">
      <c r="A415" s="547" t="s">
        <v>53</v>
      </c>
      <c r="B415" s="541" t="s">
        <v>55</v>
      </c>
      <c r="C415" s="541" t="s">
        <v>682</v>
      </c>
      <c r="D415" s="880">
        <v>337.75</v>
      </c>
      <c r="E415" s="874">
        <v>332.08333333333331</v>
      </c>
      <c r="F415" s="874">
        <v>351.47590000000002</v>
      </c>
      <c r="G415" s="875">
        <v>330.54739999999998</v>
      </c>
      <c r="H415" s="550"/>
      <c r="J415" s="683"/>
    </row>
    <row r="416" spans="1:12">
      <c r="A416" s="547" t="s">
        <v>53</v>
      </c>
      <c r="B416" s="541" t="s">
        <v>1366</v>
      </c>
      <c r="C416" s="541" t="s">
        <v>1260</v>
      </c>
      <c r="D416" s="880">
        <v>0</v>
      </c>
      <c r="E416" s="874">
        <v>33.166666666666664</v>
      </c>
      <c r="F416" s="874">
        <v>0</v>
      </c>
      <c r="G416" s="875">
        <v>70.82350000000001</v>
      </c>
      <c r="H416" s="550"/>
      <c r="J416" s="683"/>
    </row>
    <row r="417" spans="1:12">
      <c r="A417" s="547" t="s">
        <v>53</v>
      </c>
      <c r="B417" s="541" t="s">
        <v>683</v>
      </c>
      <c r="C417" s="541" t="s">
        <v>684</v>
      </c>
      <c r="D417" s="880">
        <v>508.66666666666669</v>
      </c>
      <c r="E417" s="874">
        <v>570.83333333333337</v>
      </c>
      <c r="F417" s="874">
        <v>522.43389999999999</v>
      </c>
      <c r="G417" s="875">
        <v>585.4819</v>
      </c>
      <c r="H417" s="550"/>
      <c r="J417" s="683"/>
    </row>
    <row r="418" spans="1:12">
      <c r="A418" s="547" t="s">
        <v>53</v>
      </c>
      <c r="B418" s="541" t="s">
        <v>298</v>
      </c>
      <c r="C418" s="541" t="s">
        <v>527</v>
      </c>
      <c r="D418" s="880">
        <v>242.99999999999997</v>
      </c>
      <c r="E418" s="874">
        <v>402.66666666666669</v>
      </c>
      <c r="F418" s="874">
        <v>383.02740000000006</v>
      </c>
      <c r="G418" s="875">
        <v>463.56240000000003</v>
      </c>
      <c r="H418" s="550"/>
      <c r="J418" s="683"/>
    </row>
    <row r="419" spans="1:12">
      <c r="A419" s="547" t="s">
        <v>53</v>
      </c>
      <c r="B419" s="541" t="s">
        <v>858</v>
      </c>
      <c r="C419" s="541" t="s">
        <v>859</v>
      </c>
      <c r="D419" s="880">
        <v>479.58333333333337</v>
      </c>
      <c r="E419" s="874">
        <v>1135.75</v>
      </c>
      <c r="F419" s="874">
        <v>887.57381666666663</v>
      </c>
      <c r="G419" s="875">
        <v>1751.8766500000004</v>
      </c>
      <c r="H419" s="550"/>
      <c r="J419" s="683"/>
    </row>
    <row r="420" spans="1:12">
      <c r="A420" s="547" t="s">
        <v>53</v>
      </c>
      <c r="B420" s="541" t="s">
        <v>299</v>
      </c>
      <c r="C420" s="541" t="s">
        <v>686</v>
      </c>
      <c r="D420" s="880">
        <v>162.91666666666669</v>
      </c>
      <c r="E420" s="874">
        <v>113.33333333333333</v>
      </c>
      <c r="F420" s="874">
        <v>134.1875</v>
      </c>
      <c r="G420" s="875">
        <v>74.188000000000017</v>
      </c>
      <c r="H420" s="550"/>
      <c r="J420" s="683"/>
    </row>
    <row r="421" spans="1:12">
      <c r="A421" s="547" t="s">
        <v>53</v>
      </c>
      <c r="B421" s="541" t="s">
        <v>299</v>
      </c>
      <c r="C421" s="541" t="s">
        <v>776</v>
      </c>
      <c r="D421" s="880">
        <v>13.583333333333334</v>
      </c>
      <c r="E421" s="874">
        <v>6.5000000000000009</v>
      </c>
      <c r="F421" s="874">
        <v>9.088499999999998</v>
      </c>
      <c r="G421" s="875">
        <v>4.6264999999999992</v>
      </c>
      <c r="H421" s="550"/>
      <c r="J421" s="683"/>
    </row>
    <row r="422" spans="1:12">
      <c r="A422" s="547" t="s">
        <v>53</v>
      </c>
      <c r="B422" s="541" t="s">
        <v>299</v>
      </c>
      <c r="C422" s="541" t="s">
        <v>615</v>
      </c>
      <c r="D422" s="880">
        <v>0.33333333333333331</v>
      </c>
      <c r="E422" s="874">
        <v>111.75000000000001</v>
      </c>
      <c r="F422" s="874">
        <v>7.8E-2</v>
      </c>
      <c r="G422" s="875">
        <v>73.345991666666663</v>
      </c>
      <c r="H422" s="550"/>
      <c r="J422" s="683"/>
    </row>
    <row r="423" spans="1:12">
      <c r="A423" s="547" t="s">
        <v>53</v>
      </c>
      <c r="B423" s="541" t="s">
        <v>299</v>
      </c>
      <c r="C423" s="541" t="s">
        <v>687</v>
      </c>
      <c r="D423" s="880">
        <v>0.25</v>
      </c>
      <c r="E423" s="874">
        <v>0</v>
      </c>
      <c r="F423" s="874">
        <v>1.7999999999999999E-2</v>
      </c>
      <c r="G423" s="875">
        <v>0</v>
      </c>
      <c r="H423" s="550"/>
      <c r="J423" s="683"/>
    </row>
    <row r="424" spans="1:12">
      <c r="A424" s="547" t="s">
        <v>53</v>
      </c>
      <c r="B424" s="541" t="s">
        <v>860</v>
      </c>
      <c r="C424" s="541" t="s">
        <v>495</v>
      </c>
      <c r="D424" s="880">
        <v>1</v>
      </c>
      <c r="E424" s="874">
        <v>7.1666666666666661</v>
      </c>
      <c r="F424" s="874">
        <v>1.0549999999999999</v>
      </c>
      <c r="G424" s="875">
        <v>4.4660000000000002</v>
      </c>
      <c r="H424" s="550"/>
      <c r="J424" s="683"/>
    </row>
    <row r="425" spans="1:12">
      <c r="A425" s="547" t="s">
        <v>53</v>
      </c>
      <c r="B425" s="541" t="s">
        <v>860</v>
      </c>
      <c r="C425" s="541" t="s">
        <v>861</v>
      </c>
      <c r="D425" s="880">
        <v>57.333333333333336</v>
      </c>
      <c r="E425" s="874">
        <v>140.91666666666666</v>
      </c>
      <c r="F425" s="874">
        <v>35.851999999999997</v>
      </c>
      <c r="G425" s="875">
        <v>122.86198333333334</v>
      </c>
      <c r="H425" s="550"/>
      <c r="J425" s="683"/>
    </row>
    <row r="426" spans="1:12">
      <c r="A426" s="547" t="s">
        <v>53</v>
      </c>
      <c r="B426" s="541" t="s">
        <v>176</v>
      </c>
      <c r="C426" s="541" t="s">
        <v>688</v>
      </c>
      <c r="D426" s="880">
        <v>2.5000000000000004</v>
      </c>
      <c r="E426" s="874">
        <v>0.58333333333333326</v>
      </c>
      <c r="F426" s="874">
        <v>1.2010000000000001</v>
      </c>
      <c r="G426" s="875">
        <v>0.27750000000000002</v>
      </c>
      <c r="H426" s="550"/>
      <c r="J426" s="683"/>
    </row>
    <row r="427" spans="1:12">
      <c r="A427" s="547" t="s">
        <v>53</v>
      </c>
      <c r="B427" s="541" t="s">
        <v>300</v>
      </c>
      <c r="C427" s="541" t="s">
        <v>689</v>
      </c>
      <c r="D427" s="880">
        <v>0</v>
      </c>
      <c r="E427" s="874">
        <v>53.333333333333336</v>
      </c>
      <c r="F427" s="874">
        <v>0</v>
      </c>
      <c r="G427" s="875">
        <v>58.919000000000004</v>
      </c>
      <c r="H427" s="550"/>
      <c r="J427" s="683"/>
    </row>
    <row r="428" spans="1:12">
      <c r="A428" s="547" t="s">
        <v>53</v>
      </c>
      <c r="B428" s="541" t="s">
        <v>300</v>
      </c>
      <c r="C428" s="541" t="s">
        <v>667</v>
      </c>
      <c r="D428" s="880">
        <v>636.41666666666663</v>
      </c>
      <c r="E428" s="874">
        <v>900.16666666666674</v>
      </c>
      <c r="F428" s="874">
        <v>795.22388333333333</v>
      </c>
      <c r="G428" s="875">
        <v>1049.6887750000001</v>
      </c>
      <c r="H428" s="550"/>
      <c r="J428" s="683"/>
    </row>
    <row r="429" spans="1:12" s="683" customFormat="1">
      <c r="A429" s="547" t="s">
        <v>53</v>
      </c>
      <c r="B429" s="541" t="s">
        <v>300</v>
      </c>
      <c r="C429" s="541" t="s">
        <v>641</v>
      </c>
      <c r="D429" s="880">
        <v>0</v>
      </c>
      <c r="E429" s="874">
        <v>88.583333333333329</v>
      </c>
      <c r="F429" s="874">
        <v>0</v>
      </c>
      <c r="G429" s="875">
        <v>109.77250000000001</v>
      </c>
      <c r="H429" s="550"/>
      <c r="L429" s="206"/>
    </row>
    <row r="430" spans="1:12" s="683" customFormat="1">
      <c r="A430" s="547" t="s">
        <v>53</v>
      </c>
      <c r="B430" s="541" t="s">
        <v>56</v>
      </c>
      <c r="C430" s="541" t="s">
        <v>527</v>
      </c>
      <c r="D430" s="880">
        <v>0</v>
      </c>
      <c r="E430" s="874">
        <v>19</v>
      </c>
      <c r="F430" s="874">
        <v>0</v>
      </c>
      <c r="G430" s="875">
        <v>22.112000000000002</v>
      </c>
      <c r="H430" s="550"/>
      <c r="L430" s="206"/>
    </row>
    <row r="431" spans="1:12" s="683" customFormat="1">
      <c r="A431" s="547" t="s">
        <v>53</v>
      </c>
      <c r="B431" s="541" t="s">
        <v>690</v>
      </c>
      <c r="C431" s="541" t="s">
        <v>691</v>
      </c>
      <c r="D431" s="880">
        <v>1555.4166666666665</v>
      </c>
      <c r="E431" s="874">
        <v>1573.8333333333333</v>
      </c>
      <c r="F431" s="874">
        <v>1072.6307999999999</v>
      </c>
      <c r="G431" s="875">
        <v>1168.0047666666667</v>
      </c>
      <c r="H431" s="550"/>
      <c r="L431" s="206"/>
    </row>
    <row r="432" spans="1:12" s="683" customFormat="1">
      <c r="A432" s="547" t="s">
        <v>53</v>
      </c>
      <c r="B432" s="541" t="s">
        <v>690</v>
      </c>
      <c r="C432" s="541" t="s">
        <v>692</v>
      </c>
      <c r="D432" s="880">
        <v>669.58333333333326</v>
      </c>
      <c r="E432" s="874">
        <v>782.49999999999989</v>
      </c>
      <c r="F432" s="874">
        <v>478.71440000000007</v>
      </c>
      <c r="G432" s="875">
        <v>570.2383833333331</v>
      </c>
      <c r="H432" s="550"/>
      <c r="L432" s="206"/>
    </row>
    <row r="433" spans="1:12" s="683" customFormat="1">
      <c r="A433" s="547" t="s">
        <v>53</v>
      </c>
      <c r="B433" s="541" t="s">
        <v>690</v>
      </c>
      <c r="C433" s="541" t="s">
        <v>693</v>
      </c>
      <c r="D433" s="880">
        <v>650.66666666666663</v>
      </c>
      <c r="E433" s="874">
        <v>703.58333333333348</v>
      </c>
      <c r="F433" s="874">
        <v>398.92941666666661</v>
      </c>
      <c r="G433" s="875">
        <v>433.13790833333343</v>
      </c>
      <c r="H433" s="550"/>
      <c r="L433" s="206"/>
    </row>
    <row r="434" spans="1:12" s="683" customFormat="1">
      <c r="A434" s="547" t="s">
        <v>53</v>
      </c>
      <c r="B434" s="541" t="s">
        <v>690</v>
      </c>
      <c r="C434" s="541" t="s">
        <v>892</v>
      </c>
      <c r="D434" s="880">
        <v>220.91666666666666</v>
      </c>
      <c r="E434" s="874">
        <v>617.58333333333337</v>
      </c>
      <c r="F434" s="874">
        <v>419.50493333333333</v>
      </c>
      <c r="G434" s="875">
        <v>1128.9707583333334</v>
      </c>
      <c r="H434" s="550"/>
      <c r="L434" s="206"/>
    </row>
    <row r="435" spans="1:12" s="683" customFormat="1">
      <c r="A435" s="547" t="s">
        <v>53</v>
      </c>
      <c r="B435" s="541" t="s">
        <v>690</v>
      </c>
      <c r="C435" s="541" t="s">
        <v>893</v>
      </c>
      <c r="D435" s="880">
        <v>292.25</v>
      </c>
      <c r="E435" s="874">
        <v>515.5</v>
      </c>
      <c r="F435" s="874">
        <v>418.18942499999997</v>
      </c>
      <c r="G435" s="875">
        <v>767.39684999999997</v>
      </c>
      <c r="H435" s="550"/>
      <c r="L435" s="206"/>
    </row>
    <row r="436" spans="1:12" s="683" customFormat="1">
      <c r="A436" s="547" t="s">
        <v>53</v>
      </c>
      <c r="B436" s="541" t="s">
        <v>690</v>
      </c>
      <c r="C436" s="541" t="s">
        <v>694</v>
      </c>
      <c r="D436" s="880">
        <v>1895.1666666666667</v>
      </c>
      <c r="E436" s="874">
        <v>1967.9999999999998</v>
      </c>
      <c r="F436" s="874">
        <v>1384.5252500000001</v>
      </c>
      <c r="G436" s="875">
        <v>1501.099216666667</v>
      </c>
      <c r="H436" s="550"/>
      <c r="L436" s="206"/>
    </row>
    <row r="437" spans="1:12" s="683" customFormat="1">
      <c r="A437" s="547" t="s">
        <v>53</v>
      </c>
      <c r="B437" s="541" t="s">
        <v>177</v>
      </c>
      <c r="C437" s="541" t="s">
        <v>695</v>
      </c>
      <c r="D437" s="880">
        <v>208.33333333333331</v>
      </c>
      <c r="E437" s="874">
        <v>273.41666666666669</v>
      </c>
      <c r="F437" s="874">
        <v>254.77146666666664</v>
      </c>
      <c r="G437" s="875">
        <v>588.42438333333337</v>
      </c>
      <c r="H437" s="550"/>
      <c r="L437" s="206"/>
    </row>
    <row r="438" spans="1:12" s="683" customFormat="1">
      <c r="A438" s="547" t="s">
        <v>53</v>
      </c>
      <c r="B438" s="541" t="s">
        <v>301</v>
      </c>
      <c r="C438" s="541" t="s">
        <v>696</v>
      </c>
      <c r="D438" s="880">
        <v>1778.75</v>
      </c>
      <c r="E438" s="874">
        <v>1857.4166666666665</v>
      </c>
      <c r="F438" s="874">
        <v>2967.3003916666667</v>
      </c>
      <c r="G438" s="875">
        <v>3086.8828416666665</v>
      </c>
      <c r="H438" s="550"/>
      <c r="L438" s="206"/>
    </row>
    <row r="439" spans="1:12" s="683" customFormat="1">
      <c r="A439" s="547" t="s">
        <v>53</v>
      </c>
      <c r="B439" s="541" t="s">
        <v>1367</v>
      </c>
      <c r="C439" s="541" t="s">
        <v>697</v>
      </c>
      <c r="D439" s="880">
        <v>0</v>
      </c>
      <c r="E439" s="874">
        <v>0.75</v>
      </c>
      <c r="F439" s="874">
        <v>0</v>
      </c>
      <c r="G439" s="875">
        <v>0.79</v>
      </c>
      <c r="H439" s="550"/>
      <c r="L439" s="206"/>
    </row>
    <row r="440" spans="1:12" s="683" customFormat="1">
      <c r="A440" s="547" t="s">
        <v>53</v>
      </c>
      <c r="B440" s="541" t="s">
        <v>1108</v>
      </c>
      <c r="C440" s="541" t="s">
        <v>685</v>
      </c>
      <c r="D440" s="880">
        <v>3</v>
      </c>
      <c r="E440" s="874">
        <v>1.5</v>
      </c>
      <c r="F440" s="874">
        <v>6.0109999999999992</v>
      </c>
      <c r="G440" s="875">
        <v>3.6460000000000004</v>
      </c>
      <c r="H440" s="550"/>
      <c r="L440" s="206"/>
    </row>
    <row r="441" spans="1:12" s="683" customFormat="1">
      <c r="A441" s="547" t="s">
        <v>53</v>
      </c>
      <c r="B441" s="541" t="s">
        <v>302</v>
      </c>
      <c r="C441" s="541" t="s">
        <v>697</v>
      </c>
      <c r="D441" s="880">
        <v>2.8333333333333335</v>
      </c>
      <c r="E441" s="874">
        <v>1.8333333333333335</v>
      </c>
      <c r="F441" s="874">
        <v>3.2899999999999991</v>
      </c>
      <c r="G441" s="875">
        <v>2.1080000000000001</v>
      </c>
      <c r="H441" s="550"/>
      <c r="L441" s="206"/>
    </row>
    <row r="442" spans="1:12" s="683" customFormat="1">
      <c r="A442" s="547" t="s">
        <v>53</v>
      </c>
      <c r="B442" s="541" t="s">
        <v>1364</v>
      </c>
      <c r="C442" s="541" t="s">
        <v>613</v>
      </c>
      <c r="D442" s="880">
        <v>0</v>
      </c>
      <c r="E442" s="874">
        <v>1.9166666666666665</v>
      </c>
      <c r="F442" s="874">
        <v>0</v>
      </c>
      <c r="G442" s="875">
        <v>3.8734999999999999</v>
      </c>
      <c r="H442" s="550"/>
      <c r="L442" s="206"/>
    </row>
    <row r="443" spans="1:12" s="683" customFormat="1">
      <c r="A443" s="547" t="s">
        <v>53</v>
      </c>
      <c r="B443" s="541" t="s">
        <v>1265</v>
      </c>
      <c r="C443" s="541" t="s">
        <v>1261</v>
      </c>
      <c r="D443" s="880">
        <v>0</v>
      </c>
      <c r="E443" s="874">
        <v>199.08333333333334</v>
      </c>
      <c r="F443" s="874">
        <v>0</v>
      </c>
      <c r="G443" s="875">
        <v>249.11294999999998</v>
      </c>
      <c r="H443" s="550"/>
      <c r="L443" s="206"/>
    </row>
    <row r="444" spans="1:12">
      <c r="A444" s="1066" t="s">
        <v>988</v>
      </c>
      <c r="B444" s="1067"/>
      <c r="C444" s="1068"/>
      <c r="D444" s="889">
        <v>67427</v>
      </c>
      <c r="E444" s="882">
        <v>76149.583333333299</v>
      </c>
      <c r="F444" s="882">
        <v>52321.0645083333</v>
      </c>
      <c r="G444" s="887">
        <v>60809.56736666667</v>
      </c>
      <c r="H444" s="550"/>
      <c r="J444" s="683"/>
    </row>
    <row r="445" spans="1:12">
      <c r="A445" s="547" t="s">
        <v>911</v>
      </c>
      <c r="B445" s="541" t="s">
        <v>1006</v>
      </c>
      <c r="C445" s="541" t="s">
        <v>746</v>
      </c>
      <c r="D445" s="880">
        <v>51.916666666666657</v>
      </c>
      <c r="E445" s="874">
        <v>3.7499999999999996</v>
      </c>
      <c r="F445" s="874">
        <v>81.404483333333332</v>
      </c>
      <c r="G445" s="875">
        <v>7.423</v>
      </c>
      <c r="H445" s="550"/>
      <c r="J445" s="683"/>
    </row>
    <row r="446" spans="1:12">
      <c r="A446" s="547" t="s">
        <v>911</v>
      </c>
      <c r="B446" s="541" t="s">
        <v>747</v>
      </c>
      <c r="C446" s="541" t="s">
        <v>748</v>
      </c>
      <c r="D446" s="880">
        <v>159.91666666666669</v>
      </c>
      <c r="E446" s="874">
        <v>110.91666666666667</v>
      </c>
      <c r="F446" s="874">
        <v>246.43100000000004</v>
      </c>
      <c r="G446" s="875">
        <v>94.39200000000001</v>
      </c>
      <c r="H446" s="550"/>
      <c r="J446" s="683"/>
    </row>
    <row r="447" spans="1:12">
      <c r="A447" s="547" t="s">
        <v>911</v>
      </c>
      <c r="B447" s="541" t="s">
        <v>901</v>
      </c>
      <c r="C447" s="541" t="s">
        <v>852</v>
      </c>
      <c r="D447" s="880">
        <v>36.75</v>
      </c>
      <c r="E447" s="874">
        <v>63.833333333333343</v>
      </c>
      <c r="F447" s="874">
        <v>27.440999999999999</v>
      </c>
      <c r="G447" s="875">
        <v>38.706000000000003</v>
      </c>
      <c r="H447" s="550"/>
      <c r="J447" s="683"/>
    </row>
    <row r="448" spans="1:12" s="298" customFormat="1">
      <c r="A448" s="547" t="s">
        <v>911</v>
      </c>
      <c r="B448" s="897" t="s">
        <v>1103</v>
      </c>
      <c r="C448" s="898" t="s">
        <v>902</v>
      </c>
      <c r="D448" s="880">
        <v>1.1666666666666667</v>
      </c>
      <c r="E448" s="874">
        <v>0</v>
      </c>
      <c r="F448" s="874">
        <v>0.27049999999999996</v>
      </c>
      <c r="G448" s="875">
        <v>0</v>
      </c>
      <c r="H448" s="550"/>
      <c r="J448" s="683"/>
      <c r="L448" s="206"/>
    </row>
    <row r="449" spans="1:12">
      <c r="A449" s="547" t="s">
        <v>911</v>
      </c>
      <c r="B449" s="541" t="s">
        <v>453</v>
      </c>
      <c r="C449" s="541" t="s">
        <v>750</v>
      </c>
      <c r="D449" s="880">
        <v>183.91666666666666</v>
      </c>
      <c r="E449" s="874">
        <v>305.08333333333331</v>
      </c>
      <c r="F449" s="874">
        <v>235.14295833333333</v>
      </c>
      <c r="G449" s="875">
        <v>217.09849166666669</v>
      </c>
      <c r="H449" s="550"/>
      <c r="J449" s="683"/>
    </row>
    <row r="450" spans="1:12">
      <c r="A450" s="547" t="s">
        <v>911</v>
      </c>
      <c r="B450" s="541" t="s">
        <v>66</v>
      </c>
      <c r="C450" s="541" t="s">
        <v>751</v>
      </c>
      <c r="D450" s="880">
        <v>28.166666666666668</v>
      </c>
      <c r="E450" s="874">
        <v>26.166666666666668</v>
      </c>
      <c r="F450" s="874">
        <v>40.442499999999995</v>
      </c>
      <c r="G450" s="875">
        <v>26.977499999999999</v>
      </c>
      <c r="H450" s="550"/>
      <c r="J450" s="683"/>
    </row>
    <row r="451" spans="1:12">
      <c r="A451" s="547" t="s">
        <v>911</v>
      </c>
      <c r="B451" s="541" t="s">
        <v>1368</v>
      </c>
      <c r="C451" s="541" t="s">
        <v>746</v>
      </c>
      <c r="D451" s="880">
        <v>0</v>
      </c>
      <c r="E451" s="874">
        <v>1.5</v>
      </c>
      <c r="F451" s="874">
        <v>0</v>
      </c>
      <c r="G451" s="875">
        <v>2.8245</v>
      </c>
      <c r="H451" s="550"/>
      <c r="J451" s="683"/>
    </row>
    <row r="452" spans="1:12">
      <c r="A452" s="547" t="s">
        <v>911</v>
      </c>
      <c r="B452" s="541" t="s">
        <v>1007</v>
      </c>
      <c r="C452" s="541" t="s">
        <v>749</v>
      </c>
      <c r="D452" s="880">
        <v>37.500000000000007</v>
      </c>
      <c r="E452" s="874">
        <v>42.416666666666671</v>
      </c>
      <c r="F452" s="874">
        <v>37.297500000000007</v>
      </c>
      <c r="G452" s="875">
        <v>39.472999999999999</v>
      </c>
      <c r="H452" s="550"/>
      <c r="J452" s="683"/>
    </row>
    <row r="453" spans="1:12">
      <c r="A453" s="547" t="s">
        <v>911</v>
      </c>
      <c r="B453" s="541" t="s">
        <v>752</v>
      </c>
      <c r="C453" s="541" t="s">
        <v>748</v>
      </c>
      <c r="D453" s="880">
        <v>291.49999999999994</v>
      </c>
      <c r="E453" s="874">
        <v>465.33333333333343</v>
      </c>
      <c r="F453" s="874">
        <v>250.4629833333334</v>
      </c>
      <c r="G453" s="875">
        <v>369.0764666666667</v>
      </c>
      <c r="H453" s="550"/>
      <c r="J453" s="683"/>
    </row>
    <row r="454" spans="1:12">
      <c r="A454" s="547" t="s">
        <v>911</v>
      </c>
      <c r="B454" s="541" t="s">
        <v>56</v>
      </c>
      <c r="C454" s="541" t="s">
        <v>753</v>
      </c>
      <c r="D454" s="880">
        <v>376.5</v>
      </c>
      <c r="E454" s="874">
        <v>398.58333333333331</v>
      </c>
      <c r="F454" s="874">
        <v>449.80540833333328</v>
      </c>
      <c r="G454" s="875">
        <v>439.0374083333333</v>
      </c>
      <c r="H454" s="550"/>
      <c r="J454" s="683"/>
    </row>
    <row r="455" spans="1:12">
      <c r="A455" s="547" t="s">
        <v>911</v>
      </c>
      <c r="B455" s="541" t="s">
        <v>56</v>
      </c>
      <c r="C455" s="541" t="s">
        <v>749</v>
      </c>
      <c r="D455" s="880">
        <v>220.41666666666666</v>
      </c>
      <c r="E455" s="874">
        <v>0</v>
      </c>
      <c r="F455" s="874">
        <v>345.30795000000001</v>
      </c>
      <c r="G455" s="875">
        <v>0</v>
      </c>
      <c r="H455" s="550"/>
      <c r="J455" s="683"/>
    </row>
    <row r="456" spans="1:12">
      <c r="A456" s="547" t="s">
        <v>911</v>
      </c>
      <c r="B456" s="541" t="s">
        <v>181</v>
      </c>
      <c r="C456" s="541" t="s">
        <v>751</v>
      </c>
      <c r="D456" s="880">
        <v>1203.6666666666665</v>
      </c>
      <c r="E456" s="874">
        <v>904.16666666666674</v>
      </c>
      <c r="F456" s="874">
        <v>768.11934999999994</v>
      </c>
      <c r="G456" s="875">
        <v>525.97040000000015</v>
      </c>
      <c r="H456" s="550"/>
      <c r="J456" s="683"/>
    </row>
    <row r="457" spans="1:12" s="683" customFormat="1">
      <c r="A457" s="547" t="s">
        <v>911</v>
      </c>
      <c r="B457" s="541" t="s">
        <v>903</v>
      </c>
      <c r="C457" s="541" t="s">
        <v>482</v>
      </c>
      <c r="D457" s="880">
        <v>18.083333333333332</v>
      </c>
      <c r="E457" s="874">
        <v>25.166666666666671</v>
      </c>
      <c r="F457" s="874">
        <v>3.8015000000000003</v>
      </c>
      <c r="G457" s="875">
        <v>3.5705000000000009</v>
      </c>
      <c r="H457" s="550"/>
      <c r="L457" s="206"/>
    </row>
    <row r="458" spans="1:12">
      <c r="A458" s="547" t="s">
        <v>911</v>
      </c>
      <c r="B458" s="541" t="s">
        <v>329</v>
      </c>
      <c r="C458" s="541" t="s">
        <v>754</v>
      </c>
      <c r="D458" s="880">
        <v>63.583333333333336</v>
      </c>
      <c r="E458" s="874">
        <v>72.499999999999986</v>
      </c>
      <c r="F458" s="874">
        <v>76.870500000000007</v>
      </c>
      <c r="G458" s="875">
        <v>81.698000000000008</v>
      </c>
      <c r="H458" s="550"/>
      <c r="J458" s="683"/>
    </row>
    <row r="459" spans="1:12">
      <c r="A459" s="1066" t="s">
        <v>1204</v>
      </c>
      <c r="B459" s="1067"/>
      <c r="C459" s="1068"/>
      <c r="D459" s="899">
        <v>2673.0833333333335</v>
      </c>
      <c r="E459" s="900">
        <v>2419.4166666666665</v>
      </c>
      <c r="F459" s="900">
        <v>2562.7976333333331</v>
      </c>
      <c r="G459" s="901">
        <v>1846.247266666667</v>
      </c>
      <c r="H459" s="550"/>
    </row>
    <row r="460" spans="1:12">
      <c r="A460" s="546" t="s">
        <v>303</v>
      </c>
      <c r="B460" s="541" t="s">
        <v>837</v>
      </c>
      <c r="C460" s="541" t="s">
        <v>698</v>
      </c>
      <c r="D460" s="880">
        <v>0.33333333333333331</v>
      </c>
      <c r="E460" s="874">
        <v>0.49999999999999994</v>
      </c>
      <c r="F460" s="874">
        <v>0.43049999999999999</v>
      </c>
      <c r="G460" s="875">
        <v>0.499</v>
      </c>
      <c r="H460" s="550"/>
      <c r="J460" s="683"/>
    </row>
    <row r="461" spans="1:12" s="298" customFormat="1">
      <c r="A461" s="547" t="s">
        <v>303</v>
      </c>
      <c r="B461" s="541" t="s">
        <v>1104</v>
      </c>
      <c r="C461" s="541" t="s">
        <v>657</v>
      </c>
      <c r="D461" s="880">
        <v>0.66666666666666663</v>
      </c>
      <c r="E461" s="874">
        <v>1.6666666666666667</v>
      </c>
      <c r="F461" s="874">
        <v>0.71499999999999997</v>
      </c>
      <c r="G461" s="875">
        <v>1.39</v>
      </c>
      <c r="H461" s="550"/>
      <c r="J461" s="683"/>
      <c r="L461" s="206"/>
    </row>
    <row r="462" spans="1:12">
      <c r="A462" s="547" t="s">
        <v>303</v>
      </c>
      <c r="B462" s="541" t="s">
        <v>894</v>
      </c>
      <c r="C462" s="541" t="s">
        <v>485</v>
      </c>
      <c r="D462" s="880">
        <v>0.25</v>
      </c>
      <c r="E462" s="874">
        <v>4.7500000000000009</v>
      </c>
      <c r="F462" s="874">
        <v>1.4999999999999999E-2</v>
      </c>
      <c r="G462" s="875">
        <v>0.15</v>
      </c>
      <c r="H462" s="550"/>
      <c r="J462" s="683"/>
    </row>
    <row r="463" spans="1:12">
      <c r="A463" s="547" t="s">
        <v>303</v>
      </c>
      <c r="B463" s="541" t="s">
        <v>989</v>
      </c>
      <c r="C463" s="541" t="s">
        <v>487</v>
      </c>
      <c r="D463" s="880">
        <v>0.91666666666666674</v>
      </c>
      <c r="E463" s="874">
        <v>2.75</v>
      </c>
      <c r="F463" s="874">
        <v>0.91499999999999981</v>
      </c>
      <c r="G463" s="875">
        <v>0.7200000000000002</v>
      </c>
      <c r="H463" s="550"/>
      <c r="J463" s="683"/>
    </row>
    <row r="464" spans="1:12">
      <c r="A464" s="547" t="s">
        <v>303</v>
      </c>
      <c r="B464" s="541" t="s">
        <v>304</v>
      </c>
      <c r="C464" s="541" t="s">
        <v>524</v>
      </c>
      <c r="D464" s="880">
        <v>0.25</v>
      </c>
      <c r="E464" s="874">
        <v>0.41666666666666663</v>
      </c>
      <c r="F464" s="874">
        <v>3.5000000000000001E-3</v>
      </c>
      <c r="G464" s="875">
        <v>6.9999999999999993E-3</v>
      </c>
      <c r="H464" s="550"/>
      <c r="J464" s="683"/>
    </row>
    <row r="465" spans="1:10">
      <c r="A465" s="547" t="s">
        <v>303</v>
      </c>
      <c r="B465" s="541" t="s">
        <v>305</v>
      </c>
      <c r="C465" s="541" t="s">
        <v>464</v>
      </c>
      <c r="D465" s="880">
        <v>4.2500000000000009</v>
      </c>
      <c r="E465" s="874">
        <v>4.333333333333333</v>
      </c>
      <c r="F465" s="874">
        <v>4.4480000000000004</v>
      </c>
      <c r="G465" s="875">
        <v>3.7484999999999999</v>
      </c>
      <c r="H465" s="550"/>
      <c r="J465" s="683"/>
    </row>
    <row r="466" spans="1:10">
      <c r="A466" s="547" t="s">
        <v>303</v>
      </c>
      <c r="B466" s="541" t="s">
        <v>306</v>
      </c>
      <c r="C466" s="541" t="s">
        <v>699</v>
      </c>
      <c r="D466" s="880">
        <v>0.49999999999999994</v>
      </c>
      <c r="E466" s="874">
        <v>0</v>
      </c>
      <c r="F466" s="874">
        <v>0.10099999999999999</v>
      </c>
      <c r="G466" s="875">
        <v>0</v>
      </c>
      <c r="H466" s="550"/>
      <c r="J466" s="683"/>
    </row>
    <row r="467" spans="1:10">
      <c r="A467" s="547" t="s">
        <v>303</v>
      </c>
      <c r="B467" s="541" t="s">
        <v>306</v>
      </c>
      <c r="C467" s="541" t="s">
        <v>698</v>
      </c>
      <c r="D467" s="880">
        <v>80.833333333333343</v>
      </c>
      <c r="E467" s="874">
        <v>96.083333333333329</v>
      </c>
      <c r="F467" s="874">
        <v>21.811000000000003</v>
      </c>
      <c r="G467" s="875">
        <v>33.589999999999996</v>
      </c>
      <c r="H467" s="550"/>
      <c r="J467" s="683"/>
    </row>
    <row r="468" spans="1:10">
      <c r="A468" s="547" t="s">
        <v>303</v>
      </c>
      <c r="B468" s="541" t="s">
        <v>306</v>
      </c>
      <c r="C468" s="541" t="s">
        <v>700</v>
      </c>
      <c r="D468" s="880">
        <v>22.833333333333332</v>
      </c>
      <c r="E468" s="874">
        <v>35.5</v>
      </c>
      <c r="F468" s="874">
        <v>12.705500000000001</v>
      </c>
      <c r="G468" s="875">
        <v>12.478</v>
      </c>
      <c r="H468" s="550"/>
      <c r="J468" s="683"/>
    </row>
    <row r="469" spans="1:10">
      <c r="A469" s="547" t="s">
        <v>303</v>
      </c>
      <c r="B469" s="541" t="s">
        <v>306</v>
      </c>
      <c r="C469" s="541" t="s">
        <v>701</v>
      </c>
      <c r="D469" s="880">
        <v>33.749999999999993</v>
      </c>
      <c r="E469" s="874">
        <v>28.833333333333339</v>
      </c>
      <c r="F469" s="874">
        <v>19.786000000000001</v>
      </c>
      <c r="G469" s="875">
        <v>19.300999999999998</v>
      </c>
      <c r="H469" s="550"/>
      <c r="J469" s="683"/>
    </row>
    <row r="470" spans="1:10">
      <c r="A470" s="547" t="s">
        <v>303</v>
      </c>
      <c r="B470" s="541" t="s">
        <v>990</v>
      </c>
      <c r="C470" s="541" t="s">
        <v>524</v>
      </c>
      <c r="D470" s="880">
        <v>10</v>
      </c>
      <c r="E470" s="874">
        <v>10.75</v>
      </c>
      <c r="F470" s="874">
        <v>2.4525000000000001</v>
      </c>
      <c r="G470" s="875">
        <v>2.6660000000000004</v>
      </c>
      <c r="H470" s="550"/>
      <c r="J470" s="683"/>
    </row>
    <row r="471" spans="1:10">
      <c r="A471" s="547" t="s">
        <v>303</v>
      </c>
      <c r="B471" s="541" t="s">
        <v>1267</v>
      </c>
      <c r="C471" s="541" t="s">
        <v>702</v>
      </c>
      <c r="D471" s="880">
        <v>2</v>
      </c>
      <c r="E471" s="874">
        <v>2</v>
      </c>
      <c r="F471" s="874">
        <v>1.288</v>
      </c>
      <c r="G471" s="875">
        <v>1.4524999999999997</v>
      </c>
      <c r="H471" s="550"/>
      <c r="J471" s="683"/>
    </row>
    <row r="472" spans="1:10">
      <c r="A472" s="547" t="s">
        <v>303</v>
      </c>
      <c r="B472" s="541" t="s">
        <v>1268</v>
      </c>
      <c r="C472" s="541" t="s">
        <v>704</v>
      </c>
      <c r="D472" s="880">
        <v>0</v>
      </c>
      <c r="E472" s="874">
        <v>1.5833333333333335</v>
      </c>
      <c r="F472" s="874">
        <v>0</v>
      </c>
      <c r="G472" s="875">
        <v>0.38049999999999995</v>
      </c>
      <c r="H472" s="550"/>
      <c r="J472" s="683"/>
    </row>
    <row r="473" spans="1:10">
      <c r="A473" s="547" t="s">
        <v>303</v>
      </c>
      <c r="B473" s="541" t="s">
        <v>307</v>
      </c>
      <c r="C473" s="541" t="s">
        <v>703</v>
      </c>
      <c r="D473" s="880">
        <v>0.33333333333333331</v>
      </c>
      <c r="E473" s="874">
        <v>0</v>
      </c>
      <c r="F473" s="874">
        <v>0.15</v>
      </c>
      <c r="G473" s="875">
        <v>0</v>
      </c>
      <c r="H473" s="550"/>
      <c r="J473" s="683"/>
    </row>
    <row r="474" spans="1:10">
      <c r="A474" s="547" t="s">
        <v>303</v>
      </c>
      <c r="B474" s="541" t="s">
        <v>838</v>
      </c>
      <c r="C474" s="541" t="s">
        <v>704</v>
      </c>
      <c r="D474" s="880">
        <v>2</v>
      </c>
      <c r="E474" s="874">
        <v>0.58333333333333326</v>
      </c>
      <c r="F474" s="874">
        <v>0.67549999999999999</v>
      </c>
      <c r="G474" s="875">
        <v>0.23350000000000004</v>
      </c>
      <c r="H474" s="550"/>
      <c r="J474" s="683"/>
    </row>
    <row r="475" spans="1:10">
      <c r="A475" s="547" t="s">
        <v>303</v>
      </c>
      <c r="B475" s="541" t="s">
        <v>288</v>
      </c>
      <c r="C475" s="541" t="s">
        <v>839</v>
      </c>
      <c r="D475" s="880">
        <v>0.25</v>
      </c>
      <c r="E475" s="874">
        <v>0</v>
      </c>
      <c r="F475" s="874">
        <v>9.8999999999999991E-2</v>
      </c>
      <c r="G475" s="875">
        <v>0</v>
      </c>
      <c r="H475" s="550"/>
      <c r="J475" s="683"/>
    </row>
    <row r="476" spans="1:10">
      <c r="A476" s="547" t="s">
        <v>303</v>
      </c>
      <c r="B476" s="541" t="s">
        <v>288</v>
      </c>
      <c r="C476" s="541" t="s">
        <v>565</v>
      </c>
      <c r="D476" s="880">
        <v>9</v>
      </c>
      <c r="E476" s="874">
        <v>11.333333333333336</v>
      </c>
      <c r="F476" s="874">
        <v>4.7189999999999994</v>
      </c>
      <c r="G476" s="875">
        <v>5.9584999999999999</v>
      </c>
      <c r="H476" s="550"/>
      <c r="J476" s="683"/>
    </row>
    <row r="477" spans="1:10">
      <c r="A477" s="547" t="s">
        <v>303</v>
      </c>
      <c r="B477" s="541" t="s">
        <v>288</v>
      </c>
      <c r="C477" s="541" t="s">
        <v>554</v>
      </c>
      <c r="D477" s="880">
        <v>0.49999999999999994</v>
      </c>
      <c r="E477" s="874">
        <v>0</v>
      </c>
      <c r="F477" s="874">
        <v>7.5499999999999984E-2</v>
      </c>
      <c r="G477" s="875">
        <v>0</v>
      </c>
      <c r="H477" s="550"/>
      <c r="J477" s="683"/>
    </row>
    <row r="478" spans="1:10">
      <c r="A478" s="547" t="s">
        <v>303</v>
      </c>
      <c r="B478" s="541" t="s">
        <v>308</v>
      </c>
      <c r="C478" s="541" t="s">
        <v>705</v>
      </c>
      <c r="D478" s="880">
        <v>1.0833333333333333</v>
      </c>
      <c r="E478" s="874">
        <v>0.66666666666666663</v>
      </c>
      <c r="F478" s="874">
        <v>1.004</v>
      </c>
      <c r="G478" s="875">
        <v>0.39500000000000002</v>
      </c>
      <c r="H478" s="550"/>
      <c r="J478" s="683"/>
    </row>
    <row r="479" spans="1:10">
      <c r="A479" s="547" t="s">
        <v>303</v>
      </c>
      <c r="B479" s="541" t="s">
        <v>1269</v>
      </c>
      <c r="C479" s="541" t="s">
        <v>1266</v>
      </c>
      <c r="D479" s="880">
        <v>2.333333333333333</v>
      </c>
      <c r="E479" s="874">
        <v>3.25</v>
      </c>
      <c r="F479" s="874">
        <v>1.7514999999999998</v>
      </c>
      <c r="G479" s="875">
        <v>1.8529999999999998</v>
      </c>
      <c r="H479" s="550"/>
      <c r="J479" s="683"/>
    </row>
    <row r="480" spans="1:10">
      <c r="A480" s="547" t="s">
        <v>303</v>
      </c>
      <c r="B480" s="541" t="s">
        <v>309</v>
      </c>
      <c r="C480" s="541" t="s">
        <v>706</v>
      </c>
      <c r="D480" s="880">
        <v>2.333333333333333</v>
      </c>
      <c r="E480" s="874">
        <v>2.5833333333333335</v>
      </c>
      <c r="F480" s="874">
        <v>1.6819999999999999</v>
      </c>
      <c r="G480" s="875">
        <v>1.6964999999999999</v>
      </c>
      <c r="H480" s="550"/>
      <c r="J480" s="683"/>
    </row>
    <row r="481" spans="1:10">
      <c r="A481" s="547" t="s">
        <v>303</v>
      </c>
      <c r="B481" s="541" t="s">
        <v>309</v>
      </c>
      <c r="C481" s="541" t="s">
        <v>707</v>
      </c>
      <c r="D481" s="880">
        <v>2.5</v>
      </c>
      <c r="E481" s="874">
        <v>3.4166666666666665</v>
      </c>
      <c r="F481" s="874">
        <v>1.9745000000000001</v>
      </c>
      <c r="G481" s="875">
        <v>2.3680000000000003</v>
      </c>
      <c r="H481" s="550"/>
      <c r="J481" s="683"/>
    </row>
    <row r="482" spans="1:10">
      <c r="A482" s="547" t="s">
        <v>303</v>
      </c>
      <c r="B482" s="541" t="s">
        <v>708</v>
      </c>
      <c r="C482" s="541" t="s">
        <v>503</v>
      </c>
      <c r="D482" s="880">
        <v>10.666666666666668</v>
      </c>
      <c r="E482" s="874">
        <v>12</v>
      </c>
      <c r="F482" s="874">
        <v>9.620000000000001</v>
      </c>
      <c r="G482" s="875">
        <v>10.4345</v>
      </c>
      <c r="H482" s="550"/>
      <c r="J482" s="683"/>
    </row>
    <row r="483" spans="1:10">
      <c r="A483" s="547" t="s">
        <v>303</v>
      </c>
      <c r="B483" s="541" t="s">
        <v>709</v>
      </c>
      <c r="C483" s="541" t="s">
        <v>710</v>
      </c>
      <c r="D483" s="880">
        <v>3.3333333333333335</v>
      </c>
      <c r="E483" s="874">
        <v>3.25</v>
      </c>
      <c r="F483" s="874">
        <v>4.45</v>
      </c>
      <c r="G483" s="875">
        <v>4.3249999999999993</v>
      </c>
      <c r="H483" s="550"/>
      <c r="J483" s="683"/>
    </row>
    <row r="484" spans="1:10">
      <c r="A484" s="547" t="s">
        <v>303</v>
      </c>
      <c r="B484" s="541" t="s">
        <v>310</v>
      </c>
      <c r="C484" s="541" t="s">
        <v>487</v>
      </c>
      <c r="D484" s="880">
        <v>0</v>
      </c>
      <c r="E484" s="874">
        <v>0.25</v>
      </c>
      <c r="F484" s="874">
        <v>0</v>
      </c>
      <c r="G484" s="875">
        <v>1.4999999999999999E-2</v>
      </c>
      <c r="H484" s="550"/>
      <c r="J484" s="683"/>
    </row>
    <row r="485" spans="1:10">
      <c r="A485" s="547" t="s">
        <v>303</v>
      </c>
      <c r="B485" s="541" t="s">
        <v>311</v>
      </c>
      <c r="C485" s="541" t="s">
        <v>513</v>
      </c>
      <c r="D485" s="880">
        <v>2.1666666666666665</v>
      </c>
      <c r="E485" s="874">
        <v>4.083333333333333</v>
      </c>
      <c r="F485" s="874">
        <v>1.2129999999999999</v>
      </c>
      <c r="G485" s="875">
        <v>2.5625</v>
      </c>
      <c r="H485" s="550"/>
      <c r="J485" s="683"/>
    </row>
    <row r="486" spans="1:10">
      <c r="A486" s="547" t="s">
        <v>303</v>
      </c>
      <c r="B486" s="541" t="s">
        <v>991</v>
      </c>
      <c r="C486" s="541" t="s">
        <v>831</v>
      </c>
      <c r="D486" s="880">
        <v>0.83333333333333337</v>
      </c>
      <c r="E486" s="874">
        <v>0.58333333333333326</v>
      </c>
      <c r="F486" s="874">
        <v>0.45450000000000002</v>
      </c>
      <c r="G486" s="875">
        <v>6.699999999999999E-2</v>
      </c>
      <c r="H486" s="550"/>
      <c r="J486" s="683"/>
    </row>
    <row r="487" spans="1:10">
      <c r="A487" s="547" t="s">
        <v>303</v>
      </c>
      <c r="B487" s="541" t="s">
        <v>711</v>
      </c>
      <c r="C487" s="541" t="s">
        <v>509</v>
      </c>
      <c r="D487" s="880">
        <v>3.333333333333333</v>
      </c>
      <c r="E487" s="874">
        <v>2.75</v>
      </c>
      <c r="F487" s="874">
        <v>2.6590000000000003</v>
      </c>
      <c r="G487" s="875">
        <v>2.5085000000000002</v>
      </c>
      <c r="H487" s="550"/>
      <c r="J487" s="683"/>
    </row>
    <row r="488" spans="1:10">
      <c r="A488" s="547" t="s">
        <v>303</v>
      </c>
      <c r="B488" s="541" t="s">
        <v>1377</v>
      </c>
      <c r="C488" s="541" t="s">
        <v>487</v>
      </c>
      <c r="D488" s="880">
        <v>0</v>
      </c>
      <c r="E488" s="874">
        <v>9.0833333333333321</v>
      </c>
      <c r="F488" s="874">
        <v>0</v>
      </c>
      <c r="G488" s="875">
        <v>0.3695</v>
      </c>
      <c r="H488" s="550"/>
      <c r="J488" s="683"/>
    </row>
    <row r="489" spans="1:10">
      <c r="A489" s="547" t="s">
        <v>303</v>
      </c>
      <c r="B489" s="541" t="s">
        <v>312</v>
      </c>
      <c r="C489" s="541" t="s">
        <v>712</v>
      </c>
      <c r="D489" s="880">
        <v>5.1666666666666652</v>
      </c>
      <c r="E489" s="874">
        <v>1.5833333333333335</v>
      </c>
      <c r="F489" s="874">
        <v>2.7805</v>
      </c>
      <c r="G489" s="875">
        <v>1.2689999999999999</v>
      </c>
      <c r="H489" s="550"/>
      <c r="J489" s="683"/>
    </row>
    <row r="490" spans="1:10">
      <c r="A490" s="547" t="s">
        <v>303</v>
      </c>
      <c r="B490" s="541" t="s">
        <v>313</v>
      </c>
      <c r="C490" s="541" t="s">
        <v>644</v>
      </c>
      <c r="D490" s="880">
        <v>9.5833333333333339</v>
      </c>
      <c r="E490" s="874">
        <v>12.333333333333334</v>
      </c>
      <c r="F490" s="874">
        <v>0.80549999999999999</v>
      </c>
      <c r="G490" s="875">
        <v>0.65700000000000003</v>
      </c>
      <c r="H490" s="550"/>
      <c r="J490" s="683"/>
    </row>
    <row r="491" spans="1:10">
      <c r="A491" s="547" t="s">
        <v>303</v>
      </c>
      <c r="B491" s="541" t="s">
        <v>1270</v>
      </c>
      <c r="C491" s="541" t="s">
        <v>707</v>
      </c>
      <c r="D491" s="880">
        <v>0</v>
      </c>
      <c r="E491" s="874">
        <v>0.41666666666666663</v>
      </c>
      <c r="F491" s="874">
        <v>0</v>
      </c>
      <c r="G491" s="875">
        <v>1.0000000000000002E-2</v>
      </c>
      <c r="H491" s="550"/>
      <c r="J491" s="683"/>
    </row>
    <row r="492" spans="1:10">
      <c r="A492" s="547" t="s">
        <v>303</v>
      </c>
      <c r="B492" s="541" t="s">
        <v>314</v>
      </c>
      <c r="C492" s="541" t="s">
        <v>644</v>
      </c>
      <c r="D492" s="880">
        <v>0.41666666666666663</v>
      </c>
      <c r="E492" s="874">
        <v>0.49999999999999994</v>
      </c>
      <c r="F492" s="874">
        <v>0.29199999999999998</v>
      </c>
      <c r="G492" s="875">
        <v>0.38600000000000001</v>
      </c>
      <c r="H492" s="550"/>
      <c r="J492" s="683"/>
    </row>
    <row r="493" spans="1:10">
      <c r="A493" s="547" t="s">
        <v>303</v>
      </c>
      <c r="B493" s="541" t="s">
        <v>1213</v>
      </c>
      <c r="C493" s="541" t="s">
        <v>565</v>
      </c>
      <c r="D493" s="880">
        <v>200.50000000000003</v>
      </c>
      <c r="E493" s="874">
        <v>90.999999999999986</v>
      </c>
      <c r="F493" s="874">
        <v>12.103000000000002</v>
      </c>
      <c r="G493" s="875">
        <v>8.2465000000000028</v>
      </c>
      <c r="H493" s="550"/>
      <c r="J493" s="683"/>
    </row>
    <row r="494" spans="1:10">
      <c r="A494" s="547" t="s">
        <v>303</v>
      </c>
      <c r="B494" s="541" t="s">
        <v>1213</v>
      </c>
      <c r="C494" s="541" t="s">
        <v>554</v>
      </c>
      <c r="D494" s="880">
        <v>157.41666666666666</v>
      </c>
      <c r="E494" s="874">
        <v>255.83333333333334</v>
      </c>
      <c r="F494" s="874">
        <v>8.7830000000000013</v>
      </c>
      <c r="G494" s="875">
        <v>15.608999999999996</v>
      </c>
      <c r="H494" s="550"/>
      <c r="J494" s="683"/>
    </row>
    <row r="495" spans="1:10">
      <c r="A495" s="547" t="s">
        <v>303</v>
      </c>
      <c r="B495" s="541" t="s">
        <v>292</v>
      </c>
      <c r="C495" s="541" t="s">
        <v>1376</v>
      </c>
      <c r="D495" s="880">
        <v>0</v>
      </c>
      <c r="E495" s="874">
        <v>0.66666666666666674</v>
      </c>
      <c r="F495" s="874">
        <v>0</v>
      </c>
      <c r="G495" s="875">
        <v>0.17100000000000001</v>
      </c>
      <c r="H495" s="550"/>
      <c r="J495" s="683"/>
    </row>
    <row r="496" spans="1:10">
      <c r="A496" s="547" t="s">
        <v>303</v>
      </c>
      <c r="B496" s="541" t="s">
        <v>292</v>
      </c>
      <c r="C496" s="541" t="s">
        <v>698</v>
      </c>
      <c r="D496" s="880">
        <v>1.333333333333333</v>
      </c>
      <c r="E496" s="874">
        <v>1.5833333333333333</v>
      </c>
      <c r="F496" s="874">
        <v>0.36650000000000005</v>
      </c>
      <c r="G496" s="875">
        <v>0.4365</v>
      </c>
      <c r="H496" s="550"/>
      <c r="J496" s="683"/>
    </row>
    <row r="497" spans="1:12" s="683" customFormat="1">
      <c r="A497" s="547" t="s">
        <v>303</v>
      </c>
      <c r="B497" s="541" t="s">
        <v>292</v>
      </c>
      <c r="C497" s="541" t="s">
        <v>644</v>
      </c>
      <c r="D497" s="880">
        <v>1.8333333333333333</v>
      </c>
      <c r="E497" s="874">
        <v>0.83333333333333326</v>
      </c>
      <c r="F497" s="874">
        <v>0.19500000000000001</v>
      </c>
      <c r="G497" s="875">
        <v>1.4999999999999999E-2</v>
      </c>
      <c r="H497" s="550"/>
      <c r="L497" s="206"/>
    </row>
    <row r="498" spans="1:12" s="683" customFormat="1">
      <c r="A498" s="547" t="s">
        <v>303</v>
      </c>
      <c r="B498" s="541" t="s">
        <v>292</v>
      </c>
      <c r="C498" s="541" t="s">
        <v>707</v>
      </c>
      <c r="D498" s="880">
        <v>3</v>
      </c>
      <c r="E498" s="874">
        <v>2.916666666666667</v>
      </c>
      <c r="F498" s="874">
        <v>0.86449999999999994</v>
      </c>
      <c r="G498" s="875">
        <v>0.77250000000000008</v>
      </c>
      <c r="H498" s="550"/>
      <c r="L498" s="206"/>
    </row>
    <row r="499" spans="1:12" s="683" customFormat="1">
      <c r="A499" s="547" t="s">
        <v>303</v>
      </c>
      <c r="B499" s="541" t="s">
        <v>840</v>
      </c>
      <c r="C499" s="541" t="s">
        <v>482</v>
      </c>
      <c r="D499" s="880">
        <v>3.25</v>
      </c>
      <c r="E499" s="874">
        <v>5.25</v>
      </c>
      <c r="F499" s="874">
        <v>1.1355</v>
      </c>
      <c r="G499" s="875">
        <v>2.1629999999999998</v>
      </c>
      <c r="H499" s="550"/>
      <c r="L499" s="206"/>
    </row>
    <row r="500" spans="1:12" s="683" customFormat="1">
      <c r="A500" s="547" t="s">
        <v>303</v>
      </c>
      <c r="B500" s="541" t="s">
        <v>289</v>
      </c>
      <c r="C500" s="541" t="s">
        <v>470</v>
      </c>
      <c r="D500" s="880">
        <v>1</v>
      </c>
      <c r="E500" s="874">
        <v>1.0833333333333333</v>
      </c>
      <c r="F500" s="874">
        <v>6.2E-2</v>
      </c>
      <c r="G500" s="875">
        <v>9.5000000000000001E-2</v>
      </c>
      <c r="H500" s="550"/>
      <c r="L500" s="206"/>
    </row>
    <row r="501" spans="1:12" s="683" customFormat="1">
      <c r="A501" s="547" t="s">
        <v>303</v>
      </c>
      <c r="B501" s="541" t="s">
        <v>1378</v>
      </c>
      <c r="C501" s="541" t="s">
        <v>550</v>
      </c>
      <c r="D501" s="880">
        <v>0</v>
      </c>
      <c r="E501" s="874">
        <v>12.833333333333334</v>
      </c>
      <c r="F501" s="874">
        <v>0</v>
      </c>
      <c r="G501" s="875">
        <v>5.181</v>
      </c>
      <c r="H501" s="550"/>
      <c r="L501" s="206"/>
    </row>
    <row r="502" spans="1:12" s="683" customFormat="1">
      <c r="A502" s="547" t="s">
        <v>303</v>
      </c>
      <c r="B502" s="541" t="s">
        <v>841</v>
      </c>
      <c r="C502" s="541" t="s">
        <v>485</v>
      </c>
      <c r="D502" s="880">
        <v>2</v>
      </c>
      <c r="E502" s="874">
        <v>1.666666666666667</v>
      </c>
      <c r="F502" s="874">
        <v>1.3025</v>
      </c>
      <c r="G502" s="875">
        <v>1.3380000000000001</v>
      </c>
      <c r="H502" s="550"/>
      <c r="L502" s="206"/>
    </row>
    <row r="503" spans="1:12" s="683" customFormat="1">
      <c r="A503" s="547" t="s">
        <v>303</v>
      </c>
      <c r="B503" s="541" t="s">
        <v>895</v>
      </c>
      <c r="C503" s="541" t="s">
        <v>698</v>
      </c>
      <c r="D503" s="880">
        <v>1.2499999999999998</v>
      </c>
      <c r="E503" s="874">
        <v>1.4999999999999998</v>
      </c>
      <c r="F503" s="874">
        <v>0.37949999999999995</v>
      </c>
      <c r="G503" s="875">
        <v>0.52349999999999997</v>
      </c>
      <c r="H503" s="550"/>
      <c r="L503" s="206"/>
    </row>
    <row r="504" spans="1:12">
      <c r="A504" s="1066" t="s">
        <v>992</v>
      </c>
      <c r="B504" s="1067"/>
      <c r="C504" s="1068"/>
      <c r="D504" s="889">
        <v>584.00000000000011</v>
      </c>
      <c r="E504" s="900">
        <v>633.00000000000011</v>
      </c>
      <c r="F504" s="882">
        <v>124.268</v>
      </c>
      <c r="G504" s="887">
        <v>146.042</v>
      </c>
      <c r="H504" s="550"/>
    </row>
    <row r="505" spans="1:12" s="683" customFormat="1">
      <c r="A505" s="547" t="s">
        <v>1278</v>
      </c>
      <c r="B505" s="541" t="s">
        <v>1277</v>
      </c>
      <c r="C505" s="541" t="s">
        <v>487</v>
      </c>
      <c r="D505" s="880">
        <v>8.3333333333333329E-2</v>
      </c>
      <c r="E505" s="874">
        <v>0.75</v>
      </c>
      <c r="F505" s="874">
        <v>1.4999999999999999E-2</v>
      </c>
      <c r="G505" s="875">
        <v>0.1</v>
      </c>
      <c r="H505" s="550"/>
      <c r="L505" s="206"/>
    </row>
    <row r="506" spans="1:12" s="683" customFormat="1">
      <c r="A506" s="1066" t="s">
        <v>1279</v>
      </c>
      <c r="B506" s="1067"/>
      <c r="C506" s="1068"/>
      <c r="D506" s="889">
        <v>8.3333333333333329E-2</v>
      </c>
      <c r="E506" s="900">
        <v>0.75</v>
      </c>
      <c r="F506" s="882">
        <v>1.4999999999999999E-2</v>
      </c>
      <c r="G506" s="887">
        <v>0.1</v>
      </c>
      <c r="H506" s="550"/>
      <c r="L506" s="206"/>
    </row>
    <row r="507" spans="1:12">
      <c r="A507" s="555" t="s">
        <v>842</v>
      </c>
      <c r="B507" s="692" t="s">
        <v>993</v>
      </c>
      <c r="C507" s="541" t="s">
        <v>994</v>
      </c>
      <c r="D507" s="880">
        <v>2.1666666666666665</v>
      </c>
      <c r="E507" s="874">
        <v>1.5</v>
      </c>
      <c r="F507" s="874">
        <v>0.48350000000000004</v>
      </c>
      <c r="G507" s="875">
        <v>0.23299999999999998</v>
      </c>
      <c r="H507" s="550"/>
      <c r="J507" s="683"/>
    </row>
    <row r="508" spans="1:12" s="683" customFormat="1">
      <c r="A508" s="541" t="s">
        <v>842</v>
      </c>
      <c r="B508" s="693" t="s">
        <v>1271</v>
      </c>
      <c r="C508" s="541" t="s">
        <v>886</v>
      </c>
      <c r="D508" s="880">
        <v>0</v>
      </c>
      <c r="E508" s="874">
        <v>41.916666666666671</v>
      </c>
      <c r="F508" s="874">
        <v>0</v>
      </c>
      <c r="G508" s="875">
        <v>38.702999999999996</v>
      </c>
      <c r="H508" s="550"/>
      <c r="L508" s="206"/>
    </row>
    <row r="509" spans="1:12" s="683" customFormat="1">
      <c r="A509" s="541" t="s">
        <v>842</v>
      </c>
      <c r="B509" s="693" t="s">
        <v>766</v>
      </c>
      <c r="C509" s="541" t="s">
        <v>765</v>
      </c>
      <c r="D509" s="880">
        <v>0.66666666666666663</v>
      </c>
      <c r="E509" s="874">
        <v>0</v>
      </c>
      <c r="F509" s="874">
        <v>0.18000000000000002</v>
      </c>
      <c r="G509" s="875">
        <v>0</v>
      </c>
      <c r="H509" s="550"/>
      <c r="L509" s="206"/>
    </row>
    <row r="510" spans="1:12">
      <c r="A510" s="541" t="s">
        <v>842</v>
      </c>
      <c r="B510" s="694" t="s">
        <v>58</v>
      </c>
      <c r="C510" s="541" t="s">
        <v>713</v>
      </c>
      <c r="D510" s="880">
        <v>526.83333333333337</v>
      </c>
      <c r="E510" s="874">
        <v>532.25000000000011</v>
      </c>
      <c r="F510" s="874">
        <v>521.77889999999991</v>
      </c>
      <c r="G510" s="875">
        <v>502.6379</v>
      </c>
      <c r="H510" s="550"/>
      <c r="J510" s="683"/>
    </row>
    <row r="511" spans="1:12">
      <c r="A511" s="1066" t="s">
        <v>995</v>
      </c>
      <c r="B511" s="1067"/>
      <c r="C511" s="1068"/>
      <c r="D511" s="899">
        <v>529.66666666666674</v>
      </c>
      <c r="E511" s="900">
        <v>575.66666666666674</v>
      </c>
      <c r="F511" s="900">
        <v>522.44239999999991</v>
      </c>
      <c r="G511" s="902">
        <v>541.57389999999998</v>
      </c>
      <c r="H511" s="550"/>
      <c r="J511" s="683"/>
    </row>
    <row r="512" spans="1:12">
      <c r="A512" s="546" t="s">
        <v>191</v>
      </c>
      <c r="B512" s="541" t="s">
        <v>978</v>
      </c>
      <c r="C512" s="541" t="s">
        <v>652</v>
      </c>
      <c r="D512" s="880">
        <v>3.4166666666666665</v>
      </c>
      <c r="E512" s="874">
        <v>3.583333333333333</v>
      </c>
      <c r="F512" s="874">
        <v>0.80299999999999994</v>
      </c>
      <c r="G512" s="875">
        <v>0.7</v>
      </c>
      <c r="H512" s="550"/>
      <c r="J512" s="683"/>
    </row>
    <row r="513" spans="1:10">
      <c r="A513" s="547" t="s">
        <v>191</v>
      </c>
      <c r="B513" s="541" t="s">
        <v>50</v>
      </c>
      <c r="C513" s="541" t="s">
        <v>653</v>
      </c>
      <c r="D513" s="880">
        <v>115.33333333333334</v>
      </c>
      <c r="E513" s="874">
        <v>70.416666666666671</v>
      </c>
      <c r="F513" s="874">
        <v>36.274500000000003</v>
      </c>
      <c r="G513" s="875">
        <v>32.982500000000002</v>
      </c>
      <c r="H513" s="550"/>
      <c r="J513" s="683"/>
    </row>
    <row r="514" spans="1:10">
      <c r="A514" s="547" t="s">
        <v>191</v>
      </c>
      <c r="B514" s="541" t="s">
        <v>50</v>
      </c>
      <c r="C514" s="541" t="s">
        <v>767</v>
      </c>
      <c r="D514" s="880">
        <v>66.666666666666657</v>
      </c>
      <c r="E514" s="874">
        <v>87.75</v>
      </c>
      <c r="F514" s="874">
        <v>42.480000000000004</v>
      </c>
      <c r="G514" s="875">
        <v>37.570999999999998</v>
      </c>
      <c r="H514" s="550"/>
      <c r="J514" s="683"/>
    </row>
    <row r="515" spans="1:10">
      <c r="A515" s="547" t="s">
        <v>191</v>
      </c>
      <c r="B515" s="541" t="s">
        <v>979</v>
      </c>
      <c r="C515" s="541" t="s">
        <v>524</v>
      </c>
      <c r="D515" s="880">
        <v>102</v>
      </c>
      <c r="E515" s="874">
        <v>80.083333333333343</v>
      </c>
      <c r="F515" s="874">
        <v>52.045999999999999</v>
      </c>
      <c r="G515" s="875">
        <v>43.492499999999993</v>
      </c>
      <c r="H515" s="550"/>
      <c r="J515" s="683"/>
    </row>
    <row r="516" spans="1:10">
      <c r="A516" s="547" t="s">
        <v>191</v>
      </c>
      <c r="B516" s="541" t="s">
        <v>979</v>
      </c>
      <c r="C516" s="541" t="s">
        <v>768</v>
      </c>
      <c r="D516" s="880">
        <v>133.5</v>
      </c>
      <c r="E516" s="874">
        <v>116.50000000000001</v>
      </c>
      <c r="F516" s="874">
        <v>74.39500000000001</v>
      </c>
      <c r="G516" s="875">
        <v>67.983000000000004</v>
      </c>
      <c r="H516" s="550"/>
      <c r="J516" s="683"/>
    </row>
    <row r="517" spans="1:10">
      <c r="A517" s="547" t="s">
        <v>191</v>
      </c>
      <c r="B517" s="541" t="s">
        <v>51</v>
      </c>
      <c r="C517" s="541" t="s">
        <v>769</v>
      </c>
      <c r="D517" s="880">
        <v>458.74999999999994</v>
      </c>
      <c r="E517" s="874">
        <v>451.16666666666669</v>
      </c>
      <c r="F517" s="874">
        <v>362.1404</v>
      </c>
      <c r="G517" s="875">
        <v>361.74090000000001</v>
      </c>
      <c r="H517" s="550"/>
      <c r="J517" s="683"/>
    </row>
    <row r="518" spans="1:10">
      <c r="A518" s="547" t="s">
        <v>191</v>
      </c>
      <c r="B518" s="541" t="s">
        <v>51</v>
      </c>
      <c r="C518" s="541" t="s">
        <v>654</v>
      </c>
      <c r="D518" s="880">
        <v>150</v>
      </c>
      <c r="E518" s="874">
        <v>139.5</v>
      </c>
      <c r="F518" s="874">
        <v>71.1935</v>
      </c>
      <c r="G518" s="875">
        <v>61.468999999999994</v>
      </c>
      <c r="H518" s="550"/>
      <c r="J518" s="683"/>
    </row>
    <row r="519" spans="1:10">
      <c r="A519" s="547" t="s">
        <v>191</v>
      </c>
      <c r="B519" s="541" t="s">
        <v>51</v>
      </c>
      <c r="C519" s="541" t="s">
        <v>655</v>
      </c>
      <c r="D519" s="880">
        <v>445.16666666666657</v>
      </c>
      <c r="E519" s="874">
        <v>384.91666666666669</v>
      </c>
      <c r="F519" s="874">
        <v>156.64699999999999</v>
      </c>
      <c r="G519" s="875">
        <v>133.8845</v>
      </c>
      <c r="H519" s="550"/>
      <c r="J519" s="683"/>
    </row>
    <row r="520" spans="1:10">
      <c r="A520" s="547" t="s">
        <v>191</v>
      </c>
      <c r="B520" s="541" t="s">
        <v>51</v>
      </c>
      <c r="C520" s="541" t="s">
        <v>515</v>
      </c>
      <c r="D520" s="880">
        <v>0.91666666666666663</v>
      </c>
      <c r="E520" s="874">
        <v>0.58333333333333326</v>
      </c>
      <c r="F520" s="874">
        <v>0.13100000000000001</v>
      </c>
      <c r="G520" s="875">
        <v>0.27</v>
      </c>
      <c r="H520" s="550"/>
      <c r="J520" s="683"/>
    </row>
    <row r="521" spans="1:10">
      <c r="A521" s="547" t="s">
        <v>191</v>
      </c>
      <c r="B521" s="541" t="s">
        <v>51</v>
      </c>
      <c r="C521" s="541" t="s">
        <v>487</v>
      </c>
      <c r="D521" s="880">
        <v>587.00000000000011</v>
      </c>
      <c r="E521" s="874">
        <v>496</v>
      </c>
      <c r="F521" s="874">
        <v>260.67599166666662</v>
      </c>
      <c r="G521" s="875">
        <v>210.39249999999998</v>
      </c>
      <c r="H521" s="550"/>
      <c r="J521" s="683"/>
    </row>
    <row r="522" spans="1:10">
      <c r="A522" s="547" t="s">
        <v>191</v>
      </c>
      <c r="B522" s="541" t="s">
        <v>51</v>
      </c>
      <c r="C522" s="541" t="s">
        <v>835</v>
      </c>
      <c r="D522" s="880">
        <v>8.3333333333333339</v>
      </c>
      <c r="E522" s="874">
        <v>28.916666666666668</v>
      </c>
      <c r="F522" s="874">
        <v>2.6015000000000001</v>
      </c>
      <c r="G522" s="875">
        <v>11.269500000000001</v>
      </c>
      <c r="H522" s="550"/>
      <c r="J522" s="683"/>
    </row>
    <row r="523" spans="1:10">
      <c r="A523" s="547" t="s">
        <v>191</v>
      </c>
      <c r="B523" s="541" t="s">
        <v>51</v>
      </c>
      <c r="C523" s="541" t="s">
        <v>770</v>
      </c>
      <c r="D523" s="880">
        <v>49.666666666666671</v>
      </c>
      <c r="E523" s="874">
        <v>11.249999999999998</v>
      </c>
      <c r="F523" s="874">
        <v>20.645</v>
      </c>
      <c r="G523" s="875">
        <v>2.8515000000000001</v>
      </c>
      <c r="H523" s="550"/>
      <c r="J523" s="683"/>
    </row>
    <row r="524" spans="1:10">
      <c r="A524" s="547" t="s">
        <v>191</v>
      </c>
      <c r="B524" s="541" t="s">
        <v>1375</v>
      </c>
      <c r="C524" s="541" t="s">
        <v>836</v>
      </c>
      <c r="D524" s="880">
        <v>314.24999999999994</v>
      </c>
      <c r="E524" s="874">
        <v>291.66666666666669</v>
      </c>
      <c r="F524" s="874">
        <v>228.97199999999995</v>
      </c>
      <c r="G524" s="875">
        <v>219.738</v>
      </c>
      <c r="H524" s="550"/>
      <c r="J524" s="683"/>
    </row>
    <row r="525" spans="1:10">
      <c r="A525" s="547" t="s">
        <v>191</v>
      </c>
      <c r="B525" s="541" t="s">
        <v>175</v>
      </c>
      <c r="C525" s="541" t="s">
        <v>656</v>
      </c>
      <c r="D525" s="880">
        <v>198.5</v>
      </c>
      <c r="E525" s="874">
        <v>174.33333333333337</v>
      </c>
      <c r="F525" s="874">
        <v>85.875999999999991</v>
      </c>
      <c r="G525" s="875">
        <v>77.073499999999996</v>
      </c>
      <c r="H525" s="550"/>
      <c r="J525" s="683"/>
    </row>
    <row r="526" spans="1:10">
      <c r="A526" s="547" t="s">
        <v>191</v>
      </c>
      <c r="B526" s="541" t="s">
        <v>411</v>
      </c>
      <c r="C526" s="541" t="s">
        <v>519</v>
      </c>
      <c r="D526" s="880">
        <v>101.58333333333334</v>
      </c>
      <c r="E526" s="874">
        <v>100.08333333333333</v>
      </c>
      <c r="F526" s="874">
        <v>17.631999999999998</v>
      </c>
      <c r="G526" s="875">
        <v>3.4734999999999996</v>
      </c>
      <c r="H526" s="550"/>
      <c r="J526" s="683"/>
    </row>
    <row r="527" spans="1:10">
      <c r="A527" s="547" t="s">
        <v>191</v>
      </c>
      <c r="B527" s="541" t="s">
        <v>1374</v>
      </c>
      <c r="C527" s="541" t="s">
        <v>739</v>
      </c>
      <c r="D527" s="880">
        <v>0</v>
      </c>
      <c r="E527" s="874">
        <v>1.5833333333333333</v>
      </c>
      <c r="F527" s="874">
        <v>0</v>
      </c>
      <c r="G527" s="875">
        <v>2.65</v>
      </c>
      <c r="H527" s="550"/>
      <c r="J527" s="683"/>
    </row>
    <row r="528" spans="1:10">
      <c r="A528" s="547" t="s">
        <v>191</v>
      </c>
      <c r="B528" s="541" t="s">
        <v>772</v>
      </c>
      <c r="C528" s="541" t="s">
        <v>528</v>
      </c>
      <c r="D528" s="880">
        <v>3.5833333333333326</v>
      </c>
      <c r="E528" s="874">
        <v>4.4166666666666661</v>
      </c>
      <c r="F528" s="874">
        <v>4.2760000000000007</v>
      </c>
      <c r="G528" s="875">
        <v>5.6469999999999994</v>
      </c>
      <c r="H528" s="550"/>
      <c r="J528" s="683"/>
    </row>
    <row r="529" spans="1:12" s="683" customFormat="1">
      <c r="A529" s="547" t="s">
        <v>191</v>
      </c>
      <c r="B529" s="541" t="s">
        <v>52</v>
      </c>
      <c r="C529" s="541" t="s">
        <v>761</v>
      </c>
      <c r="D529" s="880">
        <v>1.3333333333333333</v>
      </c>
      <c r="E529" s="874">
        <v>0</v>
      </c>
      <c r="F529" s="874">
        <v>0.80400000000000005</v>
      </c>
      <c r="G529" s="875">
        <v>0</v>
      </c>
      <c r="H529" s="550"/>
      <c r="L529" s="206"/>
    </row>
    <row r="530" spans="1:12" s="683" customFormat="1">
      <c r="A530" s="547" t="s">
        <v>191</v>
      </c>
      <c r="B530" s="541" t="s">
        <v>52</v>
      </c>
      <c r="C530" s="541" t="s">
        <v>771</v>
      </c>
      <c r="D530" s="880">
        <v>149.83333333333331</v>
      </c>
      <c r="E530" s="874">
        <v>189.41666666666666</v>
      </c>
      <c r="F530" s="874">
        <v>215.88199999999995</v>
      </c>
      <c r="G530" s="875">
        <v>265.08747499999998</v>
      </c>
      <c r="H530" s="550"/>
      <c r="L530" s="206"/>
    </row>
    <row r="531" spans="1:12" s="683" customFormat="1">
      <c r="A531" s="547" t="s">
        <v>191</v>
      </c>
      <c r="B531" s="541" t="s">
        <v>52</v>
      </c>
      <c r="C531" s="541" t="s">
        <v>657</v>
      </c>
      <c r="D531" s="880">
        <v>99.75</v>
      </c>
      <c r="E531" s="874">
        <v>107</v>
      </c>
      <c r="F531" s="874">
        <v>186.55399999999997</v>
      </c>
      <c r="G531" s="875">
        <v>193.6714916666667</v>
      </c>
      <c r="H531" s="550"/>
      <c r="L531" s="206"/>
    </row>
    <row r="532" spans="1:12" s="683" customFormat="1">
      <c r="A532" s="547" t="s">
        <v>191</v>
      </c>
      <c r="B532" s="541" t="s">
        <v>980</v>
      </c>
      <c r="C532" s="541" t="s">
        <v>519</v>
      </c>
      <c r="D532" s="880">
        <v>57.25</v>
      </c>
      <c r="E532" s="874">
        <v>66.25</v>
      </c>
      <c r="F532" s="874">
        <v>78.452500000000015</v>
      </c>
      <c r="G532" s="875">
        <v>80.802999999999997</v>
      </c>
      <c r="H532" s="550"/>
      <c r="L532" s="206"/>
    </row>
    <row r="533" spans="1:12" s="683" customFormat="1">
      <c r="A533" s="547" t="s">
        <v>191</v>
      </c>
      <c r="B533" s="541" t="s">
        <v>980</v>
      </c>
      <c r="C533" s="541" t="s">
        <v>529</v>
      </c>
      <c r="D533" s="880">
        <v>39</v>
      </c>
      <c r="E533" s="874">
        <v>41.416666666666671</v>
      </c>
      <c r="F533" s="874">
        <v>58.983500000000006</v>
      </c>
      <c r="G533" s="875">
        <v>63.667500000000004</v>
      </c>
      <c r="H533" s="550"/>
      <c r="L533" s="206"/>
    </row>
    <row r="534" spans="1:12">
      <c r="A534" s="1066" t="s">
        <v>1028</v>
      </c>
      <c r="B534" s="1067"/>
      <c r="C534" s="1068"/>
      <c r="D534" s="889">
        <v>3085.8333333333339</v>
      </c>
      <c r="E534" s="882">
        <v>2846.8333333333335</v>
      </c>
      <c r="F534" s="882">
        <v>1957.464891666667</v>
      </c>
      <c r="G534" s="887">
        <v>1876.4183666666668</v>
      </c>
      <c r="H534" s="550"/>
      <c r="J534" s="683"/>
    </row>
    <row r="535" spans="1:12">
      <c r="A535" s="546" t="s">
        <v>10</v>
      </c>
      <c r="B535" s="541" t="s">
        <v>843</v>
      </c>
      <c r="C535" s="541" t="s">
        <v>773</v>
      </c>
      <c r="D535" s="880">
        <v>79.416666666666671</v>
      </c>
      <c r="E535" s="874">
        <v>53.416666666666664</v>
      </c>
      <c r="F535" s="874">
        <v>14.658500000000002</v>
      </c>
      <c r="G535" s="875">
        <v>8.6944999999999997</v>
      </c>
      <c r="H535" s="550"/>
      <c r="J535" s="683"/>
    </row>
    <row r="536" spans="1:12">
      <c r="A536" s="547" t="s">
        <v>10</v>
      </c>
      <c r="B536" s="541" t="s">
        <v>1373</v>
      </c>
      <c r="C536" s="541" t="s">
        <v>714</v>
      </c>
      <c r="D536" s="880">
        <v>198.83333333333331</v>
      </c>
      <c r="E536" s="874">
        <v>197.33333333333334</v>
      </c>
      <c r="F536" s="874">
        <v>207.18299999999999</v>
      </c>
      <c r="G536" s="875">
        <v>205.28950000000003</v>
      </c>
      <c r="H536" s="550"/>
      <c r="J536" s="683"/>
    </row>
    <row r="537" spans="1:12">
      <c r="A537" s="547" t="s">
        <v>10</v>
      </c>
      <c r="B537" s="541" t="s">
        <v>1373</v>
      </c>
      <c r="C537" s="541" t="s">
        <v>496</v>
      </c>
      <c r="D537" s="880">
        <v>660.74999999999989</v>
      </c>
      <c r="E537" s="874">
        <v>413.74999999999994</v>
      </c>
      <c r="F537" s="874">
        <v>687.0843583333334</v>
      </c>
      <c r="G537" s="875">
        <v>429.93740000000003</v>
      </c>
      <c r="H537" s="550"/>
      <c r="J537" s="683"/>
    </row>
    <row r="538" spans="1:12">
      <c r="A538" s="547" t="s">
        <v>10</v>
      </c>
      <c r="B538" s="541" t="s">
        <v>1373</v>
      </c>
      <c r="C538" s="541" t="s">
        <v>1280</v>
      </c>
      <c r="D538" s="880">
        <v>60.249999999999993</v>
      </c>
      <c r="E538" s="874">
        <v>60.833333333333329</v>
      </c>
      <c r="F538" s="874">
        <v>62.970000000000013</v>
      </c>
      <c r="G538" s="875">
        <v>62.97</v>
      </c>
      <c r="H538" s="550"/>
      <c r="J538" s="683"/>
    </row>
    <row r="539" spans="1:12">
      <c r="A539" s="547" t="s">
        <v>10</v>
      </c>
      <c r="B539" s="541" t="s">
        <v>1373</v>
      </c>
      <c r="C539" s="541" t="s">
        <v>463</v>
      </c>
      <c r="D539" s="880">
        <v>632.08333333333337</v>
      </c>
      <c r="E539" s="874">
        <v>588.75</v>
      </c>
      <c r="F539" s="874">
        <v>657.25237499999992</v>
      </c>
      <c r="G539" s="875">
        <v>611.92488333333324</v>
      </c>
      <c r="H539" s="550"/>
      <c r="J539" s="683"/>
    </row>
    <row r="540" spans="1:12">
      <c r="A540" s="547" t="s">
        <v>10</v>
      </c>
      <c r="B540" s="541" t="s">
        <v>1373</v>
      </c>
      <c r="C540" s="541" t="s">
        <v>715</v>
      </c>
      <c r="D540" s="880">
        <v>849.66666666666663</v>
      </c>
      <c r="E540" s="874">
        <v>681.66666666666674</v>
      </c>
      <c r="F540" s="874">
        <v>883.57380833333355</v>
      </c>
      <c r="G540" s="875">
        <v>708.53039166666679</v>
      </c>
      <c r="H540" s="550"/>
      <c r="J540" s="683"/>
    </row>
    <row r="541" spans="1:12">
      <c r="A541" s="547" t="s">
        <v>10</v>
      </c>
      <c r="B541" s="541" t="s">
        <v>1373</v>
      </c>
      <c r="C541" s="541" t="s">
        <v>878</v>
      </c>
      <c r="D541" s="880">
        <v>422.16666666666663</v>
      </c>
      <c r="E541" s="874">
        <v>299.25</v>
      </c>
      <c r="F541" s="874">
        <v>439.34090833333335</v>
      </c>
      <c r="G541" s="875">
        <v>311.06840000000005</v>
      </c>
      <c r="H541" s="550"/>
      <c r="J541" s="683"/>
    </row>
    <row r="542" spans="1:12">
      <c r="A542" s="547" t="s">
        <v>10</v>
      </c>
      <c r="B542" s="541" t="s">
        <v>1373</v>
      </c>
      <c r="C542" s="541" t="s">
        <v>774</v>
      </c>
      <c r="D542" s="880">
        <v>470.25</v>
      </c>
      <c r="E542" s="874">
        <v>426.83333333333337</v>
      </c>
      <c r="F542" s="874">
        <v>489.10640000000001</v>
      </c>
      <c r="G542" s="875">
        <v>444.04090000000002</v>
      </c>
      <c r="H542" s="550"/>
      <c r="J542" s="683"/>
    </row>
    <row r="543" spans="1:12">
      <c r="A543" s="547" t="s">
        <v>10</v>
      </c>
      <c r="B543" s="541" t="s">
        <v>1373</v>
      </c>
      <c r="C543" s="541" t="s">
        <v>716</v>
      </c>
      <c r="D543" s="880">
        <v>389.58333333333337</v>
      </c>
      <c r="E543" s="874">
        <v>411.83333333333331</v>
      </c>
      <c r="F543" s="874">
        <v>405.34989999999993</v>
      </c>
      <c r="G543" s="875">
        <v>427.6189</v>
      </c>
      <c r="H543" s="550"/>
      <c r="J543" s="683"/>
    </row>
    <row r="544" spans="1:12">
      <c r="A544" s="547" t="s">
        <v>10</v>
      </c>
      <c r="B544" s="541" t="s">
        <v>862</v>
      </c>
      <c r="C544" s="541" t="s">
        <v>722</v>
      </c>
      <c r="D544" s="880">
        <v>17.416666666666668</v>
      </c>
      <c r="E544" s="874">
        <v>10.583333333333334</v>
      </c>
      <c r="F544" s="874">
        <v>13.9635</v>
      </c>
      <c r="G544" s="875">
        <v>3.4935</v>
      </c>
      <c r="H544" s="550"/>
      <c r="J544" s="683"/>
    </row>
    <row r="545" spans="1:10">
      <c r="A545" s="547" t="s">
        <v>10</v>
      </c>
      <c r="B545" s="541" t="s">
        <v>1282</v>
      </c>
      <c r="C545" s="541" t="s">
        <v>525</v>
      </c>
      <c r="D545" s="880">
        <v>0.5</v>
      </c>
      <c r="E545" s="874">
        <v>0</v>
      </c>
      <c r="F545" s="874">
        <v>0.17500000000000002</v>
      </c>
      <c r="G545" s="875">
        <v>0</v>
      </c>
      <c r="H545" s="550"/>
      <c r="J545" s="683"/>
    </row>
    <row r="546" spans="1:10">
      <c r="A546" s="547" t="s">
        <v>10</v>
      </c>
      <c r="B546" s="541" t="s">
        <v>59</v>
      </c>
      <c r="C546" s="541" t="s">
        <v>717</v>
      </c>
      <c r="D546" s="880">
        <v>4.0833333333333339</v>
      </c>
      <c r="E546" s="874">
        <v>4.0833333333333339</v>
      </c>
      <c r="F546" s="874">
        <v>1.4624999999999997</v>
      </c>
      <c r="G546" s="875">
        <v>1.4490000000000001</v>
      </c>
      <c r="H546" s="550"/>
      <c r="J546" s="683"/>
    </row>
    <row r="547" spans="1:10">
      <c r="A547" s="547" t="s">
        <v>10</v>
      </c>
      <c r="B547" s="541" t="s">
        <v>1283</v>
      </c>
      <c r="C547" s="541" t="s">
        <v>492</v>
      </c>
      <c r="D547" s="880">
        <v>630.5</v>
      </c>
      <c r="E547" s="874">
        <v>1239.5</v>
      </c>
      <c r="F547" s="874">
        <v>519.96589999999992</v>
      </c>
      <c r="G547" s="875">
        <v>1066.7307999999998</v>
      </c>
      <c r="H547" s="550"/>
      <c r="J547" s="683"/>
    </row>
    <row r="548" spans="1:10">
      <c r="A548" s="547" t="s">
        <v>10</v>
      </c>
      <c r="B548" s="541" t="s">
        <v>718</v>
      </c>
      <c r="C548" s="541" t="s">
        <v>719</v>
      </c>
      <c r="D548" s="880">
        <v>0.5</v>
      </c>
      <c r="E548" s="874">
        <v>29.333333333333336</v>
      </c>
      <c r="F548" s="874">
        <v>4.4999999999999998E-2</v>
      </c>
      <c r="G548" s="875">
        <v>19.264000000000003</v>
      </c>
      <c r="H548" s="550"/>
      <c r="J548" s="683"/>
    </row>
    <row r="549" spans="1:10">
      <c r="A549" s="547" t="s">
        <v>10</v>
      </c>
      <c r="B549" s="541" t="s">
        <v>315</v>
      </c>
      <c r="C549" s="541" t="s">
        <v>721</v>
      </c>
      <c r="D549" s="880">
        <v>269.58333333333337</v>
      </c>
      <c r="E549" s="874">
        <v>266.66666666666669</v>
      </c>
      <c r="F549" s="874">
        <v>590.99490000000014</v>
      </c>
      <c r="G549" s="875">
        <v>555.93089999999995</v>
      </c>
      <c r="H549" s="550"/>
      <c r="J549" s="683"/>
    </row>
    <row r="550" spans="1:10">
      <c r="A550" s="547" t="s">
        <v>10</v>
      </c>
      <c r="B550" s="541" t="s">
        <v>879</v>
      </c>
      <c r="C550" s="541" t="s">
        <v>720</v>
      </c>
      <c r="D550" s="880">
        <v>25</v>
      </c>
      <c r="E550" s="874">
        <v>56.083333333333329</v>
      </c>
      <c r="F550" s="874">
        <v>10.308</v>
      </c>
      <c r="G550" s="875">
        <v>50.314999999999991</v>
      </c>
      <c r="H550" s="550"/>
      <c r="J550" s="683"/>
    </row>
    <row r="551" spans="1:10">
      <c r="A551" s="547" t="s">
        <v>10</v>
      </c>
      <c r="B551" s="541" t="s">
        <v>60</v>
      </c>
      <c r="C551" s="541" t="s">
        <v>723</v>
      </c>
      <c r="D551" s="880">
        <v>3.5833333333333335</v>
      </c>
      <c r="E551" s="874">
        <v>29.25</v>
      </c>
      <c r="F551" s="874">
        <v>3.0505</v>
      </c>
      <c r="G551" s="875">
        <v>25.265000000000001</v>
      </c>
      <c r="H551" s="550"/>
      <c r="J551" s="683"/>
    </row>
    <row r="552" spans="1:10">
      <c r="A552" s="547" t="s">
        <v>10</v>
      </c>
      <c r="B552" s="541" t="s">
        <v>61</v>
      </c>
      <c r="C552" s="541" t="s">
        <v>724</v>
      </c>
      <c r="D552" s="880">
        <v>1412.8333333333337</v>
      </c>
      <c r="E552" s="874">
        <v>1365.75</v>
      </c>
      <c r="F552" s="874">
        <v>1363.0076999999997</v>
      </c>
      <c r="G552" s="875">
        <v>1608.6121833333332</v>
      </c>
      <c r="H552" s="550"/>
      <c r="J552" s="683"/>
    </row>
    <row r="553" spans="1:10">
      <c r="A553" s="547" t="s">
        <v>10</v>
      </c>
      <c r="B553" s="541" t="s">
        <v>1372</v>
      </c>
      <c r="C553" s="541" t="s">
        <v>731</v>
      </c>
      <c r="D553" s="880">
        <v>11.583333333333336</v>
      </c>
      <c r="E553" s="874">
        <v>3.8333333333333335</v>
      </c>
      <c r="F553" s="874">
        <v>3.012</v>
      </c>
      <c r="G553" s="875">
        <v>3.08</v>
      </c>
      <c r="H553" s="550"/>
      <c r="J553" s="683"/>
    </row>
    <row r="554" spans="1:10">
      <c r="A554" s="547" t="s">
        <v>10</v>
      </c>
      <c r="B554" s="541" t="s">
        <v>178</v>
      </c>
      <c r="C554" s="541" t="s">
        <v>725</v>
      </c>
      <c r="D554" s="880">
        <v>25.583333333333336</v>
      </c>
      <c r="E554" s="874">
        <v>33.500000000000007</v>
      </c>
      <c r="F554" s="874">
        <v>18.073</v>
      </c>
      <c r="G554" s="875">
        <v>30.939000000000007</v>
      </c>
      <c r="H554" s="550"/>
      <c r="J554" s="683"/>
    </row>
    <row r="555" spans="1:10">
      <c r="A555" s="547" t="s">
        <v>10</v>
      </c>
      <c r="B555" s="541" t="s">
        <v>178</v>
      </c>
      <c r="C555" s="541" t="s">
        <v>726</v>
      </c>
      <c r="D555" s="880">
        <v>10.500000000000002</v>
      </c>
      <c r="E555" s="874">
        <v>10.08333333333333</v>
      </c>
      <c r="F555" s="874">
        <v>2.698</v>
      </c>
      <c r="G555" s="875">
        <v>1.6504999999999996</v>
      </c>
      <c r="H555" s="550"/>
      <c r="J555" s="683"/>
    </row>
    <row r="556" spans="1:10">
      <c r="A556" s="547" t="s">
        <v>10</v>
      </c>
      <c r="B556" s="541" t="s">
        <v>178</v>
      </c>
      <c r="C556" s="541" t="s">
        <v>727</v>
      </c>
      <c r="D556" s="880">
        <v>6.8333333333333339</v>
      </c>
      <c r="E556" s="874">
        <v>6.1666666666666661</v>
      </c>
      <c r="F556" s="874">
        <v>1.4225000000000003</v>
      </c>
      <c r="G556" s="875">
        <v>1.5129999999999999</v>
      </c>
      <c r="H556" s="550"/>
      <c r="J556" s="683"/>
    </row>
    <row r="557" spans="1:10">
      <c r="A557" s="547" t="s">
        <v>10</v>
      </c>
      <c r="B557" s="541" t="s">
        <v>411</v>
      </c>
      <c r="C557" s="541" t="s">
        <v>773</v>
      </c>
      <c r="D557" s="880">
        <v>0</v>
      </c>
      <c r="E557" s="874">
        <v>3.7500000000000004</v>
      </c>
      <c r="F557" s="874">
        <v>0</v>
      </c>
      <c r="G557" s="875">
        <v>4.3885000000000005</v>
      </c>
      <c r="H557" s="550"/>
      <c r="J557" s="683"/>
    </row>
    <row r="558" spans="1:10">
      <c r="A558" s="547" t="s">
        <v>10</v>
      </c>
      <c r="B558" s="541" t="s">
        <v>62</v>
      </c>
      <c r="C558" s="541" t="s">
        <v>728</v>
      </c>
      <c r="D558" s="880">
        <v>169</v>
      </c>
      <c r="E558" s="874">
        <v>213.08333333333334</v>
      </c>
      <c r="F558" s="874">
        <v>140.10650000000001</v>
      </c>
      <c r="G558" s="875">
        <v>177.18550000000002</v>
      </c>
      <c r="H558" s="550"/>
      <c r="J558" s="683"/>
    </row>
    <row r="559" spans="1:10">
      <c r="A559" s="547" t="s">
        <v>10</v>
      </c>
      <c r="B559" s="541" t="s">
        <v>729</v>
      </c>
      <c r="C559" s="541" t="s">
        <v>730</v>
      </c>
      <c r="D559" s="880">
        <v>156.75</v>
      </c>
      <c r="E559" s="874">
        <v>44.416666666666664</v>
      </c>
      <c r="F559" s="874">
        <v>343.14895000000007</v>
      </c>
      <c r="G559" s="875">
        <v>65.099999999999994</v>
      </c>
      <c r="H559" s="550"/>
      <c r="J559" s="683"/>
    </row>
    <row r="560" spans="1:10">
      <c r="A560" s="547" t="s">
        <v>10</v>
      </c>
      <c r="B560" s="541" t="s">
        <v>179</v>
      </c>
      <c r="C560" s="541" t="s">
        <v>732</v>
      </c>
      <c r="D560" s="880">
        <v>168.16666666666663</v>
      </c>
      <c r="E560" s="874">
        <v>281.08333333333331</v>
      </c>
      <c r="F560" s="874">
        <v>109.96600000000001</v>
      </c>
      <c r="G560" s="875">
        <v>200.73</v>
      </c>
      <c r="H560" s="550"/>
      <c r="J560" s="683"/>
    </row>
    <row r="561" spans="1:12">
      <c r="A561" s="547" t="s">
        <v>10</v>
      </c>
      <c r="B561" s="541" t="s">
        <v>179</v>
      </c>
      <c r="C561" s="541" t="s">
        <v>504</v>
      </c>
      <c r="D561" s="880">
        <v>602.08333333333326</v>
      </c>
      <c r="E561" s="874">
        <v>604.41666666666674</v>
      </c>
      <c r="F561" s="874">
        <v>530.12239999999997</v>
      </c>
      <c r="G561" s="875">
        <v>524.53989999999999</v>
      </c>
      <c r="H561" s="550"/>
      <c r="J561" s="683"/>
    </row>
    <row r="562" spans="1:12" s="683" customFormat="1">
      <c r="A562" s="547" t="s">
        <v>10</v>
      </c>
      <c r="B562" s="541" t="s">
        <v>180</v>
      </c>
      <c r="C562" s="541" t="s">
        <v>1281</v>
      </c>
      <c r="D562" s="880">
        <v>4.6666666666666661</v>
      </c>
      <c r="E562" s="874">
        <v>6.083333333333333</v>
      </c>
      <c r="F562" s="874">
        <v>1.1760000000000002</v>
      </c>
      <c r="G562" s="875">
        <v>1.282</v>
      </c>
      <c r="H562" s="550"/>
      <c r="L562" s="206"/>
    </row>
    <row r="563" spans="1:12" s="683" customFormat="1">
      <c r="A563" s="547" t="s">
        <v>10</v>
      </c>
      <c r="B563" s="541" t="s">
        <v>180</v>
      </c>
      <c r="C563" s="541" t="s">
        <v>496</v>
      </c>
      <c r="D563" s="880">
        <v>2.5</v>
      </c>
      <c r="E563" s="874">
        <v>3.3333333333333335</v>
      </c>
      <c r="F563" s="874">
        <v>1.016</v>
      </c>
      <c r="G563" s="875">
        <v>1.1040000000000001</v>
      </c>
      <c r="H563" s="550"/>
      <c r="L563" s="206"/>
    </row>
    <row r="564" spans="1:12">
      <c r="A564" s="1066" t="s">
        <v>996</v>
      </c>
      <c r="B564" s="1067"/>
      <c r="C564" s="1068"/>
      <c r="D564" s="899">
        <v>7284.6666666666661</v>
      </c>
      <c r="E564" s="900">
        <v>7344.6666666666661</v>
      </c>
      <c r="F564" s="900">
        <v>7500.2336000000014</v>
      </c>
      <c r="G564" s="902">
        <v>7552.6476583333333</v>
      </c>
      <c r="H564" s="550"/>
    </row>
    <row r="565" spans="1:12" s="683" customFormat="1">
      <c r="A565" s="546" t="s">
        <v>48</v>
      </c>
      <c r="B565" s="541" t="s">
        <v>411</v>
      </c>
      <c r="C565" s="541" t="s">
        <v>525</v>
      </c>
      <c r="D565" s="903">
        <v>0</v>
      </c>
      <c r="E565" s="904">
        <v>0.66666666666666674</v>
      </c>
      <c r="F565" s="904">
        <v>0</v>
      </c>
      <c r="G565" s="905">
        <v>0.56350000000000011</v>
      </c>
      <c r="H565" s="550"/>
      <c r="L565" s="206"/>
    </row>
    <row r="566" spans="1:12">
      <c r="A566" s="548" t="s">
        <v>48</v>
      </c>
      <c r="B566" s="541" t="s">
        <v>757</v>
      </c>
      <c r="C566" s="541" t="s">
        <v>758</v>
      </c>
      <c r="D566" s="880">
        <v>68.166666666666671</v>
      </c>
      <c r="E566" s="874">
        <v>70.5</v>
      </c>
      <c r="F566" s="874">
        <v>20.952000000000002</v>
      </c>
      <c r="G566" s="875">
        <v>18.163</v>
      </c>
      <c r="H566" s="550"/>
      <c r="J566" s="683"/>
    </row>
    <row r="567" spans="1:12">
      <c r="A567" s="1066" t="s">
        <v>997</v>
      </c>
      <c r="B567" s="1067"/>
      <c r="C567" s="1068"/>
      <c r="D567" s="899">
        <v>68.166666666666671</v>
      </c>
      <c r="E567" s="900">
        <v>71.166666666666671</v>
      </c>
      <c r="F567" s="900">
        <v>20.952000000000002</v>
      </c>
      <c r="G567" s="902">
        <v>18.726500000000001</v>
      </c>
      <c r="H567" s="550"/>
      <c r="J567" s="683"/>
    </row>
    <row r="568" spans="1:12" s="683" customFormat="1">
      <c r="A568" s="547" t="s">
        <v>1284</v>
      </c>
      <c r="B568" s="541" t="s">
        <v>1263</v>
      </c>
      <c r="C568" s="541" t="s">
        <v>674</v>
      </c>
      <c r="D568" s="880">
        <v>0</v>
      </c>
      <c r="E568" s="874">
        <v>6.9166666666666661</v>
      </c>
      <c r="F568" s="874">
        <v>0</v>
      </c>
      <c r="G568" s="875">
        <v>7.3179999999999996</v>
      </c>
      <c r="H568" s="550"/>
      <c r="I568" s="206"/>
      <c r="L568" s="206"/>
    </row>
    <row r="569" spans="1:12" s="683" customFormat="1">
      <c r="A569" s="1066" t="s">
        <v>1284</v>
      </c>
      <c r="B569" s="1067"/>
      <c r="C569" s="1068"/>
      <c r="D569" s="899">
        <v>0</v>
      </c>
      <c r="E569" s="900">
        <v>6.9166666666666661</v>
      </c>
      <c r="F569" s="900">
        <v>0</v>
      </c>
      <c r="G569" s="902">
        <v>7.3179999999999996</v>
      </c>
      <c r="H569" s="550"/>
      <c r="L569" s="206"/>
    </row>
    <row r="570" spans="1:12">
      <c r="A570" s="549" t="s">
        <v>74</v>
      </c>
      <c r="B570" s="541" t="s">
        <v>317</v>
      </c>
      <c r="C570" s="541" t="s">
        <v>486</v>
      </c>
      <c r="D570" s="880">
        <v>137.08333333333334</v>
      </c>
      <c r="E570" s="874">
        <v>143.91666666666669</v>
      </c>
      <c r="F570" s="874">
        <v>114.4135</v>
      </c>
      <c r="G570" s="875">
        <v>123.669</v>
      </c>
      <c r="H570" s="550"/>
      <c r="J570" s="683"/>
    </row>
    <row r="571" spans="1:12">
      <c r="A571" s="1066" t="s">
        <v>998</v>
      </c>
      <c r="B571" s="1067"/>
      <c r="C571" s="1068"/>
      <c r="D571" s="899">
        <v>137.08333333333334</v>
      </c>
      <c r="E571" s="900">
        <v>143.91666666666669</v>
      </c>
      <c r="F571" s="900">
        <v>114.4135</v>
      </c>
      <c r="G571" s="902">
        <v>123.669</v>
      </c>
      <c r="H571" s="550"/>
      <c r="J571" s="683"/>
    </row>
    <row r="572" spans="1:12">
      <c r="A572" s="546" t="s">
        <v>318</v>
      </c>
      <c r="B572" s="541" t="s">
        <v>896</v>
      </c>
      <c r="C572" s="541" t="s">
        <v>897</v>
      </c>
      <c r="D572" s="880">
        <v>4.0833333333333321</v>
      </c>
      <c r="E572" s="874">
        <v>0.16666666666666666</v>
      </c>
      <c r="F572" s="874">
        <v>5.8330000000000002</v>
      </c>
      <c r="G572" s="875">
        <v>4.7999999999999994E-2</v>
      </c>
      <c r="H572" s="550"/>
      <c r="J572" s="683"/>
    </row>
    <row r="573" spans="1:12">
      <c r="A573" s="547" t="s">
        <v>318</v>
      </c>
      <c r="B573" s="541" t="s">
        <v>898</v>
      </c>
      <c r="C573" s="541" t="s">
        <v>899</v>
      </c>
      <c r="D573" s="880">
        <v>34.166666666666671</v>
      </c>
      <c r="E573" s="874">
        <v>130.83333333333334</v>
      </c>
      <c r="F573" s="874">
        <v>69.658000000000001</v>
      </c>
      <c r="G573" s="875">
        <v>268.17844166666669</v>
      </c>
      <c r="H573" s="550"/>
      <c r="J573" s="683"/>
    </row>
    <row r="574" spans="1:12">
      <c r="A574" s="548" t="s">
        <v>318</v>
      </c>
      <c r="B574" s="541" t="s">
        <v>900</v>
      </c>
      <c r="C574" s="541" t="s">
        <v>613</v>
      </c>
      <c r="D574" s="880">
        <v>84.166666666666671</v>
      </c>
      <c r="E574" s="874">
        <v>259.91666666666663</v>
      </c>
      <c r="F574" s="874">
        <v>107.83100000000002</v>
      </c>
      <c r="G574" s="875">
        <v>419.4114166666667</v>
      </c>
      <c r="H574" s="550"/>
      <c r="J574" s="683"/>
    </row>
    <row r="575" spans="1:12">
      <c r="A575" s="1066" t="s">
        <v>999</v>
      </c>
      <c r="B575" s="1067"/>
      <c r="C575" s="1068"/>
      <c r="D575" s="899">
        <v>122.41666666666667</v>
      </c>
      <c r="E575" s="900">
        <v>390.91666666666663</v>
      </c>
      <c r="F575" s="900">
        <v>183.322</v>
      </c>
      <c r="G575" s="902">
        <v>687.63785833333338</v>
      </c>
      <c r="H575" s="550"/>
      <c r="J575" s="683"/>
    </row>
    <row r="576" spans="1:12">
      <c r="A576" s="547" t="s">
        <v>75</v>
      </c>
      <c r="B576" s="541" t="s">
        <v>1371</v>
      </c>
      <c r="C576" s="541" t="s">
        <v>525</v>
      </c>
      <c r="D576" s="880">
        <v>0</v>
      </c>
      <c r="E576" s="874">
        <v>3.9166666666666665</v>
      </c>
      <c r="F576" s="874">
        <v>0</v>
      </c>
      <c r="G576" s="875">
        <v>2.0880000000000001</v>
      </c>
      <c r="H576" s="550"/>
      <c r="J576" s="683"/>
    </row>
    <row r="577" spans="1:12" s="683" customFormat="1">
      <c r="A577" s="547" t="s">
        <v>75</v>
      </c>
      <c r="B577" s="541" t="s">
        <v>319</v>
      </c>
      <c r="C577" s="541" t="s">
        <v>733</v>
      </c>
      <c r="D577" s="880">
        <v>220.33333333333334</v>
      </c>
      <c r="E577" s="874">
        <v>212.41666666666669</v>
      </c>
      <c r="F577" s="874">
        <v>145.58700000000002</v>
      </c>
      <c r="G577" s="875">
        <v>130.36600000000001</v>
      </c>
      <c r="H577" s="550"/>
      <c r="L577" s="206"/>
    </row>
    <row r="578" spans="1:12">
      <c r="A578" s="548" t="s">
        <v>75</v>
      </c>
      <c r="B578" s="541" t="s">
        <v>734</v>
      </c>
      <c r="C578" s="541" t="s">
        <v>735</v>
      </c>
      <c r="D578" s="880">
        <v>42</v>
      </c>
      <c r="E578" s="874">
        <v>18.5</v>
      </c>
      <c r="F578" s="874">
        <v>82.911000000000001</v>
      </c>
      <c r="G578" s="875">
        <v>37.497</v>
      </c>
      <c r="H578" s="550"/>
      <c r="J578" s="683"/>
    </row>
    <row r="579" spans="1:12">
      <c r="A579" s="1066" t="s">
        <v>1000</v>
      </c>
      <c r="B579" s="1067"/>
      <c r="C579" s="1068"/>
      <c r="D579" s="899">
        <v>262.33333333333337</v>
      </c>
      <c r="E579" s="900">
        <v>234.83333333333334</v>
      </c>
      <c r="F579" s="900">
        <v>228.49800000000002</v>
      </c>
      <c r="G579" s="902">
        <v>169.95100000000002</v>
      </c>
      <c r="H579" s="550"/>
      <c r="J579" s="683"/>
    </row>
    <row r="580" spans="1:12">
      <c r="A580" s="546" t="s">
        <v>63</v>
      </c>
      <c r="B580" s="541" t="s">
        <v>1001</v>
      </c>
      <c r="C580" s="541" t="s">
        <v>526</v>
      </c>
      <c r="D580" s="880">
        <v>3.4999999999999996</v>
      </c>
      <c r="E580" s="874">
        <v>18.25</v>
      </c>
      <c r="F580" s="874">
        <v>3.5579999999999994</v>
      </c>
      <c r="G580" s="875">
        <v>31.861500000000003</v>
      </c>
      <c r="H580" s="550"/>
      <c r="J580" s="683"/>
    </row>
    <row r="581" spans="1:12">
      <c r="A581" s="547" t="s">
        <v>63</v>
      </c>
      <c r="B581" s="541" t="s">
        <v>320</v>
      </c>
      <c r="C581" s="541" t="s">
        <v>736</v>
      </c>
      <c r="D581" s="880">
        <v>217.16666666666669</v>
      </c>
      <c r="E581" s="874">
        <v>228.58333333333331</v>
      </c>
      <c r="F581" s="874">
        <v>131.32149999999999</v>
      </c>
      <c r="G581" s="875">
        <v>124.3455</v>
      </c>
      <c r="H581" s="550"/>
      <c r="J581" s="683"/>
    </row>
    <row r="582" spans="1:12">
      <c r="A582" s="547" t="s">
        <v>63</v>
      </c>
      <c r="B582" s="541" t="s">
        <v>320</v>
      </c>
      <c r="C582" s="541" t="s">
        <v>1285</v>
      </c>
      <c r="D582" s="880">
        <v>189.91666666666666</v>
      </c>
      <c r="E582" s="874">
        <v>137.75</v>
      </c>
      <c r="F582" s="874">
        <v>133.51999999999998</v>
      </c>
      <c r="G582" s="875">
        <v>104.19449999999999</v>
      </c>
      <c r="H582" s="550"/>
      <c r="J582" s="683"/>
    </row>
    <row r="583" spans="1:12">
      <c r="A583" s="547" t="s">
        <v>63</v>
      </c>
      <c r="B583" s="541" t="s">
        <v>320</v>
      </c>
      <c r="C583" s="541" t="s">
        <v>737</v>
      </c>
      <c r="D583" s="880">
        <v>243.41666666666669</v>
      </c>
      <c r="E583" s="874">
        <v>207.5</v>
      </c>
      <c r="F583" s="874">
        <v>178.02799166666665</v>
      </c>
      <c r="G583" s="875">
        <v>161.44149166666665</v>
      </c>
      <c r="H583" s="550"/>
      <c r="J583" s="683"/>
    </row>
    <row r="584" spans="1:12">
      <c r="A584" s="547" t="s">
        <v>63</v>
      </c>
      <c r="B584" s="541" t="s">
        <v>321</v>
      </c>
      <c r="C584" s="541" t="s">
        <v>738</v>
      </c>
      <c r="D584" s="880">
        <v>219</v>
      </c>
      <c r="E584" s="874">
        <v>195.16666666666663</v>
      </c>
      <c r="F584" s="874">
        <v>120.6065</v>
      </c>
      <c r="G584" s="875">
        <v>118.20500000000001</v>
      </c>
      <c r="H584" s="550"/>
      <c r="J584" s="683"/>
    </row>
    <row r="585" spans="1:12">
      <c r="A585" s="547" t="s">
        <v>63</v>
      </c>
      <c r="B585" s="541" t="s">
        <v>322</v>
      </c>
      <c r="C585" s="541" t="s">
        <v>739</v>
      </c>
      <c r="D585" s="880">
        <v>70.333333333333343</v>
      </c>
      <c r="E585" s="874">
        <v>71.833333333333329</v>
      </c>
      <c r="F585" s="874">
        <v>67.574499999999986</v>
      </c>
      <c r="G585" s="875">
        <v>72.567499999999995</v>
      </c>
      <c r="H585" s="550"/>
      <c r="J585" s="683"/>
    </row>
    <row r="586" spans="1:12">
      <c r="A586" s="547" t="s">
        <v>63</v>
      </c>
      <c r="B586" s="541" t="s">
        <v>323</v>
      </c>
      <c r="C586" s="541" t="s">
        <v>740</v>
      </c>
      <c r="D586" s="880">
        <v>20.75</v>
      </c>
      <c r="E586" s="874">
        <v>18.333333333333332</v>
      </c>
      <c r="F586" s="874">
        <v>10.570500000000001</v>
      </c>
      <c r="G586" s="875">
        <v>9.4294999999999991</v>
      </c>
      <c r="H586" s="550"/>
      <c r="J586" s="683"/>
    </row>
    <row r="587" spans="1:12">
      <c r="A587" s="547" t="s">
        <v>63</v>
      </c>
      <c r="B587" s="541" t="s">
        <v>64</v>
      </c>
      <c r="C587" s="541" t="s">
        <v>741</v>
      </c>
      <c r="D587" s="880">
        <v>0.75</v>
      </c>
      <c r="E587" s="874">
        <v>0.91666666666666674</v>
      </c>
      <c r="F587" s="874">
        <v>6.0499999999999998E-2</v>
      </c>
      <c r="G587" s="875">
        <v>0.113</v>
      </c>
      <c r="H587" s="550"/>
      <c r="J587" s="683"/>
    </row>
    <row r="588" spans="1:12">
      <c r="A588" s="1066" t="s">
        <v>1002</v>
      </c>
      <c r="B588" s="1067"/>
      <c r="C588" s="1068"/>
      <c r="D588" s="906">
        <v>964.83333333333337</v>
      </c>
      <c r="E588" s="900">
        <v>878.33333333333326</v>
      </c>
      <c r="F588" s="900">
        <v>645.23949166666671</v>
      </c>
      <c r="G588" s="901">
        <v>622.1579916666667</v>
      </c>
      <c r="H588" s="550"/>
      <c r="J588" s="683"/>
    </row>
    <row r="589" spans="1:12">
      <c r="A589" s="547" t="s">
        <v>844</v>
      </c>
      <c r="B589" s="541" t="s">
        <v>324</v>
      </c>
      <c r="C589" s="541" t="s">
        <v>549</v>
      </c>
      <c r="D589" s="880">
        <v>38.333333333333329</v>
      </c>
      <c r="E589" s="874">
        <v>30.166666666666668</v>
      </c>
      <c r="F589" s="874">
        <v>14.982000000000001</v>
      </c>
      <c r="G589" s="875">
        <v>13.151500000000002</v>
      </c>
      <c r="H589" s="550"/>
      <c r="J589" s="683"/>
    </row>
    <row r="590" spans="1:12">
      <c r="A590" s="547" t="s">
        <v>844</v>
      </c>
      <c r="B590" s="541" t="s">
        <v>287</v>
      </c>
      <c r="C590" s="541" t="s">
        <v>845</v>
      </c>
      <c r="D590" s="880">
        <v>318.91666666666669</v>
      </c>
      <c r="E590" s="874">
        <v>254.5</v>
      </c>
      <c r="F590" s="874">
        <v>36.966000000000008</v>
      </c>
      <c r="G590" s="875">
        <v>40.160499999999999</v>
      </c>
      <c r="H590" s="550"/>
      <c r="J590" s="683"/>
    </row>
    <row r="591" spans="1:12">
      <c r="A591" s="547" t="s">
        <v>844</v>
      </c>
      <c r="B591" s="541" t="s">
        <v>325</v>
      </c>
      <c r="C591" s="541" t="s">
        <v>742</v>
      </c>
      <c r="D591" s="880">
        <v>21.916666666666668</v>
      </c>
      <c r="E591" s="874">
        <v>18.166666666666664</v>
      </c>
      <c r="F591" s="874">
        <v>26.055499999999999</v>
      </c>
      <c r="G591" s="875">
        <v>18.130499999999998</v>
      </c>
      <c r="H591" s="550"/>
      <c r="J591" s="683"/>
    </row>
    <row r="592" spans="1:12">
      <c r="A592" s="547" t="s">
        <v>844</v>
      </c>
      <c r="B592" s="541" t="s">
        <v>326</v>
      </c>
      <c r="C592" s="541" t="s">
        <v>742</v>
      </c>
      <c r="D592" s="880">
        <v>133.58333333333331</v>
      </c>
      <c r="E592" s="874">
        <v>129</v>
      </c>
      <c r="F592" s="874">
        <v>182.89550000000003</v>
      </c>
      <c r="G592" s="875">
        <v>171.55799999999999</v>
      </c>
      <c r="H592" s="550"/>
      <c r="J592" s="683"/>
    </row>
    <row r="593" spans="1:10">
      <c r="A593" s="547" t="s">
        <v>844</v>
      </c>
      <c r="B593" s="541" t="s">
        <v>326</v>
      </c>
      <c r="C593" s="541" t="s">
        <v>474</v>
      </c>
      <c r="D593" s="880">
        <v>34.250000000000007</v>
      </c>
      <c r="E593" s="874">
        <v>35.916666666666671</v>
      </c>
      <c r="F593" s="874">
        <v>12.9085</v>
      </c>
      <c r="G593" s="875">
        <v>12.5815</v>
      </c>
      <c r="H593" s="550"/>
      <c r="J593" s="683"/>
    </row>
    <row r="594" spans="1:10">
      <c r="A594" s="547" t="s">
        <v>844</v>
      </c>
      <c r="B594" s="541" t="s">
        <v>289</v>
      </c>
      <c r="C594" s="541" t="s">
        <v>470</v>
      </c>
      <c r="D594" s="880">
        <v>6.333333333333333</v>
      </c>
      <c r="E594" s="874">
        <v>7.4166666666666679</v>
      </c>
      <c r="F594" s="874">
        <v>1.3765000000000001</v>
      </c>
      <c r="G594" s="875">
        <v>1.8704999999999998</v>
      </c>
      <c r="H594" s="550"/>
      <c r="J594" s="683"/>
    </row>
    <row r="595" spans="1:10">
      <c r="A595" s="1066" t="s">
        <v>1003</v>
      </c>
      <c r="B595" s="1067"/>
      <c r="C595" s="1068"/>
      <c r="D595" s="899">
        <v>553.33333333333337</v>
      </c>
      <c r="E595" s="900">
        <v>475.16666666666674</v>
      </c>
      <c r="F595" s="900">
        <v>275.18400000000003</v>
      </c>
      <c r="G595" s="901">
        <v>257.45249999999999</v>
      </c>
      <c r="H595" s="550"/>
      <c r="J595" s="683"/>
    </row>
    <row r="596" spans="1:10">
      <c r="A596" s="547" t="s">
        <v>77</v>
      </c>
      <c r="B596" s="541" t="s">
        <v>327</v>
      </c>
      <c r="C596" s="541" t="s">
        <v>743</v>
      </c>
      <c r="D596" s="880">
        <v>6.2500000000000009</v>
      </c>
      <c r="E596" s="874">
        <v>9.4166666666666661</v>
      </c>
      <c r="F596" s="874">
        <v>1.4850000000000001</v>
      </c>
      <c r="G596" s="875">
        <v>1.5975000000000001</v>
      </c>
      <c r="H596" s="550"/>
      <c r="J596" s="683"/>
    </row>
    <row r="597" spans="1:10">
      <c r="A597" s="1066" t="s">
        <v>1004</v>
      </c>
      <c r="B597" s="1067"/>
      <c r="C597" s="1068"/>
      <c r="D597" s="899">
        <v>6.2500000000000009</v>
      </c>
      <c r="E597" s="900">
        <v>9.4166666666666661</v>
      </c>
      <c r="F597" s="900">
        <v>1.4850000000000001</v>
      </c>
      <c r="G597" s="901">
        <v>1.5975000000000001</v>
      </c>
      <c r="H597" s="550"/>
      <c r="J597" s="683"/>
    </row>
    <row r="598" spans="1:10">
      <c r="A598" s="547" t="s">
        <v>78</v>
      </c>
      <c r="B598" s="541" t="s">
        <v>328</v>
      </c>
      <c r="C598" s="541" t="s">
        <v>744</v>
      </c>
      <c r="D598" s="880">
        <v>53.583333333333329</v>
      </c>
      <c r="E598" s="874">
        <v>48.25</v>
      </c>
      <c r="F598" s="874">
        <v>21.553500000000003</v>
      </c>
      <c r="G598" s="875">
        <v>12.101000000000003</v>
      </c>
      <c r="H598" s="550"/>
      <c r="J598" s="683"/>
    </row>
    <row r="599" spans="1:10">
      <c r="A599" s="547" t="s">
        <v>78</v>
      </c>
      <c r="B599" s="541" t="s">
        <v>1286</v>
      </c>
      <c r="C599" s="541" t="s">
        <v>745</v>
      </c>
      <c r="D599" s="880">
        <v>11.333333333333332</v>
      </c>
      <c r="E599" s="874">
        <v>13.25</v>
      </c>
      <c r="F599" s="874">
        <v>7.9094999999999995</v>
      </c>
      <c r="G599" s="875">
        <v>7.6844999999999999</v>
      </c>
      <c r="H599" s="550"/>
      <c r="J599" s="683"/>
    </row>
    <row r="600" spans="1:10">
      <c r="A600" s="1066" t="s">
        <v>1005</v>
      </c>
      <c r="B600" s="1067"/>
      <c r="C600" s="1068"/>
      <c r="D600" s="906">
        <v>64.916666666666657</v>
      </c>
      <c r="E600" s="900">
        <v>61.5</v>
      </c>
      <c r="F600" s="900">
        <v>29.463000000000001</v>
      </c>
      <c r="G600" s="901">
        <v>19.785500000000003</v>
      </c>
      <c r="H600" s="550"/>
      <c r="J600" s="683"/>
    </row>
    <row r="601" spans="1:10">
      <c r="A601" s="546" t="s">
        <v>1008</v>
      </c>
      <c r="B601" s="541" t="s">
        <v>330</v>
      </c>
      <c r="C601" s="541" t="s">
        <v>331</v>
      </c>
      <c r="D601" s="880">
        <v>108.75</v>
      </c>
      <c r="E601" s="874">
        <v>127.41666666666666</v>
      </c>
      <c r="F601" s="874">
        <v>101.78999999999999</v>
      </c>
      <c r="G601" s="875">
        <v>103.6845</v>
      </c>
      <c r="H601" s="550"/>
      <c r="J601" s="683"/>
    </row>
    <row r="602" spans="1:10">
      <c r="A602" s="547" t="s">
        <v>1008</v>
      </c>
      <c r="B602" s="541" t="s">
        <v>316</v>
      </c>
      <c r="C602" s="541" t="s">
        <v>1369</v>
      </c>
      <c r="D602" s="880">
        <v>56.25</v>
      </c>
      <c r="E602" s="874">
        <v>58.416666666666664</v>
      </c>
      <c r="F602" s="874">
        <v>50.081499999999991</v>
      </c>
      <c r="G602" s="875">
        <v>58.157000000000004</v>
      </c>
      <c r="H602" s="550"/>
      <c r="J602" s="683"/>
    </row>
    <row r="603" spans="1:10">
      <c r="A603" s="547" t="s">
        <v>1008</v>
      </c>
      <c r="B603" s="541" t="s">
        <v>332</v>
      </c>
      <c r="C603" s="541" t="s">
        <v>664</v>
      </c>
      <c r="D603" s="880">
        <v>212.41666666666666</v>
      </c>
      <c r="E603" s="874">
        <v>280.66666666666669</v>
      </c>
      <c r="F603" s="874">
        <v>214.88650000000004</v>
      </c>
      <c r="G603" s="875">
        <v>235.84100000000001</v>
      </c>
      <c r="H603" s="550"/>
      <c r="J603" s="683"/>
    </row>
    <row r="604" spans="1:10">
      <c r="A604" s="547" t="s">
        <v>1008</v>
      </c>
      <c r="B604" s="541" t="s">
        <v>411</v>
      </c>
      <c r="C604" s="541" t="s">
        <v>483</v>
      </c>
      <c r="D604" s="880">
        <v>20.416666666666664</v>
      </c>
      <c r="E604" s="874">
        <v>21.583333333333332</v>
      </c>
      <c r="F604" s="874">
        <v>7.9329999999999998</v>
      </c>
      <c r="G604" s="875">
        <v>7.3164999999999996</v>
      </c>
      <c r="H604" s="550"/>
      <c r="J604" s="683"/>
    </row>
    <row r="605" spans="1:10">
      <c r="A605" s="547" t="s">
        <v>1008</v>
      </c>
      <c r="B605" s="541" t="s">
        <v>411</v>
      </c>
      <c r="C605" s="541" t="s">
        <v>463</v>
      </c>
      <c r="D605" s="880">
        <v>0</v>
      </c>
      <c r="E605" s="874">
        <v>0.83333333333333326</v>
      </c>
      <c r="F605" s="874">
        <v>0</v>
      </c>
      <c r="G605" s="875">
        <v>0.36499999999999999</v>
      </c>
      <c r="H605" s="550"/>
      <c r="J605" s="683"/>
    </row>
    <row r="606" spans="1:10">
      <c r="A606" s="547" t="s">
        <v>1008</v>
      </c>
      <c r="B606" s="541" t="s">
        <v>410</v>
      </c>
      <c r="C606" s="541" t="s">
        <v>493</v>
      </c>
      <c r="D606" s="880">
        <v>21.083333333333329</v>
      </c>
      <c r="E606" s="874">
        <v>21.166666666666668</v>
      </c>
      <c r="F606" s="874">
        <v>6.5529999999999999</v>
      </c>
      <c r="G606" s="875">
        <v>7.3415000000000008</v>
      </c>
      <c r="H606" s="550"/>
      <c r="J606" s="683"/>
    </row>
    <row r="607" spans="1:10">
      <c r="A607" s="547" t="s">
        <v>1008</v>
      </c>
      <c r="B607" s="541" t="s">
        <v>333</v>
      </c>
      <c r="C607" s="541" t="s">
        <v>1370</v>
      </c>
      <c r="D607" s="880">
        <v>10.083333333333332</v>
      </c>
      <c r="E607" s="874">
        <v>8.8333333333333321</v>
      </c>
      <c r="F607" s="874">
        <v>5.5680000000000014</v>
      </c>
      <c r="G607" s="875">
        <v>5.4000000000000012</v>
      </c>
      <c r="H607" s="550"/>
      <c r="J607" s="683"/>
    </row>
    <row r="608" spans="1:10">
      <c r="A608" s="548" t="s">
        <v>1008</v>
      </c>
      <c r="B608" s="541" t="s">
        <v>333</v>
      </c>
      <c r="C608" s="541" t="s">
        <v>759</v>
      </c>
      <c r="D608" s="880">
        <v>202.41666666666666</v>
      </c>
      <c r="E608" s="874">
        <v>243.00000000000003</v>
      </c>
      <c r="F608" s="874">
        <v>141.59199999999998</v>
      </c>
      <c r="G608" s="875">
        <v>156.32750000000001</v>
      </c>
      <c r="H608" s="550"/>
      <c r="J608" s="683"/>
    </row>
    <row r="609" spans="1:10">
      <c r="A609" s="1066" t="s">
        <v>1009</v>
      </c>
      <c r="B609" s="1067"/>
      <c r="C609" s="1068"/>
      <c r="D609" s="906">
        <v>631.41666666666663</v>
      </c>
      <c r="E609" s="900">
        <v>761.91666666666663</v>
      </c>
      <c r="F609" s="900">
        <v>528.404</v>
      </c>
      <c r="G609" s="901">
        <v>574.43299999999999</v>
      </c>
      <c r="H609" s="550"/>
      <c r="J609" s="683"/>
    </row>
    <row r="610" spans="1:10">
      <c r="A610" s="548" t="s">
        <v>278</v>
      </c>
      <c r="B610" s="541" t="s">
        <v>1288</v>
      </c>
      <c r="C610" s="541" t="s">
        <v>1287</v>
      </c>
      <c r="D610" s="880">
        <v>0.33333333333333331</v>
      </c>
      <c r="E610" s="874">
        <v>0.58333333333333326</v>
      </c>
      <c r="F610" s="874">
        <v>2.3999999999999997E-2</v>
      </c>
      <c r="G610" s="875">
        <v>8.9999999999999983E-2</v>
      </c>
      <c r="H610" s="550"/>
      <c r="J610" s="683"/>
    </row>
    <row r="611" spans="1:10">
      <c r="A611" s="1066" t="s">
        <v>1296</v>
      </c>
      <c r="B611" s="1067"/>
      <c r="C611" s="1068"/>
      <c r="D611" s="906">
        <v>0.33333333333333331</v>
      </c>
      <c r="E611" s="900">
        <v>0.58333333333333326</v>
      </c>
      <c r="F611" s="900">
        <v>2.3999999999999997E-2</v>
      </c>
      <c r="G611" s="901">
        <v>8.9999999999999983E-2</v>
      </c>
      <c r="H611" s="550"/>
    </row>
    <row r="612" spans="1:10">
      <c r="A612" s="549" t="s">
        <v>334</v>
      </c>
      <c r="B612" s="541" t="s">
        <v>755</v>
      </c>
      <c r="C612" s="541" t="s">
        <v>756</v>
      </c>
      <c r="D612" s="885">
        <v>13.33333333333333</v>
      </c>
      <c r="E612" s="907">
        <v>7.9166666666666661</v>
      </c>
      <c r="F612" s="907">
        <v>5.4950000000000001</v>
      </c>
      <c r="G612" s="886">
        <v>4.3460000000000001</v>
      </c>
      <c r="H612" s="550"/>
    </row>
    <row r="613" spans="1:10" ht="15.75" thickBot="1">
      <c r="A613" s="1072" t="s">
        <v>1010</v>
      </c>
      <c r="B613" s="1073"/>
      <c r="C613" s="1074"/>
      <c r="D613" s="908">
        <v>13.33333333333333</v>
      </c>
      <c r="E613" s="909">
        <v>7.9166666666666661</v>
      </c>
      <c r="F613" s="909">
        <v>5.4950000000000001</v>
      </c>
      <c r="G613" s="910">
        <v>4.3460000000000001</v>
      </c>
    </row>
    <row r="614" spans="1:10" ht="15.75" thickBot="1">
      <c r="A614" s="1069" t="s">
        <v>846</v>
      </c>
      <c r="B614" s="1070"/>
      <c r="C614" s="1071"/>
      <c r="D614" s="753">
        <f>SUM(D613,D611,D609,D600,D597,D595,D588,D579,D575,D571,D569,D567,D564,D534,D511,D506,D504,D459,D444,D371,D360,D220,D218,D201,D199,D196,D50,D47,D35,D32,D17)</f>
        <v>132150.58333333334</v>
      </c>
      <c r="E614" s="753">
        <f>SUM(E613,E611,E609,E600,E597,E595,E588,E579,E575,E571,E569,E567,E564,E534,E511,E506,E504,E459,E444,E371,E360,E220,E218,E201,E199,E196,E50,E47,E35,E32,E17)</f>
        <v>144057.83333333331</v>
      </c>
      <c r="F614" s="753">
        <f>SUM(F613,F611,F609,F600,F597,F595,F588,F579,F575,F571,F569,F567,F564,F534,F511,F506,F504,F459,F444,F371,F360,F220,F218,F201,F199,F196,F50,F47,F35,F32,F17)</f>
        <v>104418.91958333331</v>
      </c>
      <c r="G614" s="753">
        <f>SUM(G613,G611,G609,G600,G597,G595,G588,G579,G575,G571,G569,G567,G564,G534,G511,G506,G504,G459,G444,G371,G360,G220,G218,G201,G199,G196,G50,G47,G35,G32,G17)</f>
        <v>114227.17790833334</v>
      </c>
    </row>
  </sheetData>
  <mergeCells count="33">
    <mergeCell ref="A459:C459"/>
    <mergeCell ref="A506:C506"/>
    <mergeCell ref="A569:C569"/>
    <mergeCell ref="A609:C609"/>
    <mergeCell ref="A579:C579"/>
    <mergeCell ref="A611:C611"/>
    <mergeCell ref="A613:C613"/>
    <mergeCell ref="A588:C588"/>
    <mergeCell ref="A595:C595"/>
    <mergeCell ref="A597:C597"/>
    <mergeCell ref="A600:C600"/>
    <mergeCell ref="A201:C201"/>
    <mergeCell ref="A360:C360"/>
    <mergeCell ref="A371:C371"/>
    <mergeCell ref="A614:C614"/>
    <mergeCell ref="A17:C17"/>
    <mergeCell ref="A47:C47"/>
    <mergeCell ref="A218:C218"/>
    <mergeCell ref="A534:C534"/>
    <mergeCell ref="A444:C444"/>
    <mergeCell ref="A504:C504"/>
    <mergeCell ref="A511:C511"/>
    <mergeCell ref="A564:C564"/>
    <mergeCell ref="A567:C567"/>
    <mergeCell ref="A571:C571"/>
    <mergeCell ref="A575:C575"/>
    <mergeCell ref="A220:C220"/>
    <mergeCell ref="A5:G5"/>
    <mergeCell ref="A50:C50"/>
    <mergeCell ref="A196:C196"/>
    <mergeCell ref="A32:C32"/>
    <mergeCell ref="A199:C199"/>
    <mergeCell ref="A35:C35"/>
  </mergeCells>
  <pageMargins left="0.7" right="0.7" top="0.75" bottom="0.75" header="0.3" footer="0.3"/>
  <pageSetup paperSize="9" orientation="portrait" r:id="rId1"/>
  <ignoredErrors>
    <ignoredError sqref="D196:G196"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12"/>
  <sheetViews>
    <sheetView showGridLines="0" zoomScaleNormal="100" workbookViewId="0">
      <pane ySplit="6" topLeftCell="A7" activePane="bottomLeft" state="frozen"/>
      <selection pane="bottomLeft" activeCell="C82" sqref="C82"/>
    </sheetView>
  </sheetViews>
  <sheetFormatPr defaultColWidth="9.140625" defaultRowHeight="15"/>
  <cols>
    <col min="1" max="2" width="47.42578125" style="165" customWidth="1"/>
    <col min="3" max="3" width="19.42578125" style="165" customWidth="1"/>
    <col min="4" max="4" width="19.5703125" style="165" customWidth="1"/>
    <col min="5" max="5" width="17" style="165" customWidth="1"/>
    <col min="6" max="6" width="20.5703125" style="165" customWidth="1"/>
    <col min="7" max="7" width="9.140625" style="165" customWidth="1"/>
    <col min="8" max="8" width="33.42578125" style="165" customWidth="1"/>
    <col min="9" max="10" width="9.28515625" style="165" customWidth="1"/>
    <col min="11" max="16384" width="9.140625" style="165"/>
  </cols>
  <sheetData>
    <row r="3" spans="1:8">
      <c r="E3" s="206"/>
    </row>
    <row r="4" spans="1:8">
      <c r="E4" s="272"/>
    </row>
    <row r="5" spans="1:8" ht="15.75" thickBot="1">
      <c r="A5" s="1065" t="s">
        <v>1168</v>
      </c>
      <c r="B5" s="1065"/>
      <c r="C5" s="1065"/>
      <c r="D5" s="1065"/>
      <c r="E5" s="1065"/>
      <c r="F5" s="1065"/>
    </row>
    <row r="6" spans="1:8" ht="30.75" thickBot="1">
      <c r="A6" s="281" t="s">
        <v>347</v>
      </c>
      <c r="B6" s="413" t="s">
        <v>1029</v>
      </c>
      <c r="C6" s="935" t="s">
        <v>1320</v>
      </c>
      <c r="D6" s="936" t="s">
        <v>1321</v>
      </c>
      <c r="E6" s="937" t="s">
        <v>1322</v>
      </c>
      <c r="F6" s="937" t="s">
        <v>1323</v>
      </c>
      <c r="G6" s="206"/>
      <c r="H6" s="270"/>
    </row>
    <row r="7" spans="1:8">
      <c r="A7" s="414" t="s">
        <v>82</v>
      </c>
      <c r="B7" s="243" t="s">
        <v>1011</v>
      </c>
      <c r="C7" s="911">
        <v>199.16666666666669</v>
      </c>
      <c r="D7" s="912">
        <v>138.83333333333331</v>
      </c>
      <c r="E7" s="913">
        <v>36.36177276454471</v>
      </c>
      <c r="F7" s="914">
        <v>19.694606107877846</v>
      </c>
      <c r="G7" s="206"/>
      <c r="H7" s="270"/>
    </row>
    <row r="8" spans="1:8">
      <c r="A8" s="415" t="s">
        <v>792</v>
      </c>
      <c r="B8" s="244" t="s">
        <v>793</v>
      </c>
      <c r="C8" s="915">
        <v>22.75</v>
      </c>
      <c r="D8" s="916">
        <v>20.083333333333332</v>
      </c>
      <c r="E8" s="917">
        <v>2.9174416511669765</v>
      </c>
      <c r="F8" s="918">
        <v>2.8579428411431773</v>
      </c>
      <c r="G8" s="206"/>
      <c r="H8" s="544"/>
    </row>
    <row r="9" spans="1:8">
      <c r="A9" s="414" t="s">
        <v>794</v>
      </c>
      <c r="B9" s="243" t="s">
        <v>83</v>
      </c>
      <c r="C9" s="919">
        <v>23.000000000000004</v>
      </c>
      <c r="D9" s="501">
        <v>19.916666666666668</v>
      </c>
      <c r="E9" s="920">
        <v>10.187296254074919</v>
      </c>
      <c r="F9" s="921">
        <v>9.4583108337833242</v>
      </c>
      <c r="G9" s="206"/>
      <c r="H9" s="270"/>
    </row>
    <row r="10" spans="1:8">
      <c r="A10" s="415" t="s">
        <v>461</v>
      </c>
      <c r="B10" s="244" t="s">
        <v>462</v>
      </c>
      <c r="C10" s="915">
        <v>0.25</v>
      </c>
      <c r="D10" s="916">
        <v>0</v>
      </c>
      <c r="E10" s="917">
        <v>5.3499989300002139E-2</v>
      </c>
      <c r="F10" s="918">
        <v>0</v>
      </c>
      <c r="G10" s="182"/>
      <c r="H10" s="270"/>
    </row>
    <row r="11" spans="1:8" ht="58.5" customHeight="1">
      <c r="A11" s="414" t="s">
        <v>795</v>
      </c>
      <c r="B11" s="243" t="s">
        <v>1382</v>
      </c>
      <c r="C11" s="922">
        <v>1</v>
      </c>
      <c r="D11" s="923">
        <v>0</v>
      </c>
      <c r="E11" s="924">
        <v>1.0729785404291916</v>
      </c>
      <c r="F11" s="925">
        <v>0</v>
      </c>
      <c r="G11" s="182"/>
      <c r="H11" s="270"/>
    </row>
    <row r="12" spans="1:8" s="683" customFormat="1" ht="58.5" customHeight="1">
      <c r="A12" s="415" t="s">
        <v>1390</v>
      </c>
      <c r="B12" s="244" t="s">
        <v>1391</v>
      </c>
      <c r="C12" s="926">
        <v>22.249999999999996</v>
      </c>
      <c r="D12" s="927">
        <v>19.416666666666668</v>
      </c>
      <c r="E12" s="928">
        <v>45.661586768264634</v>
      </c>
      <c r="F12" s="929">
        <v>39.477710445791089</v>
      </c>
      <c r="G12" s="182"/>
    </row>
    <row r="13" spans="1:8">
      <c r="A13" s="414" t="s">
        <v>46</v>
      </c>
      <c r="B13" s="243" t="s">
        <v>84</v>
      </c>
      <c r="C13" s="919">
        <v>6.9166666666666661</v>
      </c>
      <c r="D13" s="501">
        <v>3.666666666666667</v>
      </c>
      <c r="E13" s="920">
        <v>0.35499290014199719</v>
      </c>
      <c r="F13" s="921">
        <v>0.23549529009419812</v>
      </c>
      <c r="G13" s="182"/>
      <c r="H13" s="270"/>
    </row>
    <row r="14" spans="1:8">
      <c r="A14" s="415" t="s">
        <v>1095</v>
      </c>
      <c r="B14" s="244" t="s">
        <v>1096</v>
      </c>
      <c r="C14" s="915">
        <v>1.6666666666666667</v>
      </c>
      <c r="D14" s="916">
        <v>2.4999999999999996</v>
      </c>
      <c r="E14" s="917">
        <v>0.17499650006999862</v>
      </c>
      <c r="F14" s="918">
        <v>0.15449691006179878</v>
      </c>
      <c r="G14" s="182"/>
      <c r="H14" s="270"/>
    </row>
    <row r="15" spans="1:8" s="298" customFormat="1">
      <c r="A15" s="414" t="s">
        <v>796</v>
      </c>
      <c r="B15" s="930" t="s">
        <v>1291</v>
      </c>
      <c r="C15" s="922">
        <v>12.666666666666668</v>
      </c>
      <c r="D15" s="923">
        <v>12.416666666666668</v>
      </c>
      <c r="E15" s="924">
        <v>24.715005699886003</v>
      </c>
      <c r="F15" s="925">
        <v>25.544489110217803</v>
      </c>
      <c r="G15" s="182"/>
    </row>
    <row r="16" spans="1:8" ht="45">
      <c r="A16" s="415" t="s">
        <v>797</v>
      </c>
      <c r="B16" s="244" t="s">
        <v>1383</v>
      </c>
      <c r="C16" s="926">
        <v>32.583333333333336</v>
      </c>
      <c r="D16" s="927">
        <v>19</v>
      </c>
      <c r="E16" s="928">
        <v>59.455310893782141</v>
      </c>
      <c r="F16" s="929">
        <v>25.794984100317997</v>
      </c>
      <c r="G16" s="206"/>
      <c r="H16" s="270"/>
    </row>
    <row r="17" spans="1:8" ht="30">
      <c r="A17" s="415" t="s">
        <v>798</v>
      </c>
      <c r="B17" s="244" t="s">
        <v>827</v>
      </c>
      <c r="C17" s="926">
        <v>279.5</v>
      </c>
      <c r="D17" s="927">
        <v>162.49999999999997</v>
      </c>
      <c r="E17" s="928">
        <v>288.09873802523953</v>
      </c>
      <c r="F17" s="929">
        <v>172.29255414891705</v>
      </c>
      <c r="G17" s="292"/>
      <c r="H17" s="270"/>
    </row>
    <row r="18" spans="1:8" ht="30">
      <c r="A18" s="414" t="s">
        <v>799</v>
      </c>
      <c r="B18" s="243" t="s">
        <v>1012</v>
      </c>
      <c r="C18" s="922">
        <v>3.6666666666666665</v>
      </c>
      <c r="D18" s="923">
        <v>2.6666666666666661</v>
      </c>
      <c r="E18" s="924">
        <v>1.3419731605367895</v>
      </c>
      <c r="F18" s="925">
        <v>0.53448931021379575</v>
      </c>
      <c r="G18" s="310"/>
      <c r="H18" s="270"/>
    </row>
    <row r="19" spans="1:8">
      <c r="A19" s="415" t="s">
        <v>800</v>
      </c>
      <c r="B19" s="244" t="s">
        <v>904</v>
      </c>
      <c r="C19" s="926">
        <v>1.25</v>
      </c>
      <c r="D19" s="927">
        <v>0.91666666666666663</v>
      </c>
      <c r="E19" s="928">
        <v>1.4999700005999879E-2</v>
      </c>
      <c r="F19" s="929">
        <v>1.1499770004599907E-2</v>
      </c>
      <c r="G19" s="695"/>
      <c r="H19" s="270"/>
    </row>
    <row r="20" spans="1:8">
      <c r="A20" s="414" t="s">
        <v>802</v>
      </c>
      <c r="B20" s="243" t="s">
        <v>803</v>
      </c>
      <c r="C20" s="922">
        <v>282.41666666666663</v>
      </c>
      <c r="D20" s="923">
        <v>324.58333333333331</v>
      </c>
      <c r="E20" s="924">
        <v>235.93228135437292</v>
      </c>
      <c r="F20" s="925">
        <v>263.6457270854583</v>
      </c>
      <c r="G20" s="206"/>
      <c r="H20" s="270"/>
    </row>
    <row r="21" spans="1:8">
      <c r="A21" s="415" t="s">
        <v>822</v>
      </c>
      <c r="B21" s="244" t="s">
        <v>823</v>
      </c>
      <c r="C21" s="915">
        <v>1.3333333333333333</v>
      </c>
      <c r="D21" s="916">
        <v>0</v>
      </c>
      <c r="E21" s="917">
        <v>1.9919601607967843</v>
      </c>
      <c r="F21" s="918">
        <v>0</v>
      </c>
      <c r="G21" s="270"/>
      <c r="H21" s="270"/>
    </row>
    <row r="22" spans="1:8">
      <c r="A22" s="414" t="s">
        <v>804</v>
      </c>
      <c r="B22" s="243" t="s">
        <v>824</v>
      </c>
      <c r="C22" s="919">
        <v>3.916666666666667</v>
      </c>
      <c r="D22" s="501">
        <v>7.2500000000000009</v>
      </c>
      <c r="E22" s="920">
        <v>0.1744965100697986</v>
      </c>
      <c r="F22" s="921">
        <v>0.54548909021819569</v>
      </c>
      <c r="G22" s="270"/>
      <c r="H22" s="270"/>
    </row>
    <row r="23" spans="1:8">
      <c r="A23" s="415" t="s">
        <v>805</v>
      </c>
      <c r="B23" s="244" t="s">
        <v>806</v>
      </c>
      <c r="C23" s="915">
        <v>1.1666666666666667</v>
      </c>
      <c r="D23" s="916">
        <v>1</v>
      </c>
      <c r="E23" s="917">
        <v>0.14099718005639889</v>
      </c>
      <c r="F23" s="918">
        <v>0.11749765004699907</v>
      </c>
      <c r="G23" s="270"/>
      <c r="H23" s="270"/>
    </row>
    <row r="24" spans="1:8">
      <c r="A24" s="414" t="s">
        <v>807</v>
      </c>
      <c r="B24" s="243" t="s">
        <v>808</v>
      </c>
      <c r="C24" s="919">
        <v>5.3333333333333339</v>
      </c>
      <c r="D24" s="501">
        <v>4.3333333333333339</v>
      </c>
      <c r="E24" s="920">
        <v>0.30749385012299757</v>
      </c>
      <c r="F24" s="921">
        <v>0.29199416011679769</v>
      </c>
      <c r="G24" s="270"/>
      <c r="H24" s="270"/>
    </row>
    <row r="25" spans="1:8" s="683" customFormat="1">
      <c r="A25" s="415" t="s">
        <v>1388</v>
      </c>
      <c r="B25" s="244" t="s">
        <v>1389</v>
      </c>
      <c r="C25" s="926">
        <v>0</v>
      </c>
      <c r="D25" s="927">
        <v>5.583333333333333</v>
      </c>
      <c r="E25" s="928">
        <v>0</v>
      </c>
      <c r="F25" s="929">
        <v>6.2913741725165506</v>
      </c>
    </row>
    <row r="26" spans="1:8">
      <c r="A26" s="414" t="s">
        <v>85</v>
      </c>
      <c r="B26" s="243" t="s">
        <v>86</v>
      </c>
      <c r="C26" s="922">
        <v>66.75</v>
      </c>
      <c r="D26" s="923">
        <v>71.833333333333343</v>
      </c>
      <c r="E26" s="924">
        <v>22.481550368992622</v>
      </c>
      <c r="F26" s="925">
        <v>27.618447631047381</v>
      </c>
      <c r="G26" s="270"/>
      <c r="H26" s="270"/>
    </row>
    <row r="27" spans="1:8" s="683" customFormat="1">
      <c r="A27" s="415" t="s">
        <v>1386</v>
      </c>
      <c r="B27" s="244" t="s">
        <v>1387</v>
      </c>
      <c r="C27" s="915">
        <v>0</v>
      </c>
      <c r="D27" s="916">
        <v>19.916666666666664</v>
      </c>
      <c r="E27" s="917">
        <v>0</v>
      </c>
      <c r="F27" s="918">
        <v>35.184296314073727</v>
      </c>
    </row>
    <row r="28" spans="1:8">
      <c r="A28" s="414" t="s">
        <v>182</v>
      </c>
      <c r="B28" s="243" t="s">
        <v>905</v>
      </c>
      <c r="C28" s="919">
        <v>1.1666666666666665</v>
      </c>
      <c r="D28" s="501">
        <v>0.66666666666666663</v>
      </c>
      <c r="E28" s="920">
        <v>0.10899782004359913</v>
      </c>
      <c r="F28" s="921">
        <v>2.9999400011999761E-2</v>
      </c>
      <c r="G28" s="270"/>
      <c r="H28" s="270"/>
    </row>
    <row r="29" spans="1:8">
      <c r="A29" s="415" t="s">
        <v>906</v>
      </c>
      <c r="B29" s="244" t="s">
        <v>1393</v>
      </c>
      <c r="C29" s="915">
        <v>11.499999999999998</v>
      </c>
      <c r="D29" s="916">
        <v>0</v>
      </c>
      <c r="E29" s="917">
        <v>15.830683386332275</v>
      </c>
      <c r="F29" s="918">
        <v>0</v>
      </c>
      <c r="G29" s="206"/>
      <c r="H29" s="270"/>
    </row>
    <row r="30" spans="1:8" s="683" customFormat="1">
      <c r="A30" s="415" t="s">
        <v>1392</v>
      </c>
      <c r="B30" s="244" t="s">
        <v>1384</v>
      </c>
      <c r="C30" s="915">
        <v>8.25</v>
      </c>
      <c r="D30" s="916">
        <v>0</v>
      </c>
      <c r="E30" s="917">
        <v>11.651766964660709</v>
      </c>
      <c r="F30" s="918">
        <v>0</v>
      </c>
      <c r="G30" s="206"/>
    </row>
    <row r="31" spans="1:8">
      <c r="A31" s="414" t="s">
        <v>809</v>
      </c>
      <c r="B31" s="243" t="s">
        <v>810</v>
      </c>
      <c r="C31" s="919">
        <v>6.9166666666666661</v>
      </c>
      <c r="D31" s="501">
        <v>3.333333333333333</v>
      </c>
      <c r="E31" s="920">
        <v>0.42649147017059663</v>
      </c>
      <c r="F31" s="921">
        <v>0.31549369012619755</v>
      </c>
      <c r="G31" s="270"/>
      <c r="H31" s="270"/>
    </row>
    <row r="32" spans="1:8">
      <c r="A32" s="415" t="s">
        <v>87</v>
      </c>
      <c r="B32" s="244" t="s">
        <v>88</v>
      </c>
      <c r="C32" s="915">
        <v>9.5833333333333339</v>
      </c>
      <c r="D32" s="916">
        <v>10.666666666666666</v>
      </c>
      <c r="E32" s="917">
        <v>1.1834763304733906</v>
      </c>
      <c r="F32" s="918">
        <v>0.84498310033799329</v>
      </c>
      <c r="G32" s="270"/>
      <c r="H32" s="544"/>
    </row>
    <row r="33" spans="1:9">
      <c r="A33" s="414" t="s">
        <v>1013</v>
      </c>
      <c r="B33" s="243" t="s">
        <v>89</v>
      </c>
      <c r="C33" s="919">
        <v>16.083333333333332</v>
      </c>
      <c r="D33" s="501">
        <v>14.166666666666664</v>
      </c>
      <c r="E33" s="920">
        <v>1.390472190556189</v>
      </c>
      <c r="F33" s="921">
        <v>1.2314753704925903</v>
      </c>
      <c r="G33" s="206"/>
      <c r="H33" s="544"/>
    </row>
    <row r="34" spans="1:9">
      <c r="A34" s="415" t="s">
        <v>90</v>
      </c>
      <c r="B34" s="244" t="s">
        <v>91</v>
      </c>
      <c r="C34" s="926">
        <v>5.916666666666667</v>
      </c>
      <c r="D34" s="927">
        <v>3.75</v>
      </c>
      <c r="E34" s="928">
        <v>0.22399552008959825</v>
      </c>
      <c r="F34" s="929">
        <v>0.17149657006859864</v>
      </c>
      <c r="G34" s="206"/>
      <c r="H34" s="544"/>
    </row>
    <row r="35" spans="1:9">
      <c r="A35" s="414" t="s">
        <v>1014</v>
      </c>
      <c r="B35" s="243" t="s">
        <v>907</v>
      </c>
      <c r="C35" s="922">
        <v>2.5833333333333335</v>
      </c>
      <c r="D35" s="923">
        <v>0</v>
      </c>
      <c r="E35" s="924">
        <v>2.2919541609167817</v>
      </c>
      <c r="F35" s="925">
        <v>0</v>
      </c>
      <c r="G35" s="270"/>
      <c r="H35" s="270"/>
    </row>
    <row r="36" spans="1:9">
      <c r="A36" s="415" t="s">
        <v>811</v>
      </c>
      <c r="B36" s="244" t="s">
        <v>812</v>
      </c>
      <c r="C36" s="915">
        <v>4.7499999999999991</v>
      </c>
      <c r="D36" s="916">
        <v>4.5</v>
      </c>
      <c r="E36" s="917">
        <v>0.64748705025899489</v>
      </c>
      <c r="F36" s="918">
        <v>0.55348893022139567</v>
      </c>
      <c r="G36" s="270"/>
      <c r="H36" s="270"/>
    </row>
    <row r="37" spans="1:9">
      <c r="A37" s="414" t="s">
        <v>813</v>
      </c>
      <c r="B37" s="243" t="s">
        <v>1015</v>
      </c>
      <c r="C37" s="919">
        <v>7.7499999999999991</v>
      </c>
      <c r="D37" s="501">
        <v>11.916666666666668</v>
      </c>
      <c r="E37" s="920">
        <v>13.833723325533487</v>
      </c>
      <c r="F37" s="921">
        <v>21.177576448471033</v>
      </c>
      <c r="G37" s="270"/>
      <c r="H37" s="270"/>
    </row>
    <row r="38" spans="1:9">
      <c r="A38" s="415" t="s">
        <v>92</v>
      </c>
      <c r="B38" s="244" t="s">
        <v>1016</v>
      </c>
      <c r="C38" s="915">
        <v>14.416666666666666</v>
      </c>
      <c r="D38" s="916">
        <v>12</v>
      </c>
      <c r="E38" s="917">
        <v>1.5669686606267876</v>
      </c>
      <c r="F38" s="918">
        <v>0.97648047039059227</v>
      </c>
      <c r="G38" s="270"/>
      <c r="H38" s="270"/>
    </row>
    <row r="39" spans="1:9">
      <c r="A39" s="414" t="s">
        <v>825</v>
      </c>
      <c r="B39" s="243" t="s">
        <v>801</v>
      </c>
      <c r="C39" s="919">
        <v>8.1666666666666661</v>
      </c>
      <c r="D39" s="501">
        <v>3.6666666666666665</v>
      </c>
      <c r="E39" s="920">
        <v>4.6119077618447637</v>
      </c>
      <c r="F39" s="921">
        <v>4.2389152216955663</v>
      </c>
      <c r="G39" s="270"/>
      <c r="H39" s="270"/>
      <c r="I39" s="749"/>
    </row>
    <row r="40" spans="1:9" ht="15.75" customHeight="1">
      <c r="A40" s="415" t="s">
        <v>814</v>
      </c>
      <c r="B40" s="244" t="s">
        <v>93</v>
      </c>
      <c r="C40" s="915">
        <v>4.1666666666666661</v>
      </c>
      <c r="D40" s="916">
        <v>2.0833333333333335</v>
      </c>
      <c r="E40" s="917">
        <v>0.16149677006459875</v>
      </c>
      <c r="F40" s="918">
        <v>7.0998580028399441E-2</v>
      </c>
      <c r="G40" s="270"/>
      <c r="H40" s="270"/>
    </row>
    <row r="41" spans="1:9">
      <c r="A41" s="414" t="s">
        <v>908</v>
      </c>
      <c r="B41" s="243" t="s">
        <v>909</v>
      </c>
      <c r="C41" s="919">
        <v>9.9166666666666661</v>
      </c>
      <c r="D41" s="501">
        <v>0</v>
      </c>
      <c r="E41" s="920">
        <v>12.891242175156499</v>
      </c>
      <c r="F41" s="921">
        <v>0</v>
      </c>
      <c r="G41" s="270"/>
      <c r="H41" s="270"/>
    </row>
    <row r="42" spans="1:9">
      <c r="A42" s="415" t="s">
        <v>1017</v>
      </c>
      <c r="B42" s="244" t="s">
        <v>1292</v>
      </c>
      <c r="C42" s="915">
        <v>133.25</v>
      </c>
      <c r="D42" s="916">
        <v>127.58333333333334</v>
      </c>
      <c r="E42" s="917">
        <v>292.66214675706487</v>
      </c>
      <c r="F42" s="918">
        <v>279.41291174176519</v>
      </c>
      <c r="G42" s="270"/>
      <c r="H42" s="270"/>
    </row>
    <row r="43" spans="1:9" ht="15.75" customHeight="1">
      <c r="A43" s="414" t="s">
        <v>815</v>
      </c>
      <c r="B43" s="243" t="s">
        <v>1018</v>
      </c>
      <c r="C43" s="919">
        <v>10</v>
      </c>
      <c r="D43" s="501">
        <v>6.416666666666667</v>
      </c>
      <c r="E43" s="920">
        <v>0.72148557028859428</v>
      </c>
      <c r="F43" s="921">
        <v>0.59398812023759517</v>
      </c>
      <c r="G43" s="270"/>
      <c r="H43" s="270"/>
    </row>
    <row r="44" spans="1:9">
      <c r="A44" s="415" t="s">
        <v>816</v>
      </c>
      <c r="B44" s="244" t="s">
        <v>1019</v>
      </c>
      <c r="C44" s="915">
        <v>12.166666666666666</v>
      </c>
      <c r="D44" s="916">
        <v>9.6666666666666661</v>
      </c>
      <c r="E44" s="917">
        <v>0.84748305033899329</v>
      </c>
      <c r="F44" s="918">
        <v>0.78798424031519376</v>
      </c>
      <c r="G44" s="270"/>
      <c r="H44" s="270"/>
    </row>
    <row r="45" spans="1:9" ht="30">
      <c r="A45" s="414" t="s">
        <v>910</v>
      </c>
      <c r="B45" s="243" t="s">
        <v>1385</v>
      </c>
      <c r="C45" s="922">
        <v>12.75</v>
      </c>
      <c r="D45" s="923">
        <v>52</v>
      </c>
      <c r="E45" s="924">
        <v>20.635087298254035</v>
      </c>
      <c r="F45" s="925">
        <v>71.555068898622039</v>
      </c>
      <c r="G45" s="270"/>
      <c r="H45" s="270"/>
    </row>
    <row r="46" spans="1:9">
      <c r="A46" s="415" t="s">
        <v>817</v>
      </c>
      <c r="B46" s="244" t="s">
        <v>818</v>
      </c>
      <c r="C46" s="915">
        <v>4</v>
      </c>
      <c r="D46" s="916">
        <v>4</v>
      </c>
      <c r="E46" s="917">
        <v>3.5639287214255724</v>
      </c>
      <c r="F46" s="918">
        <v>3.375432491350173</v>
      </c>
      <c r="G46" s="270"/>
      <c r="H46" s="270"/>
    </row>
    <row r="47" spans="1:9">
      <c r="A47" s="414" t="s">
        <v>826</v>
      </c>
      <c r="B47" s="243" t="s">
        <v>94</v>
      </c>
      <c r="C47" s="919">
        <v>15.833333333333334</v>
      </c>
      <c r="D47" s="501">
        <v>18.166666666666668</v>
      </c>
      <c r="E47" s="920">
        <v>25.232995340093201</v>
      </c>
      <c r="F47" s="921">
        <v>29.594408111837765</v>
      </c>
      <c r="G47" s="270"/>
      <c r="H47" s="270"/>
    </row>
    <row r="48" spans="1:9" s="683" customFormat="1">
      <c r="A48" s="415" t="s">
        <v>1020</v>
      </c>
      <c r="B48" s="244" t="s">
        <v>1021</v>
      </c>
      <c r="C48" s="915">
        <v>3.75</v>
      </c>
      <c r="D48" s="916">
        <v>0</v>
      </c>
      <c r="E48" s="917">
        <v>4.8119037619247624</v>
      </c>
      <c r="F48" s="918">
        <v>0</v>
      </c>
    </row>
    <row r="49" spans="1:8" s="683" customFormat="1" ht="15.75" thickBot="1">
      <c r="A49" s="697" t="s">
        <v>819</v>
      </c>
      <c r="B49" s="696" t="s">
        <v>820</v>
      </c>
      <c r="C49" s="931">
        <v>5.916666666666667</v>
      </c>
      <c r="D49" s="932">
        <v>4.75</v>
      </c>
      <c r="E49" s="933">
        <v>0.10499790004199917</v>
      </c>
      <c r="F49" s="934">
        <v>8.2998340033199336E-2</v>
      </c>
    </row>
    <row r="50" spans="1:8" ht="15.75" thickBot="1">
      <c r="A50" s="1075" t="s">
        <v>846</v>
      </c>
      <c r="B50" s="1076"/>
      <c r="C50" s="752">
        <v>1276.416666666667</v>
      </c>
      <c r="D50" s="752">
        <v>1125.7500000000002</v>
      </c>
      <c r="E50" s="752">
        <v>1146.8400642580148</v>
      </c>
      <c r="F50" s="752">
        <v>1044.7651046979063</v>
      </c>
      <c r="G50" s="270"/>
      <c r="H50" s="270"/>
    </row>
    <row r="51" spans="1:8">
      <c r="A51" s="270"/>
      <c r="B51" s="270"/>
      <c r="C51" s="270"/>
      <c r="D51" s="270"/>
      <c r="E51" s="270"/>
      <c r="F51" s="270"/>
      <c r="G51" s="270"/>
      <c r="H51" s="270"/>
    </row>
    <row r="52" spans="1:8">
      <c r="A52" s="271"/>
      <c r="B52" s="271"/>
      <c r="C52" s="698"/>
      <c r="D52" s="699"/>
      <c r="E52" s="698"/>
      <c r="F52" s="700"/>
      <c r="G52" s="270"/>
      <c r="H52" s="270"/>
    </row>
    <row r="53" spans="1:8" ht="15" customHeight="1">
      <c r="A53" s="270"/>
      <c r="B53" s="270"/>
      <c r="C53" s="270"/>
      <c r="D53" s="270"/>
      <c r="E53" s="270"/>
      <c r="F53" s="543"/>
      <c r="G53" s="270"/>
      <c r="H53" s="270"/>
    </row>
    <row r="54" spans="1:8">
      <c r="A54" s="270"/>
      <c r="B54" s="270"/>
      <c r="C54" s="270"/>
      <c r="D54" s="270"/>
      <c r="E54" s="270"/>
      <c r="F54" s="270"/>
      <c r="G54" s="270"/>
      <c r="H54" s="270"/>
    </row>
    <row r="55" spans="1:8">
      <c r="A55" s="270"/>
      <c r="B55" s="270"/>
      <c r="C55" s="270"/>
      <c r="D55" s="270"/>
      <c r="E55" s="270"/>
      <c r="F55" s="270"/>
      <c r="G55" s="270"/>
      <c r="H55" s="270"/>
    </row>
    <row r="56" spans="1:8">
      <c r="A56" s="270"/>
      <c r="B56" s="270"/>
      <c r="C56" s="270"/>
      <c r="D56" s="270"/>
      <c r="E56" s="270"/>
      <c r="F56" s="270"/>
      <c r="G56" s="270"/>
      <c r="H56" s="270"/>
    </row>
    <row r="57" spans="1:8">
      <c r="A57" s="270"/>
      <c r="B57" s="270"/>
      <c r="C57" s="270"/>
      <c r="D57" s="270"/>
      <c r="E57" s="270"/>
      <c r="F57" s="270"/>
      <c r="G57" s="270"/>
      <c r="H57" s="270"/>
    </row>
    <row r="58" spans="1:8">
      <c r="A58" s="270"/>
      <c r="B58" s="270"/>
      <c r="C58" s="270"/>
      <c r="D58" s="270"/>
      <c r="E58" s="270"/>
      <c r="F58" s="270"/>
      <c r="G58" s="270"/>
      <c r="H58" s="270"/>
    </row>
    <row r="59" spans="1:8">
      <c r="A59" s="270"/>
      <c r="B59" s="270"/>
      <c r="C59" s="270"/>
      <c r="D59" s="270"/>
      <c r="E59" s="270"/>
      <c r="F59" s="270"/>
      <c r="G59" s="270"/>
      <c r="H59" s="270"/>
    </row>
    <row r="60" spans="1:8">
      <c r="A60" s="270"/>
      <c r="B60" s="270"/>
      <c r="C60" s="270"/>
      <c r="D60" s="270"/>
      <c r="E60" s="270"/>
      <c r="F60" s="270"/>
      <c r="G60" s="270"/>
      <c r="H60" s="270"/>
    </row>
    <row r="61" spans="1:8">
      <c r="A61" s="270"/>
      <c r="B61" s="270"/>
      <c r="C61" s="270"/>
      <c r="D61" s="270"/>
      <c r="E61" s="270"/>
      <c r="F61" s="270"/>
      <c r="G61" s="270"/>
      <c r="H61" s="270"/>
    </row>
    <row r="62" spans="1:8">
      <c r="A62" s="270"/>
      <c r="B62" s="270"/>
      <c r="C62" s="270"/>
      <c r="D62" s="270"/>
      <c r="E62" s="270"/>
      <c r="F62" s="270"/>
      <c r="G62" s="270"/>
      <c r="H62" s="270"/>
    </row>
    <row r="63" spans="1:8">
      <c r="A63" s="270"/>
      <c r="B63" s="270"/>
      <c r="C63" s="270"/>
      <c r="D63" s="270"/>
      <c r="E63" s="270"/>
      <c r="F63" s="270"/>
      <c r="G63" s="270"/>
      <c r="H63" s="270"/>
    </row>
    <row r="64" spans="1:8">
      <c r="A64" s="270"/>
      <c r="B64" s="270"/>
      <c r="C64" s="270"/>
      <c r="D64" s="270"/>
      <c r="E64" s="270"/>
      <c r="F64" s="270"/>
      <c r="G64" s="270"/>
      <c r="H64" s="270"/>
    </row>
    <row r="65" spans="1:8">
      <c r="A65" s="270"/>
      <c r="B65" s="270"/>
      <c r="C65" s="270"/>
      <c r="D65" s="270"/>
      <c r="E65" s="270"/>
      <c r="F65" s="270"/>
      <c r="G65" s="270"/>
      <c r="H65" s="270"/>
    </row>
    <row r="66" spans="1:8">
      <c r="A66" s="270"/>
      <c r="B66" s="270"/>
      <c r="C66" s="270"/>
      <c r="D66" s="270"/>
      <c r="E66" s="270"/>
      <c r="F66" s="270"/>
      <c r="G66" s="270"/>
      <c r="H66" s="270"/>
    </row>
    <row r="67" spans="1:8">
      <c r="A67" s="270"/>
      <c r="B67" s="270"/>
      <c r="C67" s="270"/>
      <c r="D67" s="270"/>
      <c r="E67" s="270"/>
      <c r="F67" s="270"/>
      <c r="G67" s="270"/>
      <c r="H67" s="270"/>
    </row>
    <row r="68" spans="1:8">
      <c r="A68" s="270"/>
      <c r="B68" s="270"/>
      <c r="C68" s="270"/>
      <c r="D68" s="270"/>
      <c r="E68" s="270"/>
      <c r="F68" s="270"/>
      <c r="G68" s="270"/>
      <c r="H68" s="270"/>
    </row>
    <row r="69" spans="1:8">
      <c r="A69" s="270"/>
      <c r="B69" s="270"/>
      <c r="C69" s="270"/>
      <c r="D69" s="270"/>
      <c r="E69" s="270"/>
      <c r="F69" s="270"/>
      <c r="G69" s="270"/>
      <c r="H69" s="270"/>
    </row>
    <row r="70" spans="1:8">
      <c r="A70" s="270"/>
      <c r="B70" s="270"/>
      <c r="C70" s="270"/>
      <c r="D70" s="270"/>
      <c r="E70" s="270"/>
      <c r="F70" s="270"/>
      <c r="G70" s="270"/>
      <c r="H70" s="270"/>
    </row>
    <row r="71" spans="1:8">
      <c r="A71" s="270"/>
      <c r="B71" s="270"/>
      <c r="C71" s="270"/>
      <c r="D71" s="270"/>
      <c r="E71" s="270"/>
      <c r="F71" s="270"/>
      <c r="G71" s="270"/>
      <c r="H71" s="270"/>
    </row>
    <row r="72" spans="1:8">
      <c r="A72" s="270"/>
      <c r="B72" s="270"/>
      <c r="C72" s="270"/>
      <c r="D72" s="270"/>
      <c r="E72" s="270"/>
      <c r="F72" s="270"/>
      <c r="G72" s="270"/>
      <c r="H72" s="270"/>
    </row>
    <row r="73" spans="1:8">
      <c r="A73" s="270"/>
      <c r="B73" s="270"/>
      <c r="C73" s="270"/>
      <c r="D73" s="270"/>
      <c r="E73" s="270"/>
      <c r="F73" s="270"/>
      <c r="G73" s="270"/>
      <c r="H73" s="270"/>
    </row>
    <row r="74" spans="1:8">
      <c r="A74" s="270"/>
      <c r="B74" s="270"/>
      <c r="C74" s="270"/>
      <c r="D74" s="270"/>
      <c r="E74" s="270"/>
      <c r="F74" s="270"/>
      <c r="G74" s="270"/>
      <c r="H74" s="270"/>
    </row>
    <row r="75" spans="1:8">
      <c r="A75" s="270"/>
      <c r="B75" s="270"/>
      <c r="C75" s="270"/>
      <c r="D75" s="270"/>
      <c r="E75" s="270"/>
      <c r="F75" s="270"/>
      <c r="G75" s="270"/>
      <c r="H75" s="270"/>
    </row>
    <row r="76" spans="1:8">
      <c r="A76" s="270"/>
      <c r="B76" s="270"/>
      <c r="C76" s="270"/>
      <c r="D76" s="270"/>
      <c r="E76" s="270"/>
      <c r="F76" s="270"/>
      <c r="G76" s="270"/>
      <c r="H76" s="270"/>
    </row>
    <row r="77" spans="1:8">
      <c r="A77" s="270"/>
      <c r="B77" s="270"/>
      <c r="C77" s="270"/>
      <c r="D77" s="270"/>
      <c r="E77" s="270"/>
      <c r="F77" s="270"/>
      <c r="G77" s="270"/>
      <c r="H77" s="270"/>
    </row>
    <row r="78" spans="1:8">
      <c r="A78" s="270"/>
      <c r="B78" s="270"/>
      <c r="C78" s="270"/>
      <c r="D78" s="270"/>
      <c r="E78" s="270"/>
      <c r="F78" s="270"/>
      <c r="G78" s="270"/>
      <c r="H78" s="270"/>
    </row>
    <row r="79" spans="1:8">
      <c r="A79" s="270"/>
      <c r="B79" s="270"/>
      <c r="C79" s="270"/>
      <c r="D79" s="270"/>
      <c r="E79" s="270"/>
      <c r="F79" s="270"/>
      <c r="G79" s="270"/>
      <c r="H79" s="270"/>
    </row>
    <row r="80" spans="1:8">
      <c r="A80" s="270"/>
      <c r="B80" s="270"/>
      <c r="C80" s="270"/>
      <c r="D80" s="270"/>
      <c r="E80" s="270"/>
      <c r="F80" s="270"/>
      <c r="G80" s="270"/>
      <c r="H80" s="270"/>
    </row>
    <row r="81" spans="1:8">
      <c r="A81" s="270"/>
      <c r="B81" s="270"/>
      <c r="C81" s="270"/>
      <c r="D81" s="270"/>
      <c r="E81" s="270"/>
      <c r="F81" s="270"/>
      <c r="G81" s="270"/>
      <c r="H81" s="270"/>
    </row>
    <row r="82" spans="1:8">
      <c r="A82" s="270"/>
      <c r="B82" s="270"/>
      <c r="C82" s="270"/>
      <c r="D82" s="270"/>
      <c r="E82" s="270"/>
      <c r="F82" s="270"/>
      <c r="G82" s="270"/>
      <c r="H82" s="270"/>
    </row>
    <row r="83" spans="1:8">
      <c r="A83" s="270"/>
      <c r="B83" s="270"/>
      <c r="C83" s="270"/>
      <c r="D83" s="270"/>
      <c r="E83" s="270"/>
      <c r="F83" s="270"/>
      <c r="G83" s="270"/>
      <c r="H83" s="270"/>
    </row>
    <row r="84" spans="1:8">
      <c r="A84" s="270"/>
      <c r="B84" s="270"/>
      <c r="C84" s="270"/>
      <c r="D84" s="270"/>
      <c r="E84" s="270"/>
      <c r="F84" s="270"/>
      <c r="G84" s="270"/>
      <c r="H84" s="270"/>
    </row>
    <row r="85" spans="1:8">
      <c r="A85" s="270"/>
      <c r="B85" s="270"/>
      <c r="C85" s="270"/>
      <c r="D85" s="270"/>
      <c r="E85" s="270"/>
      <c r="F85" s="270"/>
      <c r="G85" s="270"/>
      <c r="H85" s="270"/>
    </row>
    <row r="86" spans="1:8">
      <c r="A86" s="270"/>
      <c r="B86" s="270"/>
      <c r="C86" s="270"/>
      <c r="D86" s="270"/>
      <c r="E86" s="270"/>
      <c r="F86" s="270"/>
      <c r="G86" s="270"/>
      <c r="H86" s="270"/>
    </row>
    <row r="87" spans="1:8">
      <c r="A87" s="270"/>
      <c r="B87" s="270"/>
      <c r="C87" s="270"/>
      <c r="D87" s="270"/>
      <c r="E87" s="270"/>
      <c r="F87" s="270"/>
      <c r="G87" s="270"/>
      <c r="H87" s="270"/>
    </row>
    <row r="88" spans="1:8">
      <c r="A88" s="270"/>
      <c r="B88" s="270"/>
      <c r="C88" s="270"/>
      <c r="D88" s="270"/>
      <c r="E88" s="270"/>
      <c r="F88" s="270"/>
      <c r="G88" s="270"/>
      <c r="H88" s="270"/>
    </row>
    <row r="89" spans="1:8">
      <c r="A89" s="270"/>
      <c r="B89" s="270"/>
      <c r="C89" s="270"/>
      <c r="D89" s="270"/>
      <c r="E89" s="270"/>
      <c r="F89" s="270"/>
      <c r="G89" s="270"/>
      <c r="H89" s="270"/>
    </row>
    <row r="90" spans="1:8">
      <c r="A90" s="270"/>
      <c r="B90" s="270"/>
      <c r="C90" s="270"/>
      <c r="D90" s="270"/>
      <c r="E90" s="270"/>
      <c r="F90" s="270"/>
      <c r="G90" s="270"/>
      <c r="H90" s="270"/>
    </row>
    <row r="91" spans="1:8">
      <c r="A91" s="270"/>
      <c r="B91" s="270"/>
      <c r="C91" s="270"/>
      <c r="D91" s="270"/>
      <c r="E91" s="270"/>
      <c r="F91" s="270"/>
      <c r="G91" s="270"/>
      <c r="H91" s="270"/>
    </row>
    <row r="92" spans="1:8">
      <c r="A92" s="270"/>
      <c r="B92" s="270"/>
      <c r="C92" s="270"/>
      <c r="D92" s="270"/>
      <c r="E92" s="270"/>
      <c r="F92" s="270"/>
      <c r="G92" s="270"/>
      <c r="H92" s="270"/>
    </row>
    <row r="93" spans="1:8">
      <c r="A93" s="270"/>
      <c r="B93" s="270"/>
      <c r="C93" s="270"/>
      <c r="D93" s="270"/>
      <c r="E93" s="270"/>
      <c r="F93" s="270"/>
      <c r="G93" s="270"/>
      <c r="H93" s="270"/>
    </row>
    <row r="94" spans="1:8">
      <c r="A94" s="270"/>
      <c r="B94" s="270"/>
      <c r="C94" s="270"/>
      <c r="D94" s="270"/>
      <c r="E94" s="270"/>
      <c r="F94" s="270"/>
      <c r="G94" s="270"/>
      <c r="H94" s="270"/>
    </row>
    <row r="95" spans="1:8">
      <c r="A95" s="270"/>
      <c r="B95" s="270"/>
      <c r="C95" s="270"/>
      <c r="D95" s="270"/>
      <c r="E95" s="270"/>
      <c r="F95" s="270"/>
      <c r="G95" s="270"/>
      <c r="H95" s="270"/>
    </row>
    <row r="96" spans="1:8">
      <c r="A96" s="270"/>
      <c r="B96" s="270"/>
      <c r="C96" s="270"/>
      <c r="D96" s="270"/>
      <c r="E96" s="270"/>
      <c r="F96" s="270"/>
      <c r="G96" s="270"/>
      <c r="H96" s="270"/>
    </row>
    <row r="97" spans="1:8">
      <c r="A97" s="270"/>
      <c r="B97" s="270"/>
      <c r="C97" s="270"/>
      <c r="D97" s="270"/>
      <c r="E97" s="270"/>
      <c r="F97" s="270"/>
      <c r="G97" s="270"/>
      <c r="H97" s="270"/>
    </row>
    <row r="98" spans="1:8">
      <c r="A98" s="270"/>
      <c r="B98" s="270"/>
      <c r="C98" s="270"/>
      <c r="D98" s="270"/>
      <c r="E98" s="270"/>
      <c r="F98" s="270"/>
      <c r="G98" s="270"/>
      <c r="H98" s="270"/>
    </row>
    <row r="99" spans="1:8">
      <c r="A99" s="270"/>
      <c r="B99" s="270"/>
      <c r="C99" s="270"/>
      <c r="D99" s="270"/>
      <c r="E99" s="270"/>
      <c r="F99" s="270"/>
      <c r="G99" s="270"/>
      <c r="H99" s="270"/>
    </row>
    <row r="100" spans="1:8">
      <c r="A100" s="270"/>
      <c r="B100" s="270"/>
      <c r="C100" s="270"/>
      <c r="D100" s="270"/>
      <c r="E100" s="270"/>
      <c r="F100" s="270"/>
      <c r="G100" s="270"/>
      <c r="H100" s="270"/>
    </row>
    <row r="101" spans="1:8">
      <c r="A101" s="270"/>
      <c r="B101" s="270"/>
      <c r="C101" s="270"/>
      <c r="D101" s="270"/>
      <c r="E101" s="270"/>
      <c r="F101" s="270"/>
      <c r="G101" s="270"/>
      <c r="H101" s="270"/>
    </row>
    <row r="102" spans="1:8">
      <c r="A102" s="270"/>
      <c r="B102" s="270"/>
      <c r="C102" s="270"/>
      <c r="D102" s="270"/>
      <c r="E102" s="270"/>
      <c r="F102" s="270"/>
      <c r="G102" s="270"/>
      <c r="H102" s="270"/>
    </row>
    <row r="103" spans="1:8">
      <c r="A103" s="270"/>
      <c r="B103" s="270"/>
      <c r="C103" s="270"/>
      <c r="D103" s="270"/>
      <c r="E103" s="270"/>
      <c r="F103" s="270"/>
      <c r="G103" s="270"/>
      <c r="H103" s="270"/>
    </row>
    <row r="104" spans="1:8">
      <c r="A104" s="270"/>
      <c r="B104" s="270"/>
      <c r="C104" s="270"/>
      <c r="D104" s="270"/>
      <c r="E104" s="270"/>
      <c r="F104" s="270"/>
      <c r="G104" s="270"/>
      <c r="H104" s="270"/>
    </row>
    <row r="105" spans="1:8">
      <c r="A105" s="270"/>
      <c r="B105" s="270"/>
      <c r="C105" s="270"/>
      <c r="D105" s="270"/>
      <c r="E105" s="270"/>
      <c r="F105" s="270"/>
      <c r="G105" s="270"/>
      <c r="H105" s="270"/>
    </row>
    <row r="106" spans="1:8">
      <c r="A106" s="270"/>
      <c r="B106" s="270"/>
      <c r="G106" s="270"/>
      <c r="H106" s="270"/>
    </row>
    <row r="107" spans="1:8">
      <c r="A107" s="270"/>
      <c r="B107" s="270"/>
    </row>
    <row r="108" spans="1:8">
      <c r="A108" s="270"/>
      <c r="B108" s="270"/>
    </row>
    <row r="109" spans="1:8">
      <c r="A109" s="270"/>
      <c r="B109" s="270"/>
    </row>
    <row r="110" spans="1:8">
      <c r="A110" s="270"/>
      <c r="B110" s="270"/>
    </row>
    <row r="111" spans="1:8">
      <c r="A111" s="270"/>
      <c r="B111" s="270"/>
    </row>
    <row r="112" spans="1:8">
      <c r="A112" s="270"/>
      <c r="B112" s="270"/>
    </row>
  </sheetData>
  <mergeCells count="2">
    <mergeCell ref="A50:B50"/>
    <mergeCell ref="A5:F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showGridLines="0" workbookViewId="0">
      <selection activeCell="A47" sqref="A47"/>
    </sheetView>
  </sheetViews>
  <sheetFormatPr defaultColWidth="9.140625" defaultRowHeight="15"/>
  <cols>
    <col min="1" max="1" width="52.85546875" style="165" bestFit="1" customWidth="1"/>
    <col min="2" max="2" width="1.7109375" style="165" hidden="1" customWidth="1"/>
    <col min="3" max="6" width="9" style="165" customWidth="1"/>
    <col min="7" max="16" width="10.28515625" style="165" bestFit="1" customWidth="1"/>
    <col min="17" max="16384" width="9.140625" style="165"/>
  </cols>
  <sheetData>
    <row r="1" spans="1:16">
      <c r="C1" s="127"/>
      <c r="D1" s="127"/>
      <c r="E1" s="127"/>
      <c r="F1" s="127"/>
      <c r="G1" s="127"/>
      <c r="H1" s="127"/>
      <c r="I1" s="127"/>
      <c r="J1" s="127"/>
      <c r="K1" s="127"/>
      <c r="L1" s="127"/>
      <c r="M1" s="127"/>
      <c r="N1" s="127"/>
      <c r="O1" s="127"/>
      <c r="P1" s="127"/>
    </row>
    <row r="5" spans="1:16">
      <c r="B5" s="188"/>
      <c r="C5" s="56"/>
      <c r="D5" s="56"/>
      <c r="E5" s="56"/>
      <c r="F5" s="56"/>
      <c r="G5" s="56"/>
      <c r="H5" s="56"/>
      <c r="I5" s="43"/>
      <c r="J5" s="55"/>
      <c r="K5" s="55"/>
      <c r="L5" s="55"/>
      <c r="M5" s="55"/>
      <c r="N5" s="55"/>
      <c r="O5" s="55"/>
      <c r="P5" s="55"/>
    </row>
    <row r="6" spans="1:16" ht="15.75" thickBot="1">
      <c r="A6" s="188" t="s">
        <v>1170</v>
      </c>
      <c r="B6" s="188"/>
      <c r="C6" s="56"/>
      <c r="D6" s="56"/>
      <c r="E6" s="56"/>
      <c r="F6" s="56"/>
      <c r="G6" s="44"/>
      <c r="H6" s="44"/>
      <c r="I6" s="44"/>
      <c r="J6" s="45"/>
      <c r="K6" s="45"/>
      <c r="L6" s="45"/>
      <c r="M6" s="45"/>
      <c r="N6" s="55"/>
      <c r="O6" s="55"/>
      <c r="P6" s="55"/>
    </row>
    <row r="7" spans="1:16" ht="15.75" thickBot="1">
      <c r="A7" s="2" t="s">
        <v>95</v>
      </c>
      <c r="B7" s="47"/>
      <c r="C7" s="46">
        <v>1987</v>
      </c>
      <c r="D7" s="46">
        <v>1988</v>
      </c>
      <c r="E7" s="46">
        <v>1989</v>
      </c>
      <c r="F7" s="46">
        <v>1990</v>
      </c>
      <c r="G7" s="46">
        <v>1991</v>
      </c>
      <c r="H7" s="46">
        <v>1992</v>
      </c>
      <c r="I7" s="46">
        <v>1993</v>
      </c>
      <c r="J7" s="46">
        <v>1994</v>
      </c>
      <c r="K7" s="46">
        <v>1995</v>
      </c>
      <c r="L7" s="46">
        <v>1996</v>
      </c>
      <c r="M7" s="46">
        <v>1997</v>
      </c>
      <c r="N7" s="46">
        <v>1998</v>
      </c>
      <c r="O7" s="47">
        <v>1999</v>
      </c>
      <c r="P7" s="48">
        <v>2000</v>
      </c>
    </row>
    <row r="8" spans="1:16">
      <c r="A8" s="49" t="s">
        <v>1027</v>
      </c>
      <c r="B8" s="130"/>
      <c r="C8" s="128">
        <v>4022</v>
      </c>
      <c r="D8" s="128">
        <v>4654</v>
      </c>
      <c r="E8" s="128">
        <v>5060</v>
      </c>
      <c r="F8" s="128">
        <v>5535</v>
      </c>
      <c r="G8" s="128">
        <v>5184</v>
      </c>
      <c r="H8" s="128">
        <v>5278</v>
      </c>
      <c r="I8" s="128">
        <v>5702</v>
      </c>
      <c r="J8" s="128">
        <v>5681</v>
      </c>
      <c r="K8" s="128">
        <v>5936</v>
      </c>
      <c r="L8" s="128">
        <v>5515</v>
      </c>
      <c r="M8" s="128">
        <v>5777</v>
      </c>
      <c r="N8" s="129">
        <v>6718</v>
      </c>
      <c r="O8" s="129">
        <v>7605</v>
      </c>
      <c r="P8" s="1">
        <v>6706</v>
      </c>
    </row>
    <row r="9" spans="1:16">
      <c r="A9" s="49" t="s">
        <v>43</v>
      </c>
      <c r="B9" s="129"/>
      <c r="C9" s="170">
        <v>160</v>
      </c>
      <c r="D9" s="170">
        <v>138</v>
      </c>
      <c r="E9" s="170">
        <v>249</v>
      </c>
      <c r="F9" s="170">
        <v>451</v>
      </c>
      <c r="G9" s="170">
        <v>485</v>
      </c>
      <c r="H9" s="170">
        <v>620</v>
      </c>
      <c r="I9" s="170">
        <v>632</v>
      </c>
      <c r="J9" s="170">
        <v>492</v>
      </c>
      <c r="K9" s="170">
        <v>639</v>
      </c>
      <c r="L9" s="170">
        <v>766</v>
      </c>
      <c r="M9" s="170">
        <v>1025</v>
      </c>
      <c r="N9" s="130">
        <v>1210</v>
      </c>
      <c r="O9" s="130">
        <v>1205</v>
      </c>
      <c r="P9" s="166">
        <v>1331</v>
      </c>
    </row>
    <row r="10" spans="1:16">
      <c r="A10" s="49" t="s">
        <v>44</v>
      </c>
      <c r="B10" s="129"/>
      <c r="C10" s="128">
        <v>1163</v>
      </c>
      <c r="D10" s="128">
        <v>1261</v>
      </c>
      <c r="E10" s="128">
        <v>1249</v>
      </c>
      <c r="F10" s="128">
        <v>1309</v>
      </c>
      <c r="G10" s="128">
        <v>1152</v>
      </c>
      <c r="H10" s="128">
        <v>1091</v>
      </c>
      <c r="I10" s="128">
        <v>1080</v>
      </c>
      <c r="J10" s="128">
        <v>763</v>
      </c>
      <c r="K10" s="128">
        <v>740</v>
      </c>
      <c r="L10" s="128">
        <v>780</v>
      </c>
      <c r="M10" s="128">
        <v>740</v>
      </c>
      <c r="N10" s="129">
        <v>693</v>
      </c>
      <c r="O10" s="129">
        <v>696</v>
      </c>
      <c r="P10" s="1">
        <v>709</v>
      </c>
    </row>
    <row r="11" spans="1:16">
      <c r="A11" s="49" t="s">
        <v>45</v>
      </c>
      <c r="B11" s="130"/>
      <c r="C11" s="170">
        <v>128</v>
      </c>
      <c r="D11" s="170">
        <v>754</v>
      </c>
      <c r="E11" s="170">
        <v>904</v>
      </c>
      <c r="F11" s="170">
        <v>950</v>
      </c>
      <c r="G11" s="170">
        <v>993</v>
      </c>
      <c r="H11" s="170">
        <v>1116</v>
      </c>
      <c r="I11" s="170">
        <v>1190</v>
      </c>
      <c r="J11" s="170">
        <v>1256</v>
      </c>
      <c r="K11" s="170">
        <v>1192</v>
      </c>
      <c r="L11" s="170">
        <v>1116</v>
      </c>
      <c r="M11" s="170">
        <v>1003</v>
      </c>
      <c r="N11" s="130">
        <v>900</v>
      </c>
      <c r="O11" s="130">
        <v>742</v>
      </c>
      <c r="P11" s="166">
        <v>940</v>
      </c>
    </row>
    <row r="12" spans="1:16">
      <c r="A12" s="49" t="s">
        <v>8</v>
      </c>
      <c r="B12" s="129"/>
      <c r="C12" s="128">
        <v>3368</v>
      </c>
      <c r="D12" s="128">
        <v>9373</v>
      </c>
      <c r="E12" s="128">
        <v>10314</v>
      </c>
      <c r="F12" s="128">
        <v>10930</v>
      </c>
      <c r="G12" s="128">
        <v>9679</v>
      </c>
      <c r="H12" s="128">
        <v>10013</v>
      </c>
      <c r="I12" s="128">
        <v>11865</v>
      </c>
      <c r="J12" s="128">
        <v>11884</v>
      </c>
      <c r="K12" s="128">
        <v>11909</v>
      </c>
      <c r="L12" s="128">
        <v>13080</v>
      </c>
      <c r="M12" s="128">
        <v>12806</v>
      </c>
      <c r="N12" s="129">
        <v>12145</v>
      </c>
      <c r="O12" s="129">
        <v>12277</v>
      </c>
      <c r="P12" s="1">
        <v>10879</v>
      </c>
    </row>
    <row r="13" spans="1:16">
      <c r="A13" s="49" t="s">
        <v>53</v>
      </c>
      <c r="B13" s="129"/>
      <c r="C13" s="170">
        <v>9920</v>
      </c>
      <c r="D13" s="170">
        <v>8466</v>
      </c>
      <c r="E13" s="170">
        <v>8945</v>
      </c>
      <c r="F13" s="170">
        <v>9183</v>
      </c>
      <c r="G13" s="170">
        <v>8817</v>
      </c>
      <c r="H13" s="170">
        <v>8196</v>
      </c>
      <c r="I13" s="170">
        <v>6703</v>
      </c>
      <c r="J13" s="170">
        <v>6990</v>
      </c>
      <c r="K13" s="170">
        <v>7637</v>
      </c>
      <c r="L13" s="170">
        <v>8867</v>
      </c>
      <c r="M13" s="170">
        <v>8182</v>
      </c>
      <c r="N13" s="130">
        <v>7911</v>
      </c>
      <c r="O13" s="130">
        <v>8184</v>
      </c>
      <c r="P13" s="166">
        <v>8604</v>
      </c>
    </row>
    <row r="14" spans="1:16">
      <c r="A14" s="49" t="s">
        <v>196</v>
      </c>
      <c r="B14" s="130"/>
      <c r="C14" s="128">
        <v>628</v>
      </c>
      <c r="D14" s="128">
        <v>1415</v>
      </c>
      <c r="E14" s="128">
        <v>1728</v>
      </c>
      <c r="F14" s="128">
        <v>1898</v>
      </c>
      <c r="G14" s="128">
        <v>1619</v>
      </c>
      <c r="H14" s="128">
        <v>1741</v>
      </c>
      <c r="I14" s="128">
        <v>1640</v>
      </c>
      <c r="J14" s="128">
        <v>1724</v>
      </c>
      <c r="K14" s="128">
        <v>2011</v>
      </c>
      <c r="L14" s="128">
        <v>2721</v>
      </c>
      <c r="M14" s="128">
        <v>2434</v>
      </c>
      <c r="N14" s="129">
        <v>1963</v>
      </c>
      <c r="O14" s="129">
        <v>2767</v>
      </c>
      <c r="P14" s="1">
        <v>2243</v>
      </c>
    </row>
    <row r="15" spans="1:16">
      <c r="A15" s="49" t="s">
        <v>10</v>
      </c>
      <c r="B15" s="130"/>
      <c r="C15" s="170">
        <v>2911</v>
      </c>
      <c r="D15" s="170">
        <v>3036</v>
      </c>
      <c r="E15" s="170">
        <v>3404</v>
      </c>
      <c r="F15" s="170">
        <v>3262</v>
      </c>
      <c r="G15" s="170">
        <v>2983</v>
      </c>
      <c r="H15" s="170">
        <v>2841</v>
      </c>
      <c r="I15" s="170">
        <v>3858</v>
      </c>
      <c r="J15" s="170">
        <v>3169</v>
      </c>
      <c r="K15" s="170">
        <v>3498</v>
      </c>
      <c r="L15" s="170">
        <v>3698</v>
      </c>
      <c r="M15" s="170">
        <v>4534</v>
      </c>
      <c r="N15" s="130">
        <v>5705</v>
      </c>
      <c r="O15" s="130">
        <v>5219</v>
      </c>
      <c r="P15" s="166">
        <v>5038</v>
      </c>
    </row>
    <row r="16" spans="1:16">
      <c r="A16" s="49" t="s">
        <v>63</v>
      </c>
      <c r="B16" s="129"/>
      <c r="C16" s="128">
        <v>401</v>
      </c>
      <c r="D16" s="128">
        <v>593</v>
      </c>
      <c r="E16" s="128">
        <v>500</v>
      </c>
      <c r="F16" s="128">
        <v>494</v>
      </c>
      <c r="G16" s="128">
        <v>500</v>
      </c>
      <c r="H16" s="128">
        <v>498</v>
      </c>
      <c r="I16" s="128">
        <v>457</v>
      </c>
      <c r="J16" s="128">
        <v>530</v>
      </c>
      <c r="K16" s="128">
        <v>472</v>
      </c>
      <c r="L16" s="128">
        <v>595</v>
      </c>
      <c r="M16" s="128">
        <v>686</v>
      </c>
      <c r="N16" s="129">
        <v>677</v>
      </c>
      <c r="O16" s="129">
        <v>756</v>
      </c>
      <c r="P16" s="1">
        <v>698</v>
      </c>
    </row>
    <row r="17" spans="1:16" ht="15.75" thickBot="1">
      <c r="A17" s="49" t="s">
        <v>48</v>
      </c>
      <c r="B17" s="130"/>
      <c r="C17" s="170">
        <v>720</v>
      </c>
      <c r="D17" s="170">
        <v>858</v>
      </c>
      <c r="E17" s="170">
        <v>863</v>
      </c>
      <c r="F17" s="170">
        <v>820</v>
      </c>
      <c r="G17" s="170">
        <v>903</v>
      </c>
      <c r="H17" s="170">
        <v>860</v>
      </c>
      <c r="I17" s="170">
        <v>916</v>
      </c>
      <c r="J17" s="170">
        <v>1040</v>
      </c>
      <c r="K17" s="170">
        <v>1157</v>
      </c>
      <c r="L17" s="170">
        <v>1304</v>
      </c>
      <c r="M17" s="170">
        <v>1478</v>
      </c>
      <c r="N17" s="130">
        <v>1457</v>
      </c>
      <c r="O17" s="130">
        <v>2002</v>
      </c>
      <c r="P17" s="166">
        <v>1880</v>
      </c>
    </row>
    <row r="18" spans="1:16" ht="16.5" thickTop="1" thickBot="1">
      <c r="A18" s="288" t="s">
        <v>1072</v>
      </c>
      <c r="B18" s="267"/>
      <c r="C18" s="267">
        <f t="shared" ref="C18:O18" si="0">SUM(C8:C17)</f>
        <v>23421</v>
      </c>
      <c r="D18" s="267">
        <f t="shared" si="0"/>
        <v>30548</v>
      </c>
      <c r="E18" s="267">
        <f t="shared" si="0"/>
        <v>33216</v>
      </c>
      <c r="F18" s="267">
        <f t="shared" si="0"/>
        <v>34832</v>
      </c>
      <c r="G18" s="267">
        <f t="shared" si="0"/>
        <v>32315</v>
      </c>
      <c r="H18" s="267">
        <f t="shared" si="0"/>
        <v>32254</v>
      </c>
      <c r="I18" s="267">
        <f t="shared" si="0"/>
        <v>34043</v>
      </c>
      <c r="J18" s="267">
        <f t="shared" si="0"/>
        <v>33529</v>
      </c>
      <c r="K18" s="267">
        <f t="shared" si="0"/>
        <v>35191</v>
      </c>
      <c r="L18" s="267">
        <f t="shared" si="0"/>
        <v>38442</v>
      </c>
      <c r="M18" s="267">
        <f t="shared" si="0"/>
        <v>38665</v>
      </c>
      <c r="N18" s="267">
        <f t="shared" si="0"/>
        <v>39379</v>
      </c>
      <c r="O18" s="267">
        <f t="shared" si="0"/>
        <v>41453</v>
      </c>
      <c r="P18" s="268">
        <f>SUM(P8:P17)</f>
        <v>39028</v>
      </c>
    </row>
    <row r="19" spans="1:16">
      <c r="A19" s="675" t="s">
        <v>190</v>
      </c>
      <c r="B19" s="39"/>
      <c r="C19" s="39"/>
      <c r="D19" s="39"/>
      <c r="E19" s="39"/>
      <c r="F19" s="39"/>
      <c r="G19" s="41"/>
      <c r="H19" s="41"/>
      <c r="I19" s="41"/>
      <c r="J19" s="42"/>
      <c r="K19" s="42"/>
      <c r="L19" s="42"/>
      <c r="M19" s="42"/>
      <c r="N19" s="40"/>
      <c r="O19" s="40"/>
      <c r="P19" s="40"/>
    </row>
    <row r="99" spans="1:2">
      <c r="A99" s="133" t="s">
        <v>185</v>
      </c>
      <c r="B99" s="133"/>
    </row>
    <row r="100" spans="1:2">
      <c r="A100" s="133" t="s">
        <v>186</v>
      </c>
      <c r="B100" s="133"/>
    </row>
    <row r="236" spans="2:2">
      <c r="B236" s="165">
        <v>63.54</v>
      </c>
    </row>
    <row r="237" spans="2:2">
      <c r="B237" s="165">
        <v>63.86</v>
      </c>
    </row>
    <row r="238" spans="2:2">
      <c r="B238" s="165">
        <v>63.7</v>
      </c>
    </row>
    <row r="239" spans="2:2">
      <c r="B239" s="165">
        <v>64.67</v>
      </c>
    </row>
    <row r="240" spans="2:2">
      <c r="B240" s="165">
        <v>65.03</v>
      </c>
    </row>
    <row r="241" spans="1:2">
      <c r="A241" s="202"/>
      <c r="B241" s="202">
        <v>64.67</v>
      </c>
    </row>
    <row r="242" spans="1:2">
      <c r="A242" s="202"/>
      <c r="B242" s="202">
        <v>65.260000000000005</v>
      </c>
    </row>
    <row r="243" spans="1:2">
      <c r="A243" s="202"/>
      <c r="B243" s="202">
        <v>66.599999999999994</v>
      </c>
    </row>
    <row r="244" spans="1:2">
      <c r="A244" s="202"/>
      <c r="B244" s="202">
        <v>66.28</v>
      </c>
    </row>
    <row r="245" spans="1:2">
      <c r="A245" s="202"/>
      <c r="B245" s="202">
        <v>65.11</v>
      </c>
    </row>
    <row r="246" spans="1:2">
      <c r="A246" s="202"/>
      <c r="B246" s="202">
        <v>64.040000000000006</v>
      </c>
    </row>
    <row r="247" spans="1:2">
      <c r="A247" s="202"/>
      <c r="B247" s="202">
        <v>64.569999999999993</v>
      </c>
    </row>
  </sheetData>
  <dataValidations count="1">
    <dataValidation type="list" allowBlank="1" showInputMessage="1" showErrorMessage="1" sqref="B7">
      <formula1>$A$99:$A$100</formula1>
    </dataValidation>
  </dataValidations>
  <pageMargins left="0.7" right="0.7" top="0.75" bottom="0.75" header="0.3" footer="0.3"/>
  <ignoredErrors>
    <ignoredError sqref="C18:P18" formulaRange="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ColWidth="8.85546875" defaultRowHeight="15"/>
  <sheetData>
    <row r="1" spans="1:1">
      <c r="A1">
        <v>2017</v>
      </c>
    </row>
    <row r="2" spans="1:1">
      <c r="A2">
        <v>2018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ColWidth="8.85546875" defaultRowHeight="15"/>
  <sheetData>
    <row r="1" spans="1:34" ht="13.5" customHeight="1">
      <c r="A1" s="41">
        <v>1987</v>
      </c>
      <c r="B1" s="41">
        <v>1988</v>
      </c>
      <c r="C1" s="41">
        <v>1989</v>
      </c>
      <c r="D1" s="41">
        <v>1990</v>
      </c>
      <c r="E1" s="41">
        <v>1991</v>
      </c>
      <c r="F1" s="41">
        <v>1992</v>
      </c>
      <c r="G1" s="41">
        <v>1993</v>
      </c>
      <c r="H1" s="41">
        <v>1994</v>
      </c>
      <c r="I1" s="41">
        <v>1995</v>
      </c>
      <c r="J1" s="41">
        <v>1996</v>
      </c>
      <c r="K1" s="41">
        <v>1997</v>
      </c>
      <c r="L1" s="41">
        <v>1998</v>
      </c>
      <c r="M1" s="42">
        <v>1999</v>
      </c>
      <c r="N1" s="42">
        <v>2000</v>
      </c>
      <c r="O1" s="42">
        <v>2001</v>
      </c>
      <c r="P1" s="42">
        <v>2002</v>
      </c>
      <c r="Q1" s="42">
        <v>2003</v>
      </c>
      <c r="R1" s="42">
        <v>2004</v>
      </c>
      <c r="S1" s="42">
        <v>2005</v>
      </c>
      <c r="T1" s="42">
        <v>2006</v>
      </c>
      <c r="U1" s="42">
        <v>2007</v>
      </c>
      <c r="V1" s="42">
        <v>2008</v>
      </c>
      <c r="W1" s="42">
        <v>2009</v>
      </c>
      <c r="X1" s="42">
        <v>2010</v>
      </c>
      <c r="Y1" s="42">
        <v>2011</v>
      </c>
      <c r="Z1" s="42">
        <v>2012</v>
      </c>
      <c r="AA1" s="42">
        <v>2013</v>
      </c>
      <c r="AB1" s="42">
        <v>2014</v>
      </c>
      <c r="AC1" s="42">
        <v>2015</v>
      </c>
      <c r="AD1" s="42">
        <v>2016</v>
      </c>
      <c r="AE1" s="42">
        <v>2017</v>
      </c>
      <c r="AF1" s="42">
        <v>2018</v>
      </c>
      <c r="AG1" s="42">
        <v>2019</v>
      </c>
      <c r="AH1" s="42">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51" t="s">
        <v>42</v>
      </c>
    </row>
    <row r="13" spans="1:34">
      <c r="A13" s="52" t="s">
        <v>43</v>
      </c>
    </row>
    <row r="14" spans="1:34">
      <c r="A14" s="52" t="s">
        <v>44</v>
      </c>
    </row>
    <row r="15" spans="1:34">
      <c r="A15" s="52" t="s">
        <v>45</v>
      </c>
    </row>
    <row r="16" spans="1:34">
      <c r="A16" s="51" t="s">
        <v>8</v>
      </c>
    </row>
    <row r="17" spans="1:1">
      <c r="A17" s="52" t="s">
        <v>49</v>
      </c>
    </row>
    <row r="18" spans="1:1">
      <c r="A18" s="52" t="s">
        <v>53</v>
      </c>
    </row>
    <row r="19" spans="1:1">
      <c r="A19" s="52" t="s">
        <v>57</v>
      </c>
    </row>
    <row r="20" spans="1:1">
      <c r="A20" s="52" t="s">
        <v>10</v>
      </c>
    </row>
    <row r="21" spans="1:1">
      <c r="A21" s="51" t="s">
        <v>63</v>
      </c>
    </row>
    <row r="22" spans="1:1">
      <c r="A22" s="52" t="s">
        <v>65</v>
      </c>
    </row>
    <row r="23" spans="1:1">
      <c r="A23" s="51" t="s">
        <v>67</v>
      </c>
    </row>
    <row r="24" spans="1:1">
      <c r="A24" s="51" t="s">
        <v>68</v>
      </c>
    </row>
    <row r="25" spans="1:1">
      <c r="A25" s="51" t="s">
        <v>69</v>
      </c>
    </row>
    <row r="26" spans="1:1">
      <c r="A26" s="51" t="s">
        <v>70</v>
      </c>
    </row>
    <row r="27" spans="1:1">
      <c r="A27" s="51" t="s">
        <v>71</v>
      </c>
    </row>
    <row r="28" spans="1:1">
      <c r="A28" s="51" t="s">
        <v>72</v>
      </c>
    </row>
    <row r="29" spans="1:1">
      <c r="A29" s="51" t="s">
        <v>73</v>
      </c>
    </row>
    <row r="30" spans="1:1">
      <c r="A30" s="51" t="s">
        <v>41</v>
      </c>
    </row>
    <row r="31" spans="1:1">
      <c r="A31" s="51" t="s">
        <v>74</v>
      </c>
    </row>
    <row r="32" spans="1:1">
      <c r="A32" s="51" t="s">
        <v>75</v>
      </c>
    </row>
    <row r="33" spans="1:1">
      <c r="A33" s="51" t="s">
        <v>76</v>
      </c>
    </row>
    <row r="34" spans="1:1">
      <c r="A34" s="51" t="s">
        <v>77</v>
      </c>
    </row>
    <row r="35" spans="1:1">
      <c r="A35" s="51" t="s">
        <v>78</v>
      </c>
    </row>
    <row r="36" spans="1:1">
      <c r="A36" s="51" t="s">
        <v>79</v>
      </c>
    </row>
    <row r="37" spans="1:1">
      <c r="A37" s="51" t="s">
        <v>80</v>
      </c>
    </row>
    <row r="38" spans="1:1">
      <c r="A38" s="51" t="s">
        <v>81</v>
      </c>
    </row>
    <row r="39" spans="1:1">
      <c r="A39" s="51" t="s">
        <v>48</v>
      </c>
    </row>
    <row r="40" spans="1:1">
      <c r="A40" s="38"/>
    </row>
    <row r="41" spans="1:1">
      <c r="A41" s="5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showGridLines="0" workbookViewId="0">
      <selection activeCell="B48" sqref="B48"/>
    </sheetView>
  </sheetViews>
  <sheetFormatPr defaultColWidth="9.140625" defaultRowHeight="15"/>
  <cols>
    <col min="1" max="1" width="17.7109375" style="165" customWidth="1"/>
    <col min="2" max="2" width="44" style="165" customWidth="1"/>
    <col min="3" max="8" width="9.140625" style="165"/>
    <col min="9" max="9" width="13.28515625" style="165" bestFit="1" customWidth="1"/>
    <col min="10" max="11" width="9.140625" style="165"/>
    <col min="12" max="12" width="16" style="165" customWidth="1"/>
    <col min="13" max="16384" width="9.140625" style="165"/>
  </cols>
  <sheetData>
    <row r="1" spans="1:25">
      <c r="Y1" s="165" t="s">
        <v>284</v>
      </c>
    </row>
    <row r="2" spans="1:25">
      <c r="Y2" s="165" t="s">
        <v>285</v>
      </c>
    </row>
    <row r="3" spans="1:25">
      <c r="Y3" s="165" t="s">
        <v>286</v>
      </c>
    </row>
    <row r="4" spans="1:25">
      <c r="Y4" s="165" t="s">
        <v>285</v>
      </c>
    </row>
    <row r="8" spans="1:25" ht="15.75" thickBot="1"/>
    <row r="9" spans="1:25" ht="15.75" thickBot="1">
      <c r="A9" s="134"/>
      <c r="H9" s="1005" t="s">
        <v>99</v>
      </c>
      <c r="I9" s="1006"/>
      <c r="J9" s="1006"/>
      <c r="K9" s="1006"/>
      <c r="L9" s="1007"/>
    </row>
    <row r="10" spans="1:25" ht="15.75" thickBot="1">
      <c r="H10" s="1008" t="s">
        <v>285</v>
      </c>
      <c r="I10" s="1009"/>
      <c r="J10" s="1009"/>
      <c r="K10" s="1009"/>
      <c r="L10" s="1010"/>
    </row>
    <row r="11" spans="1:25">
      <c r="H11" s="1011" t="s">
        <v>100</v>
      </c>
      <c r="I11" s="1011"/>
      <c r="J11" s="1011"/>
      <c r="K11" s="1011"/>
      <c r="L11" s="1011"/>
    </row>
    <row r="12" spans="1:25" ht="15.75" thickBot="1">
      <c r="A12" s="134"/>
    </row>
    <row r="13" spans="1:25" ht="15.75" thickBot="1">
      <c r="H13" s="139" t="s">
        <v>193</v>
      </c>
      <c r="I13" s="1014" t="s">
        <v>285</v>
      </c>
      <c r="J13" s="1014"/>
      <c r="K13" s="1014"/>
      <c r="L13" s="1015"/>
    </row>
    <row r="15" spans="1:25">
      <c r="H15" s="1012" t="s">
        <v>285</v>
      </c>
      <c r="I15" s="1013"/>
      <c r="J15" s="1013"/>
      <c r="K15" s="1013"/>
      <c r="L15" s="1013"/>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showGridLines="0" workbookViewId="0">
      <selection activeCell="A81" sqref="A81"/>
    </sheetView>
  </sheetViews>
  <sheetFormatPr defaultColWidth="9.140625" defaultRowHeight="15"/>
  <cols>
    <col min="1" max="1" width="73" style="165" bestFit="1" customWidth="1"/>
    <col min="2" max="2" width="19.28515625" style="165" customWidth="1"/>
    <col min="3" max="4" width="13.85546875" style="165" bestFit="1" customWidth="1"/>
    <col min="5" max="5" width="13" style="165" customWidth="1"/>
    <col min="6" max="6" width="11.140625" style="165" bestFit="1" customWidth="1"/>
    <col min="7" max="14" width="9.140625" style="165"/>
    <col min="15" max="15" width="10" style="165" bestFit="1" customWidth="1"/>
    <col min="16" max="16384" width="9.140625" style="165"/>
  </cols>
  <sheetData>
    <row r="1" spans="1:14">
      <c r="A1" s="165" t="s">
        <v>47</v>
      </c>
      <c r="C1" s="89"/>
    </row>
    <row r="2" spans="1:14">
      <c r="C2" s="89"/>
    </row>
    <row r="3" spans="1:14">
      <c r="C3" s="89"/>
    </row>
    <row r="4" spans="1:14">
      <c r="A4" s="53"/>
      <c r="C4" s="89"/>
    </row>
    <row r="5" spans="1:14">
      <c r="C5" s="89"/>
    </row>
    <row r="6" spans="1:14" ht="15.75" thickBot="1">
      <c r="A6" s="1016" t="s">
        <v>1409</v>
      </c>
      <c r="B6" s="1016"/>
      <c r="C6" s="89"/>
      <c r="K6" s="181"/>
    </row>
    <row r="7" spans="1:14">
      <c r="A7" s="108" t="s">
        <v>1188</v>
      </c>
      <c r="B7" s="109" t="s">
        <v>164</v>
      </c>
      <c r="C7" s="483"/>
      <c r="K7" s="197"/>
    </row>
    <row r="8" spans="1:14">
      <c r="A8" s="37" t="s">
        <v>154</v>
      </c>
      <c r="B8" s="995">
        <v>209645</v>
      </c>
      <c r="C8" s="794"/>
      <c r="K8" s="197"/>
      <c r="M8" s="167"/>
      <c r="N8" s="167"/>
    </row>
    <row r="9" spans="1:14">
      <c r="A9" s="112" t="s">
        <v>165</v>
      </c>
      <c r="B9" s="996">
        <v>186171</v>
      </c>
      <c r="C9" s="794"/>
      <c r="D9"/>
      <c r="E9" s="180"/>
      <c r="J9" s="167"/>
      <c r="K9" s="181"/>
    </row>
    <row r="10" spans="1:14">
      <c r="A10" s="37" t="s">
        <v>166</v>
      </c>
      <c r="B10" s="995">
        <v>23474</v>
      </c>
      <c r="C10" s="794"/>
      <c r="D10"/>
      <c r="E10" s="180"/>
    </row>
    <row r="11" spans="1:14">
      <c r="A11" s="110" t="s">
        <v>1187</v>
      </c>
      <c r="B11" s="278" t="s">
        <v>164</v>
      </c>
      <c r="C11" s="206"/>
      <c r="D11" s="180"/>
      <c r="E11" s="180"/>
    </row>
    <row r="12" spans="1:14">
      <c r="A12" s="112" t="s">
        <v>53</v>
      </c>
      <c r="B12" s="996">
        <v>154733</v>
      </c>
      <c r="C12" s="720"/>
      <c r="D12" s="234"/>
      <c r="E12" s="180"/>
    </row>
    <row r="13" spans="1:14">
      <c r="A13" s="37" t="s">
        <v>8</v>
      </c>
      <c r="B13" s="995">
        <v>16574</v>
      </c>
      <c r="C13" s="720"/>
      <c r="D13" s="234"/>
      <c r="E13" s="180"/>
      <c r="K13" s="167"/>
      <c r="L13" s="167"/>
      <c r="M13" s="167"/>
      <c r="N13" s="167"/>
    </row>
    <row r="14" spans="1:14">
      <c r="A14" s="112" t="s">
        <v>1410</v>
      </c>
      <c r="B14" s="996">
        <v>15780</v>
      </c>
      <c r="C14" s="483"/>
      <c r="D14" s="234"/>
      <c r="E14" s="180"/>
    </row>
    <row r="15" spans="1:14">
      <c r="A15" s="37" t="s">
        <v>760</v>
      </c>
      <c r="B15" s="995">
        <v>5565</v>
      </c>
      <c r="C15" s="720"/>
      <c r="D15" s="234"/>
      <c r="E15" s="180"/>
      <c r="K15" s="167"/>
    </row>
    <row r="16" spans="1:14">
      <c r="A16" s="112" t="s">
        <v>1411</v>
      </c>
      <c r="B16" s="996">
        <v>4278</v>
      </c>
      <c r="C16" s="720"/>
      <c r="D16" s="234"/>
      <c r="E16" s="180"/>
    </row>
    <row r="17" spans="1:10">
      <c r="A17" s="110" t="s">
        <v>1186</v>
      </c>
      <c r="B17" s="278" t="s">
        <v>167</v>
      </c>
      <c r="C17" s="206"/>
    </row>
    <row r="18" spans="1:10">
      <c r="A18" s="37" t="s">
        <v>154</v>
      </c>
      <c r="B18" s="998">
        <v>97.390390199999999</v>
      </c>
      <c r="C18" s="92"/>
      <c r="D18" s="216"/>
      <c r="E18" s="167"/>
    </row>
    <row r="19" spans="1:10">
      <c r="A19" s="112" t="s">
        <v>168</v>
      </c>
      <c r="B19" s="999">
        <v>130.173</v>
      </c>
      <c r="C19" s="206"/>
      <c r="E19" s="167"/>
      <c r="F19" s="167"/>
      <c r="G19" s="205"/>
      <c r="J19" s="205"/>
    </row>
    <row r="20" spans="1:10">
      <c r="A20" s="37" t="s">
        <v>169</v>
      </c>
      <c r="B20" s="260">
        <f>B18/B19</f>
        <v>0.74816121776405242</v>
      </c>
      <c r="C20" s="206"/>
      <c r="E20" s="167"/>
      <c r="G20" s="205"/>
    </row>
    <row r="21" spans="1:10">
      <c r="A21" s="110" t="s">
        <v>1185</v>
      </c>
      <c r="B21" s="278" t="s">
        <v>913</v>
      </c>
      <c r="C21" s="206"/>
      <c r="E21" s="167"/>
    </row>
    <row r="22" spans="1:10">
      <c r="A22" s="114" t="s">
        <v>154</v>
      </c>
      <c r="B22" s="645">
        <v>69182.197227261524</v>
      </c>
      <c r="C22" s="206"/>
      <c r="D22" s="161"/>
    </row>
    <row r="23" spans="1:10">
      <c r="A23" s="261" t="s">
        <v>170</v>
      </c>
      <c r="B23" s="1000">
        <v>136744.12674000001</v>
      </c>
      <c r="C23" s="206"/>
      <c r="D23" s="274"/>
      <c r="E23" s="275"/>
    </row>
    <row r="24" spans="1:10">
      <c r="A24" s="112" t="s">
        <v>169</v>
      </c>
      <c r="B24" s="113">
        <f>B22/B23</f>
        <v>0.50592445084535054</v>
      </c>
      <c r="C24" s="206"/>
      <c r="E24" s="276"/>
    </row>
    <row r="25" spans="1:10">
      <c r="A25" s="110" t="s">
        <v>1182</v>
      </c>
      <c r="B25" s="278" t="s">
        <v>164</v>
      </c>
      <c r="C25" s="206"/>
    </row>
    <row r="26" spans="1:10">
      <c r="A26" s="262" t="s">
        <v>154</v>
      </c>
      <c r="B26" s="644">
        <v>222148</v>
      </c>
      <c r="C26" s="240"/>
    </row>
    <row r="27" spans="1:10">
      <c r="A27" s="112" t="s">
        <v>168</v>
      </c>
      <c r="B27" s="645">
        <v>395937</v>
      </c>
      <c r="C27" s="240"/>
    </row>
    <row r="28" spans="1:10">
      <c r="A28" s="37" t="s">
        <v>171</v>
      </c>
      <c r="B28" s="263">
        <f>B26/B27</f>
        <v>0.56106905896645176</v>
      </c>
      <c r="C28" s="53"/>
    </row>
    <row r="29" spans="1:10">
      <c r="A29" s="264" t="s">
        <v>1060</v>
      </c>
      <c r="B29" s="113">
        <f>(Exports!C30/Exports!B30)</f>
        <v>0.93545661769481159</v>
      </c>
      <c r="C29" s="206"/>
    </row>
    <row r="30" spans="1:10">
      <c r="A30" s="110" t="s">
        <v>1183</v>
      </c>
      <c r="B30" s="278" t="s">
        <v>164</v>
      </c>
      <c r="C30" s="206"/>
    </row>
    <row r="31" spans="1:10">
      <c r="A31" s="262" t="s">
        <v>154</v>
      </c>
      <c r="B31" s="644">
        <v>208380</v>
      </c>
      <c r="C31" s="206"/>
    </row>
    <row r="32" spans="1:10">
      <c r="A32" s="112" t="s">
        <v>168</v>
      </c>
      <c r="B32" s="645">
        <v>309748</v>
      </c>
      <c r="C32" s="240"/>
      <c r="D32" s="115"/>
    </row>
    <row r="33" spans="1:8">
      <c r="A33" s="262" t="s">
        <v>171</v>
      </c>
      <c r="B33" s="263">
        <f>B31/B32</f>
        <v>0.6727404212456578</v>
      </c>
      <c r="C33" s="206"/>
    </row>
    <row r="34" spans="1:8">
      <c r="A34" s="110" t="s">
        <v>41</v>
      </c>
      <c r="B34" s="278" t="s">
        <v>164</v>
      </c>
      <c r="C34" s="206"/>
      <c r="F34" s="205"/>
    </row>
    <row r="35" spans="1:8">
      <c r="A35" s="112" t="s">
        <v>154</v>
      </c>
      <c r="B35" s="645">
        <v>2052.1</v>
      </c>
      <c r="C35" s="241"/>
      <c r="F35" s="205"/>
    </row>
    <row r="36" spans="1:8">
      <c r="A36" s="36" t="s">
        <v>170</v>
      </c>
      <c r="B36" s="997">
        <v>3161.7000000000003</v>
      </c>
      <c r="C36" s="241"/>
      <c r="F36" s="205"/>
    </row>
    <row r="37" spans="1:8">
      <c r="A37" s="112" t="s">
        <v>171</v>
      </c>
      <c r="B37" s="113">
        <f>B35/B36</f>
        <v>0.64904956194452346</v>
      </c>
      <c r="C37" s="241"/>
    </row>
    <row r="38" spans="1:8">
      <c r="A38" s="110" t="s">
        <v>1181</v>
      </c>
      <c r="B38" s="278" t="s">
        <v>164</v>
      </c>
      <c r="C38" s="206"/>
      <c r="H38" s="253"/>
    </row>
    <row r="39" spans="1:8">
      <c r="A39" s="36" t="s">
        <v>154</v>
      </c>
      <c r="B39" s="997">
        <v>441.9</v>
      </c>
      <c r="C39" s="241"/>
      <c r="H39" s="253"/>
    </row>
    <row r="40" spans="1:8">
      <c r="A40" s="112" t="s">
        <v>170</v>
      </c>
      <c r="B40" s="645">
        <v>999.6</v>
      </c>
      <c r="C40" s="241"/>
      <c r="H40" s="253"/>
    </row>
    <row r="41" spans="1:8">
      <c r="A41" s="36" t="s">
        <v>171</v>
      </c>
      <c r="B41" s="111">
        <f>B39/B40</f>
        <v>0.44207683073229287</v>
      </c>
      <c r="C41" s="241"/>
      <c r="H41" s="253"/>
    </row>
    <row r="42" spans="1:8">
      <c r="A42" s="110" t="s">
        <v>1180</v>
      </c>
      <c r="B42" s="278" t="s">
        <v>164</v>
      </c>
      <c r="C42" s="206"/>
    </row>
    <row r="43" spans="1:8">
      <c r="A43" s="112" t="s">
        <v>154</v>
      </c>
      <c r="B43" s="645">
        <v>29247</v>
      </c>
      <c r="C43" s="638"/>
      <c r="D43" s="182"/>
      <c r="H43" s="252"/>
    </row>
    <row r="44" spans="1:8">
      <c r="A44" s="36" t="s">
        <v>170</v>
      </c>
      <c r="B44" s="997">
        <v>125724</v>
      </c>
      <c r="D44" s="182"/>
    </row>
    <row r="45" spans="1:8">
      <c r="A45" s="112" t="s">
        <v>171</v>
      </c>
      <c r="B45" s="113">
        <f>B43/B44</f>
        <v>0.23262861506156343</v>
      </c>
      <c r="C45" s="241"/>
    </row>
    <row r="46" spans="1:8">
      <c r="A46" s="110" t="s">
        <v>35</v>
      </c>
      <c r="B46" s="278" t="s">
        <v>164</v>
      </c>
      <c r="C46" s="206"/>
    </row>
    <row r="47" spans="1:8">
      <c r="A47" s="36" t="s">
        <v>154</v>
      </c>
      <c r="B47" s="997">
        <v>20584</v>
      </c>
      <c r="C47" s="241"/>
    </row>
    <row r="48" spans="1:8">
      <c r="A48" s="112" t="s">
        <v>170</v>
      </c>
      <c r="B48" s="645">
        <v>35514</v>
      </c>
      <c r="C48" s="722"/>
    </row>
    <row r="49" spans="1:8">
      <c r="A49" s="36" t="s">
        <v>171</v>
      </c>
      <c r="B49" s="111">
        <f>B47/B48</f>
        <v>0.57960241031705806</v>
      </c>
      <c r="C49" s="241"/>
    </row>
    <row r="50" spans="1:8" s="298" customFormat="1">
      <c r="A50" s="112" t="s">
        <v>1059</v>
      </c>
      <c r="B50" s="341">
        <f>B47/B43</f>
        <v>0.70379868020651692</v>
      </c>
      <c r="C50" s="241"/>
    </row>
    <row r="51" spans="1:8" s="298" customFormat="1">
      <c r="A51" s="110" t="s">
        <v>1184</v>
      </c>
      <c r="B51" s="278" t="s">
        <v>164</v>
      </c>
      <c r="C51" s="241"/>
    </row>
    <row r="52" spans="1:8" s="298" customFormat="1">
      <c r="A52" s="262" t="s">
        <v>1311</v>
      </c>
      <c r="B52" s="644">
        <v>113168</v>
      </c>
      <c r="C52" s="241"/>
    </row>
    <row r="53" spans="1:8" s="298" customFormat="1">
      <c r="A53" s="112" t="s">
        <v>1310</v>
      </c>
      <c r="B53" s="645">
        <v>202441</v>
      </c>
      <c r="C53" s="241"/>
    </row>
    <row r="54" spans="1:8" s="298" customFormat="1">
      <c r="A54" s="262" t="s">
        <v>171</v>
      </c>
      <c r="B54" s="646">
        <f>B52/B53</f>
        <v>0.55901719513339687</v>
      </c>
      <c r="C54" s="241"/>
    </row>
    <row r="55" spans="1:8">
      <c r="A55" s="112" t="s">
        <v>1308</v>
      </c>
      <c r="B55" s="645">
        <v>292284</v>
      </c>
      <c r="C55" s="206"/>
    </row>
    <row r="56" spans="1:8">
      <c r="A56" s="262" t="s">
        <v>1309</v>
      </c>
      <c r="B56" s="644">
        <v>1947118</v>
      </c>
      <c r="C56" s="206"/>
    </row>
    <row r="57" spans="1:8" ht="15.75" thickBot="1">
      <c r="A57" s="342" t="s">
        <v>1201</v>
      </c>
      <c r="B57" s="647">
        <f>B52/B55</f>
        <v>0.38718506657908064</v>
      </c>
      <c r="C57" s="206"/>
      <c r="E57" s="167"/>
      <c r="H57" s="162"/>
    </row>
    <row r="58" spans="1:8">
      <c r="C58" s="242"/>
      <c r="H58" s="162"/>
    </row>
    <row r="59" spans="1:8">
      <c r="A59" s="1017"/>
      <c r="B59" s="1017"/>
      <c r="C59" s="89"/>
      <c r="H59" s="162"/>
    </row>
    <row r="60" spans="1:8">
      <c r="A60" s="1018"/>
      <c r="B60" s="1018"/>
      <c r="C60" s="89"/>
      <c r="H60" s="162"/>
    </row>
    <row r="63" spans="1:8">
      <c r="E63" s="180"/>
    </row>
    <row r="64" spans="1:8">
      <c r="E64" s="180"/>
    </row>
    <row r="239" spans="2:2">
      <c r="B239" s="202">
        <v>63.54</v>
      </c>
    </row>
    <row r="240" spans="2:2">
      <c r="B240" s="202">
        <v>63.86</v>
      </c>
    </row>
    <row r="241" spans="1:2">
      <c r="B241" s="202">
        <v>63.7</v>
      </c>
    </row>
    <row r="242" spans="1:2">
      <c r="B242" s="202">
        <v>64.67</v>
      </c>
    </row>
    <row r="243" spans="1:2">
      <c r="B243" s="202">
        <v>65.03</v>
      </c>
    </row>
    <row r="244" spans="1:2">
      <c r="A244" s="202"/>
      <c r="B244" s="202">
        <v>64.67</v>
      </c>
    </row>
    <row r="245" spans="1:2">
      <c r="A245" s="202"/>
      <c r="B245" s="202">
        <v>65.260000000000005</v>
      </c>
    </row>
    <row r="246" spans="1:2">
      <c r="A246" s="202"/>
      <c r="B246" s="202">
        <v>66.599999999999994</v>
      </c>
    </row>
    <row r="247" spans="1:2">
      <c r="A247" s="202"/>
      <c r="B247" s="202">
        <v>66.28</v>
      </c>
    </row>
    <row r="248" spans="1:2">
      <c r="A248" s="202"/>
      <c r="B248" s="202">
        <v>65.11</v>
      </c>
    </row>
    <row r="249" spans="1:2">
      <c r="A249" s="202"/>
      <c r="B249" s="202">
        <v>64.040000000000006</v>
      </c>
    </row>
    <row r="250" spans="1:2">
      <c r="A250" s="202"/>
      <c r="B250" s="202">
        <v>64.569999999999993</v>
      </c>
    </row>
  </sheetData>
  <mergeCells count="3">
    <mergeCell ref="A6:B6"/>
    <mergeCell ref="A59:B59"/>
    <mergeCell ref="A60:B6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308"/>
  <sheetViews>
    <sheetView showGridLines="0" zoomScaleNormal="100" workbookViewId="0">
      <selection activeCell="B349" sqref="B349"/>
    </sheetView>
  </sheetViews>
  <sheetFormatPr defaultColWidth="9.140625" defaultRowHeight="15"/>
  <cols>
    <col min="1" max="1" width="9.140625" style="165"/>
    <col min="2" max="2" width="11.140625" style="165" customWidth="1"/>
    <col min="3" max="3" width="11" style="165" customWidth="1"/>
    <col min="4" max="4" width="9.140625" style="298"/>
    <col min="5" max="5" width="10.5703125" style="165" customWidth="1"/>
    <col min="6" max="6" width="13.5703125" style="165" customWidth="1"/>
    <col min="7" max="16384" width="9.140625" style="165"/>
  </cols>
  <sheetData>
    <row r="5" spans="1:7" s="298" customFormat="1"/>
    <row r="6" spans="1:7" ht="15.75" thickBot="1">
      <c r="A6" s="1020" t="s">
        <v>1055</v>
      </c>
      <c r="B6" s="1020"/>
      <c r="C6" s="1020"/>
      <c r="D6" s="4"/>
      <c r="E6" s="1019" t="s">
        <v>25</v>
      </c>
      <c r="F6" s="1019"/>
      <c r="G6" s="1019"/>
    </row>
    <row r="7" spans="1:7">
      <c r="A7" s="430" t="s">
        <v>1054</v>
      </c>
      <c r="B7" s="429" t="s">
        <v>1112</v>
      </c>
      <c r="C7" s="428" t="s">
        <v>1049</v>
      </c>
      <c r="D7" s="3"/>
      <c r="E7" s="359" t="s">
        <v>1054</v>
      </c>
      <c r="F7" s="427" t="s">
        <v>1112</v>
      </c>
      <c r="G7" s="428" t="s">
        <v>1049</v>
      </c>
    </row>
    <row r="8" spans="1:7">
      <c r="A8" s="12">
        <v>35247</v>
      </c>
      <c r="B8" s="392">
        <v>0.77310000000000001</v>
      </c>
      <c r="C8" s="393"/>
      <c r="E8" s="12">
        <f>LARGE(A$8:A$547,24)</f>
        <v>43647</v>
      </c>
      <c r="F8" s="386">
        <f t="shared" ref="F8:F31" si="0">SUMIF(A$8:A$547,E8,B$8:B$547)</f>
        <v>0.69789999999999996</v>
      </c>
      <c r="G8" s="387">
        <f t="shared" ref="G8:G31" si="1">SUMIF(A$8:A$547,E8,C$8:C$547)</f>
        <v>59.5</v>
      </c>
    </row>
    <row r="9" spans="1:7">
      <c r="A9" s="12">
        <v>35278</v>
      </c>
      <c r="B9" s="389">
        <v>0.79090000000000005</v>
      </c>
      <c r="C9" s="394"/>
      <c r="E9" s="12">
        <f>LARGE(A$8:A$547,23)</f>
        <v>43678</v>
      </c>
      <c r="F9" s="384">
        <f t="shared" si="0"/>
        <v>0.67669999999999997</v>
      </c>
      <c r="G9" s="385">
        <f t="shared" si="1"/>
        <v>58.9</v>
      </c>
    </row>
    <row r="10" spans="1:7">
      <c r="A10" s="12">
        <v>35309</v>
      </c>
      <c r="B10" s="392">
        <v>0.79239999999999999</v>
      </c>
      <c r="C10" s="393"/>
      <c r="E10" s="12">
        <f>LARGE(A$8:A$547,22)</f>
        <v>43709</v>
      </c>
      <c r="F10" s="386">
        <f t="shared" si="0"/>
        <v>0.68679999999999997</v>
      </c>
      <c r="G10" s="387">
        <f t="shared" si="1"/>
        <v>59.2</v>
      </c>
    </row>
    <row r="11" spans="1:7">
      <c r="A11" s="12">
        <v>35339</v>
      </c>
      <c r="B11" s="389">
        <v>0.79189999999999994</v>
      </c>
      <c r="C11" s="394"/>
      <c r="E11" s="12">
        <f>LARGE(A$8:A$547,21)</f>
        <v>43739</v>
      </c>
      <c r="F11" s="384">
        <f t="shared" si="0"/>
        <v>0.67979999999999996</v>
      </c>
      <c r="G11" s="385">
        <f t="shared" si="1"/>
        <v>60</v>
      </c>
    </row>
    <row r="12" spans="1:7">
      <c r="A12" s="12">
        <v>35370</v>
      </c>
      <c r="B12" s="392">
        <v>0.80959999999999999</v>
      </c>
      <c r="C12" s="393"/>
      <c r="E12" s="12">
        <f>LARGE(A$8:A$547,20)</f>
        <v>43770</v>
      </c>
      <c r="F12" s="386">
        <f t="shared" si="0"/>
        <v>0.68259999999999998</v>
      </c>
      <c r="G12" s="387">
        <f t="shared" si="1"/>
        <v>59</v>
      </c>
    </row>
    <row r="13" spans="1:7">
      <c r="A13" s="12">
        <v>35400</v>
      </c>
      <c r="B13" s="389">
        <v>0.7965000000000001</v>
      </c>
      <c r="C13" s="394"/>
      <c r="E13" s="12">
        <f>LARGE(A$8:A$547,19)</f>
        <v>43800</v>
      </c>
      <c r="F13" s="384">
        <f t="shared" si="0"/>
        <v>0.68889999999999996</v>
      </c>
      <c r="G13" s="385">
        <f t="shared" si="1"/>
        <v>60.3</v>
      </c>
    </row>
    <row r="14" spans="1:7">
      <c r="A14" s="12">
        <v>35431</v>
      </c>
      <c r="B14" s="392">
        <v>0.76200000000000001</v>
      </c>
      <c r="C14" s="393"/>
      <c r="E14" s="12">
        <f>LARGE(A$8:A$547,18)</f>
        <v>43831</v>
      </c>
      <c r="F14" s="386">
        <f t="shared" si="0"/>
        <v>0.68610000000000004</v>
      </c>
      <c r="G14" s="387">
        <f t="shared" si="1"/>
        <v>58.1</v>
      </c>
    </row>
    <row r="15" spans="1:7">
      <c r="A15" s="12">
        <v>35462</v>
      </c>
      <c r="B15" s="389">
        <v>0.77579999999999993</v>
      </c>
      <c r="C15" s="394"/>
      <c r="E15" s="12">
        <f>LARGE(A$8:A$547,17)</f>
        <v>43862</v>
      </c>
      <c r="F15" s="384">
        <f t="shared" si="0"/>
        <v>0.66649999999999998</v>
      </c>
      <c r="G15" s="385">
        <f t="shared" si="1"/>
        <v>57</v>
      </c>
    </row>
    <row r="16" spans="1:7">
      <c r="A16" s="12">
        <v>35490</v>
      </c>
      <c r="B16" s="392">
        <v>0.78650000000000009</v>
      </c>
      <c r="C16" s="393"/>
      <c r="E16" s="12">
        <f>LARGE(A$8:A$547,16)</f>
        <v>43891</v>
      </c>
      <c r="F16" s="386">
        <f t="shared" si="0"/>
        <v>0.62150000000000005</v>
      </c>
      <c r="G16" s="387">
        <f t="shared" si="1"/>
        <v>54.7</v>
      </c>
    </row>
    <row r="17" spans="1:15">
      <c r="A17" s="12">
        <v>35521</v>
      </c>
      <c r="B17" s="389">
        <v>0.78110000000000002</v>
      </c>
      <c r="C17" s="394"/>
      <c r="E17" s="12">
        <f>LARGE(A$8:A$547,15)</f>
        <v>43922</v>
      </c>
      <c r="F17" s="384">
        <f t="shared" si="0"/>
        <v>0.63109999999999999</v>
      </c>
      <c r="G17" s="385">
        <f t="shared" si="1"/>
        <v>57.8</v>
      </c>
    </row>
    <row r="18" spans="1:15">
      <c r="A18" s="12">
        <v>35551</v>
      </c>
      <c r="B18" s="392">
        <v>0.76129999999999998</v>
      </c>
      <c r="C18" s="393"/>
      <c r="E18" s="12">
        <f>LARGE(A$8:A$547,14)</f>
        <v>43952</v>
      </c>
      <c r="F18" s="386">
        <f t="shared" si="0"/>
        <v>0.65180000000000005</v>
      </c>
      <c r="G18" s="387">
        <f t="shared" si="1"/>
        <v>58.8</v>
      </c>
    </row>
    <row r="19" spans="1:15">
      <c r="A19" s="12">
        <v>35582</v>
      </c>
      <c r="B19" s="389">
        <v>0.74549999999999994</v>
      </c>
      <c r="C19" s="394"/>
      <c r="E19" s="12">
        <f>LARGE(A$8:A$547,13)</f>
        <v>43983</v>
      </c>
      <c r="F19" s="384">
        <f t="shared" si="0"/>
        <v>0.69020000000000004</v>
      </c>
      <c r="G19" s="385">
        <f t="shared" si="1"/>
        <v>60</v>
      </c>
    </row>
    <row r="20" spans="1:15">
      <c r="A20" s="12">
        <v>35612</v>
      </c>
      <c r="B20" s="392">
        <v>0.74519999999999997</v>
      </c>
      <c r="C20" s="393">
        <v>57.195650000000001</v>
      </c>
      <c r="E20" s="12">
        <f>LARGE(A$8:A$547,12)</f>
        <v>44013</v>
      </c>
      <c r="F20" s="388">
        <f t="shared" si="0"/>
        <v>0.70350000000000001</v>
      </c>
      <c r="G20" s="387">
        <f t="shared" si="1"/>
        <v>61.9</v>
      </c>
    </row>
    <row r="21" spans="1:15">
      <c r="A21" s="12">
        <v>35643</v>
      </c>
      <c r="B21" s="389">
        <v>0.73439999999999994</v>
      </c>
      <c r="C21" s="394">
        <v>58.433329999999998</v>
      </c>
      <c r="E21" s="12">
        <f>LARGE(A$8:A$547,11)</f>
        <v>44044</v>
      </c>
      <c r="F21" s="389">
        <f t="shared" si="0"/>
        <v>0.72009999999999996</v>
      </c>
      <c r="G21" s="385">
        <f t="shared" si="1"/>
        <v>62.6</v>
      </c>
    </row>
    <row r="22" spans="1:15">
      <c r="A22" s="12">
        <v>35674</v>
      </c>
      <c r="B22" s="392">
        <v>0.7198</v>
      </c>
      <c r="C22" s="393">
        <v>57.722729999999999</v>
      </c>
      <c r="E22" s="12">
        <f>LARGE(A$8:A$547,10)</f>
        <v>44075</v>
      </c>
      <c r="F22" s="388">
        <f t="shared" si="0"/>
        <v>0.72270000000000001</v>
      </c>
      <c r="G22" s="387">
        <f t="shared" si="1"/>
        <v>60.7</v>
      </c>
    </row>
    <row r="23" spans="1:15">
      <c r="A23" s="12">
        <v>35704</v>
      </c>
      <c r="B23" s="389">
        <v>0.7036</v>
      </c>
      <c r="C23" s="394">
        <v>58.143479999999997</v>
      </c>
      <c r="E23" s="12">
        <f>LARGE(A$8:A$547,9)</f>
        <v>44105</v>
      </c>
      <c r="F23" s="389">
        <f t="shared" si="0"/>
        <v>0.71240000000000003</v>
      </c>
      <c r="G23" s="385">
        <f t="shared" si="1"/>
        <v>59.5</v>
      </c>
    </row>
    <row r="24" spans="1:15">
      <c r="A24" s="12">
        <v>35735</v>
      </c>
      <c r="B24" s="392">
        <v>0.68030000000000002</v>
      </c>
      <c r="C24" s="393">
        <v>57.034999999999997</v>
      </c>
      <c r="E24" s="12">
        <f>LARGE(A$8:A$547,8)</f>
        <v>44136</v>
      </c>
      <c r="F24" s="388">
        <f t="shared" si="0"/>
        <v>0.72819999999999996</v>
      </c>
      <c r="G24" s="387">
        <f t="shared" si="1"/>
        <v>61.5</v>
      </c>
    </row>
    <row r="25" spans="1:15">
      <c r="A25" s="12">
        <v>35765</v>
      </c>
      <c r="B25" s="389">
        <v>0.65269999999999995</v>
      </c>
      <c r="C25" s="394">
        <v>57.890479999999997</v>
      </c>
      <c r="E25" s="12">
        <f>LARGE(A$8:A$547,7)</f>
        <v>44166</v>
      </c>
      <c r="F25" s="389">
        <f t="shared" si="0"/>
        <v>0.75380000000000003</v>
      </c>
      <c r="G25" s="385">
        <f t="shared" si="1"/>
        <v>63.4</v>
      </c>
    </row>
    <row r="26" spans="1:15">
      <c r="A26" s="12">
        <v>35796</v>
      </c>
      <c r="B26" s="392">
        <v>0.66930000000000012</v>
      </c>
      <c r="C26" s="393">
        <v>60.215000000000003</v>
      </c>
      <c r="E26" s="12">
        <f>LARGE(A$8:A$547,6)</f>
        <v>44197</v>
      </c>
      <c r="F26" s="388">
        <f t="shared" si="0"/>
        <v>0.77229999999999999</v>
      </c>
      <c r="G26" s="387">
        <f t="shared" si="1"/>
        <v>63</v>
      </c>
    </row>
    <row r="27" spans="1:15">
      <c r="A27" s="12">
        <v>35827</v>
      </c>
      <c r="B27" s="389">
        <v>0.67449999999999999</v>
      </c>
      <c r="C27" s="394">
        <v>60.77</v>
      </c>
      <c r="E27" s="12">
        <f>LARGE(A$8:A$547,5)</f>
        <v>44228</v>
      </c>
      <c r="F27" s="389">
        <f t="shared" si="0"/>
        <v>0.77549999999999997</v>
      </c>
      <c r="G27" s="385">
        <f t="shared" si="1"/>
        <v>64.5</v>
      </c>
    </row>
    <row r="28" spans="1:15">
      <c r="A28" s="12">
        <v>35855</v>
      </c>
      <c r="B28" s="392">
        <v>0.66339999999999999</v>
      </c>
      <c r="C28" s="393">
        <v>60.236359999999998</v>
      </c>
      <c r="E28" s="12">
        <f>LARGE(A$8:A$547,4)</f>
        <v>44256</v>
      </c>
      <c r="F28" s="388">
        <f t="shared" si="0"/>
        <v>0.77059999999999995</v>
      </c>
      <c r="G28" s="387">
        <f t="shared" si="1"/>
        <v>63.9</v>
      </c>
    </row>
    <row r="29" spans="1:15">
      <c r="A29" s="12">
        <v>35886</v>
      </c>
      <c r="B29" s="389">
        <v>0.64989999999999992</v>
      </c>
      <c r="C29" s="394">
        <v>58.454999999999998</v>
      </c>
      <c r="E29" s="12">
        <f>LARGE(A$8:A$547,3)</f>
        <v>44287</v>
      </c>
      <c r="F29" s="389">
        <f t="shared" si="0"/>
        <v>0.7702</v>
      </c>
      <c r="G29" s="385">
        <f t="shared" si="1"/>
        <v>64.400000000000006</v>
      </c>
    </row>
    <row r="30" spans="1:15">
      <c r="A30" s="12">
        <v>35916</v>
      </c>
      <c r="B30" s="392">
        <v>0.62360000000000004</v>
      </c>
      <c r="C30" s="393">
        <v>57.4</v>
      </c>
      <c r="E30" s="12">
        <f>LARGE(A$8:A$547,2)</f>
        <v>44317</v>
      </c>
      <c r="F30" s="388">
        <f t="shared" si="0"/>
        <v>0.77610000000000001</v>
      </c>
      <c r="G30" s="387">
        <f t="shared" si="1"/>
        <v>63.5</v>
      </c>
      <c r="O30" s="206"/>
    </row>
    <row r="31" spans="1:15" ht="15.75" thickBot="1">
      <c r="A31" s="12">
        <v>35947</v>
      </c>
      <c r="B31" s="389">
        <v>0.61350000000000005</v>
      </c>
      <c r="C31" s="394">
        <v>56.571429999999999</v>
      </c>
      <c r="E31" s="431">
        <f>LARGE(A$8:A$547,1)</f>
        <v>44348</v>
      </c>
      <c r="F31" s="390">
        <f t="shared" si="0"/>
        <v>0.76390000000000002</v>
      </c>
      <c r="G31" s="391">
        <f t="shared" si="1"/>
        <v>62.7</v>
      </c>
      <c r="M31" s="181"/>
    </row>
    <row r="32" spans="1:15">
      <c r="A32" s="12">
        <v>35977</v>
      </c>
      <c r="B32" s="392">
        <v>0.61129999999999995</v>
      </c>
      <c r="C32" s="393">
        <v>58.004350000000002</v>
      </c>
    </row>
    <row r="33" spans="1:3">
      <c r="A33" s="12">
        <v>36008</v>
      </c>
      <c r="B33" s="389">
        <v>0.56910000000000005</v>
      </c>
      <c r="C33" s="394">
        <v>55.733330000000002</v>
      </c>
    </row>
    <row r="34" spans="1:3">
      <c r="A34" s="12">
        <v>36039</v>
      </c>
      <c r="B34" s="392">
        <v>0.59450000000000003</v>
      </c>
      <c r="C34" s="393">
        <v>54.172730000000001</v>
      </c>
    </row>
    <row r="35" spans="1:3">
      <c r="A35" s="12">
        <v>36069</v>
      </c>
      <c r="B35" s="389">
        <v>0.62629999999999997</v>
      </c>
      <c r="C35" s="394">
        <v>54.386360000000003</v>
      </c>
    </row>
    <row r="36" spans="1:3">
      <c r="A36" s="12">
        <v>36100</v>
      </c>
      <c r="B36" s="392">
        <v>0.63229999999999997</v>
      </c>
      <c r="C36" s="393">
        <v>55.485709999999997</v>
      </c>
    </row>
    <row r="37" spans="1:3">
      <c r="A37" s="12">
        <v>36130</v>
      </c>
      <c r="B37" s="389">
        <v>0.6139</v>
      </c>
      <c r="C37" s="394">
        <v>53.657139999999998</v>
      </c>
    </row>
    <row r="38" spans="1:3">
      <c r="A38" s="12">
        <v>36161</v>
      </c>
      <c r="B38" s="392">
        <v>0.62860000000000005</v>
      </c>
      <c r="C38" s="393">
        <v>54.5</v>
      </c>
    </row>
    <row r="39" spans="1:3">
      <c r="A39" s="12">
        <v>36192</v>
      </c>
      <c r="B39" s="389">
        <v>0.62250000000000005</v>
      </c>
      <c r="C39" s="394">
        <v>56</v>
      </c>
    </row>
    <row r="40" spans="1:3">
      <c r="A40" s="12">
        <v>36220</v>
      </c>
      <c r="B40" s="392">
        <v>0.62929999999999997</v>
      </c>
      <c r="C40" s="393">
        <v>56</v>
      </c>
    </row>
    <row r="41" spans="1:3">
      <c r="A41" s="12">
        <v>36251</v>
      </c>
      <c r="B41" s="389">
        <v>0.65980000000000005</v>
      </c>
      <c r="C41" s="394">
        <v>57</v>
      </c>
    </row>
    <row r="42" spans="1:3">
      <c r="A42" s="12">
        <v>36281</v>
      </c>
      <c r="B42" s="392">
        <v>0.64190000000000003</v>
      </c>
      <c r="C42" s="393">
        <v>58.8</v>
      </c>
    </row>
    <row r="43" spans="1:3">
      <c r="A43" s="12">
        <v>36312</v>
      </c>
      <c r="B43" s="389">
        <v>0.65959999999999996</v>
      </c>
      <c r="C43" s="394">
        <v>58.3</v>
      </c>
    </row>
    <row r="44" spans="1:3">
      <c r="A44" s="12">
        <v>36342</v>
      </c>
      <c r="B44" s="392">
        <v>0.65200000000000002</v>
      </c>
      <c r="C44" s="393">
        <v>58.3</v>
      </c>
    </row>
    <row r="45" spans="1:3">
      <c r="A45" s="12">
        <v>36373</v>
      </c>
      <c r="B45" s="389">
        <v>0.63790000000000002</v>
      </c>
      <c r="C45" s="394">
        <v>56.6</v>
      </c>
    </row>
    <row r="46" spans="1:3">
      <c r="A46" s="12">
        <v>36404</v>
      </c>
      <c r="B46" s="392">
        <v>0.65359999999999996</v>
      </c>
      <c r="C46" s="393">
        <v>56.7</v>
      </c>
    </row>
    <row r="47" spans="1:3">
      <c r="A47" s="12">
        <v>36434</v>
      </c>
      <c r="B47" s="389">
        <v>0.64459999999999995</v>
      </c>
      <c r="C47" s="394">
        <v>56.4</v>
      </c>
    </row>
    <row r="48" spans="1:3">
      <c r="A48" s="12">
        <v>36465</v>
      </c>
      <c r="B48" s="392">
        <v>0.63759999999999994</v>
      </c>
      <c r="C48" s="393">
        <v>55.4</v>
      </c>
    </row>
    <row r="49" spans="1:3">
      <c r="A49" s="12">
        <v>36495</v>
      </c>
      <c r="B49" s="389">
        <v>0.65380000000000005</v>
      </c>
      <c r="C49" s="394">
        <v>55.4</v>
      </c>
    </row>
    <row r="50" spans="1:3">
      <c r="A50" s="12">
        <v>36526</v>
      </c>
      <c r="B50" s="392">
        <v>0.63819999999999999</v>
      </c>
      <c r="C50" s="393">
        <v>57</v>
      </c>
    </row>
    <row r="51" spans="1:3">
      <c r="A51" s="12">
        <v>36557</v>
      </c>
      <c r="B51" s="389">
        <v>0.61429999999999996</v>
      </c>
      <c r="C51" s="394">
        <v>55.5</v>
      </c>
    </row>
    <row r="52" spans="1:3">
      <c r="A52" s="12">
        <v>36586</v>
      </c>
      <c r="B52" s="392">
        <v>0.60550000000000004</v>
      </c>
      <c r="C52" s="393">
        <v>53.7</v>
      </c>
    </row>
    <row r="53" spans="1:3">
      <c r="A53" s="12">
        <v>36617</v>
      </c>
      <c r="B53" s="389">
        <v>0.59089999999999998</v>
      </c>
      <c r="C53" s="394">
        <v>52.6</v>
      </c>
    </row>
    <row r="54" spans="1:3">
      <c r="A54" s="12">
        <v>36647</v>
      </c>
      <c r="B54" s="392">
        <v>0.57350000000000001</v>
      </c>
      <c r="C54" s="393">
        <v>52</v>
      </c>
    </row>
    <row r="55" spans="1:3">
      <c r="A55" s="12">
        <v>36678</v>
      </c>
      <c r="B55" s="389">
        <v>0.59860000000000002</v>
      </c>
      <c r="C55" s="394">
        <v>52.9</v>
      </c>
    </row>
    <row r="56" spans="1:3">
      <c r="A56" s="12">
        <v>36708</v>
      </c>
      <c r="B56" s="392">
        <v>0.58220000000000005</v>
      </c>
      <c r="C56" s="393">
        <v>52.9</v>
      </c>
    </row>
    <row r="57" spans="1:3">
      <c r="A57" s="12">
        <v>36739</v>
      </c>
      <c r="B57" s="389">
        <v>0.57479999999999998</v>
      </c>
      <c r="C57" s="394">
        <v>52.6</v>
      </c>
    </row>
    <row r="58" spans="1:3">
      <c r="A58" s="12">
        <v>36770</v>
      </c>
      <c r="B58" s="392">
        <v>0.54330000000000001</v>
      </c>
      <c r="C58" s="393">
        <v>50.8</v>
      </c>
    </row>
    <row r="59" spans="1:3">
      <c r="A59" s="12">
        <v>36800</v>
      </c>
      <c r="B59" s="389">
        <v>0.51480000000000004</v>
      </c>
      <c r="C59" s="394">
        <v>49</v>
      </c>
    </row>
    <row r="60" spans="1:3">
      <c r="A60" s="12">
        <v>36831</v>
      </c>
      <c r="B60" s="392">
        <v>0.52270000000000005</v>
      </c>
      <c r="C60" s="393">
        <v>48.8</v>
      </c>
    </row>
    <row r="61" spans="1:3">
      <c r="A61" s="12">
        <v>36861</v>
      </c>
      <c r="B61" s="389">
        <v>0.55400000000000005</v>
      </c>
      <c r="C61" s="394">
        <v>50.9</v>
      </c>
    </row>
    <row r="62" spans="1:3">
      <c r="A62" s="12">
        <v>36892</v>
      </c>
      <c r="B62" s="392">
        <v>0.54659999999999997</v>
      </c>
      <c r="C62" s="393">
        <v>51.9</v>
      </c>
    </row>
    <row r="63" spans="1:3">
      <c r="A63" s="12">
        <v>36923</v>
      </c>
      <c r="B63" s="389">
        <v>0.52500000000000002</v>
      </c>
      <c r="C63" s="394">
        <v>50.1</v>
      </c>
    </row>
    <row r="64" spans="1:3">
      <c r="A64" s="12">
        <v>36951</v>
      </c>
      <c r="B64" s="392">
        <v>0.48899999999999999</v>
      </c>
      <c r="C64" s="393">
        <v>48.1</v>
      </c>
    </row>
    <row r="65" spans="1:3">
      <c r="A65" s="12">
        <v>36982</v>
      </c>
      <c r="B65" s="389">
        <v>0.50880000000000003</v>
      </c>
      <c r="C65" s="394">
        <v>48.4</v>
      </c>
    </row>
    <row r="66" spans="1:3">
      <c r="A66" s="12">
        <v>37012</v>
      </c>
      <c r="B66" s="392">
        <v>0.51</v>
      </c>
      <c r="C66" s="393">
        <v>50.1</v>
      </c>
    </row>
    <row r="67" spans="1:3">
      <c r="A67" s="12">
        <v>37043</v>
      </c>
      <c r="B67" s="389">
        <v>0.50749999999999995</v>
      </c>
      <c r="C67" s="394">
        <v>50.3</v>
      </c>
    </row>
    <row r="68" spans="1:3">
      <c r="A68" s="12">
        <v>37073</v>
      </c>
      <c r="B68" s="392">
        <v>0.50409999999999999</v>
      </c>
      <c r="C68" s="393">
        <v>49.8</v>
      </c>
    </row>
    <row r="69" spans="1:3">
      <c r="A69" s="12">
        <v>37104</v>
      </c>
      <c r="B69" s="389">
        <v>0.53420000000000001</v>
      </c>
      <c r="C69" s="394">
        <v>50</v>
      </c>
    </row>
    <row r="70" spans="1:3">
      <c r="A70" s="12">
        <v>37135</v>
      </c>
      <c r="B70" s="392">
        <v>0.49230000000000002</v>
      </c>
      <c r="C70" s="393">
        <v>48.1</v>
      </c>
    </row>
    <row r="71" spans="1:3">
      <c r="A71" s="12">
        <v>37165</v>
      </c>
      <c r="B71" s="389">
        <v>0.50529999999999997</v>
      </c>
      <c r="C71" s="394">
        <v>48.6</v>
      </c>
    </row>
    <row r="72" spans="1:3">
      <c r="A72" s="12">
        <v>37196</v>
      </c>
      <c r="B72" s="392">
        <v>0.52</v>
      </c>
      <c r="C72" s="393">
        <v>50</v>
      </c>
    </row>
    <row r="73" spans="1:3">
      <c r="A73" s="12">
        <v>37226</v>
      </c>
      <c r="B73" s="389">
        <v>0.51060000000000005</v>
      </c>
      <c r="C73" s="394">
        <v>50.1</v>
      </c>
    </row>
    <row r="74" spans="1:3">
      <c r="A74" s="12">
        <v>37257</v>
      </c>
      <c r="B74" s="392">
        <v>0.50780000000000003</v>
      </c>
      <c r="C74" s="393">
        <v>50.9</v>
      </c>
    </row>
    <row r="75" spans="1:3">
      <c r="A75" s="12">
        <v>37288</v>
      </c>
      <c r="B75" s="389">
        <v>0.51639999999999997</v>
      </c>
      <c r="C75" s="394">
        <v>50.7</v>
      </c>
    </row>
    <row r="76" spans="1:3">
      <c r="A76" s="12">
        <v>37316</v>
      </c>
      <c r="B76" s="392">
        <v>0.53159999999999996</v>
      </c>
      <c r="C76" s="393">
        <v>51.4</v>
      </c>
    </row>
    <row r="77" spans="1:3">
      <c r="A77" s="12">
        <v>37347</v>
      </c>
      <c r="B77" s="389">
        <v>0.53969999999999996</v>
      </c>
      <c r="C77" s="394">
        <v>52.3</v>
      </c>
    </row>
    <row r="78" spans="1:3">
      <c r="A78" s="12">
        <v>37377</v>
      </c>
      <c r="B78" s="392">
        <v>0.56740000000000002</v>
      </c>
      <c r="C78" s="393">
        <v>52.6</v>
      </c>
    </row>
    <row r="79" spans="1:3">
      <c r="A79" s="12">
        <v>37408</v>
      </c>
      <c r="B79" s="389">
        <v>0.56479999999999997</v>
      </c>
      <c r="C79" s="394">
        <v>53.4</v>
      </c>
    </row>
    <row r="80" spans="1:3">
      <c r="A80" s="12">
        <v>37438</v>
      </c>
      <c r="B80" s="392">
        <v>0.54779999999999995</v>
      </c>
      <c r="C80" s="393">
        <v>51.2</v>
      </c>
    </row>
    <row r="81" spans="1:3">
      <c r="A81" s="12">
        <v>37469</v>
      </c>
      <c r="B81" s="389">
        <v>0.55320000000000003</v>
      </c>
      <c r="C81" s="394">
        <v>50.5</v>
      </c>
    </row>
    <row r="82" spans="1:3">
      <c r="A82" s="12">
        <v>37500</v>
      </c>
      <c r="B82" s="392">
        <v>0.54349999999999998</v>
      </c>
      <c r="C82" s="393">
        <v>51.1</v>
      </c>
    </row>
    <row r="83" spans="1:3">
      <c r="A83" s="12">
        <v>37530</v>
      </c>
      <c r="B83" s="389">
        <v>0.5534</v>
      </c>
      <c r="C83" s="394">
        <v>51.7</v>
      </c>
    </row>
    <row r="84" spans="1:3">
      <c r="A84" s="12">
        <v>37561</v>
      </c>
      <c r="B84" s="392">
        <v>0.56079999999999997</v>
      </c>
      <c r="C84" s="393">
        <v>52.2</v>
      </c>
    </row>
    <row r="85" spans="1:3">
      <c r="A85" s="12">
        <v>37591</v>
      </c>
      <c r="B85" s="389">
        <v>0.56620000000000004</v>
      </c>
      <c r="C85" s="394">
        <v>52.1</v>
      </c>
    </row>
    <row r="86" spans="1:3">
      <c r="A86" s="12">
        <v>37622</v>
      </c>
      <c r="B86" s="392">
        <v>0.58840000000000003</v>
      </c>
      <c r="C86" s="393">
        <v>52.91</v>
      </c>
    </row>
    <row r="87" spans="1:3">
      <c r="A87" s="12">
        <v>37653</v>
      </c>
      <c r="B87" s="389">
        <v>0.60540000000000005</v>
      </c>
      <c r="C87" s="394">
        <v>53.88</v>
      </c>
    </row>
    <row r="88" spans="1:3">
      <c r="A88" s="12">
        <v>37681</v>
      </c>
      <c r="B88" s="392">
        <v>0.60360000000000003</v>
      </c>
      <c r="C88" s="393">
        <v>54.59</v>
      </c>
    </row>
    <row r="89" spans="1:3">
      <c r="A89" s="12">
        <v>37712</v>
      </c>
      <c r="B89" s="389">
        <v>0.623</v>
      </c>
      <c r="C89" s="394">
        <v>55.26</v>
      </c>
    </row>
    <row r="90" spans="1:3">
      <c r="A90" s="12">
        <v>37742</v>
      </c>
      <c r="B90" s="392">
        <v>0.6522</v>
      </c>
      <c r="C90" s="393">
        <v>57.45</v>
      </c>
    </row>
    <row r="91" spans="1:3">
      <c r="A91" s="12">
        <v>37773</v>
      </c>
      <c r="B91" s="389">
        <v>0.66739999999999999</v>
      </c>
      <c r="C91" s="394">
        <v>58.78</v>
      </c>
    </row>
    <row r="92" spans="1:3">
      <c r="A92" s="12">
        <v>37803</v>
      </c>
      <c r="B92" s="392">
        <v>0.65290000000000004</v>
      </c>
      <c r="C92" s="393">
        <v>58.85</v>
      </c>
    </row>
    <row r="93" spans="1:3">
      <c r="A93" s="12">
        <v>37834</v>
      </c>
      <c r="B93" s="389">
        <v>0.64</v>
      </c>
      <c r="C93" s="394">
        <v>58.16</v>
      </c>
    </row>
    <row r="94" spans="1:3">
      <c r="A94" s="12">
        <v>37865</v>
      </c>
      <c r="B94" s="392">
        <v>0.68010000000000004</v>
      </c>
      <c r="C94" s="393">
        <v>58.47</v>
      </c>
    </row>
    <row r="95" spans="1:3">
      <c r="A95" s="12">
        <v>37895</v>
      </c>
      <c r="B95" s="389">
        <v>0.7046</v>
      </c>
      <c r="C95" s="394">
        <v>60.12</v>
      </c>
    </row>
    <row r="96" spans="1:3">
      <c r="A96" s="12">
        <v>37926</v>
      </c>
      <c r="B96" s="392">
        <v>0.72060000000000002</v>
      </c>
      <c r="C96" s="393">
        <v>61.89</v>
      </c>
    </row>
    <row r="97" spans="1:3">
      <c r="A97" s="12">
        <v>37956</v>
      </c>
      <c r="B97" s="389">
        <v>0.75</v>
      </c>
      <c r="C97" s="394">
        <v>62.97</v>
      </c>
    </row>
    <row r="98" spans="1:3">
      <c r="A98" s="12">
        <v>37987</v>
      </c>
      <c r="B98" s="392">
        <v>0.76439999999999997</v>
      </c>
      <c r="C98" s="393">
        <v>64.819999999999993</v>
      </c>
    </row>
    <row r="99" spans="1:3">
      <c r="A99" s="12">
        <v>38018</v>
      </c>
      <c r="B99" s="389">
        <v>0.77080000000000004</v>
      </c>
      <c r="C99" s="394">
        <v>65.209999999999994</v>
      </c>
    </row>
    <row r="100" spans="1:3">
      <c r="A100" s="12">
        <v>38047</v>
      </c>
      <c r="B100" s="392">
        <v>0.75890000000000002</v>
      </c>
      <c r="C100" s="393">
        <v>63.65</v>
      </c>
    </row>
    <row r="101" spans="1:3">
      <c r="A101" s="12">
        <v>38078</v>
      </c>
      <c r="B101" s="389">
        <v>0.72199999999999998</v>
      </c>
      <c r="C101" s="394">
        <v>63.31</v>
      </c>
    </row>
    <row r="102" spans="1:3">
      <c r="A102" s="12">
        <v>38108</v>
      </c>
      <c r="B102" s="392">
        <v>0.71430000000000005</v>
      </c>
      <c r="C102" s="393">
        <v>60.95</v>
      </c>
    </row>
    <row r="103" spans="1:3">
      <c r="A103" s="12">
        <v>38139</v>
      </c>
      <c r="B103" s="389">
        <v>0.68889999999999996</v>
      </c>
      <c r="C103" s="394">
        <v>59.49</v>
      </c>
    </row>
    <row r="104" spans="1:3">
      <c r="A104" s="12">
        <v>38169</v>
      </c>
      <c r="B104" s="392">
        <v>0.6986</v>
      </c>
      <c r="C104" s="393">
        <v>61.05</v>
      </c>
    </row>
    <row r="105" spans="1:3">
      <c r="A105" s="12">
        <v>38200</v>
      </c>
      <c r="B105" s="389">
        <v>0.70109999999999995</v>
      </c>
      <c r="C105" s="394">
        <v>60.82</v>
      </c>
    </row>
    <row r="106" spans="1:3">
      <c r="A106" s="12">
        <v>38231</v>
      </c>
      <c r="B106" s="392">
        <v>0.7147</v>
      </c>
      <c r="C106" s="393">
        <v>59.94</v>
      </c>
    </row>
    <row r="107" spans="1:3">
      <c r="A107" s="12">
        <v>38261</v>
      </c>
      <c r="B107" s="389">
        <v>0.74609999999999999</v>
      </c>
      <c r="C107" s="394">
        <v>62.03</v>
      </c>
    </row>
    <row r="108" spans="1:3">
      <c r="A108" s="12">
        <v>38292</v>
      </c>
      <c r="B108" s="392">
        <v>0.77749999999999997</v>
      </c>
      <c r="C108" s="393">
        <v>63.67</v>
      </c>
    </row>
    <row r="109" spans="1:3">
      <c r="A109" s="12">
        <v>38322</v>
      </c>
      <c r="B109" s="389">
        <v>0.77900000000000003</v>
      </c>
      <c r="C109" s="394">
        <v>62.74</v>
      </c>
    </row>
    <row r="110" spans="1:3">
      <c r="A110" s="12">
        <v>38353</v>
      </c>
      <c r="B110" s="392">
        <v>0.77439999999999998</v>
      </c>
      <c r="C110" s="393">
        <v>62.69</v>
      </c>
    </row>
    <row r="111" spans="1:3">
      <c r="A111" s="12">
        <v>38384</v>
      </c>
      <c r="B111" s="389">
        <v>0.79049999999999998</v>
      </c>
      <c r="C111" s="394">
        <v>64.099999999999994</v>
      </c>
    </row>
    <row r="112" spans="1:3">
      <c r="A112" s="12">
        <v>38412</v>
      </c>
      <c r="B112" s="392">
        <v>0.77190000000000003</v>
      </c>
      <c r="C112" s="393">
        <v>64.19</v>
      </c>
    </row>
    <row r="113" spans="1:3">
      <c r="A113" s="12">
        <v>38443</v>
      </c>
      <c r="B113" s="389">
        <v>0.78110000000000002</v>
      </c>
      <c r="C113" s="394">
        <v>63.78</v>
      </c>
    </row>
    <row r="114" spans="1:3">
      <c r="A114" s="12">
        <v>38473</v>
      </c>
      <c r="B114" s="392">
        <v>0.75570000000000004</v>
      </c>
      <c r="C114" s="393">
        <v>63.39</v>
      </c>
    </row>
    <row r="115" spans="1:3">
      <c r="A115" s="12">
        <v>38504</v>
      </c>
      <c r="B115" s="389">
        <v>0.76370000000000005</v>
      </c>
      <c r="C115" s="394">
        <v>64.36</v>
      </c>
    </row>
    <row r="116" spans="1:3">
      <c r="A116" s="12">
        <v>38534</v>
      </c>
      <c r="B116" s="392">
        <v>0.75949999999999995</v>
      </c>
      <c r="C116" s="393">
        <v>64</v>
      </c>
    </row>
    <row r="117" spans="1:3">
      <c r="A117" s="12">
        <v>38565</v>
      </c>
      <c r="B117" s="389">
        <v>0.74709999999999999</v>
      </c>
      <c r="C117" s="394">
        <v>64.040000000000006</v>
      </c>
    </row>
    <row r="118" spans="1:3">
      <c r="A118" s="12">
        <v>38596</v>
      </c>
      <c r="B118" s="392">
        <v>0.76149999999999995</v>
      </c>
      <c r="C118" s="393">
        <v>64.510000000000005</v>
      </c>
    </row>
    <row r="119" spans="1:3">
      <c r="A119" s="12">
        <v>38626</v>
      </c>
      <c r="B119" s="389">
        <v>0.74870000000000003</v>
      </c>
      <c r="C119" s="394">
        <v>64.3</v>
      </c>
    </row>
    <row r="120" spans="1:3">
      <c r="A120" s="12">
        <v>38657</v>
      </c>
      <c r="B120" s="392">
        <v>0.7389</v>
      </c>
      <c r="C120" s="393">
        <v>63.35</v>
      </c>
    </row>
    <row r="121" spans="1:3">
      <c r="A121" s="12">
        <v>38687</v>
      </c>
      <c r="B121" s="389">
        <v>0.73370000000000002</v>
      </c>
      <c r="C121" s="394">
        <v>63.72</v>
      </c>
    </row>
    <row r="122" spans="1:3">
      <c r="A122" s="12">
        <v>38718</v>
      </c>
      <c r="B122" s="392">
        <v>0.751</v>
      </c>
      <c r="C122" s="393">
        <v>63.27</v>
      </c>
    </row>
    <row r="123" spans="1:3">
      <c r="A123" s="12">
        <v>38749</v>
      </c>
      <c r="B123" s="389">
        <v>0.73819999999999997</v>
      </c>
      <c r="C123" s="394">
        <v>62.88</v>
      </c>
    </row>
    <row r="124" spans="1:3">
      <c r="A124" s="12">
        <v>38777</v>
      </c>
      <c r="B124" s="392">
        <v>0.71589999999999998</v>
      </c>
      <c r="C124" s="393">
        <v>61.8</v>
      </c>
    </row>
    <row r="125" spans="1:3">
      <c r="A125" s="12">
        <v>38808</v>
      </c>
      <c r="B125" s="389">
        <v>0.75419999999999998</v>
      </c>
      <c r="C125" s="394">
        <v>62.01</v>
      </c>
    </row>
    <row r="126" spans="1:3">
      <c r="A126" s="12">
        <v>38838</v>
      </c>
      <c r="B126" s="392">
        <v>0.76359999999999995</v>
      </c>
      <c r="C126" s="393">
        <v>63.2</v>
      </c>
    </row>
    <row r="127" spans="1:3">
      <c r="A127" s="12">
        <v>38869</v>
      </c>
      <c r="B127" s="389">
        <v>0.74329999999999996</v>
      </c>
      <c r="C127" s="394">
        <v>62.02</v>
      </c>
    </row>
    <row r="128" spans="1:3">
      <c r="A128" s="12">
        <v>38899</v>
      </c>
      <c r="B128" s="392">
        <v>0.76580000000000004</v>
      </c>
      <c r="C128" s="393">
        <v>63</v>
      </c>
    </row>
    <row r="129" spans="1:3">
      <c r="A129" s="12">
        <v>38930</v>
      </c>
      <c r="B129" s="389">
        <v>0.76270000000000004</v>
      </c>
      <c r="C129" s="394">
        <v>63.72</v>
      </c>
    </row>
    <row r="130" spans="1:3">
      <c r="A130" s="12">
        <v>38961</v>
      </c>
      <c r="B130" s="392">
        <v>0.748</v>
      </c>
      <c r="C130" s="393">
        <v>63.19</v>
      </c>
    </row>
    <row r="131" spans="1:3">
      <c r="A131" s="12">
        <v>38991</v>
      </c>
      <c r="B131" s="389">
        <v>0.76919999999999999</v>
      </c>
      <c r="C131" s="394">
        <v>63.16</v>
      </c>
    </row>
    <row r="132" spans="1:3">
      <c r="A132" s="12">
        <v>39022</v>
      </c>
      <c r="B132" s="392">
        <v>0.78500000000000003</v>
      </c>
      <c r="C132" s="393">
        <v>63.95</v>
      </c>
    </row>
    <row r="133" spans="1:3">
      <c r="A133" s="12">
        <v>39052</v>
      </c>
      <c r="B133" s="389">
        <v>0.7913</v>
      </c>
      <c r="C133" s="394">
        <v>64.400000000000006</v>
      </c>
    </row>
    <row r="134" spans="1:3">
      <c r="A134" s="12">
        <v>39083</v>
      </c>
      <c r="B134" s="392">
        <v>0.77200000000000002</v>
      </c>
      <c r="C134" s="393">
        <v>64.680000000000007</v>
      </c>
    </row>
    <row r="135" spans="1:3">
      <c r="A135" s="12">
        <v>39114</v>
      </c>
      <c r="B135" s="389">
        <v>0.78800000000000003</v>
      </c>
      <c r="C135" s="394">
        <v>64.44</v>
      </c>
    </row>
    <row r="136" spans="1:3">
      <c r="A136" s="12">
        <v>39142</v>
      </c>
      <c r="B136" s="392">
        <v>0.80700000000000005</v>
      </c>
      <c r="C136" s="393">
        <v>64.83</v>
      </c>
    </row>
    <row r="137" spans="1:3">
      <c r="A137" s="12">
        <v>39173</v>
      </c>
      <c r="B137" s="389">
        <v>0.82679999999999998</v>
      </c>
      <c r="C137" s="394">
        <v>67.12</v>
      </c>
    </row>
    <row r="138" spans="1:3">
      <c r="A138" s="12">
        <v>39203</v>
      </c>
      <c r="B138" s="392">
        <v>0.82440000000000002</v>
      </c>
      <c r="C138" s="393">
        <v>66.959999999999994</v>
      </c>
    </row>
    <row r="139" spans="1:3">
      <c r="A139" s="12">
        <v>39234</v>
      </c>
      <c r="B139" s="389">
        <v>0.84870000000000001</v>
      </c>
      <c r="C139" s="394">
        <v>68.489999999999995</v>
      </c>
    </row>
    <row r="140" spans="1:3">
      <c r="A140" s="12">
        <v>39264</v>
      </c>
      <c r="B140" s="392">
        <v>0.85719999999999996</v>
      </c>
      <c r="C140" s="393">
        <v>69.75</v>
      </c>
    </row>
    <row r="141" spans="1:3">
      <c r="A141" s="12">
        <v>39295</v>
      </c>
      <c r="B141" s="389">
        <v>0.82140000000000002</v>
      </c>
      <c r="C141" s="394">
        <v>66.78</v>
      </c>
    </row>
    <row r="142" spans="1:3">
      <c r="A142" s="12">
        <v>39326</v>
      </c>
      <c r="B142" s="392">
        <v>0.88270000000000004</v>
      </c>
      <c r="C142" s="393">
        <v>67.69</v>
      </c>
    </row>
    <row r="143" spans="1:3">
      <c r="A143" s="12">
        <v>39356</v>
      </c>
      <c r="B143" s="389">
        <v>0.92159999999999997</v>
      </c>
      <c r="C143" s="394">
        <v>70.98</v>
      </c>
    </row>
    <row r="144" spans="1:3">
      <c r="A144" s="12">
        <v>39387</v>
      </c>
      <c r="B144" s="392">
        <v>0.88649999999999995</v>
      </c>
      <c r="C144" s="393">
        <v>69.97</v>
      </c>
    </row>
    <row r="145" spans="1:3">
      <c r="A145" s="12">
        <v>39417</v>
      </c>
      <c r="B145" s="389">
        <v>0.88160000000000005</v>
      </c>
      <c r="C145" s="394">
        <v>68.209999999999994</v>
      </c>
    </row>
    <row r="146" spans="1:3">
      <c r="A146" s="12">
        <v>39448</v>
      </c>
      <c r="B146" s="392">
        <v>0.88839999999999997</v>
      </c>
      <c r="C146" s="393">
        <v>68.239999999999995</v>
      </c>
    </row>
    <row r="147" spans="1:3">
      <c r="A147" s="12">
        <v>39479</v>
      </c>
      <c r="B147" s="389">
        <v>0.9466</v>
      </c>
      <c r="C147" s="394">
        <v>70.2</v>
      </c>
    </row>
    <row r="148" spans="1:3">
      <c r="A148" s="12">
        <v>39508</v>
      </c>
      <c r="B148" s="392">
        <v>0.91800000000000004</v>
      </c>
      <c r="C148" s="393">
        <v>69.78</v>
      </c>
    </row>
    <row r="149" spans="1:3">
      <c r="A149" s="12">
        <v>39539</v>
      </c>
      <c r="B149" s="389">
        <v>0.93369999999999997</v>
      </c>
      <c r="C149" s="394">
        <v>70</v>
      </c>
    </row>
    <row r="150" spans="1:3">
      <c r="A150" s="12">
        <v>39569</v>
      </c>
      <c r="B150" s="392">
        <v>0.95589999999999997</v>
      </c>
      <c r="C150" s="393">
        <v>72.23</v>
      </c>
    </row>
    <row r="151" spans="1:3">
      <c r="A151" s="12">
        <v>39600</v>
      </c>
      <c r="B151" s="389">
        <v>0.96260000000000001</v>
      </c>
      <c r="C151" s="394">
        <v>72.81</v>
      </c>
    </row>
    <row r="152" spans="1:3">
      <c r="A152" s="12">
        <v>39630</v>
      </c>
      <c r="B152" s="392">
        <v>0.94340000000000002</v>
      </c>
      <c r="C152" s="393">
        <v>73.319999999999993</v>
      </c>
    </row>
    <row r="153" spans="1:3">
      <c r="A153" s="12">
        <v>39661</v>
      </c>
      <c r="B153" s="389">
        <v>0.8639</v>
      </c>
      <c r="C153" s="394">
        <v>68.599999999999994</v>
      </c>
    </row>
    <row r="154" spans="1:3">
      <c r="A154" s="12">
        <v>39692</v>
      </c>
      <c r="B154" s="392">
        <v>0.79959999999999998</v>
      </c>
      <c r="C154" s="393">
        <v>64.930000000000007</v>
      </c>
    </row>
    <row r="155" spans="1:3">
      <c r="A155" s="12">
        <v>39722</v>
      </c>
      <c r="B155" s="389">
        <v>0.68799999999999994</v>
      </c>
      <c r="C155" s="394">
        <v>56.06</v>
      </c>
    </row>
    <row r="156" spans="1:3">
      <c r="A156" s="12">
        <v>39753</v>
      </c>
      <c r="B156" s="392">
        <v>0.65720000000000001</v>
      </c>
      <c r="C156" s="393">
        <v>54.43</v>
      </c>
    </row>
    <row r="157" spans="1:3">
      <c r="A157" s="12">
        <v>39783</v>
      </c>
      <c r="B157" s="389">
        <v>0.69279999999999997</v>
      </c>
      <c r="C157" s="394">
        <v>54.6</v>
      </c>
    </row>
    <row r="158" spans="1:3">
      <c r="A158" s="12">
        <v>39814</v>
      </c>
      <c r="B158" s="392">
        <v>0.64380000000000004</v>
      </c>
      <c r="C158" s="393">
        <v>55.43</v>
      </c>
    </row>
    <row r="159" spans="1:3">
      <c r="A159" s="12">
        <v>39845</v>
      </c>
      <c r="B159" s="389">
        <v>0.64539999999999997</v>
      </c>
      <c r="C159" s="394">
        <v>54.16</v>
      </c>
    </row>
    <row r="160" spans="1:3">
      <c r="A160" s="12">
        <v>39873</v>
      </c>
      <c r="B160" s="392">
        <v>0.68730000000000002</v>
      </c>
      <c r="C160" s="393">
        <v>56</v>
      </c>
    </row>
    <row r="161" spans="1:3">
      <c r="A161" s="12">
        <v>39904</v>
      </c>
      <c r="B161" s="389">
        <v>0.72650000000000003</v>
      </c>
      <c r="C161" s="394">
        <v>59.06</v>
      </c>
    </row>
    <row r="162" spans="1:3">
      <c r="A162" s="12">
        <v>39934</v>
      </c>
      <c r="B162" s="392">
        <v>0.79120000000000001</v>
      </c>
      <c r="C162" s="393">
        <v>61.74</v>
      </c>
    </row>
    <row r="163" spans="1:3">
      <c r="A163" s="12">
        <v>39965</v>
      </c>
      <c r="B163" s="389">
        <v>0.81140000000000001</v>
      </c>
      <c r="C163" s="394">
        <v>64.150000000000006</v>
      </c>
    </row>
    <row r="164" spans="1:3">
      <c r="A164" s="12">
        <v>39995</v>
      </c>
      <c r="B164" s="392">
        <v>0.82809999999999995</v>
      </c>
      <c r="C164" s="393">
        <v>64.03</v>
      </c>
    </row>
    <row r="165" spans="1:3">
      <c r="A165" s="12">
        <v>40026</v>
      </c>
      <c r="B165" s="389">
        <v>0.83930000000000005</v>
      </c>
      <c r="C165" s="394">
        <v>66.03</v>
      </c>
    </row>
    <row r="166" spans="1:3">
      <c r="A166" s="12">
        <v>40057</v>
      </c>
      <c r="B166" s="392">
        <v>0.88009999999999999</v>
      </c>
      <c r="C166" s="393">
        <v>67.239999999999995</v>
      </c>
    </row>
    <row r="167" spans="1:3">
      <c r="A167" s="12">
        <v>40087</v>
      </c>
      <c r="B167" s="389">
        <v>0.91610000000000003</v>
      </c>
      <c r="C167" s="394">
        <v>70.040000000000006</v>
      </c>
    </row>
    <row r="168" spans="1:3">
      <c r="A168" s="12">
        <v>40118</v>
      </c>
      <c r="B168" s="392">
        <v>0.91779999999999995</v>
      </c>
      <c r="C168" s="393">
        <v>70.56</v>
      </c>
    </row>
    <row r="169" spans="1:3">
      <c r="A169" s="12">
        <v>40148</v>
      </c>
      <c r="B169" s="389">
        <v>0.89690000000000003</v>
      </c>
      <c r="C169" s="394">
        <v>69.650000000000006</v>
      </c>
    </row>
    <row r="170" spans="1:3">
      <c r="A170" s="12">
        <v>40179</v>
      </c>
      <c r="B170" s="392">
        <v>0.89090000000000003</v>
      </c>
      <c r="C170" s="393">
        <v>70.7</v>
      </c>
    </row>
    <row r="171" spans="1:3">
      <c r="A171" s="12">
        <v>40210</v>
      </c>
      <c r="B171" s="389">
        <v>0.88990000000000002</v>
      </c>
      <c r="C171" s="394">
        <v>69.2</v>
      </c>
    </row>
    <row r="172" spans="1:3">
      <c r="A172" s="12">
        <v>40238</v>
      </c>
      <c r="B172" s="392">
        <v>0.91590000000000005</v>
      </c>
      <c r="C172" s="393">
        <v>71.099999999999994</v>
      </c>
    </row>
    <row r="173" spans="1:3">
      <c r="A173" s="12">
        <v>40269</v>
      </c>
      <c r="B173" s="389">
        <v>0.93</v>
      </c>
      <c r="C173" s="394">
        <v>72.2</v>
      </c>
    </row>
    <row r="174" spans="1:3">
      <c r="A174" s="12">
        <v>40299</v>
      </c>
      <c r="B174" s="392">
        <v>0.84899999999999998</v>
      </c>
      <c r="C174" s="393">
        <v>68.900000000000006</v>
      </c>
    </row>
    <row r="175" spans="1:3">
      <c r="A175" s="12">
        <v>40330</v>
      </c>
      <c r="B175" s="389">
        <v>0.85229999999999995</v>
      </c>
      <c r="C175" s="394">
        <v>67.7</v>
      </c>
    </row>
    <row r="176" spans="1:3">
      <c r="A176" s="12">
        <v>40360</v>
      </c>
      <c r="B176" s="392">
        <v>0.89859999999999995</v>
      </c>
      <c r="C176" s="393">
        <v>68.2</v>
      </c>
    </row>
    <row r="177" spans="1:3">
      <c r="A177" s="12">
        <v>40391</v>
      </c>
      <c r="B177" s="389">
        <v>0.89180000000000004</v>
      </c>
      <c r="C177" s="394">
        <v>69.5</v>
      </c>
    </row>
    <row r="178" spans="1:3">
      <c r="A178" s="12">
        <v>40422</v>
      </c>
      <c r="B178" s="392">
        <v>0.9667</v>
      </c>
      <c r="C178" s="393">
        <v>71.5</v>
      </c>
    </row>
    <row r="179" spans="1:3">
      <c r="A179" s="12">
        <v>40452</v>
      </c>
      <c r="B179" s="389">
        <v>0.97609999999999997</v>
      </c>
      <c r="C179" s="394">
        <v>73.2</v>
      </c>
    </row>
    <row r="180" spans="1:3">
      <c r="A180" s="12">
        <v>40483</v>
      </c>
      <c r="B180" s="392">
        <v>0.96179999999999999</v>
      </c>
      <c r="C180" s="393">
        <v>74</v>
      </c>
    </row>
    <row r="181" spans="1:3">
      <c r="A181" s="12">
        <v>40513</v>
      </c>
      <c r="B181" s="389">
        <v>1.0163</v>
      </c>
      <c r="C181" s="394">
        <v>74.7</v>
      </c>
    </row>
    <row r="182" spans="1:3">
      <c r="A182" s="12">
        <v>40544</v>
      </c>
      <c r="B182" s="392">
        <v>0.99239999999999995</v>
      </c>
      <c r="C182" s="393">
        <v>74.3</v>
      </c>
    </row>
    <row r="183" spans="1:3">
      <c r="A183" s="12">
        <v>40575</v>
      </c>
      <c r="B183" s="389">
        <v>1.0163</v>
      </c>
      <c r="C183" s="394">
        <v>75.099999999999994</v>
      </c>
    </row>
    <row r="184" spans="1:3">
      <c r="A184" s="12">
        <v>40603</v>
      </c>
      <c r="B184" s="392">
        <v>1.0334000000000001</v>
      </c>
      <c r="C184" s="393">
        <v>74.8</v>
      </c>
    </row>
    <row r="185" spans="1:3">
      <c r="A185" s="12">
        <v>40634</v>
      </c>
      <c r="B185" s="389">
        <v>1.0900000000000001</v>
      </c>
      <c r="C185" s="394">
        <v>77.400000000000006</v>
      </c>
    </row>
    <row r="186" spans="1:3">
      <c r="A186" s="12">
        <v>40664</v>
      </c>
      <c r="B186" s="392">
        <v>1.0709</v>
      </c>
      <c r="C186" s="393">
        <v>77.900000000000006</v>
      </c>
    </row>
    <row r="187" spans="1:3">
      <c r="A187" s="12">
        <v>40695</v>
      </c>
      <c r="B187" s="389">
        <v>1.0739000000000001</v>
      </c>
      <c r="C187" s="394">
        <v>77</v>
      </c>
    </row>
    <row r="188" spans="1:3">
      <c r="A188" s="12">
        <v>40725</v>
      </c>
      <c r="B188" s="392">
        <v>1.0953999999999999</v>
      </c>
      <c r="C188" s="393">
        <v>77.7</v>
      </c>
    </row>
    <row r="189" spans="1:3">
      <c r="A189" s="12">
        <v>40756</v>
      </c>
      <c r="B189" s="389">
        <v>1.0690999999999999</v>
      </c>
      <c r="C189" s="394">
        <v>75.3</v>
      </c>
    </row>
    <row r="190" spans="1:3">
      <c r="A190" s="12">
        <v>40787</v>
      </c>
      <c r="B190" s="392">
        <v>0.97809999999999997</v>
      </c>
      <c r="C190" s="393">
        <v>74.7</v>
      </c>
    </row>
    <row r="191" spans="1:3">
      <c r="A191" s="12">
        <v>40817</v>
      </c>
      <c r="B191" s="389">
        <v>1.0508999999999999</v>
      </c>
      <c r="C191" s="394">
        <v>74.5</v>
      </c>
    </row>
    <row r="192" spans="1:3">
      <c r="A192" s="12">
        <v>40848</v>
      </c>
      <c r="B192" s="392">
        <v>1.0021</v>
      </c>
      <c r="C192" s="393">
        <v>74.599999999999994</v>
      </c>
    </row>
    <row r="193" spans="1:3">
      <c r="A193" s="12">
        <v>40878</v>
      </c>
      <c r="B193" s="389">
        <v>1.0156000000000001</v>
      </c>
      <c r="C193" s="394">
        <v>75.3</v>
      </c>
    </row>
    <row r="194" spans="1:3">
      <c r="A194" s="12">
        <v>40909</v>
      </c>
      <c r="B194" s="392">
        <v>1.0637000000000001</v>
      </c>
      <c r="C194" s="393">
        <v>77</v>
      </c>
    </row>
    <row r="195" spans="1:3">
      <c r="A195" s="12">
        <v>40940</v>
      </c>
      <c r="B195" s="389">
        <v>1.0815999999999999</v>
      </c>
      <c r="C195" s="394">
        <v>78.599999999999994</v>
      </c>
    </row>
    <row r="196" spans="1:3">
      <c r="A196" s="12">
        <v>40969</v>
      </c>
      <c r="B196" s="392">
        <v>1.0402</v>
      </c>
      <c r="C196" s="393">
        <v>78.099999999999994</v>
      </c>
    </row>
    <row r="197" spans="1:3">
      <c r="A197" s="12">
        <v>41000</v>
      </c>
      <c r="B197" s="389">
        <v>1.0452999999999999</v>
      </c>
      <c r="C197" s="394">
        <v>76.599999999999994</v>
      </c>
    </row>
    <row r="198" spans="1:3">
      <c r="A198" s="12">
        <v>41030</v>
      </c>
      <c r="B198" s="392">
        <v>0.97270000000000001</v>
      </c>
      <c r="C198" s="393">
        <v>74.599999999999994</v>
      </c>
    </row>
    <row r="199" spans="1:3">
      <c r="A199" s="12">
        <v>41061</v>
      </c>
      <c r="B199" s="389">
        <v>1.0190999999999999</v>
      </c>
      <c r="C199" s="394">
        <v>75.2</v>
      </c>
    </row>
    <row r="200" spans="1:3">
      <c r="A200" s="12">
        <v>41091</v>
      </c>
      <c r="B200" s="392">
        <v>1.0526</v>
      </c>
      <c r="C200" s="393">
        <v>77.400000000000006</v>
      </c>
    </row>
    <row r="201" spans="1:3">
      <c r="A201" s="12">
        <v>41122</v>
      </c>
      <c r="B201" s="389">
        <v>1.0301</v>
      </c>
      <c r="C201" s="394">
        <v>78.3</v>
      </c>
    </row>
    <row r="202" spans="1:3">
      <c r="A202" s="12">
        <v>41153</v>
      </c>
      <c r="B202" s="392">
        <v>1.0464</v>
      </c>
      <c r="C202" s="393">
        <v>76.900000000000006</v>
      </c>
    </row>
    <row r="203" spans="1:3">
      <c r="A203" s="12">
        <v>41183</v>
      </c>
      <c r="B203" s="389">
        <v>1.0378000000000001</v>
      </c>
      <c r="C203" s="394">
        <v>75.900000000000006</v>
      </c>
    </row>
    <row r="204" spans="1:3">
      <c r="A204" s="12">
        <v>41214</v>
      </c>
      <c r="B204" s="392">
        <v>1.0430999999999999</v>
      </c>
      <c r="C204" s="393">
        <v>77</v>
      </c>
    </row>
    <row r="205" spans="1:3">
      <c r="A205" s="12">
        <v>41244</v>
      </c>
      <c r="B205" s="389">
        <v>1.0384</v>
      </c>
      <c r="C205" s="394">
        <v>77.5</v>
      </c>
    </row>
    <row r="206" spans="1:3">
      <c r="A206" s="12">
        <v>41275</v>
      </c>
      <c r="B206" s="392">
        <v>1.0394000000000001</v>
      </c>
      <c r="C206" s="393">
        <v>78.2</v>
      </c>
    </row>
    <row r="207" spans="1:3">
      <c r="A207" s="12">
        <v>41306</v>
      </c>
      <c r="B207" s="389">
        <v>1.0275000000000001</v>
      </c>
      <c r="C207" s="394">
        <v>77.599999999999994</v>
      </c>
    </row>
    <row r="208" spans="1:3">
      <c r="A208" s="12">
        <v>41334</v>
      </c>
      <c r="B208" s="392">
        <v>1.0426</v>
      </c>
      <c r="C208" s="393">
        <v>78.400000000000006</v>
      </c>
    </row>
    <row r="209" spans="1:3">
      <c r="A209" s="12">
        <v>41365</v>
      </c>
      <c r="B209" s="389">
        <v>1.0367999999999999</v>
      </c>
      <c r="C209" s="394">
        <v>78.8</v>
      </c>
    </row>
    <row r="210" spans="1:3">
      <c r="A210" s="12">
        <v>41395</v>
      </c>
      <c r="B210" s="392">
        <v>0.96489999999999998</v>
      </c>
      <c r="C210" s="393">
        <v>75.7</v>
      </c>
    </row>
    <row r="211" spans="1:3">
      <c r="A211" s="12">
        <v>41426</v>
      </c>
      <c r="B211" s="389">
        <v>0.92749999999999999</v>
      </c>
      <c r="C211" s="394">
        <v>72.099999999999994</v>
      </c>
    </row>
    <row r="212" spans="1:3">
      <c r="A212" s="12">
        <v>41456</v>
      </c>
      <c r="B212" s="392">
        <v>0.90369999999999995</v>
      </c>
      <c r="C212" s="393">
        <v>70.599999999999994</v>
      </c>
    </row>
    <row r="213" spans="1:3">
      <c r="A213" s="12">
        <v>41487</v>
      </c>
      <c r="B213" s="389">
        <v>0.89470000000000005</v>
      </c>
      <c r="C213" s="394">
        <v>69.5</v>
      </c>
    </row>
    <row r="214" spans="1:3">
      <c r="A214" s="12">
        <v>41518</v>
      </c>
      <c r="B214" s="392">
        <v>0.93089999999999995</v>
      </c>
      <c r="C214" s="393">
        <v>71.3</v>
      </c>
    </row>
    <row r="215" spans="1:3">
      <c r="A215" s="12">
        <v>41548</v>
      </c>
      <c r="B215" s="389">
        <v>0.94899999999999995</v>
      </c>
      <c r="C215" s="394">
        <v>72.400000000000006</v>
      </c>
    </row>
    <row r="216" spans="1:3">
      <c r="A216" s="12">
        <v>41579</v>
      </c>
      <c r="B216" s="392">
        <v>0.90869999999999995</v>
      </c>
      <c r="C216" s="393">
        <v>71.400000000000006</v>
      </c>
    </row>
    <row r="217" spans="1:3">
      <c r="A217" s="12">
        <v>41609</v>
      </c>
      <c r="B217" s="389">
        <v>0.89480000000000004</v>
      </c>
      <c r="C217" s="394">
        <v>69.099999999999994</v>
      </c>
    </row>
    <row r="218" spans="1:3">
      <c r="A218" s="12">
        <v>41640</v>
      </c>
      <c r="B218" s="392">
        <v>0.87629999999999997</v>
      </c>
      <c r="C218" s="393">
        <v>68.376190476190487</v>
      </c>
    </row>
    <row r="219" spans="1:3">
      <c r="A219" s="12">
        <v>41671</v>
      </c>
      <c r="B219" s="389">
        <v>0.89470000000000005</v>
      </c>
      <c r="C219" s="394">
        <v>69.00500000000001</v>
      </c>
    </row>
    <row r="220" spans="1:3">
      <c r="A220" s="12">
        <v>41699</v>
      </c>
      <c r="B220" s="392">
        <v>0.92210000000000003</v>
      </c>
      <c r="C220" s="393">
        <v>69.742857142857133</v>
      </c>
    </row>
    <row r="221" spans="1:3">
      <c r="A221" s="12">
        <v>41730</v>
      </c>
      <c r="B221" s="389">
        <v>0.92869999999999997</v>
      </c>
      <c r="C221" s="394">
        <v>71.510526315789491</v>
      </c>
    </row>
    <row r="222" spans="1:3">
      <c r="A222" s="12">
        <v>41760</v>
      </c>
      <c r="B222" s="392">
        <v>0.93189999999999995</v>
      </c>
      <c r="C222" s="393">
        <v>71.336363636363643</v>
      </c>
    </row>
    <row r="223" spans="1:3">
      <c r="A223" s="12">
        <v>41791</v>
      </c>
      <c r="B223" s="389">
        <v>0.94199999999999995</v>
      </c>
      <c r="C223" s="394">
        <v>71.915000000000006</v>
      </c>
    </row>
    <row r="224" spans="1:3">
      <c r="A224" s="12">
        <v>41821</v>
      </c>
      <c r="B224" s="392">
        <v>0.93889999999999996</v>
      </c>
      <c r="C224" s="393">
        <v>71.826086956521735</v>
      </c>
    </row>
    <row r="225" spans="1:3">
      <c r="A225" s="12">
        <v>41852</v>
      </c>
      <c r="B225" s="389">
        <v>0.93089999999999995</v>
      </c>
      <c r="C225" s="394">
        <v>71.49499999999999</v>
      </c>
    </row>
    <row r="226" spans="1:3">
      <c r="A226" s="12">
        <v>41883</v>
      </c>
      <c r="B226" s="392">
        <v>0.90490000000000004</v>
      </c>
      <c r="C226" s="393">
        <v>70.536363636363632</v>
      </c>
    </row>
    <row r="227" spans="1:3">
      <c r="A227" s="12">
        <v>41913</v>
      </c>
      <c r="B227" s="389">
        <v>0.87780000000000002</v>
      </c>
      <c r="C227" s="394">
        <v>68.945454545454538</v>
      </c>
    </row>
    <row r="228" spans="1:3">
      <c r="A228" s="12">
        <v>41944</v>
      </c>
      <c r="B228" s="392">
        <v>0.86399999999999999</v>
      </c>
      <c r="C228" s="393">
        <v>69.08</v>
      </c>
    </row>
    <row r="229" spans="1:3">
      <c r="A229" s="12">
        <v>41974</v>
      </c>
      <c r="B229" s="389">
        <v>0.82340000000000002</v>
      </c>
      <c r="C229" s="394">
        <v>66.752380952380946</v>
      </c>
    </row>
    <row r="230" spans="1:3">
      <c r="A230" s="12">
        <v>42005</v>
      </c>
      <c r="B230" s="392">
        <v>0.80600000000000005</v>
      </c>
      <c r="C230" s="393">
        <v>66.015000000000001</v>
      </c>
    </row>
    <row r="231" spans="1:3">
      <c r="A231" s="12">
        <v>42036</v>
      </c>
      <c r="B231" s="389">
        <v>0.77929999999999999</v>
      </c>
      <c r="C231" s="394">
        <v>63.949999999999989</v>
      </c>
    </row>
    <row r="232" spans="1:3">
      <c r="A232" s="12">
        <v>42064</v>
      </c>
      <c r="B232" s="392">
        <v>0.77300000000000002</v>
      </c>
      <c r="C232" s="393">
        <v>64.13181818181819</v>
      </c>
    </row>
    <row r="233" spans="1:3">
      <c r="A233" s="12">
        <v>42095</v>
      </c>
      <c r="B233" s="389">
        <v>0.77349999999999997</v>
      </c>
      <c r="C233" s="394">
        <v>63.785000000000004</v>
      </c>
    </row>
    <row r="234" spans="1:3">
      <c r="A234" s="12">
        <v>42125</v>
      </c>
      <c r="B234" s="392">
        <v>0.78859999999999997</v>
      </c>
      <c r="C234" s="393">
        <v>65.033333333333331</v>
      </c>
    </row>
    <row r="235" spans="1:3">
      <c r="A235" s="12">
        <v>42156</v>
      </c>
      <c r="B235" s="389">
        <v>0.77229999999999999</v>
      </c>
      <c r="C235" s="394">
        <v>64.104761904761901</v>
      </c>
    </row>
    <row r="236" spans="1:3">
      <c r="A236" s="12">
        <v>42186</v>
      </c>
      <c r="B236" s="392">
        <v>0.7409</v>
      </c>
      <c r="C236" s="393">
        <v>62.121739130434797</v>
      </c>
    </row>
    <row r="237" spans="1:3">
      <c r="A237" s="12">
        <v>42217</v>
      </c>
      <c r="B237" s="389">
        <v>0.72960000000000003</v>
      </c>
      <c r="C237" s="394">
        <v>61.975000000000001</v>
      </c>
    </row>
    <row r="238" spans="1:3">
      <c r="A238" s="12">
        <v>42248</v>
      </c>
      <c r="B238" s="392">
        <v>0.70550000000000002</v>
      </c>
      <c r="C238" s="393">
        <v>60.204545454545453</v>
      </c>
    </row>
    <row r="239" spans="1:3">
      <c r="A239" s="12">
        <v>42278</v>
      </c>
      <c r="B239" s="389">
        <v>0.72060000000000002</v>
      </c>
      <c r="C239" s="394">
        <v>61.042857142857137</v>
      </c>
    </row>
    <row r="240" spans="1:3">
      <c r="A240" s="12">
        <v>42309</v>
      </c>
      <c r="B240" s="392">
        <v>0.71499999999999997</v>
      </c>
      <c r="C240" s="393">
        <v>61.25238095238096</v>
      </c>
    </row>
    <row r="241" spans="1:3">
      <c r="A241" s="12">
        <v>42339</v>
      </c>
      <c r="B241" s="389">
        <v>0.72519999999999996</v>
      </c>
      <c r="C241" s="394">
        <v>62.24285714285714</v>
      </c>
    </row>
    <row r="242" spans="1:3">
      <c r="A242" s="12">
        <v>42370</v>
      </c>
      <c r="B242" s="392">
        <v>0.70150000000000001</v>
      </c>
      <c r="C242" s="393">
        <v>60.752631578947366</v>
      </c>
    </row>
    <row r="243" spans="1:3">
      <c r="A243" s="12">
        <v>42401</v>
      </c>
      <c r="B243" s="389">
        <v>0.71399999999999997</v>
      </c>
      <c r="C243" s="394">
        <v>61.157142857142865</v>
      </c>
    </row>
    <row r="244" spans="1:3">
      <c r="A244" s="12">
        <v>42430</v>
      </c>
      <c r="B244" s="392">
        <v>0.751</v>
      </c>
      <c r="C244" s="393">
        <v>63.561904761904771</v>
      </c>
    </row>
    <row r="245" spans="1:3">
      <c r="A245" s="12">
        <v>42461</v>
      </c>
      <c r="B245" s="389">
        <v>0.76629999999999998</v>
      </c>
      <c r="C245" s="394">
        <v>64.214999999999989</v>
      </c>
    </row>
    <row r="246" spans="1:3">
      <c r="A246" s="12">
        <v>42491</v>
      </c>
      <c r="B246" s="392">
        <v>0.73219999999999996</v>
      </c>
      <c r="C246" s="393">
        <v>61.75454545454545</v>
      </c>
    </row>
    <row r="247" spans="1:3">
      <c r="A247" s="12">
        <v>42522</v>
      </c>
      <c r="B247" s="389">
        <v>0.74070000000000003</v>
      </c>
      <c r="C247" s="394">
        <v>62.261904761904759</v>
      </c>
    </row>
    <row r="248" spans="1:3">
      <c r="A248" s="12">
        <v>42552</v>
      </c>
      <c r="B248" s="392">
        <v>0.753</v>
      </c>
      <c r="C248" s="393">
        <v>63.54</v>
      </c>
    </row>
    <row r="249" spans="1:3">
      <c r="A249" s="12">
        <v>42583</v>
      </c>
      <c r="B249" s="389">
        <v>0.76229999999999998</v>
      </c>
      <c r="C249" s="394">
        <v>63.86</v>
      </c>
    </row>
    <row r="250" spans="1:3">
      <c r="A250" s="12">
        <v>42614</v>
      </c>
      <c r="B250" s="392">
        <v>0.75919999999999999</v>
      </c>
      <c r="C250" s="393">
        <v>63.7</v>
      </c>
    </row>
    <row r="251" spans="1:3">
      <c r="A251" s="12">
        <v>42644</v>
      </c>
      <c r="B251" s="389">
        <v>0.76160000000000005</v>
      </c>
      <c r="C251" s="394">
        <v>64.67</v>
      </c>
    </row>
    <row r="252" spans="1:3">
      <c r="A252" s="12">
        <v>42675</v>
      </c>
      <c r="B252" s="392">
        <v>0.75290000000000001</v>
      </c>
      <c r="C252" s="393">
        <v>65.03</v>
      </c>
    </row>
    <row r="253" spans="1:3">
      <c r="A253" s="12">
        <v>42705</v>
      </c>
      <c r="B253" s="389">
        <v>0.73350000000000004</v>
      </c>
      <c r="C253" s="394">
        <v>64.67</v>
      </c>
    </row>
    <row r="254" spans="1:3">
      <c r="A254" s="12">
        <v>42736</v>
      </c>
      <c r="B254" s="392">
        <v>0.74590000000000001</v>
      </c>
      <c r="C254" s="393">
        <v>65.259999999999991</v>
      </c>
    </row>
    <row r="255" spans="1:3">
      <c r="A255" s="12">
        <v>42767</v>
      </c>
      <c r="B255" s="389">
        <v>0.76659999999999995</v>
      </c>
      <c r="C255" s="394">
        <v>66.594999999999999</v>
      </c>
    </row>
    <row r="256" spans="1:3">
      <c r="A256" s="12">
        <v>42795</v>
      </c>
      <c r="B256" s="392">
        <v>0.76239999999999997</v>
      </c>
      <c r="C256" s="393">
        <v>66.278260869565216</v>
      </c>
    </row>
    <row r="257" spans="1:3">
      <c r="A257" s="12">
        <v>42826</v>
      </c>
      <c r="B257" s="389">
        <v>0.75349999999999995</v>
      </c>
      <c r="C257" s="394">
        <v>65.111764705882351</v>
      </c>
    </row>
    <row r="258" spans="1:3">
      <c r="A258" s="12">
        <v>42856</v>
      </c>
      <c r="B258" s="392">
        <v>0.74360000000000004</v>
      </c>
      <c r="C258" s="393">
        <v>64.039130434782606</v>
      </c>
    </row>
    <row r="259" spans="1:3">
      <c r="A259" s="12">
        <v>42887</v>
      </c>
      <c r="B259" s="389">
        <v>0.75600000000000001</v>
      </c>
      <c r="C259" s="394">
        <v>64.566666666666677</v>
      </c>
    </row>
    <row r="260" spans="1:3">
      <c r="A260" s="12">
        <v>42917</v>
      </c>
      <c r="B260" s="392">
        <v>0.78049999999999997</v>
      </c>
      <c r="C260" s="393">
        <v>66.252380952380946</v>
      </c>
    </row>
    <row r="261" spans="1:3">
      <c r="A261" s="12">
        <v>42948</v>
      </c>
      <c r="B261" s="389">
        <v>0.79159999999999997</v>
      </c>
      <c r="C261" s="394">
        <v>66.627272727272711</v>
      </c>
    </row>
    <row r="262" spans="1:3">
      <c r="A262" s="12">
        <v>42979</v>
      </c>
      <c r="B262" s="392">
        <v>0.79669999999999996</v>
      </c>
      <c r="C262" s="393">
        <v>66.704761904761909</v>
      </c>
    </row>
    <row r="263" spans="1:3">
      <c r="A263" s="12">
        <v>43009</v>
      </c>
      <c r="B263" s="389">
        <v>0.77869999999999995</v>
      </c>
      <c r="C263" s="394">
        <v>65.757142857142867</v>
      </c>
    </row>
    <row r="264" spans="1:3">
      <c r="A264" s="12">
        <v>43040</v>
      </c>
      <c r="B264" s="392">
        <v>0.76229999999999998</v>
      </c>
      <c r="C264" s="393">
        <v>64.286363636363632</v>
      </c>
    </row>
    <row r="265" spans="1:3">
      <c r="A265" s="12">
        <v>43070</v>
      </c>
      <c r="B265" s="389">
        <v>0.76500000000000001</v>
      </c>
      <c r="C265" s="394">
        <v>64.05263157894737</v>
      </c>
    </row>
    <row r="266" spans="1:3">
      <c r="A266" s="12">
        <v>43101</v>
      </c>
      <c r="B266" s="392">
        <v>0.79569999999999996</v>
      </c>
      <c r="C266" s="393">
        <v>65.333333333333329</v>
      </c>
    </row>
    <row r="267" spans="1:3">
      <c r="A267" s="12">
        <v>43132</v>
      </c>
      <c r="B267" s="389">
        <v>0.78680000000000005</v>
      </c>
      <c r="C267" s="394">
        <v>64.139999999999986</v>
      </c>
    </row>
    <row r="268" spans="1:3">
      <c r="A268" s="12">
        <v>43160</v>
      </c>
      <c r="B268" s="392">
        <v>0.77590000000000003</v>
      </c>
      <c r="C268" s="393">
        <v>63.18095238095237</v>
      </c>
    </row>
    <row r="269" spans="1:3">
      <c r="A269" s="12">
        <v>43191</v>
      </c>
      <c r="B269" s="389">
        <v>0.76829999999999998</v>
      </c>
      <c r="C269" s="394">
        <v>62.663157894736834</v>
      </c>
    </row>
    <row r="270" spans="1:3">
      <c r="A270" s="12">
        <v>43221</v>
      </c>
      <c r="B270" s="392">
        <v>0.75280000000000002</v>
      </c>
      <c r="C270" s="393">
        <v>62.369565217391326</v>
      </c>
    </row>
    <row r="271" spans="1:3">
      <c r="A271" s="12">
        <v>43252</v>
      </c>
      <c r="B271" s="389">
        <v>0.74909999999999999</v>
      </c>
      <c r="C271" s="394">
        <v>62.644999999999996</v>
      </c>
    </row>
    <row r="272" spans="1:3">
      <c r="A272" s="12">
        <v>43282</v>
      </c>
      <c r="B272" s="392">
        <v>0.74050000000000005</v>
      </c>
      <c r="C272" s="393">
        <v>63.02727272727271</v>
      </c>
    </row>
    <row r="273" spans="1:4">
      <c r="A273" s="12">
        <v>43313</v>
      </c>
      <c r="B273" s="389">
        <v>0.73260000000000003</v>
      </c>
      <c r="C273" s="394">
        <v>62.927272727272729</v>
      </c>
    </row>
    <row r="274" spans="1:4">
      <c r="A274" s="12">
        <v>43344</v>
      </c>
      <c r="B274" s="392">
        <v>0.72040000000000004</v>
      </c>
      <c r="C274" s="393">
        <v>61.964999999999996</v>
      </c>
    </row>
    <row r="275" spans="1:4">
      <c r="A275" s="12">
        <v>43374</v>
      </c>
      <c r="B275" s="389">
        <v>0.71020000000000005</v>
      </c>
      <c r="C275" s="394">
        <v>61.622727272727275</v>
      </c>
    </row>
    <row r="276" spans="1:4">
      <c r="A276" s="12">
        <v>43405</v>
      </c>
      <c r="B276" s="392">
        <v>0.72489999999999999</v>
      </c>
      <c r="C276" s="393">
        <v>62.836363636363629</v>
      </c>
    </row>
    <row r="277" spans="1:4">
      <c r="A277" s="12">
        <v>43435</v>
      </c>
      <c r="B277" s="389">
        <v>0.71579999999999999</v>
      </c>
      <c r="C277" s="394">
        <v>62.047368421052639</v>
      </c>
    </row>
    <row r="278" spans="1:4">
      <c r="A278" s="12">
        <v>43466</v>
      </c>
      <c r="B278" s="392">
        <v>0.71509999999999996</v>
      </c>
      <c r="C278" s="393">
        <v>61.038095238095238</v>
      </c>
    </row>
    <row r="279" spans="1:4">
      <c r="A279" s="12">
        <v>43497</v>
      </c>
      <c r="B279" s="389">
        <v>0.71379999999999999</v>
      </c>
      <c r="C279" s="394">
        <v>60.92</v>
      </c>
    </row>
    <row r="280" spans="1:4">
      <c r="A280" s="12">
        <v>43525</v>
      </c>
      <c r="B280" s="392">
        <v>0.70830000000000004</v>
      </c>
      <c r="C280" s="393">
        <v>60.385714285714279</v>
      </c>
    </row>
    <row r="281" spans="1:4">
      <c r="A281" s="12">
        <v>43556</v>
      </c>
      <c r="B281" s="389">
        <v>0.71120000000000005</v>
      </c>
      <c r="C281" s="394">
        <v>60.873684210526314</v>
      </c>
    </row>
    <row r="282" spans="1:4">
      <c r="A282" s="12">
        <v>43586</v>
      </c>
      <c r="B282" s="392">
        <v>0.69440000000000002</v>
      </c>
      <c r="C282" s="393">
        <v>60.07391304347825</v>
      </c>
    </row>
    <row r="283" spans="1:4">
      <c r="A283" s="12">
        <v>43617</v>
      </c>
      <c r="B283" s="389">
        <v>0.69479999999999997</v>
      </c>
      <c r="C283" s="394">
        <v>60.1</v>
      </c>
    </row>
    <row r="284" spans="1:4">
      <c r="A284" s="12">
        <v>43647</v>
      </c>
      <c r="B284" s="392">
        <v>0.69789999999999996</v>
      </c>
      <c r="C284" s="393">
        <v>59.5</v>
      </c>
    </row>
    <row r="285" spans="1:4">
      <c r="A285" s="12">
        <v>43678</v>
      </c>
      <c r="B285" s="389">
        <v>0.67669999999999997</v>
      </c>
      <c r="C285" s="394">
        <v>58.9</v>
      </c>
    </row>
    <row r="286" spans="1:4">
      <c r="A286" s="12">
        <v>43709</v>
      </c>
      <c r="B286" s="392">
        <v>0.68679999999999997</v>
      </c>
      <c r="C286" s="393">
        <v>59.2</v>
      </c>
    </row>
    <row r="287" spans="1:4">
      <c r="A287" s="12">
        <v>43739</v>
      </c>
      <c r="B287" s="389">
        <v>0.67979999999999996</v>
      </c>
      <c r="C287" s="394">
        <v>60</v>
      </c>
      <c r="D287" s="181"/>
    </row>
    <row r="288" spans="1:4">
      <c r="A288" s="12">
        <v>43770</v>
      </c>
      <c r="B288" s="392">
        <v>0.68259999999999998</v>
      </c>
      <c r="C288" s="393">
        <v>59</v>
      </c>
      <c r="D288" s="181"/>
    </row>
    <row r="289" spans="1:3">
      <c r="A289" s="12">
        <v>43800</v>
      </c>
      <c r="B289" s="736">
        <v>0.68889999999999996</v>
      </c>
      <c r="C289" s="394">
        <v>60.3</v>
      </c>
    </row>
    <row r="290" spans="1:3">
      <c r="A290" s="12">
        <v>43831</v>
      </c>
      <c r="B290" s="737">
        <v>0.68610000000000004</v>
      </c>
      <c r="C290" s="739">
        <v>58.1</v>
      </c>
    </row>
    <row r="291" spans="1:3">
      <c r="A291" s="12">
        <v>43862</v>
      </c>
      <c r="B291" s="738">
        <v>0.66649999999999998</v>
      </c>
      <c r="C291" s="740">
        <v>57</v>
      </c>
    </row>
    <row r="292" spans="1:3">
      <c r="A292" s="12">
        <v>43891</v>
      </c>
      <c r="B292" s="737">
        <v>0.62150000000000005</v>
      </c>
      <c r="C292" s="739">
        <v>54.7</v>
      </c>
    </row>
    <row r="293" spans="1:3">
      <c r="A293" s="12">
        <v>43922</v>
      </c>
      <c r="B293" s="738">
        <v>0.63109999999999999</v>
      </c>
      <c r="C293" s="740">
        <v>57.8</v>
      </c>
    </row>
    <row r="294" spans="1:3">
      <c r="A294" s="12">
        <v>43952</v>
      </c>
      <c r="B294" s="737">
        <v>0.65180000000000005</v>
      </c>
      <c r="C294" s="739">
        <v>58.8</v>
      </c>
    </row>
    <row r="295" spans="1:3">
      <c r="A295" s="12">
        <v>43983</v>
      </c>
      <c r="B295" s="738">
        <v>0.69020000000000004</v>
      </c>
      <c r="C295" s="740">
        <v>60</v>
      </c>
    </row>
    <row r="296" spans="1:3">
      <c r="A296" s="12">
        <v>44013</v>
      </c>
      <c r="B296" s="737">
        <v>0.70350000000000001</v>
      </c>
      <c r="C296" s="739">
        <v>61.9</v>
      </c>
    </row>
    <row r="297" spans="1:3">
      <c r="A297" s="12">
        <v>44044</v>
      </c>
      <c r="B297" s="738">
        <v>0.72009999999999996</v>
      </c>
      <c r="C297" s="740">
        <v>62.6</v>
      </c>
    </row>
    <row r="298" spans="1:3">
      <c r="A298" s="12">
        <v>44075</v>
      </c>
      <c r="B298" s="737">
        <v>0.72270000000000001</v>
      </c>
      <c r="C298" s="739">
        <v>60.7</v>
      </c>
    </row>
    <row r="299" spans="1:3">
      <c r="A299" s="12">
        <v>44105</v>
      </c>
      <c r="B299" s="738">
        <v>0.71240000000000003</v>
      </c>
      <c r="C299" s="740">
        <v>59.5</v>
      </c>
    </row>
    <row r="300" spans="1:3">
      <c r="A300" s="12">
        <v>44136</v>
      </c>
      <c r="B300" s="737">
        <v>0.72819999999999996</v>
      </c>
      <c r="C300" s="739">
        <v>61.5</v>
      </c>
    </row>
    <row r="301" spans="1:3">
      <c r="A301" s="12">
        <v>44166</v>
      </c>
      <c r="B301" s="738">
        <v>0.75380000000000003</v>
      </c>
      <c r="C301" s="740">
        <v>63.4</v>
      </c>
    </row>
    <row r="302" spans="1:3">
      <c r="A302" s="12">
        <v>44197</v>
      </c>
      <c r="B302" s="737">
        <v>0.77229999999999999</v>
      </c>
      <c r="C302" s="739">
        <v>63</v>
      </c>
    </row>
    <row r="303" spans="1:3">
      <c r="A303" s="12">
        <v>44228</v>
      </c>
      <c r="B303" s="738">
        <v>0.77549999999999997</v>
      </c>
      <c r="C303" s="740">
        <v>64.5</v>
      </c>
    </row>
    <row r="304" spans="1:3">
      <c r="A304" s="12">
        <v>44256</v>
      </c>
      <c r="B304" s="737">
        <v>0.77059999999999995</v>
      </c>
      <c r="C304" s="739">
        <v>63.9</v>
      </c>
    </row>
    <row r="305" spans="1:14">
      <c r="A305" s="12">
        <v>44287</v>
      </c>
      <c r="B305" s="738">
        <v>0.7702</v>
      </c>
      <c r="C305" s="740">
        <v>64.400000000000006</v>
      </c>
    </row>
    <row r="306" spans="1:14">
      <c r="A306" s="12">
        <v>44317</v>
      </c>
      <c r="B306" s="737">
        <v>0.77610000000000001</v>
      </c>
      <c r="C306" s="739">
        <v>63.5</v>
      </c>
    </row>
    <row r="307" spans="1:14" ht="15.75" thickBot="1">
      <c r="A307" s="431">
        <v>44348</v>
      </c>
      <c r="B307" s="977">
        <v>0.76390000000000002</v>
      </c>
      <c r="C307" s="978">
        <v>62.7</v>
      </c>
    </row>
    <row r="308" spans="1:14">
      <c r="N308" s="55"/>
    </row>
  </sheetData>
  <mergeCells count="2">
    <mergeCell ref="E6:G6"/>
    <mergeCell ref="A6:C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2"/>
  <sheetViews>
    <sheetView showGridLines="0" zoomScaleNormal="100" workbookViewId="0">
      <selection activeCell="D73" sqref="D73"/>
    </sheetView>
  </sheetViews>
  <sheetFormatPr defaultColWidth="9.140625" defaultRowHeight="12.75"/>
  <cols>
    <col min="1" max="1" width="25.140625" style="144" customWidth="1"/>
    <col min="2" max="2" width="7.140625" style="144" customWidth="1"/>
    <col min="3" max="3" width="10.28515625" style="144" bestFit="1" customWidth="1"/>
    <col min="4" max="4" width="10.42578125" style="144" bestFit="1" customWidth="1"/>
    <col min="5" max="5" width="12.140625" style="144" bestFit="1" customWidth="1"/>
    <col min="6" max="6" width="10.28515625" style="144" bestFit="1" customWidth="1"/>
    <col min="7" max="8" width="12.42578125" style="144" bestFit="1" customWidth="1"/>
    <col min="9" max="9" width="9.140625" style="144" customWidth="1"/>
    <col min="10" max="10" width="24.140625" style="144" bestFit="1" customWidth="1"/>
    <col min="11" max="11" width="9.140625" style="144"/>
    <col min="12" max="12" width="9.140625" style="144" customWidth="1"/>
    <col min="13" max="17" width="9.140625" style="144"/>
    <col min="18" max="18" width="7" style="144" bestFit="1" customWidth="1"/>
    <col min="19" max="22" width="9.140625" style="144"/>
    <col min="23" max="23" width="9.140625" style="144" customWidth="1"/>
    <col min="24" max="16384" width="9.140625" style="144"/>
  </cols>
  <sheetData>
    <row r="1" spans="1:27" ht="15">
      <c r="H1" s="145"/>
      <c r="I1" s="254"/>
      <c r="J1" s="572"/>
      <c r="K1" s="572"/>
      <c r="L1" s="255"/>
      <c r="M1" s="205"/>
      <c r="N1" s="205"/>
      <c r="O1" s="205"/>
      <c r="P1" s="205"/>
      <c r="Q1" s="205"/>
      <c r="R1" s="205"/>
      <c r="S1" s="212"/>
      <c r="T1" s="213" t="str">
        <f>RIGHT(K1,3)</f>
        <v/>
      </c>
      <c r="U1" s="213" t="str">
        <f>LEFT(T1,1)</f>
        <v/>
      </c>
      <c r="V1" s="213"/>
      <c r="W1" s="205"/>
    </row>
    <row r="2" spans="1:27" ht="15">
      <c r="I2" s="254"/>
      <c r="J2" s="572"/>
      <c r="K2" s="572"/>
      <c r="L2" s="255"/>
      <c r="M2" s="205"/>
      <c r="N2" s="205"/>
      <c r="O2" s="205"/>
      <c r="P2" s="205"/>
      <c r="Q2" s="205"/>
      <c r="R2" s="205"/>
      <c r="S2" s="212"/>
      <c r="T2" s="213" t="str">
        <f>RIGHT(K2,3)</f>
        <v/>
      </c>
      <c r="U2" s="213" t="str">
        <f>LEFT(T2,1)</f>
        <v/>
      </c>
      <c r="V2" s="213"/>
      <c r="W2" s="205"/>
    </row>
    <row r="3" spans="1:27">
      <c r="I3" s="254"/>
      <c r="J3" s="254"/>
      <c r="K3" s="254"/>
      <c r="L3" s="254"/>
      <c r="S3" s="214"/>
      <c r="T3" s="215" t="str">
        <f>CONCATENATE("Comparison ", K1, " and ",K2)</f>
        <v xml:space="preserve">Comparison  and </v>
      </c>
      <c r="U3" s="214"/>
      <c r="V3" s="214"/>
    </row>
    <row r="4" spans="1:27" ht="22.5" customHeight="1">
      <c r="S4" s="214"/>
      <c r="T4" s="214"/>
      <c r="U4" s="214"/>
      <c r="V4" s="214"/>
    </row>
    <row r="5" spans="1:27" ht="22.5" customHeight="1">
      <c r="S5" s="214"/>
      <c r="T5" s="214"/>
      <c r="U5" s="214"/>
      <c r="V5" s="214"/>
    </row>
    <row r="6" spans="1:27" ht="14.25" customHeight="1">
      <c r="A6" s="1022" t="s">
        <v>1396</v>
      </c>
      <c r="B6" s="1023"/>
      <c r="C6" s="1023"/>
      <c r="D6" s="1023"/>
      <c r="E6" s="1023"/>
      <c r="F6" s="1023"/>
      <c r="G6" s="1023"/>
      <c r="H6" s="1023"/>
      <c r="I6" s="165"/>
      <c r="J6" s="165"/>
      <c r="K6" s="165"/>
      <c r="L6" s="165"/>
      <c r="S6" s="214"/>
      <c r="T6" s="214"/>
      <c r="U6" s="214"/>
      <c r="V6" s="214"/>
    </row>
    <row r="7" spans="1:27" ht="14.25" customHeight="1">
      <c r="A7" s="35"/>
      <c r="B7" s="165"/>
      <c r="C7" s="165"/>
      <c r="D7" s="165"/>
      <c r="E7" s="165"/>
      <c r="F7" s="165"/>
      <c r="G7" s="165"/>
      <c r="H7" s="165"/>
      <c r="I7" s="165"/>
      <c r="J7" s="165"/>
      <c r="K7" s="165"/>
      <c r="L7" s="165"/>
      <c r="S7" s="214"/>
      <c r="T7" s="214"/>
      <c r="U7" s="214"/>
      <c r="V7" s="214"/>
    </row>
    <row r="8" spans="1:27" ht="14.25" customHeight="1">
      <c r="A8" s="165"/>
      <c r="B8" s="165"/>
      <c r="C8" s="152" t="s">
        <v>1394</v>
      </c>
      <c r="D8" s="152" t="s">
        <v>1395</v>
      </c>
      <c r="E8" s="39" t="s">
        <v>0</v>
      </c>
      <c r="F8" s="165"/>
      <c r="G8" s="165"/>
      <c r="H8" s="165"/>
      <c r="I8" s="165"/>
      <c r="J8" s="165"/>
      <c r="K8" s="165"/>
      <c r="L8" s="165"/>
    </row>
    <row r="9" spans="1:27" ht="14.25" customHeight="1" thickBot="1">
      <c r="A9" s="134" t="s">
        <v>1112</v>
      </c>
      <c r="B9" s="134"/>
      <c r="C9" s="211">
        <v>0.67165833333333336</v>
      </c>
      <c r="D9" s="211">
        <v>0.74744166666666656</v>
      </c>
      <c r="E9" s="189">
        <v>0.11283018399731987</v>
      </c>
      <c r="F9" s="165"/>
      <c r="G9" s="165"/>
      <c r="H9" s="165"/>
      <c r="I9" s="165"/>
      <c r="J9" s="165"/>
      <c r="K9" s="165"/>
      <c r="L9" s="165"/>
      <c r="Q9" s="200"/>
      <c r="R9" s="135"/>
      <c r="S9" s="135"/>
      <c r="AA9" s="207" t="str">
        <f>CONCATENATE("Average price change of selected commodities "&amp;CHAR(10)&amp;'Commodity Price Comparison'!$C$10&amp;" to "&amp;'Commodity Price Comparison'!$E$10)</f>
        <v>Average price change of selected commodities 
2019/20 to 2020/21</v>
      </c>
    </row>
    <row r="10" spans="1:27" ht="14.25" customHeight="1">
      <c r="A10" s="153"/>
      <c r="B10" s="435"/>
      <c r="C10" s="1024" t="s">
        <v>1394</v>
      </c>
      <c r="D10" s="1025"/>
      <c r="E10" s="1024" t="s">
        <v>1395</v>
      </c>
      <c r="F10" s="1025"/>
      <c r="G10" s="1026" t="s">
        <v>1</v>
      </c>
      <c r="H10" s="1027"/>
      <c r="I10" s="39"/>
      <c r="J10" s="1028"/>
      <c r="K10" s="1021"/>
      <c r="L10" s="1021"/>
      <c r="P10" s="211"/>
      <c r="Q10" s="211"/>
      <c r="R10" s="135"/>
      <c r="S10" s="135"/>
    </row>
    <row r="11" spans="1:27" ht="14.25" customHeight="1">
      <c r="A11" s="432"/>
      <c r="B11" s="436" t="s">
        <v>2</v>
      </c>
      <c r="C11" s="154" t="s">
        <v>3</v>
      </c>
      <c r="D11" s="155" t="s">
        <v>4</v>
      </c>
      <c r="E11" s="154" t="s">
        <v>3</v>
      </c>
      <c r="F11" s="155" t="s">
        <v>4</v>
      </c>
      <c r="G11" s="156" t="s">
        <v>3</v>
      </c>
      <c r="H11" s="157" t="s">
        <v>4</v>
      </c>
      <c r="I11" s="165"/>
      <c r="J11" s="1028"/>
      <c r="K11" s="257"/>
      <c r="L11" s="257"/>
      <c r="Q11" s="200"/>
      <c r="R11" s="135"/>
      <c r="S11" s="135"/>
    </row>
    <row r="12" spans="1:27" ht="14.25" customHeight="1">
      <c r="A12" s="158" t="s">
        <v>6</v>
      </c>
      <c r="B12" s="433" t="s">
        <v>7</v>
      </c>
      <c r="C12" s="557">
        <v>281.52013087560312</v>
      </c>
      <c r="D12" s="558">
        <v>419.20695399710667</v>
      </c>
      <c r="E12" s="559">
        <v>282.59628500409968</v>
      </c>
      <c r="F12" s="558">
        <v>377.844036966266</v>
      </c>
      <c r="G12" s="560">
        <v>3.8226542633006057E-3</v>
      </c>
      <c r="H12" s="561">
        <v>-9.8669443902226261E-2</v>
      </c>
      <c r="I12" s="250"/>
      <c r="J12" s="258"/>
      <c r="K12" s="259"/>
      <c r="L12" s="259"/>
      <c r="M12" s="147"/>
      <c r="Q12" s="201"/>
      <c r="R12" s="135"/>
      <c r="S12" s="135"/>
    </row>
    <row r="13" spans="1:27" ht="14.25" customHeight="1">
      <c r="A13" s="158" t="s">
        <v>15</v>
      </c>
      <c r="B13" s="433" t="s">
        <v>7</v>
      </c>
      <c r="C13" s="562">
        <v>5666.4258333333319</v>
      </c>
      <c r="D13" s="563">
        <v>8431.1699511992356</v>
      </c>
      <c r="E13" s="564">
        <v>7968.934166666666</v>
      </c>
      <c r="F13" s="563">
        <v>10620.642451822423</v>
      </c>
      <c r="G13" s="565">
        <v>0.40634226954645597</v>
      </c>
      <c r="H13" s="566">
        <v>0.25968786221795476</v>
      </c>
      <c r="I13" s="165"/>
      <c r="J13" s="40"/>
      <c r="K13" s="160"/>
      <c r="L13" s="160"/>
      <c r="Q13" s="200"/>
      <c r="R13" s="135"/>
      <c r="S13" s="135"/>
    </row>
    <row r="14" spans="1:27" ht="14.25" customHeight="1">
      <c r="A14" s="158" t="s">
        <v>16</v>
      </c>
      <c r="B14" s="433" t="s">
        <v>7</v>
      </c>
      <c r="C14" s="557">
        <v>1896.2641666666666</v>
      </c>
      <c r="D14" s="558">
        <v>2821.0362119293568</v>
      </c>
      <c r="E14" s="559">
        <v>1981.7941666666663</v>
      </c>
      <c r="F14" s="558">
        <v>2649.8354041586445</v>
      </c>
      <c r="G14" s="560">
        <v>4.5104475158831904E-2</v>
      </c>
      <c r="H14" s="561">
        <v>-6.0687206724519521E-2</v>
      </c>
      <c r="I14" s="165"/>
    </row>
    <row r="15" spans="1:27" ht="14.25" customHeight="1">
      <c r="A15" s="158" t="s">
        <v>17</v>
      </c>
      <c r="B15" s="433" t="s">
        <v>7</v>
      </c>
      <c r="C15" s="562">
        <v>2204.1891666666666</v>
      </c>
      <c r="D15" s="563">
        <v>3277.0905656121054</v>
      </c>
      <c r="E15" s="564">
        <v>2656.1191666666668</v>
      </c>
      <c r="F15" s="563">
        <v>3548.2070516116378</v>
      </c>
      <c r="G15" s="565">
        <v>0.20503231157942825</v>
      </c>
      <c r="H15" s="566">
        <v>8.2730849383435459E-2</v>
      </c>
      <c r="I15" s="165"/>
    </row>
    <row r="16" spans="1:27" ht="14.25" customHeight="1">
      <c r="A16" s="158" t="s">
        <v>8</v>
      </c>
      <c r="B16" s="433" t="s">
        <v>9</v>
      </c>
      <c r="C16" s="557">
        <v>1562.0422689166669</v>
      </c>
      <c r="D16" s="558">
        <v>2339.0500000000002</v>
      </c>
      <c r="E16" s="559">
        <v>1849.6521687926063</v>
      </c>
      <c r="F16" s="558">
        <v>2484.2999999999997</v>
      </c>
      <c r="G16" s="560">
        <v>0.18412427473899751</v>
      </c>
      <c r="H16" s="561">
        <v>6.2097860242405906E-2</v>
      </c>
      <c r="I16" s="165"/>
      <c r="J16" s="258"/>
      <c r="K16" s="259"/>
      <c r="L16" s="259"/>
      <c r="Q16" s="200"/>
      <c r="R16" s="135"/>
      <c r="S16" s="135"/>
    </row>
    <row r="17" spans="1:19" ht="14.25" customHeight="1">
      <c r="A17" s="158" t="s">
        <v>10</v>
      </c>
      <c r="B17" s="433" t="s">
        <v>7</v>
      </c>
      <c r="C17" s="562">
        <v>13974.364166666668</v>
      </c>
      <c r="D17" s="563">
        <v>20774.583538438837</v>
      </c>
      <c r="E17" s="564">
        <v>16285.250000000002</v>
      </c>
      <c r="F17" s="563">
        <v>21749.179211775649</v>
      </c>
      <c r="G17" s="565">
        <v>0.16536608075847459</v>
      </c>
      <c r="H17" s="566">
        <v>4.691288619738318E-2</v>
      </c>
      <c r="I17" s="165"/>
      <c r="J17" s="258"/>
      <c r="K17" s="259"/>
      <c r="L17" s="259"/>
      <c r="Q17" s="200"/>
      <c r="R17" s="135"/>
      <c r="S17" s="135"/>
    </row>
    <row r="18" spans="1:19" ht="14.25" customHeight="1">
      <c r="A18" s="158" t="s">
        <v>13</v>
      </c>
      <c r="B18" s="433" t="s">
        <v>7</v>
      </c>
      <c r="C18" s="557">
        <v>1291.559069565973</v>
      </c>
      <c r="D18" s="558">
        <v>1922.9405867059984</v>
      </c>
      <c r="E18" s="559">
        <v>1261.411899119759</v>
      </c>
      <c r="F18" s="558">
        <v>1687.6392571813976</v>
      </c>
      <c r="G18" s="560">
        <v>-2.3341689247201754E-2</v>
      </c>
      <c r="H18" s="561">
        <v>-0.12236536643478542</v>
      </c>
      <c r="I18" s="165"/>
      <c r="J18" s="258"/>
      <c r="K18" s="259"/>
      <c r="L18" s="259"/>
      <c r="Q18" s="200"/>
      <c r="R18" s="135"/>
      <c r="S18" s="135"/>
    </row>
    <row r="19" spans="1:19" ht="14.25" customHeight="1">
      <c r="A19" s="158" t="s">
        <v>14</v>
      </c>
      <c r="B19" s="433" t="s">
        <v>7</v>
      </c>
      <c r="C19" s="562">
        <v>1403.3012760926158</v>
      </c>
      <c r="D19" s="563">
        <v>2089.3082188502822</v>
      </c>
      <c r="E19" s="564">
        <v>1291.7065437981162</v>
      </c>
      <c r="F19" s="563">
        <v>1728.1703728916857</v>
      </c>
      <c r="G19" s="565">
        <v>-7.9523003503015804E-2</v>
      </c>
      <c r="H19" s="566">
        <v>-0.17285044049523995</v>
      </c>
      <c r="I19" s="165"/>
      <c r="J19" s="258"/>
      <c r="K19" s="259"/>
      <c r="L19" s="259"/>
      <c r="Q19" s="200"/>
      <c r="R19" s="135"/>
      <c r="S19" s="135"/>
    </row>
    <row r="20" spans="1:19" ht="14.25" customHeight="1">
      <c r="A20" s="158" t="s">
        <v>198</v>
      </c>
      <c r="B20" s="433" t="s">
        <v>7</v>
      </c>
      <c r="C20" s="557">
        <v>2720.7641928243024</v>
      </c>
      <c r="D20" s="558">
        <v>4050.8158058898534</v>
      </c>
      <c r="E20" s="559">
        <v>2735.2188096176569</v>
      </c>
      <c r="F20" s="558">
        <v>3659.4411732701424</v>
      </c>
      <c r="G20" s="560">
        <v>5.3127047288687688E-3</v>
      </c>
      <c r="H20" s="561">
        <v>-9.6616250003432769E-2</v>
      </c>
      <c r="I20" s="165"/>
      <c r="J20" s="258"/>
      <c r="K20" s="259"/>
      <c r="L20" s="259"/>
      <c r="Q20" s="200"/>
      <c r="R20" s="135"/>
      <c r="S20" s="135"/>
    </row>
    <row r="21" spans="1:19" ht="14.25" customHeight="1">
      <c r="A21" s="158" t="s">
        <v>340</v>
      </c>
      <c r="B21" s="433" t="s">
        <v>7</v>
      </c>
      <c r="C21" s="562">
        <v>92.692499999999995</v>
      </c>
      <c r="D21" s="563">
        <v>137.91870655370482</v>
      </c>
      <c r="E21" s="564">
        <v>154.56666666666669</v>
      </c>
      <c r="F21" s="563">
        <v>205.63005547709869</v>
      </c>
      <c r="G21" s="565">
        <v>0.66752074511602011</v>
      </c>
      <c r="H21" s="566">
        <v>0.49095115967482938</v>
      </c>
      <c r="I21" s="250"/>
      <c r="J21" s="258"/>
      <c r="K21" s="259"/>
      <c r="L21" s="259"/>
      <c r="Q21" s="200"/>
      <c r="R21" s="135"/>
      <c r="S21" s="135"/>
    </row>
    <row r="22" spans="1:19" ht="14.25" customHeight="1">
      <c r="A22" s="158" t="s">
        <v>341</v>
      </c>
      <c r="B22" s="433" t="s">
        <v>7</v>
      </c>
      <c r="C22" s="557">
        <v>81.769621290545203</v>
      </c>
      <c r="D22" s="558">
        <v>121.65260099402495</v>
      </c>
      <c r="E22" s="559">
        <v>138.71653244400525</v>
      </c>
      <c r="F22" s="558">
        <v>184.55730741483504</v>
      </c>
      <c r="G22" s="560">
        <v>0.69643114710187204</v>
      </c>
      <c r="H22" s="561">
        <v>0.51708476355470356</v>
      </c>
      <c r="I22" s="165"/>
      <c r="J22" s="258"/>
      <c r="K22" s="259"/>
      <c r="L22" s="259"/>
      <c r="Q22" s="201"/>
      <c r="R22" s="135"/>
      <c r="S22" s="135"/>
    </row>
    <row r="23" spans="1:19" ht="14.25" customHeight="1">
      <c r="A23" s="158" t="s">
        <v>912</v>
      </c>
      <c r="B23" s="433" t="s">
        <v>7</v>
      </c>
      <c r="C23" s="562">
        <v>7770.3540381287521</v>
      </c>
      <c r="D23" s="563">
        <v>11568.90885216256</v>
      </c>
      <c r="E23" s="564">
        <v>8348.19960004114</v>
      </c>
      <c r="F23" s="563">
        <v>11169.031607872821</v>
      </c>
      <c r="G23" s="565">
        <v>7.4365409745415417E-2</v>
      </c>
      <c r="H23" s="566">
        <v>-3.4564819327363827E-2</v>
      </c>
      <c r="I23" s="249"/>
      <c r="J23" s="258"/>
      <c r="K23" s="259"/>
      <c r="L23" s="259"/>
      <c r="Q23" s="200"/>
      <c r="R23" s="135"/>
      <c r="S23" s="135"/>
    </row>
    <row r="24" spans="1:19" ht="14.25" customHeight="1">
      <c r="A24" s="158" t="s">
        <v>1023</v>
      </c>
      <c r="B24" s="433" t="s">
        <v>7</v>
      </c>
      <c r="C24" s="557">
        <v>511.49217569722015</v>
      </c>
      <c r="D24" s="558">
        <v>761.53626079314154</v>
      </c>
      <c r="E24" s="559">
        <v>478.06042529154945</v>
      </c>
      <c r="F24" s="558">
        <v>639.5956321561988</v>
      </c>
      <c r="G24" s="560">
        <v>-6.5361215662975772E-2</v>
      </c>
      <c r="H24" s="561">
        <v>-0.16012452054474902</v>
      </c>
      <c r="I24" s="249"/>
      <c r="J24" s="258"/>
      <c r="K24" s="259"/>
      <c r="L24" s="259"/>
      <c r="Q24" s="200"/>
      <c r="R24" s="135"/>
      <c r="S24" s="135"/>
    </row>
    <row r="25" spans="1:19" ht="14.25" customHeight="1">
      <c r="A25" s="158" t="s">
        <v>11</v>
      </c>
      <c r="B25" s="433" t="s">
        <v>7</v>
      </c>
      <c r="C25" s="562">
        <v>32058.570000000007</v>
      </c>
      <c r="D25" s="563">
        <v>47747.808523892549</v>
      </c>
      <c r="E25" s="564">
        <v>38926.087500000001</v>
      </c>
      <c r="F25" s="563">
        <v>51840.888551689619</v>
      </c>
      <c r="G25" s="565">
        <v>0.21421783629151248</v>
      </c>
      <c r="H25" s="566">
        <v>8.5722887695441188E-2</v>
      </c>
      <c r="I25" s="165"/>
      <c r="J25" s="258"/>
      <c r="K25" s="259"/>
      <c r="L25" s="259"/>
      <c r="Q25" s="200"/>
      <c r="R25" s="135"/>
      <c r="S25" s="135"/>
    </row>
    <row r="26" spans="1:19" ht="14.25" customHeight="1" thickBot="1">
      <c r="A26" s="159" t="s">
        <v>339</v>
      </c>
      <c r="B26" s="434" t="s">
        <v>5</v>
      </c>
      <c r="C26" s="567">
        <v>55.101666666666688</v>
      </c>
      <c r="D26" s="568">
        <v>81.552168657407492</v>
      </c>
      <c r="E26" s="569">
        <v>54.590833333333329</v>
      </c>
      <c r="F26" s="568">
        <v>72.641136424080585</v>
      </c>
      <c r="G26" s="570">
        <v>-9.2707419618285984E-3</v>
      </c>
      <c r="H26" s="571">
        <v>-0.10926787576626272</v>
      </c>
      <c r="I26" s="89"/>
      <c r="J26" s="258"/>
      <c r="K26" s="259"/>
      <c r="L26" s="259"/>
      <c r="Q26" s="200"/>
      <c r="R26" s="135"/>
      <c r="S26" s="135"/>
    </row>
    <row r="27" spans="1:19" ht="14.25" customHeight="1">
      <c r="I27" s="165"/>
    </row>
    <row r="28" spans="1:19" ht="14.25" customHeight="1">
      <c r="A28" s="148"/>
    </row>
    <row r="29" spans="1:19" ht="14.25" customHeight="1">
      <c r="A29" s="146"/>
    </row>
    <row r="30" spans="1:19">
      <c r="A30" s="146"/>
      <c r="B30" s="147"/>
      <c r="C30" s="147"/>
      <c r="D30" s="147"/>
      <c r="E30" s="147"/>
      <c r="F30" s="147"/>
      <c r="G30" s="147"/>
    </row>
    <row r="31" spans="1:19">
      <c r="A31" s="148"/>
      <c r="B31" s="147"/>
      <c r="C31" s="147"/>
      <c r="D31" s="147"/>
      <c r="E31" s="147"/>
      <c r="F31" s="147"/>
      <c r="G31" s="147"/>
    </row>
    <row r="34" spans="1:14">
      <c r="A34" s="146"/>
    </row>
    <row r="35" spans="1:14">
      <c r="A35" s="146"/>
    </row>
    <row r="38" spans="1:14">
      <c r="N38" s="207" t="str">
        <f>"Average Price Change of Selected Commodities"&amp;CHAR(10)&amp;C10&amp;" to "&amp;E10</f>
        <v>Average Price Change of Selected Commodities
2019/20 to 2020/21</v>
      </c>
    </row>
    <row r="40" spans="1:14">
      <c r="J40" s="232"/>
    </row>
    <row r="42" spans="1:14">
      <c r="H42" s="146"/>
    </row>
  </sheetData>
  <mergeCells count="6">
    <mergeCell ref="K10:L10"/>
    <mergeCell ref="A6:H6"/>
    <mergeCell ref="C10:D10"/>
    <mergeCell ref="E10:F10"/>
    <mergeCell ref="G10:H10"/>
    <mergeCell ref="J10:J11"/>
  </mergeCells>
  <conditionalFormatting sqref="R13:S13 G25:H25 R23:S25 R16:S21">
    <cfRule type="containsText" dxfId="13" priority="16" operator="containsText" text="Data Missing">
      <formula>NOT(ISERROR(SEARCH("Data Missing",G13)))</formula>
    </cfRule>
  </conditionalFormatting>
  <conditionalFormatting sqref="R9:S9 R11:S12">
    <cfRule type="containsText" dxfId="12" priority="11" operator="containsText" text="Data Missing">
      <formula>NOT(ISERROR(SEARCH("Data Missing",R9)))</formula>
    </cfRule>
  </conditionalFormatting>
  <conditionalFormatting sqref="R22:S22">
    <cfRule type="containsText" dxfId="11" priority="10" operator="containsText" text="Data Missing">
      <formula>NOT(ISERROR(SEARCH("Data Missing",R22)))</formula>
    </cfRule>
  </conditionalFormatting>
  <conditionalFormatting sqref="R26:S26">
    <cfRule type="containsText" dxfId="10" priority="9" operator="containsText" text="Data Missing">
      <formula>NOT(ISERROR(SEARCH("Data Missing",R26)))</formula>
    </cfRule>
  </conditionalFormatting>
  <conditionalFormatting sqref="R10:S10">
    <cfRule type="containsText" dxfId="9" priority="8" operator="containsText" text="Data Missing">
      <formula>NOT(ISERROR(SEARCH("Data Missing",R10)))</formula>
    </cfRule>
  </conditionalFormatting>
  <conditionalFormatting sqref="G13:H13">
    <cfRule type="containsText" dxfId="8" priority="6" operator="containsText" text="Data Missing">
      <formula>NOT(ISERROR(SEARCH("Data Missing",G13)))</formula>
    </cfRule>
  </conditionalFormatting>
  <conditionalFormatting sqref="G15:H15">
    <cfRule type="containsText" dxfId="7" priority="5" operator="containsText" text="Data Missing">
      <formula>NOT(ISERROR(SEARCH("Data Missing",G15)))</formula>
    </cfRule>
  </conditionalFormatting>
  <conditionalFormatting sqref="G17:H17">
    <cfRule type="containsText" dxfId="6" priority="4" operator="containsText" text="Data Missing">
      <formula>NOT(ISERROR(SEARCH("Data Missing",G17)))</formula>
    </cfRule>
  </conditionalFormatting>
  <conditionalFormatting sqref="G19:H19">
    <cfRule type="containsText" dxfId="5" priority="3" operator="containsText" text="Data Missing">
      <formula>NOT(ISERROR(SEARCH("Data Missing",G19)))</formula>
    </cfRule>
  </conditionalFormatting>
  <conditionalFormatting sqref="G21:H21">
    <cfRule type="containsText" dxfId="4" priority="2" operator="containsText" text="Data Missing">
      <formula>NOT(ISERROR(SEARCH("Data Missing",G21)))</formula>
    </cfRule>
  </conditionalFormatting>
  <conditionalFormatting sqref="G23:H23">
    <cfRule type="containsText" dxfId="3" priority="1" operator="containsText" text="Data Missing">
      <formula>NOT(ISERROR(SEARCH("Data Missing",G23)))</formula>
    </cfRule>
  </conditionalFormatting>
  <pageMargins left="0.35433070866141736" right="0.39370078740157483" top="0.55118110236220474" bottom="0.35433070866141736" header="0.51181102362204722" footer="0.51181102362204722"/>
  <pageSetup paperSize="9" scale="6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76"/>
  <sheetViews>
    <sheetView showGridLines="0" zoomScaleNormal="100" workbookViewId="0">
      <pane ySplit="7" topLeftCell="A8" activePane="bottomLeft" state="frozen"/>
      <selection activeCell="AJ8" sqref="AJ8:AK8"/>
      <selection pane="bottomLeft" activeCell="A493" sqref="A493"/>
    </sheetView>
  </sheetViews>
  <sheetFormatPr defaultColWidth="9.140625" defaultRowHeight="15"/>
  <cols>
    <col min="1" max="1" width="16.28515625" style="165" bestFit="1" customWidth="1"/>
    <col min="2" max="13" width="12.7109375" style="165" customWidth="1"/>
    <col min="14" max="16" width="12.7109375" style="683" customWidth="1"/>
    <col min="17" max="19" width="12" style="165" customWidth="1"/>
    <col min="20" max="21" width="9.140625" style="165"/>
    <col min="22" max="22" width="13.28515625" style="165" customWidth="1"/>
    <col min="23" max="16384" width="9.140625" style="165"/>
  </cols>
  <sheetData>
    <row r="1" spans="1:16">
      <c r="A1" s="205"/>
    </row>
    <row r="4" spans="1:16" s="34" customFormat="1">
      <c r="A4" s="165"/>
      <c r="B4" s="165"/>
      <c r="C4" s="165"/>
      <c r="D4" s="165"/>
      <c r="E4" s="165"/>
      <c r="F4" s="165"/>
      <c r="G4" s="165"/>
    </row>
    <row r="5" spans="1:16" s="34" customFormat="1" ht="13.5" thickBot="1">
      <c r="A5" s="6"/>
      <c r="B5" s="5"/>
    </row>
    <row r="6" spans="1:16" s="34" customFormat="1">
      <c r="A6" s="277" t="s">
        <v>919</v>
      </c>
      <c r="B6" s="1029" t="s">
        <v>18</v>
      </c>
      <c r="C6" s="1030"/>
      <c r="D6" s="1031"/>
      <c r="E6" s="1029" t="s">
        <v>1124</v>
      </c>
      <c r="F6" s="1030"/>
      <c r="G6" s="1031"/>
      <c r="H6" s="1029" t="s">
        <v>1125</v>
      </c>
      <c r="I6" s="1030"/>
      <c r="J6" s="1031"/>
      <c r="K6" s="1029" t="s">
        <v>1126</v>
      </c>
      <c r="L6" s="1030"/>
      <c r="M6" s="1031"/>
      <c r="N6" s="1036" t="s">
        <v>1205</v>
      </c>
      <c r="O6" s="1037"/>
      <c r="P6" s="1038"/>
    </row>
    <row r="7" spans="1:16" s="34" customFormat="1">
      <c r="A7" s="772" t="s">
        <v>1313</v>
      </c>
      <c r="B7" s="17" t="s">
        <v>4</v>
      </c>
      <c r="C7" s="17" t="s">
        <v>20</v>
      </c>
      <c r="D7" s="17" t="s">
        <v>3</v>
      </c>
      <c r="E7" s="17" t="s">
        <v>4</v>
      </c>
      <c r="F7" s="17" t="s">
        <v>20</v>
      </c>
      <c r="G7" s="17" t="s">
        <v>3</v>
      </c>
      <c r="H7" s="17" t="s">
        <v>4</v>
      </c>
      <c r="I7" s="17" t="s">
        <v>20</v>
      </c>
      <c r="J7" s="17" t="s">
        <v>3</v>
      </c>
      <c r="K7" s="17" t="s">
        <v>4</v>
      </c>
      <c r="L7" s="17" t="s">
        <v>20</v>
      </c>
      <c r="M7" s="17" t="s">
        <v>3</v>
      </c>
      <c r="N7" s="684" t="s">
        <v>4</v>
      </c>
      <c r="O7" s="685" t="s">
        <v>20</v>
      </c>
      <c r="P7" s="685" t="s">
        <v>3</v>
      </c>
    </row>
    <row r="8" spans="1:16" s="34" customFormat="1">
      <c r="A8" s="16">
        <v>30163</v>
      </c>
      <c r="B8" s="676">
        <v>28.893489499951308</v>
      </c>
      <c r="C8" s="677">
        <v>51.327553921271765</v>
      </c>
      <c r="D8" s="678">
        <v>40.88844428816487</v>
      </c>
      <c r="E8" s="679">
        <v>39.272802531522245</v>
      </c>
      <c r="F8" s="677">
        <v>69.728050257983867</v>
      </c>
      <c r="G8" s="678">
        <v>55.538635107492041</v>
      </c>
      <c r="H8" s="679">
        <v>28.140177736089139</v>
      </c>
      <c r="I8" s="677">
        <v>49.992373428164292</v>
      </c>
      <c r="J8" s="678">
        <v>39.8254570015742</v>
      </c>
      <c r="K8" s="680">
        <v>24.703628491496467</v>
      </c>
      <c r="L8" s="681">
        <v>43.852816156380456</v>
      </c>
      <c r="M8" s="681">
        <v>34.926961591174731</v>
      </c>
      <c r="N8" s="688"/>
      <c r="O8" s="689"/>
      <c r="P8" s="689"/>
    </row>
    <row r="9" spans="1:16">
      <c r="A9" s="16">
        <v>30194</v>
      </c>
      <c r="B9" s="579">
        <v>29.162951357836285</v>
      </c>
      <c r="C9" s="580">
        <v>51.147803176246562</v>
      </c>
      <c r="D9" s="581">
        <v>39.964024409262002</v>
      </c>
      <c r="E9" s="582">
        <v>38.928552690980439</v>
      </c>
      <c r="F9" s="580">
        <v>68.238398291431366</v>
      </c>
      <c r="G9" s="581">
        <v>53.310004178313562</v>
      </c>
      <c r="H9" s="582">
        <v>28.791066451636937</v>
      </c>
      <c r="I9" s="580">
        <v>50.498631688808985</v>
      </c>
      <c r="J9" s="581">
        <v>39.457433588066323</v>
      </c>
      <c r="K9" s="583">
        <v>25.078958676755946</v>
      </c>
      <c r="L9" s="584">
        <v>43.953268873803658</v>
      </c>
      <c r="M9" s="584">
        <v>34.335763530839735</v>
      </c>
      <c r="N9" s="690"/>
      <c r="O9" s="691"/>
      <c r="P9" s="691"/>
    </row>
    <row r="10" spans="1:16">
      <c r="A10" s="16">
        <v>30224</v>
      </c>
      <c r="B10" s="573">
        <v>30.259355923493331</v>
      </c>
      <c r="C10" s="574">
        <v>52.287435583405426</v>
      </c>
      <c r="D10" s="575">
        <v>40.615496502100982</v>
      </c>
      <c r="E10" s="576">
        <v>39.678748229708724</v>
      </c>
      <c r="F10" s="574">
        <v>68.526836066662028</v>
      </c>
      <c r="G10" s="575">
        <v>53.222193123874902</v>
      </c>
      <c r="H10" s="576">
        <v>30.263580728993293</v>
      </c>
      <c r="I10" s="574">
        <v>52.297908554795015</v>
      </c>
      <c r="J10" s="575">
        <v>40.624285784113717</v>
      </c>
      <c r="K10" s="577">
        <v>25.155361753273077</v>
      </c>
      <c r="L10" s="578">
        <v>43.436457437658923</v>
      </c>
      <c r="M10" s="578">
        <v>33.733555766614955</v>
      </c>
      <c r="N10" s="688"/>
      <c r="O10" s="689"/>
      <c r="P10" s="689"/>
    </row>
    <row r="11" spans="1:16">
      <c r="A11" s="16">
        <v>30255</v>
      </c>
      <c r="B11" s="579">
        <v>30.574673286107277</v>
      </c>
      <c r="C11" s="580">
        <v>52.445486354486249</v>
      </c>
      <c r="D11" s="581">
        <v>40.401309866990815</v>
      </c>
      <c r="E11" s="582">
        <v>40.21082286446174</v>
      </c>
      <c r="F11" s="580">
        <v>68.937306025419844</v>
      </c>
      <c r="G11" s="581">
        <v>53.098138774964319</v>
      </c>
      <c r="H11" s="582">
        <v>30.514085456603588</v>
      </c>
      <c r="I11" s="580">
        <v>52.344734016004537</v>
      </c>
      <c r="J11" s="581">
        <v>40.324344763687776</v>
      </c>
      <c r="K11" s="583">
        <v>25.100200988708288</v>
      </c>
      <c r="L11" s="584">
        <v>43.023888507582889</v>
      </c>
      <c r="M11" s="584">
        <v>33.136778691393737</v>
      </c>
      <c r="N11" s="690"/>
      <c r="O11" s="691"/>
      <c r="P11" s="691"/>
    </row>
    <row r="12" spans="1:16">
      <c r="A12" s="16">
        <v>30285</v>
      </c>
      <c r="B12" s="573">
        <v>30.634666550929492</v>
      </c>
      <c r="C12" s="574">
        <v>52.685534073069782</v>
      </c>
      <c r="D12" s="575">
        <v>40.386284454458057</v>
      </c>
      <c r="E12" s="576">
        <v>40.292528552456183</v>
      </c>
      <c r="F12" s="574">
        <v>69.257658834850972</v>
      </c>
      <c r="G12" s="575">
        <v>53.082086035881524</v>
      </c>
      <c r="H12" s="576">
        <v>30.572426232202531</v>
      </c>
      <c r="I12" s="574">
        <v>52.581682927300676</v>
      </c>
      <c r="J12" s="575">
        <v>40.307326038555779</v>
      </c>
      <c r="K12" s="577">
        <v>24.133136748447594</v>
      </c>
      <c r="L12" s="578">
        <v>41.474214668784818</v>
      </c>
      <c r="M12" s="578">
        <v>31.785861264010389</v>
      </c>
      <c r="N12" s="688"/>
      <c r="O12" s="689"/>
      <c r="P12" s="689"/>
    </row>
    <row r="13" spans="1:16">
      <c r="A13" s="16">
        <v>30316</v>
      </c>
      <c r="B13" s="579">
        <v>30.105674587383284</v>
      </c>
      <c r="C13" s="580">
        <v>51.869527326995666</v>
      </c>
      <c r="D13" s="581">
        <v>40.750419931121471</v>
      </c>
      <c r="E13" s="582">
        <v>39.379258715706186</v>
      </c>
      <c r="F13" s="580">
        <v>67.810433232199614</v>
      </c>
      <c r="G13" s="581">
        <v>53.266477629463758</v>
      </c>
      <c r="H13" s="582">
        <v>30.163451289234349</v>
      </c>
      <c r="I13" s="580">
        <v>51.972224542786648</v>
      </c>
      <c r="J13" s="581">
        <v>40.831759763640918</v>
      </c>
      <c r="K13" s="583">
        <v>23.429565987503278</v>
      </c>
      <c r="L13" s="584">
        <v>40.3379979189219</v>
      </c>
      <c r="M13" s="584">
        <v>31.684542204809134</v>
      </c>
      <c r="N13" s="690"/>
      <c r="O13" s="691"/>
      <c r="P13" s="691"/>
    </row>
    <row r="14" spans="1:16">
      <c r="A14" s="16">
        <v>30347</v>
      </c>
      <c r="B14" s="573">
        <v>30.323279076149355</v>
      </c>
      <c r="C14" s="574">
        <v>52.675286913776795</v>
      </c>
      <c r="D14" s="575">
        <v>41.68562951394204</v>
      </c>
      <c r="E14" s="576">
        <v>39.09178477748889</v>
      </c>
      <c r="F14" s="574">
        <v>67.870539440795568</v>
      </c>
      <c r="G14" s="575">
        <v>53.702983943828322</v>
      </c>
      <c r="H14" s="576">
        <v>30.694325117256266</v>
      </c>
      <c r="I14" s="574">
        <v>53.323074588106408</v>
      </c>
      <c r="J14" s="575">
        <v>42.198948605663475</v>
      </c>
      <c r="K14" s="577">
        <v>24.646125667316802</v>
      </c>
      <c r="L14" s="578">
        <v>42.782442328086908</v>
      </c>
      <c r="M14" s="578">
        <v>33.849973061634635</v>
      </c>
      <c r="N14" s="688"/>
      <c r="O14" s="689"/>
      <c r="P14" s="689"/>
    </row>
    <row r="15" spans="1:16">
      <c r="A15" s="16">
        <v>30375</v>
      </c>
      <c r="B15" s="579">
        <v>31.076987049503206</v>
      </c>
      <c r="C15" s="580">
        <v>53.670038947655385</v>
      </c>
      <c r="D15" s="581">
        <v>42.047775356269099</v>
      </c>
      <c r="E15" s="582">
        <v>40.392511210008912</v>
      </c>
      <c r="F15" s="580">
        <v>69.720246330990108</v>
      </c>
      <c r="G15" s="581">
        <v>54.614465490113631</v>
      </c>
      <c r="H15" s="582">
        <v>31.277306655865118</v>
      </c>
      <c r="I15" s="580">
        <v>54.019268472920615</v>
      </c>
      <c r="J15" s="581">
        <v>42.322060612907045</v>
      </c>
      <c r="K15" s="583">
        <v>26.293678322325903</v>
      </c>
      <c r="L15" s="584">
        <v>45.376450115952913</v>
      </c>
      <c r="M15" s="584">
        <v>35.543069382853226</v>
      </c>
      <c r="N15" s="690"/>
      <c r="O15" s="691"/>
      <c r="P15" s="691"/>
    </row>
    <row r="16" spans="1:16">
      <c r="A16" s="16">
        <v>30406</v>
      </c>
      <c r="B16" s="573">
        <v>32.783268282954708</v>
      </c>
      <c r="C16" s="574">
        <v>51.94604945463729</v>
      </c>
      <c r="D16" s="575">
        <v>40.553774390531679</v>
      </c>
      <c r="E16" s="576">
        <v>44.353648171219604</v>
      </c>
      <c r="F16" s="574">
        <v>70.241645850153105</v>
      </c>
      <c r="G16" s="575">
        <v>54.829097464465846</v>
      </c>
      <c r="H16" s="576">
        <v>32.041232223615054</v>
      </c>
      <c r="I16" s="574">
        <v>50.77335169355095</v>
      </c>
      <c r="J16" s="575">
        <v>39.638898968696779</v>
      </c>
      <c r="K16" s="577">
        <v>29.484290463622692</v>
      </c>
      <c r="L16" s="578">
        <v>46.684974504550404</v>
      </c>
      <c r="M16" s="578">
        <v>36.439229166197038</v>
      </c>
      <c r="N16" s="688"/>
      <c r="O16" s="689"/>
      <c r="P16" s="689"/>
    </row>
    <row r="17" spans="1:16">
      <c r="A17" s="16">
        <v>30436</v>
      </c>
      <c r="B17" s="579">
        <v>33.437688900510949</v>
      </c>
      <c r="C17" s="580">
        <v>52.149952561893556</v>
      </c>
      <c r="D17" s="581">
        <v>40.558594637058206</v>
      </c>
      <c r="E17" s="582">
        <v>46.316649191250825</v>
      </c>
      <c r="F17" s="580">
        <v>72.197116487617265</v>
      </c>
      <c r="G17" s="581">
        <v>56.141820952162483</v>
      </c>
      <c r="H17" s="582">
        <v>32.09155862924419</v>
      </c>
      <c r="I17" s="580">
        <v>50.053542792292674</v>
      </c>
      <c r="J17" s="581">
        <v>38.928780236262185</v>
      </c>
      <c r="K17" s="583">
        <v>31.022070107811007</v>
      </c>
      <c r="L17" s="584">
        <v>48.347565223781864</v>
      </c>
      <c r="M17" s="584">
        <v>37.593857226584895</v>
      </c>
      <c r="N17" s="690"/>
      <c r="O17" s="691"/>
      <c r="P17" s="691"/>
    </row>
    <row r="18" spans="1:16">
      <c r="A18" s="16">
        <v>30467</v>
      </c>
      <c r="B18" s="573">
        <v>33.395542693379717</v>
      </c>
      <c r="C18" s="574">
        <v>52.727717214340373</v>
      </c>
      <c r="D18" s="575">
        <v>41.044831287218067</v>
      </c>
      <c r="E18" s="576">
        <v>47.259330894672182</v>
      </c>
      <c r="F18" s="574">
        <v>74.576687232742074</v>
      </c>
      <c r="G18" s="575">
        <v>58.0443904662555</v>
      </c>
      <c r="H18" s="576">
        <v>31.503688668278141</v>
      </c>
      <c r="I18" s="574">
        <v>49.743715172045974</v>
      </c>
      <c r="J18" s="575">
        <v>38.722618428937636</v>
      </c>
      <c r="K18" s="577">
        <v>31.717847779253077</v>
      </c>
      <c r="L18" s="578">
        <v>50.042654967896979</v>
      </c>
      <c r="M18" s="578">
        <v>38.94692259307709</v>
      </c>
      <c r="N18" s="688"/>
      <c r="O18" s="689"/>
      <c r="P18" s="689"/>
    </row>
    <row r="19" spans="1:16">
      <c r="A19" s="16">
        <v>30497</v>
      </c>
      <c r="B19" s="579">
        <v>33.184960811337312</v>
      </c>
      <c r="C19" s="580">
        <v>52.982999699178613</v>
      </c>
      <c r="D19" s="581">
        <v>40.725653558840648</v>
      </c>
      <c r="E19" s="582">
        <v>47.797088496429723</v>
      </c>
      <c r="F19" s="580">
        <v>76.271402359908251</v>
      </c>
      <c r="G19" s="581">
        <v>58.617988748845519</v>
      </c>
      <c r="H19" s="582">
        <v>30.848008918146157</v>
      </c>
      <c r="I19" s="580">
        <v>49.254817966673784</v>
      </c>
      <c r="J19" s="581">
        <v>37.860577264481698</v>
      </c>
      <c r="K19" s="583">
        <v>31.140017148168354</v>
      </c>
      <c r="L19" s="584">
        <v>49.682134838292512</v>
      </c>
      <c r="M19" s="584">
        <v>38.180803894014502</v>
      </c>
      <c r="N19" s="690"/>
      <c r="O19" s="691"/>
      <c r="P19" s="691"/>
    </row>
    <row r="20" spans="1:16">
      <c r="A20" s="16">
        <v>30528</v>
      </c>
      <c r="B20" s="573">
        <v>32.912329672689317</v>
      </c>
      <c r="C20" s="574">
        <v>52.714271496903862</v>
      </c>
      <c r="D20" s="575">
        <v>40.308180571884364</v>
      </c>
      <c r="E20" s="576">
        <v>47.167644628458888</v>
      </c>
      <c r="F20" s="574">
        <v>75.505541977714003</v>
      </c>
      <c r="G20" s="575">
        <v>57.72733087283428</v>
      </c>
      <c r="H20" s="576">
        <v>30.724050601338739</v>
      </c>
      <c r="I20" s="574">
        <v>49.212383881907236</v>
      </c>
      <c r="J20" s="575">
        <v>37.631054021937089</v>
      </c>
      <c r="K20" s="577">
        <v>31.627699379521545</v>
      </c>
      <c r="L20" s="578">
        <v>50.620141491552339</v>
      </c>
      <c r="M20" s="578">
        <v>38.699169096109486</v>
      </c>
      <c r="N20" s="688"/>
      <c r="O20" s="689"/>
      <c r="P20" s="689"/>
    </row>
    <row r="21" spans="1:16">
      <c r="A21" s="16">
        <v>30559</v>
      </c>
      <c r="B21" s="579">
        <v>33.171555194294285</v>
      </c>
      <c r="C21" s="580">
        <v>54.052722725350478</v>
      </c>
      <c r="D21" s="581">
        <v>40.815952596089076</v>
      </c>
      <c r="E21" s="582">
        <v>47.35228764639799</v>
      </c>
      <c r="F21" s="580">
        <v>77.118355860438697</v>
      </c>
      <c r="G21" s="581">
        <v>58.224770548308769</v>
      </c>
      <c r="H21" s="582">
        <v>31.068223727089578</v>
      </c>
      <c r="I21" s="580">
        <v>50.628436132289998</v>
      </c>
      <c r="J21" s="581">
        <v>38.230842418854309</v>
      </c>
      <c r="K21" s="583">
        <v>32.304548106753487</v>
      </c>
      <c r="L21" s="584">
        <v>52.601918030634224</v>
      </c>
      <c r="M21" s="584">
        <v>39.712501236193042</v>
      </c>
      <c r="N21" s="690"/>
      <c r="O21" s="691"/>
      <c r="P21" s="691"/>
    </row>
    <row r="22" spans="1:16">
      <c r="A22" s="16">
        <v>30589</v>
      </c>
      <c r="B22" s="573">
        <v>32.464427287168398</v>
      </c>
      <c r="C22" s="574">
        <v>53.36173254877162</v>
      </c>
      <c r="D22" s="575">
        <v>40.286546806346216</v>
      </c>
      <c r="E22" s="576">
        <v>46.464198059342991</v>
      </c>
      <c r="F22" s="574">
        <v>76.331830455555078</v>
      </c>
      <c r="G22" s="575">
        <v>57.620027357345919</v>
      </c>
      <c r="H22" s="576">
        <v>30.339583280750926</v>
      </c>
      <c r="I22" s="574">
        <v>49.872154957621881</v>
      </c>
      <c r="J22" s="575">
        <v>37.652624127352944</v>
      </c>
      <c r="K22" s="577">
        <v>32.104280636597856</v>
      </c>
      <c r="L22" s="578">
        <v>52.731641062695026</v>
      </c>
      <c r="M22" s="578">
        <v>39.802899293019266</v>
      </c>
      <c r="N22" s="688"/>
      <c r="O22" s="689"/>
      <c r="P22" s="689"/>
    </row>
    <row r="23" spans="1:16">
      <c r="A23" s="16">
        <v>30620</v>
      </c>
      <c r="B23" s="579">
        <v>31.672508456212871</v>
      </c>
      <c r="C23" s="580">
        <v>53.046392886480533</v>
      </c>
      <c r="D23" s="581">
        <v>40.504781981364346</v>
      </c>
      <c r="E23" s="582">
        <v>45.518944146624534</v>
      </c>
      <c r="F23" s="580">
        <v>76.195729520414318</v>
      </c>
      <c r="G23" s="581">
        <v>58.17263480795495</v>
      </c>
      <c r="H23" s="582">
        <v>29.496599190892788</v>
      </c>
      <c r="I23" s="580">
        <v>49.40508952548663</v>
      </c>
      <c r="J23" s="581">
        <v>37.724989299711666</v>
      </c>
      <c r="K23" s="583">
        <v>30.528532141037534</v>
      </c>
      <c r="L23" s="584">
        <v>51.09348052571535</v>
      </c>
      <c r="M23" s="584">
        <v>39.005803518114305</v>
      </c>
      <c r="N23" s="690"/>
      <c r="O23" s="691"/>
      <c r="P23" s="691"/>
    </row>
    <row r="24" spans="1:16">
      <c r="A24" s="16">
        <v>30650</v>
      </c>
      <c r="B24" s="573">
        <v>30.818797196883967</v>
      </c>
      <c r="C24" s="574">
        <v>52.186414536049639</v>
      </c>
      <c r="D24" s="575">
        <v>39.473372728774159</v>
      </c>
      <c r="E24" s="576">
        <v>43.457495576477761</v>
      </c>
      <c r="F24" s="574">
        <v>73.548111266160291</v>
      </c>
      <c r="G24" s="575">
        <v>55.62319895762576</v>
      </c>
      <c r="H24" s="576">
        <v>29.157884983859795</v>
      </c>
      <c r="I24" s="574">
        <v>49.376936355173115</v>
      </c>
      <c r="J24" s="575">
        <v>37.348908060990503</v>
      </c>
      <c r="K24" s="577">
        <v>29.746144152286085</v>
      </c>
      <c r="L24" s="578">
        <v>50.333672740202907</v>
      </c>
      <c r="M24" s="578">
        <v>38.064374373727254</v>
      </c>
      <c r="N24" s="688"/>
      <c r="O24" s="689"/>
      <c r="P24" s="689"/>
    </row>
    <row r="25" spans="1:16">
      <c r="A25" s="16">
        <v>30681</v>
      </c>
      <c r="B25" s="579">
        <v>31.004160379022601</v>
      </c>
      <c r="C25" s="580">
        <v>51.933051123430204</v>
      </c>
      <c r="D25" s="581">
        <v>39.04272543277628</v>
      </c>
      <c r="E25" s="582">
        <v>43.22484322871081</v>
      </c>
      <c r="F25" s="580">
        <v>72.363963470469145</v>
      </c>
      <c r="G25" s="581">
        <v>54.394663642853793</v>
      </c>
      <c r="H25" s="582">
        <v>29.603415228129602</v>
      </c>
      <c r="I25" s="580">
        <v>49.589762411799917</v>
      </c>
      <c r="J25" s="581">
        <v>37.281665783472675</v>
      </c>
      <c r="K25" s="583">
        <v>30.625509645578997</v>
      </c>
      <c r="L25" s="584">
        <v>51.261741540736814</v>
      </c>
      <c r="M25" s="584">
        <v>38.530349095085583</v>
      </c>
      <c r="N25" s="690"/>
      <c r="O25" s="691"/>
      <c r="P25" s="691"/>
    </row>
    <row r="26" spans="1:16">
      <c r="A26" s="16">
        <v>30712</v>
      </c>
      <c r="B26" s="573">
        <v>30.864403175140438</v>
      </c>
      <c r="C26" s="574">
        <v>52.47990387796758</v>
      </c>
      <c r="D26" s="575">
        <v>39.095614725234249</v>
      </c>
      <c r="E26" s="576">
        <v>43.025385969777417</v>
      </c>
      <c r="F26" s="574">
        <v>73.118113453979532</v>
      </c>
      <c r="G26" s="575">
        <v>54.462510247109606</v>
      </c>
      <c r="H26" s="576">
        <v>29.472494715737842</v>
      </c>
      <c r="I26" s="574">
        <v>50.116229909091061</v>
      </c>
      <c r="J26" s="575">
        <v>37.335365003978445</v>
      </c>
      <c r="K26" s="577">
        <v>30.925091744563098</v>
      </c>
      <c r="L26" s="578">
        <v>52.545110818560723</v>
      </c>
      <c r="M26" s="578">
        <v>39.13637771639398</v>
      </c>
      <c r="N26" s="688"/>
      <c r="O26" s="689"/>
      <c r="P26" s="689"/>
    </row>
    <row r="27" spans="1:16">
      <c r="A27" s="16">
        <v>30741</v>
      </c>
      <c r="B27" s="579">
        <v>30.050762789976105</v>
      </c>
      <c r="C27" s="580">
        <v>52.283777734343403</v>
      </c>
      <c r="D27" s="581">
        <v>39.296956800303548</v>
      </c>
      <c r="E27" s="582">
        <v>42.044925783157034</v>
      </c>
      <c r="F27" s="580">
        <v>73.11224247532644</v>
      </c>
      <c r="G27" s="581">
        <v>54.943930764394864</v>
      </c>
      <c r="H27" s="582">
        <v>28.611462471874926</v>
      </c>
      <c r="I27" s="580">
        <v>49.782633105494149</v>
      </c>
      <c r="J27" s="581">
        <v>37.417676559850591</v>
      </c>
      <c r="K27" s="583">
        <v>29.966454165894636</v>
      </c>
      <c r="L27" s="584">
        <v>52.099431554257706</v>
      </c>
      <c r="M27" s="584">
        <v>39.150583917929637</v>
      </c>
      <c r="N27" s="690"/>
      <c r="O27" s="691"/>
      <c r="P27" s="691"/>
    </row>
    <row r="28" spans="1:16">
      <c r="A28" s="16">
        <v>30772</v>
      </c>
      <c r="B28" s="573">
        <v>30.178437914847777</v>
      </c>
      <c r="C28" s="574">
        <v>52.505913122308357</v>
      </c>
      <c r="D28" s="575">
        <v>40.152190765036153</v>
      </c>
      <c r="E28" s="576">
        <v>42.343414121675025</v>
      </c>
      <c r="F28" s="574">
        <v>73.631286126261529</v>
      </c>
      <c r="G28" s="575">
        <v>56.299051574213209</v>
      </c>
      <c r="H28" s="576">
        <v>28.667481399180584</v>
      </c>
      <c r="I28" s="574">
        <v>49.880103471008063</v>
      </c>
      <c r="J28" s="575">
        <v>38.144802394582591</v>
      </c>
      <c r="K28" s="577">
        <v>30.565528935018229</v>
      </c>
      <c r="L28" s="578">
        <v>53.140978036769418</v>
      </c>
      <c r="M28" s="578">
        <v>40.62972406356063</v>
      </c>
      <c r="N28" s="688"/>
      <c r="O28" s="689"/>
      <c r="P28" s="689"/>
    </row>
    <row r="29" spans="1:16">
      <c r="A29" s="16">
        <v>30802</v>
      </c>
      <c r="B29" s="579">
        <v>30.117597887909113</v>
      </c>
      <c r="C29" s="580">
        <v>51.151463200412131</v>
      </c>
      <c r="D29" s="581">
        <v>38.912384370825286</v>
      </c>
      <c r="E29" s="582">
        <v>43.559254349406899</v>
      </c>
      <c r="F29" s="580">
        <v>73.940642953409863</v>
      </c>
      <c r="G29" s="581">
        <v>56.240693383600195</v>
      </c>
      <c r="H29" s="582">
        <v>27.898136246120188</v>
      </c>
      <c r="I29" s="580">
        <v>47.384823641909065</v>
      </c>
      <c r="J29" s="581">
        <v>36.047574141880929</v>
      </c>
      <c r="K29" s="583">
        <v>31.088749724763392</v>
      </c>
      <c r="L29" s="584">
        <v>52.762717515390143</v>
      </c>
      <c r="M29" s="584">
        <v>40.130099512572222</v>
      </c>
      <c r="N29" s="690"/>
      <c r="O29" s="691"/>
      <c r="P29" s="691"/>
    </row>
    <row r="30" spans="1:16">
      <c r="A30" s="16">
        <v>30833</v>
      </c>
      <c r="B30" s="573">
        <v>30.388322228762281</v>
      </c>
      <c r="C30" s="574">
        <v>51.45747806944204</v>
      </c>
      <c r="D30" s="575">
        <v>38.522331390811146</v>
      </c>
      <c r="E30" s="576">
        <v>43.336758079975468</v>
      </c>
      <c r="F30" s="574">
        <v>73.343773332992427</v>
      </c>
      <c r="G30" s="575">
        <v>54.899068631362326</v>
      </c>
      <c r="H30" s="576">
        <v>28.484695345105106</v>
      </c>
      <c r="I30" s="574">
        <v>48.236934535214218</v>
      </c>
      <c r="J30" s="575">
        <v>36.111934929603542</v>
      </c>
      <c r="K30" s="577">
        <v>30.377998126517319</v>
      </c>
      <c r="L30" s="578">
        <v>51.402837570297578</v>
      </c>
      <c r="M30" s="578">
        <v>38.473744668348999</v>
      </c>
      <c r="N30" s="688"/>
      <c r="O30" s="689"/>
      <c r="P30" s="689"/>
    </row>
    <row r="31" spans="1:16">
      <c r="A31" s="16">
        <v>30863</v>
      </c>
      <c r="B31" s="579">
        <v>30.787882212039712</v>
      </c>
      <c r="C31" s="580">
        <v>50.899626457782368</v>
      </c>
      <c r="D31" s="581">
        <v>38.063889679044415</v>
      </c>
      <c r="E31" s="582">
        <v>43.546687306376334</v>
      </c>
      <c r="F31" s="580">
        <v>71.95400245689089</v>
      </c>
      <c r="G31" s="581">
        <v>53.801104233127383</v>
      </c>
      <c r="H31" s="582">
        <v>29.056023991351875</v>
      </c>
      <c r="I31" s="580">
        <v>48.039370863195202</v>
      </c>
      <c r="J31" s="581">
        <v>35.925504470217192</v>
      </c>
      <c r="K31" s="583">
        <v>30.707588205727639</v>
      </c>
      <c r="L31" s="584">
        <v>50.730209392038525</v>
      </c>
      <c r="M31" s="584">
        <v>37.929622906515789</v>
      </c>
      <c r="N31" s="690"/>
      <c r="O31" s="691"/>
      <c r="P31" s="691"/>
    </row>
    <row r="32" spans="1:16">
      <c r="A32" s="16">
        <v>30894</v>
      </c>
      <c r="B32" s="573">
        <v>31.058890432796876</v>
      </c>
      <c r="C32" s="574">
        <v>49.491799992262919</v>
      </c>
      <c r="D32" s="575">
        <v>36.321681503602711</v>
      </c>
      <c r="E32" s="576">
        <v>43.676454983165783</v>
      </c>
      <c r="F32" s="574">
        <v>69.560028135935482</v>
      </c>
      <c r="G32" s="575">
        <v>51.042284935291107</v>
      </c>
      <c r="H32" s="576">
        <v>29.450438471227177</v>
      </c>
      <c r="I32" s="574">
        <v>46.931606922945655</v>
      </c>
      <c r="J32" s="575">
        <v>34.443328567538188</v>
      </c>
      <c r="K32" s="577">
        <v>30.843121114911742</v>
      </c>
      <c r="L32" s="578">
        <v>49.112472641002505</v>
      </c>
      <c r="M32" s="578">
        <v>36.036101033139275</v>
      </c>
      <c r="N32" s="688"/>
      <c r="O32" s="689"/>
      <c r="P32" s="689"/>
    </row>
    <row r="33" spans="1:22">
      <c r="A33" s="16">
        <v>30925</v>
      </c>
      <c r="B33" s="579">
        <v>30.914744548712054</v>
      </c>
      <c r="C33" s="580">
        <v>50.10450189367851</v>
      </c>
      <c r="D33" s="581">
        <v>36.607295547806537</v>
      </c>
      <c r="E33" s="582">
        <v>43.117421611010691</v>
      </c>
      <c r="F33" s="580">
        <v>69.843971153526283</v>
      </c>
      <c r="G33" s="581">
        <v>51.022000499804513</v>
      </c>
      <c r="H33" s="582">
        <v>29.473048689672211</v>
      </c>
      <c r="I33" s="580">
        <v>47.770797903571335</v>
      </c>
      <c r="J33" s="581">
        <v>34.902809353950111</v>
      </c>
      <c r="K33" s="583">
        <v>29.825435808054291</v>
      </c>
      <c r="L33" s="584">
        <v>48.304106496930899</v>
      </c>
      <c r="M33" s="584">
        <v>35.284847839979733</v>
      </c>
      <c r="N33" s="690"/>
      <c r="O33" s="691"/>
      <c r="P33" s="691"/>
    </row>
    <row r="34" spans="1:22">
      <c r="A34" s="16">
        <v>30955</v>
      </c>
      <c r="B34" s="573">
        <v>30.88799969443723</v>
      </c>
      <c r="C34" s="574">
        <v>49.976988956302932</v>
      </c>
      <c r="D34" s="575">
        <v>35.983535609045887</v>
      </c>
      <c r="E34" s="576">
        <v>44.158135145255159</v>
      </c>
      <c r="F34" s="574">
        <v>71.409514756975796</v>
      </c>
      <c r="G34" s="575">
        <v>51.407619078044</v>
      </c>
      <c r="H34" s="576">
        <v>28.96564124155001</v>
      </c>
      <c r="I34" s="574">
        <v>46.869443489257883</v>
      </c>
      <c r="J34" s="575">
        <v>33.746639840672792</v>
      </c>
      <c r="K34" s="577">
        <v>27.624340331199726</v>
      </c>
      <c r="L34" s="578">
        <v>44.664079370734285</v>
      </c>
      <c r="M34" s="578">
        <v>32.151810405230577</v>
      </c>
      <c r="N34" s="688"/>
      <c r="O34" s="689"/>
      <c r="P34" s="689"/>
    </row>
    <row r="35" spans="1:22">
      <c r="A35" s="16">
        <v>30986</v>
      </c>
      <c r="B35" s="579">
        <v>30.774811718814082</v>
      </c>
      <c r="C35" s="580">
        <v>50.410807421570603</v>
      </c>
      <c r="D35" s="581">
        <v>35.98516092265244</v>
      </c>
      <c r="E35" s="582">
        <v>44.163631029667364</v>
      </c>
      <c r="F35" s="580">
        <v>72.303292910975173</v>
      </c>
      <c r="G35" s="581">
        <v>51.605445828391773</v>
      </c>
      <c r="H35" s="582">
        <v>28.784703552817742</v>
      </c>
      <c r="I35" s="580">
        <v>47.153763066300698</v>
      </c>
      <c r="J35" s="581">
        <v>33.660700208510072</v>
      </c>
      <c r="K35" s="583">
        <v>27.701629151540473</v>
      </c>
      <c r="L35" s="584">
        <v>45.343989501372256</v>
      </c>
      <c r="M35" s="584">
        <v>32.361811428192361</v>
      </c>
      <c r="N35" s="690"/>
      <c r="O35" s="691"/>
      <c r="P35" s="691"/>
    </row>
    <row r="36" spans="1:22">
      <c r="A36" s="16">
        <v>31016</v>
      </c>
      <c r="B36" s="573">
        <v>30.564417400521549</v>
      </c>
      <c r="C36" s="574">
        <v>50.988253834011189</v>
      </c>
      <c r="D36" s="575">
        <v>36.752688500471656</v>
      </c>
      <c r="E36" s="576">
        <v>43.129491517934184</v>
      </c>
      <c r="F36" s="574">
        <v>71.910682437359441</v>
      </c>
      <c r="G36" s="575">
        <v>51.82628114624238</v>
      </c>
      <c r="H36" s="576">
        <v>28.915238486301259</v>
      </c>
      <c r="I36" s="574">
        <v>48.239982630407489</v>
      </c>
      <c r="J36" s="575">
        <v>34.77227539760338</v>
      </c>
      <c r="K36" s="577">
        <v>29.236832798078094</v>
      </c>
      <c r="L36" s="578">
        <v>48.738314876601919</v>
      </c>
      <c r="M36" s="578">
        <v>35.123904140468056</v>
      </c>
      <c r="N36" s="688"/>
      <c r="O36" s="689"/>
      <c r="P36" s="689"/>
      <c r="S36" s="1032" t="s">
        <v>1127</v>
      </c>
      <c r="T36" s="1032"/>
      <c r="U36" s="1032"/>
      <c r="V36" s="1032"/>
    </row>
    <row r="37" spans="1:22" ht="15.75" thickBot="1">
      <c r="A37" s="16">
        <v>31047</v>
      </c>
      <c r="B37" s="579">
        <v>30.377306951021765</v>
      </c>
      <c r="C37" s="580">
        <v>49.777410621235568</v>
      </c>
      <c r="D37" s="581">
        <v>35.724374197555306</v>
      </c>
      <c r="E37" s="582">
        <v>43.717024657436433</v>
      </c>
      <c r="F37" s="580">
        <v>71.597636031047614</v>
      </c>
      <c r="G37" s="581">
        <v>51.37699198904393</v>
      </c>
      <c r="H37" s="582">
        <v>28.35754522998068</v>
      </c>
      <c r="I37" s="580">
        <v>46.470571339139433</v>
      </c>
      <c r="J37" s="581">
        <v>33.351650714225435</v>
      </c>
      <c r="K37" s="583">
        <v>28.887379576220727</v>
      </c>
      <c r="L37" s="584">
        <v>47.301765179763613</v>
      </c>
      <c r="M37" s="584">
        <v>33.940870413367612</v>
      </c>
      <c r="N37" s="690"/>
      <c r="O37" s="691"/>
      <c r="P37" s="691"/>
      <c r="S37" s="1016" t="s">
        <v>25</v>
      </c>
      <c r="T37" s="1016"/>
      <c r="U37" s="1016"/>
      <c r="V37" s="1016"/>
    </row>
    <row r="38" spans="1:22">
      <c r="A38" s="16">
        <v>31078</v>
      </c>
      <c r="B38" s="573">
        <v>30.819020762676363</v>
      </c>
      <c r="C38" s="574">
        <v>50.165304684217674</v>
      </c>
      <c r="D38" s="575">
        <v>35.200292663574331</v>
      </c>
      <c r="E38" s="576">
        <v>44.504066852856454</v>
      </c>
      <c r="F38" s="574">
        <v>72.401801638441526</v>
      </c>
      <c r="G38" s="575">
        <v>50.796039839704775</v>
      </c>
      <c r="H38" s="576">
        <v>28.702228213188636</v>
      </c>
      <c r="I38" s="574">
        <v>46.722554473732131</v>
      </c>
      <c r="J38" s="575">
        <v>32.785090916493857</v>
      </c>
      <c r="K38" s="577">
        <v>29.696234387690229</v>
      </c>
      <c r="L38" s="578">
        <v>48.302784749110593</v>
      </c>
      <c r="M38" s="578">
        <v>33.88662281689259</v>
      </c>
      <c r="N38" s="688"/>
      <c r="O38" s="689"/>
      <c r="P38" s="689"/>
      <c r="S38" s="15"/>
      <c r="T38" s="1033" t="s">
        <v>19</v>
      </c>
      <c r="U38" s="1034"/>
      <c r="V38" s="1035"/>
    </row>
    <row r="39" spans="1:22">
      <c r="A39" s="16">
        <v>31106</v>
      </c>
      <c r="B39" s="579">
        <v>33.266149029248439</v>
      </c>
      <c r="C39" s="580">
        <v>49.868759505247517</v>
      </c>
      <c r="D39" s="581">
        <v>34.518339218565934</v>
      </c>
      <c r="E39" s="582">
        <v>48.231030978626357</v>
      </c>
      <c r="F39" s="580">
        <v>72.263274468327708</v>
      </c>
      <c r="G39" s="581">
        <v>50.012276766847663</v>
      </c>
      <c r="H39" s="582">
        <v>30.89490952100309</v>
      </c>
      <c r="I39" s="580">
        <v>46.316881521090323</v>
      </c>
      <c r="J39" s="581">
        <v>32.060303657951998</v>
      </c>
      <c r="K39" s="583">
        <v>33.175400771327254</v>
      </c>
      <c r="L39" s="584">
        <v>49.696795116279645</v>
      </c>
      <c r="M39" s="584">
        <v>34.392441634912203</v>
      </c>
      <c r="N39" s="690"/>
      <c r="O39" s="691"/>
      <c r="P39" s="691"/>
      <c r="S39" s="587" t="s">
        <v>1054</v>
      </c>
      <c r="T39" s="437" t="s">
        <v>4</v>
      </c>
      <c r="U39" s="438" t="s">
        <v>20</v>
      </c>
      <c r="V39" s="439" t="s">
        <v>3</v>
      </c>
    </row>
    <row r="40" spans="1:22">
      <c r="A40" s="16">
        <v>31137</v>
      </c>
      <c r="B40" s="573">
        <v>35.343445069504895</v>
      </c>
      <c r="C40" s="574">
        <v>49.790900470428937</v>
      </c>
      <c r="D40" s="575">
        <v>34.438583851763802</v>
      </c>
      <c r="E40" s="576">
        <v>50.727062232236023</v>
      </c>
      <c r="F40" s="574">
        <v>71.424279418138909</v>
      </c>
      <c r="G40" s="575">
        <v>49.394527275172429</v>
      </c>
      <c r="H40" s="576">
        <v>33.054688960547068</v>
      </c>
      <c r="I40" s="574">
        <v>46.569387149957556</v>
      </c>
      <c r="J40" s="575">
        <v>32.210897062988764</v>
      </c>
      <c r="K40" s="577">
        <v>35.131097386026028</v>
      </c>
      <c r="L40" s="578">
        <v>49.455999692527143</v>
      </c>
      <c r="M40" s="578">
        <v>34.200116720635144</v>
      </c>
      <c r="N40" s="688"/>
      <c r="O40" s="689"/>
      <c r="P40" s="689"/>
      <c r="S40" s="9">
        <f>LARGE(A$8:A$754,24)</f>
        <v>43677</v>
      </c>
      <c r="T40" s="588">
        <f>SUMIF($A$8:$A$754,$S40,H$8:H$754)</f>
        <v>108.63544114932</v>
      </c>
      <c r="U40" s="588">
        <f>SUMIF($A$8:$A$754,$S40,I$8:I$754)</f>
        <v>112.388434882891</v>
      </c>
      <c r="V40" s="589">
        <f>SUMIF($A$8:$A$754,$S40,J$8:J$754)</f>
        <v>113.122067566829</v>
      </c>
    </row>
    <row r="41" spans="1:22">
      <c r="A41" s="16">
        <v>31167</v>
      </c>
      <c r="B41" s="579">
        <v>37.000286412807107</v>
      </c>
      <c r="C41" s="580">
        <v>47.854479102120706</v>
      </c>
      <c r="D41" s="581">
        <v>34.132319639650142</v>
      </c>
      <c r="E41" s="582">
        <v>52.109325110388994</v>
      </c>
      <c r="F41" s="580">
        <v>67.359369113385043</v>
      </c>
      <c r="G41" s="581">
        <v>48.037332543724695</v>
      </c>
      <c r="H41" s="582">
        <v>35.049365760273588</v>
      </c>
      <c r="I41" s="580">
        <v>45.333997659622888</v>
      </c>
      <c r="J41" s="581">
        <v>32.335101007512719</v>
      </c>
      <c r="K41" s="583">
        <v>38.558732124587607</v>
      </c>
      <c r="L41" s="584">
        <v>49.834077201005435</v>
      </c>
      <c r="M41" s="584">
        <v>35.537177433272639</v>
      </c>
      <c r="N41" s="690"/>
      <c r="O41" s="691"/>
      <c r="P41" s="691"/>
      <c r="S41" s="10">
        <f>LARGE(A$8:A$754,23)</f>
        <v>43708</v>
      </c>
      <c r="T41" s="590">
        <f t="shared" ref="T41:T63" si="0">SUMIF(A$8:A$754,S41,H$8:H$754)</f>
        <v>106.431830131711</v>
      </c>
      <c r="U41" s="590">
        <f t="shared" ref="U41:U63" si="1">SUMIF($A$8:$A$754,$S41,I$8:I$754)</f>
        <v>107.451803053909</v>
      </c>
      <c r="V41" s="591">
        <f t="shared" ref="V41:V63" si="2">SUMIF($A$8:$A$754,$S41,J$8:J$754)</f>
        <v>107.442673657469</v>
      </c>
    </row>
    <row r="42" spans="1:22">
      <c r="A42" s="16">
        <v>31198</v>
      </c>
      <c r="B42" s="573">
        <v>36.096768860650656</v>
      </c>
      <c r="C42" s="574">
        <v>48.020797641512452</v>
      </c>
      <c r="D42" s="575">
        <v>34.157443478170812</v>
      </c>
      <c r="E42" s="576">
        <v>50.081137450986525</v>
      </c>
      <c r="F42" s="574">
        <v>66.588660722762455</v>
      </c>
      <c r="G42" s="575">
        <v>47.358062989439937</v>
      </c>
      <c r="H42" s="576">
        <v>34.531320697534582</v>
      </c>
      <c r="I42" s="574">
        <v>45.9410140188049</v>
      </c>
      <c r="J42" s="575">
        <v>32.678608764020012</v>
      </c>
      <c r="K42" s="577">
        <v>36.785345242818288</v>
      </c>
      <c r="L42" s="578">
        <v>48.901484765432436</v>
      </c>
      <c r="M42" s="578">
        <v>34.776937401845522</v>
      </c>
      <c r="N42" s="688"/>
      <c r="O42" s="689"/>
      <c r="P42" s="689"/>
      <c r="S42" s="9">
        <f>LARGE(A$8:A$754,22)</f>
        <v>43738</v>
      </c>
      <c r="T42" s="588">
        <f t="shared" si="0"/>
        <v>102.033621173801</v>
      </c>
      <c r="U42" s="588">
        <f t="shared" si="1"/>
        <v>103.871886731263</v>
      </c>
      <c r="V42" s="589">
        <f t="shared" si="2"/>
        <v>103.526288528039</v>
      </c>
    </row>
    <row r="43" spans="1:22">
      <c r="A43" s="16">
        <v>31228</v>
      </c>
      <c r="B43" s="579">
        <v>35.864511684862485</v>
      </c>
      <c r="C43" s="580">
        <v>46.553052339233844</v>
      </c>
      <c r="D43" s="581">
        <v>33.340506116849824</v>
      </c>
      <c r="E43" s="582">
        <v>49.899601826884314</v>
      </c>
      <c r="F43" s="580">
        <v>64.735927509485265</v>
      </c>
      <c r="G43" s="581">
        <v>46.356118384119803</v>
      </c>
      <c r="H43" s="582">
        <v>34.246237856116828</v>
      </c>
      <c r="I43" s="580">
        <v>44.455188407558751</v>
      </c>
      <c r="J43" s="581">
        <v>31.83856425042098</v>
      </c>
      <c r="K43" s="583">
        <v>35.593839193909268</v>
      </c>
      <c r="L43" s="584">
        <v>46.168338096602312</v>
      </c>
      <c r="M43" s="584">
        <v>33.058380009776087</v>
      </c>
      <c r="N43" s="690"/>
      <c r="O43" s="691"/>
      <c r="P43" s="691"/>
      <c r="S43" s="10">
        <f>LARGE(A$8:A$754,21)</f>
        <v>43769</v>
      </c>
      <c r="T43" s="590">
        <f t="shared" si="0"/>
        <v>97.838556688671304</v>
      </c>
      <c r="U43" s="590">
        <f t="shared" si="1"/>
        <v>99.207641156783694</v>
      </c>
      <c r="V43" s="591">
        <f t="shared" si="2"/>
        <v>99.063815110115399</v>
      </c>
    </row>
    <row r="44" spans="1:22">
      <c r="A44" s="16">
        <v>31259</v>
      </c>
      <c r="B44" s="573">
        <v>34.487032771639043</v>
      </c>
      <c r="C44" s="574">
        <v>45.939720936607252</v>
      </c>
      <c r="D44" s="575">
        <v>33.633049791403586</v>
      </c>
      <c r="E44" s="576">
        <v>46.785173171413817</v>
      </c>
      <c r="F44" s="574">
        <v>62.28820552310971</v>
      </c>
      <c r="G44" s="575">
        <v>45.595436608640867</v>
      </c>
      <c r="H44" s="576">
        <v>33.466412305471152</v>
      </c>
      <c r="I44" s="574">
        <v>44.582870474598899</v>
      </c>
      <c r="J44" s="575">
        <v>32.64020802569636</v>
      </c>
      <c r="K44" s="577">
        <v>33.408084802144565</v>
      </c>
      <c r="L44" s="578">
        <v>44.470321631496866</v>
      </c>
      <c r="M44" s="578">
        <v>32.550785055056572</v>
      </c>
      <c r="N44" s="688"/>
      <c r="O44" s="689"/>
      <c r="P44" s="689"/>
      <c r="S44" s="9">
        <f>LARGE(A$8:A$754,20)</f>
        <v>43799</v>
      </c>
      <c r="T44" s="588">
        <f t="shared" si="0"/>
        <v>96.4476964589674</v>
      </c>
      <c r="U44" s="588">
        <f t="shared" si="1"/>
        <v>98.013326747357695</v>
      </c>
      <c r="V44" s="589">
        <f t="shared" si="2"/>
        <v>98.1635569245379</v>
      </c>
    </row>
    <row r="45" spans="1:22">
      <c r="A45" s="16">
        <v>31290</v>
      </c>
      <c r="B45" s="579">
        <v>33.937947198698772</v>
      </c>
      <c r="C45" s="580">
        <v>45.201685759417309</v>
      </c>
      <c r="D45" s="581">
        <v>33.581915465415079</v>
      </c>
      <c r="E45" s="582">
        <v>45.911254612762917</v>
      </c>
      <c r="F45" s="580">
        <v>61.115768619454279</v>
      </c>
      <c r="G45" s="581">
        <v>45.398528067349169</v>
      </c>
      <c r="H45" s="582">
        <v>32.991256521564893</v>
      </c>
      <c r="I45" s="580">
        <v>43.943461663703118</v>
      </c>
      <c r="J45" s="581">
        <v>32.647662428372819</v>
      </c>
      <c r="K45" s="583">
        <v>32.914838383134274</v>
      </c>
      <c r="L45" s="584">
        <v>43.80734744199512</v>
      </c>
      <c r="M45" s="584">
        <v>32.539515994367513</v>
      </c>
      <c r="N45" s="690"/>
      <c r="O45" s="691"/>
      <c r="P45" s="691"/>
      <c r="S45" s="10">
        <f>LARGE(A$8:A$754,19)</f>
        <v>43830</v>
      </c>
      <c r="T45" s="590">
        <f t="shared" si="0"/>
        <v>95.575388458482394</v>
      </c>
      <c r="U45" s="590">
        <f t="shared" si="1"/>
        <v>97.625738371605493</v>
      </c>
      <c r="V45" s="591">
        <f t="shared" si="2"/>
        <v>98.002253751143598</v>
      </c>
    </row>
    <row r="46" spans="1:22">
      <c r="A46" s="16">
        <v>31320</v>
      </c>
      <c r="B46" s="573">
        <v>34.811900946783226</v>
      </c>
      <c r="C46" s="574">
        <v>45.464537912232281</v>
      </c>
      <c r="D46" s="575">
        <v>33.589430019210923</v>
      </c>
      <c r="E46" s="576">
        <v>47.36141784377849</v>
      </c>
      <c r="F46" s="574">
        <v>61.820824451257394</v>
      </c>
      <c r="G46" s="575">
        <v>45.666981590828229</v>
      </c>
      <c r="H46" s="576">
        <v>33.721080595505413</v>
      </c>
      <c r="I46" s="574">
        <v>44.042592222192653</v>
      </c>
      <c r="J46" s="575">
        <v>32.539413336216661</v>
      </c>
      <c r="K46" s="577">
        <v>32.313744500175481</v>
      </c>
      <c r="L46" s="578">
        <v>42.17144644085473</v>
      </c>
      <c r="M46" s="578">
        <v>31.150258096201249</v>
      </c>
      <c r="N46" s="688"/>
      <c r="O46" s="689"/>
      <c r="P46" s="689"/>
      <c r="S46" s="9">
        <f>LARGE(A$8:A$754,18)</f>
        <v>43861</v>
      </c>
      <c r="T46" s="588">
        <f t="shared" si="0"/>
        <v>96.961445402329403</v>
      </c>
      <c r="U46" s="588">
        <f t="shared" si="1"/>
        <v>98.8358886971332</v>
      </c>
      <c r="V46" s="589">
        <f t="shared" si="2"/>
        <v>99.349435024132703</v>
      </c>
    </row>
    <row r="47" spans="1:22">
      <c r="A47" s="16">
        <v>31351</v>
      </c>
      <c r="B47" s="579">
        <v>34.298443139161236</v>
      </c>
      <c r="C47" s="580">
        <v>44.046280532704607</v>
      </c>
      <c r="D47" s="581">
        <v>33.741869973875879</v>
      </c>
      <c r="E47" s="582">
        <v>47.050943188916911</v>
      </c>
      <c r="F47" s="580">
        <v>60.390443933567774</v>
      </c>
      <c r="G47" s="581">
        <v>46.255756810351009</v>
      </c>
      <c r="H47" s="582">
        <v>33.050225773898347</v>
      </c>
      <c r="I47" s="580">
        <v>42.445886735957004</v>
      </c>
      <c r="J47" s="581">
        <v>32.516404026909413</v>
      </c>
      <c r="K47" s="583">
        <v>30.809473036442398</v>
      </c>
      <c r="L47" s="584">
        <v>39.537141924907019</v>
      </c>
      <c r="M47" s="584">
        <v>30.28157626181401</v>
      </c>
      <c r="N47" s="690"/>
      <c r="O47" s="691"/>
      <c r="P47" s="691"/>
      <c r="S47" s="10">
        <f>LARGE(A$8:A$754,17)</f>
        <v>43890</v>
      </c>
      <c r="T47" s="590">
        <f t="shared" si="0"/>
        <v>98.851103918855301</v>
      </c>
      <c r="U47" s="590">
        <f t="shared" si="1"/>
        <v>98.594509706781295</v>
      </c>
      <c r="V47" s="591">
        <f t="shared" si="2"/>
        <v>98.314448180274098</v>
      </c>
    </row>
    <row r="48" spans="1:22">
      <c r="A48" s="16">
        <v>31381</v>
      </c>
      <c r="B48" s="573">
        <v>35.680781928162894</v>
      </c>
      <c r="C48" s="574">
        <v>43.633891262088468</v>
      </c>
      <c r="D48" s="575">
        <v>33.843684632663908</v>
      </c>
      <c r="E48" s="576">
        <v>49.759207572143502</v>
      </c>
      <c r="F48" s="574">
        <v>60.817433980598601</v>
      </c>
      <c r="G48" s="575">
        <v>47.164957639763429</v>
      </c>
      <c r="H48" s="576">
        <v>34.019284031678978</v>
      </c>
      <c r="I48" s="574">
        <v>41.604575769378677</v>
      </c>
      <c r="J48" s="575">
        <v>32.270209566322528</v>
      </c>
      <c r="K48" s="577">
        <v>31.143415956208464</v>
      </c>
      <c r="L48" s="578">
        <v>38.057652495621639</v>
      </c>
      <c r="M48" s="578">
        <v>29.512703180947785</v>
      </c>
      <c r="N48" s="688"/>
      <c r="O48" s="689"/>
      <c r="P48" s="689"/>
      <c r="S48" s="9">
        <f>LARGE(A$8:A$754,16)</f>
        <v>43921</v>
      </c>
      <c r="T48" s="588">
        <f t="shared" si="0"/>
        <v>105.195572448223</v>
      </c>
      <c r="U48" s="588">
        <f t="shared" si="1"/>
        <v>97.668965425391306</v>
      </c>
      <c r="V48" s="589">
        <f t="shared" si="2"/>
        <v>97.6165215905568</v>
      </c>
    </row>
    <row r="49" spans="1:26">
      <c r="A49" s="16">
        <v>31412</v>
      </c>
      <c r="B49" s="579">
        <v>35.67573310339521</v>
      </c>
      <c r="C49" s="580">
        <v>43.412460153512605</v>
      </c>
      <c r="D49" s="581">
        <v>33.998630919011738</v>
      </c>
      <c r="E49" s="582">
        <v>50.343362080990175</v>
      </c>
      <c r="F49" s="580">
        <v>61.22781512325821</v>
      </c>
      <c r="G49" s="581">
        <v>47.943910645042074</v>
      </c>
      <c r="H49" s="582">
        <v>33.750185623720427</v>
      </c>
      <c r="I49" s="580">
        <v>41.071825309468544</v>
      </c>
      <c r="J49" s="581">
        <v>32.16607192210386</v>
      </c>
      <c r="K49" s="583">
        <v>33.43666980589262</v>
      </c>
      <c r="L49" s="584">
        <v>40.658436687744839</v>
      </c>
      <c r="M49" s="584">
        <v>31.835450987167157</v>
      </c>
      <c r="N49" s="690"/>
      <c r="O49" s="691"/>
      <c r="P49" s="691"/>
      <c r="S49" s="10">
        <f>LARGE(A$8:A$754,15)</f>
        <v>43951</v>
      </c>
      <c r="T49" s="590">
        <f t="shared" si="0"/>
        <v>100.65091256896</v>
      </c>
      <c r="U49" s="590">
        <f t="shared" si="1"/>
        <v>95.034549554809303</v>
      </c>
      <c r="V49" s="591">
        <f t="shared" si="2"/>
        <v>94.351207219119004</v>
      </c>
    </row>
    <row r="50" spans="1:26">
      <c r="A50" s="16">
        <v>31443</v>
      </c>
      <c r="B50" s="573">
        <v>35.001793271800949</v>
      </c>
      <c r="C50" s="574">
        <v>43.300878357283665</v>
      </c>
      <c r="D50" s="575">
        <v>34.15465327354655</v>
      </c>
      <c r="E50" s="576">
        <v>48.5011379493194</v>
      </c>
      <c r="F50" s="574">
        <v>59.96852873074662</v>
      </c>
      <c r="G50" s="575">
        <v>47.294891190695942</v>
      </c>
      <c r="H50" s="576">
        <v>33.511018869252801</v>
      </c>
      <c r="I50" s="574">
        <v>41.459149618713681</v>
      </c>
      <c r="J50" s="575">
        <v>32.702470155862642</v>
      </c>
      <c r="K50" s="577">
        <v>33.488558568711476</v>
      </c>
      <c r="L50" s="578">
        <v>41.39892210113458</v>
      </c>
      <c r="M50" s="578">
        <v>32.647919254187315</v>
      </c>
      <c r="N50" s="688"/>
      <c r="O50" s="689"/>
      <c r="P50" s="689"/>
      <c r="S50" s="9">
        <f>LARGE(A$8:A$754,14)</f>
        <v>43982</v>
      </c>
      <c r="T50" s="588">
        <f t="shared" si="0"/>
        <v>98.150030782884599</v>
      </c>
      <c r="U50" s="588">
        <f t="shared" si="1"/>
        <v>95.900208763473401</v>
      </c>
      <c r="V50" s="589">
        <f t="shared" si="2"/>
        <v>95.220003049286404</v>
      </c>
    </row>
    <row r="51" spans="1:26">
      <c r="A51" s="16">
        <v>31471</v>
      </c>
      <c r="B51" s="579">
        <v>33.790383409067658</v>
      </c>
      <c r="C51" s="580">
        <v>40.822292210794913</v>
      </c>
      <c r="D51" s="581">
        <v>33.062393485780049</v>
      </c>
      <c r="E51" s="582">
        <v>47.764271678896172</v>
      </c>
      <c r="F51" s="580">
        <v>57.672991976748833</v>
      </c>
      <c r="G51" s="581">
        <v>46.703243981598142</v>
      </c>
      <c r="H51" s="582">
        <v>31.930207719641395</v>
      </c>
      <c r="I51" s="580">
        <v>38.577347066086233</v>
      </c>
      <c r="J51" s="581">
        <v>31.244692489118908</v>
      </c>
      <c r="K51" s="583">
        <v>32.96647693593485</v>
      </c>
      <c r="L51" s="584">
        <v>39.798158108045619</v>
      </c>
      <c r="M51" s="584">
        <v>32.226502557939874</v>
      </c>
      <c r="N51" s="690"/>
      <c r="O51" s="691"/>
      <c r="P51" s="691"/>
      <c r="S51" s="10">
        <f>LARGE(A$8:A$754,13)</f>
        <v>44012</v>
      </c>
      <c r="T51" s="590">
        <f t="shared" si="0"/>
        <v>93.228400817793897</v>
      </c>
      <c r="U51" s="590">
        <f t="shared" si="1"/>
        <v>95.4070469086017</v>
      </c>
      <c r="V51" s="591">
        <f t="shared" si="2"/>
        <v>95.827729398496103</v>
      </c>
    </row>
    <row r="52" spans="1:26">
      <c r="A52" s="16">
        <v>31502</v>
      </c>
      <c r="B52" s="573">
        <v>33.727849415922023</v>
      </c>
      <c r="C52" s="574">
        <v>40.457900321708088</v>
      </c>
      <c r="D52" s="575">
        <v>33.383460103271048</v>
      </c>
      <c r="E52" s="576">
        <v>48.872759661162178</v>
      </c>
      <c r="F52" s="574">
        <v>58.593117761542402</v>
      </c>
      <c r="G52" s="575">
        <v>48.340626821353652</v>
      </c>
      <c r="H52" s="576">
        <v>31.336068539020751</v>
      </c>
      <c r="I52" s="574">
        <v>37.591144219953357</v>
      </c>
      <c r="J52" s="575">
        <v>31.018482449954455</v>
      </c>
      <c r="K52" s="577">
        <v>33.861995530951987</v>
      </c>
      <c r="L52" s="578">
        <v>40.589472383688218</v>
      </c>
      <c r="M52" s="578">
        <v>33.485340026496281</v>
      </c>
      <c r="N52" s="688"/>
      <c r="O52" s="689"/>
      <c r="P52" s="689"/>
      <c r="S52" s="9">
        <f>LARGE(A$8:A$754,12)</f>
        <v>44043</v>
      </c>
      <c r="T52" s="588">
        <f t="shared" si="0"/>
        <v>91.731315983495605</v>
      </c>
      <c r="U52" s="588">
        <f t="shared" si="1"/>
        <v>94.946850897474107</v>
      </c>
      <c r="V52" s="589">
        <f t="shared" si="2"/>
        <v>96.079363970051901</v>
      </c>
    </row>
    <row r="53" spans="1:26">
      <c r="A53" s="16">
        <v>31532</v>
      </c>
      <c r="B53" s="579">
        <v>33.001881863817459</v>
      </c>
      <c r="C53" s="580">
        <v>40.377144690201781</v>
      </c>
      <c r="D53" s="581">
        <v>33.334457340982127</v>
      </c>
      <c r="E53" s="582">
        <v>48.529622501749735</v>
      </c>
      <c r="F53" s="580">
        <v>59.342913813017617</v>
      </c>
      <c r="G53" s="581">
        <v>48.985135556706716</v>
      </c>
      <c r="H53" s="582">
        <v>30.344718275900107</v>
      </c>
      <c r="I53" s="580">
        <v>37.128410365570232</v>
      </c>
      <c r="J53" s="581">
        <v>30.65286935729074</v>
      </c>
      <c r="K53" s="583">
        <v>33.032872239100818</v>
      </c>
      <c r="L53" s="584">
        <v>40.385866428261195</v>
      </c>
      <c r="M53" s="584">
        <v>33.335002286623002</v>
      </c>
      <c r="N53" s="690"/>
      <c r="O53" s="691"/>
      <c r="P53" s="691"/>
      <c r="S53" s="10">
        <f>LARGE(A$8:A$754,11)</f>
        <v>44074</v>
      </c>
      <c r="T53" s="590">
        <f t="shared" si="0"/>
        <v>92.740175575951895</v>
      </c>
      <c r="U53" s="590">
        <f t="shared" si="1"/>
        <v>96.819498070187294</v>
      </c>
      <c r="V53" s="591">
        <f t="shared" si="2"/>
        <v>99.5118842624005</v>
      </c>
    </row>
    <row r="54" spans="1:26">
      <c r="A54" s="16">
        <v>31563</v>
      </c>
      <c r="B54" s="573">
        <v>32.709119335404111</v>
      </c>
      <c r="C54" s="574">
        <v>39.566943824194233</v>
      </c>
      <c r="D54" s="575">
        <v>33.285882919937322</v>
      </c>
      <c r="E54" s="576">
        <v>48.023559713349293</v>
      </c>
      <c r="F54" s="574">
        <v>58.060805789123684</v>
      </c>
      <c r="G54" s="575">
        <v>48.836923274587051</v>
      </c>
      <c r="H54" s="576">
        <v>30.109302167373841</v>
      </c>
      <c r="I54" s="574">
        <v>36.424256209731901</v>
      </c>
      <c r="J54" s="575">
        <v>30.642575183572973</v>
      </c>
      <c r="K54" s="577">
        <v>33.069057541170835</v>
      </c>
      <c r="L54" s="578">
        <v>39.973450771120042</v>
      </c>
      <c r="M54" s="578">
        <v>33.62114620146049</v>
      </c>
      <c r="N54" s="688"/>
      <c r="O54" s="689"/>
      <c r="P54" s="689"/>
      <c r="S54" s="9">
        <f>LARGE(A$8:A$754,10)</f>
        <v>44104</v>
      </c>
      <c r="T54" s="588">
        <f t="shared" si="0"/>
        <v>93.232130173693506</v>
      </c>
      <c r="U54" s="588">
        <f t="shared" si="1"/>
        <v>97.749824099670406</v>
      </c>
      <c r="V54" s="589">
        <f t="shared" si="2"/>
        <v>100.56449439807299</v>
      </c>
    </row>
    <row r="55" spans="1:26">
      <c r="A55" s="16">
        <v>31593</v>
      </c>
      <c r="B55" s="579">
        <v>32.945547412911978</v>
      </c>
      <c r="C55" s="580">
        <v>38.0510628561263</v>
      </c>
      <c r="D55" s="581">
        <v>31.797835661564637</v>
      </c>
      <c r="E55" s="582">
        <v>45.185015682522838</v>
      </c>
      <c r="F55" s="580">
        <v>52.159036035829686</v>
      </c>
      <c r="G55" s="581">
        <v>43.581079823043936</v>
      </c>
      <c r="H55" s="582">
        <v>31.751041360693495</v>
      </c>
      <c r="I55" s="580">
        <v>36.673671010903831</v>
      </c>
      <c r="J55" s="581">
        <v>30.647294834167276</v>
      </c>
      <c r="K55" s="583">
        <v>35.95181590745652</v>
      </c>
      <c r="L55" s="584">
        <v>41.493212812327542</v>
      </c>
      <c r="M55" s="584">
        <v>34.667388793093046</v>
      </c>
      <c r="N55" s="690"/>
      <c r="O55" s="691"/>
      <c r="P55" s="691"/>
      <c r="S55" s="10">
        <f>LARGE(A$8:A$754,9)</f>
        <v>44135</v>
      </c>
      <c r="T55" s="590">
        <f t="shared" si="0"/>
        <v>95.452255609243096</v>
      </c>
      <c r="U55" s="590">
        <f t="shared" si="1"/>
        <v>98.483753810281101</v>
      </c>
      <c r="V55" s="591">
        <f t="shared" si="2"/>
        <v>101.399715713414</v>
      </c>
    </row>
    <row r="56" spans="1:26">
      <c r="A56" s="16">
        <v>31624</v>
      </c>
      <c r="B56" s="573">
        <v>34.231560908355789</v>
      </c>
      <c r="C56" s="574">
        <v>35.398840825729025</v>
      </c>
      <c r="D56" s="575">
        <v>30.26583781797461</v>
      </c>
      <c r="E56" s="576">
        <v>45.852717414190984</v>
      </c>
      <c r="F56" s="574">
        <v>47.390628877241234</v>
      </c>
      <c r="G56" s="575">
        <v>40.512943045984827</v>
      </c>
      <c r="H56" s="576">
        <v>33.480410426101884</v>
      </c>
      <c r="I56" s="574">
        <v>34.62417691713194</v>
      </c>
      <c r="J56" s="575">
        <v>29.603980620023606</v>
      </c>
      <c r="K56" s="577">
        <v>37.843009143645716</v>
      </c>
      <c r="L56" s="578">
        <v>39.105169154592438</v>
      </c>
      <c r="M56" s="578">
        <v>33.428056523070246</v>
      </c>
      <c r="N56" s="688"/>
      <c r="O56" s="689"/>
      <c r="P56" s="689"/>
      <c r="S56" s="9">
        <f>LARGE(A$8:A$754,8)</f>
        <v>44165</v>
      </c>
      <c r="T56" s="588">
        <f t="shared" si="0"/>
        <v>97.835225355204798</v>
      </c>
      <c r="U56" s="588">
        <f t="shared" si="1"/>
        <v>102.34745615897501</v>
      </c>
      <c r="V56" s="589">
        <f t="shared" si="2"/>
        <v>105.920690137921</v>
      </c>
    </row>
    <row r="57" spans="1:26">
      <c r="A57" s="16">
        <v>31655</v>
      </c>
      <c r="B57" s="579">
        <v>36.142567606199059</v>
      </c>
      <c r="C57" s="580">
        <v>35.637457273761022</v>
      </c>
      <c r="D57" s="581">
        <v>30.959217104354124</v>
      </c>
      <c r="E57" s="582">
        <v>47.274238797146282</v>
      </c>
      <c r="F57" s="580">
        <v>46.588347613155413</v>
      </c>
      <c r="G57" s="581">
        <v>40.466740947503325</v>
      </c>
      <c r="H57" s="582">
        <v>35.858318817017121</v>
      </c>
      <c r="I57" s="580">
        <v>35.359326047013475</v>
      </c>
      <c r="J57" s="581">
        <v>30.718091671100368</v>
      </c>
      <c r="K57" s="583">
        <v>39.115465723858932</v>
      </c>
      <c r="L57" s="584">
        <v>38.540946961362366</v>
      </c>
      <c r="M57" s="584">
        <v>33.474873194645753</v>
      </c>
      <c r="N57" s="690"/>
      <c r="O57" s="691"/>
      <c r="P57" s="691"/>
      <c r="S57" s="10">
        <f>LARGE(A$8:A$754,7)</f>
        <v>44196</v>
      </c>
      <c r="T57" s="590">
        <f t="shared" si="0"/>
        <v>106.02880594456801</v>
      </c>
      <c r="U57" s="590">
        <f t="shared" si="1"/>
        <v>113.568172651498</v>
      </c>
      <c r="V57" s="591">
        <f t="shared" si="2"/>
        <v>118.91999016711399</v>
      </c>
    </row>
    <row r="58" spans="1:26">
      <c r="A58" s="16">
        <v>31685</v>
      </c>
      <c r="B58" s="573">
        <v>36.232686259327849</v>
      </c>
      <c r="C58" s="574">
        <v>36.177655647727889</v>
      </c>
      <c r="D58" s="575">
        <v>31.482540884018722</v>
      </c>
      <c r="E58" s="576">
        <v>46.154262842517774</v>
      </c>
      <c r="F58" s="574">
        <v>46.059239325466841</v>
      </c>
      <c r="G58" s="575">
        <v>40.075945606234022</v>
      </c>
      <c r="H58" s="576">
        <v>36.501090480017083</v>
      </c>
      <c r="I58" s="574">
        <v>36.447863292717201</v>
      </c>
      <c r="J58" s="575">
        <v>31.71819188461405</v>
      </c>
      <c r="K58" s="577">
        <v>40.90116004916726</v>
      </c>
      <c r="L58" s="578">
        <v>40.809538272271595</v>
      </c>
      <c r="M58" s="578">
        <v>35.506211501298509</v>
      </c>
      <c r="N58" s="688"/>
      <c r="O58" s="689"/>
      <c r="P58" s="689"/>
      <c r="S58" s="9">
        <f>LARGE(A$8:A$754,6)</f>
        <v>44227</v>
      </c>
      <c r="T58" s="588">
        <f t="shared" si="0"/>
        <v>110.27225654623901</v>
      </c>
      <c r="U58" s="588">
        <f t="shared" si="1"/>
        <v>120.855735371902</v>
      </c>
      <c r="V58" s="589">
        <f t="shared" si="2"/>
        <v>126.959658390508</v>
      </c>
      <c r="X58" s="13"/>
      <c r="Y58" s="13"/>
      <c r="Z58" s="13"/>
    </row>
    <row r="59" spans="1:26">
      <c r="A59" s="16">
        <v>31716</v>
      </c>
      <c r="B59" s="579">
        <v>35.644696583364862</v>
      </c>
      <c r="C59" s="580">
        <v>36.541028137051008</v>
      </c>
      <c r="D59" s="581">
        <v>31.829466874980145</v>
      </c>
      <c r="E59" s="582">
        <v>47.199395789235751</v>
      </c>
      <c r="F59" s="580">
        <v>48.36011608503248</v>
      </c>
      <c r="G59" s="581">
        <v>42.11856812298236</v>
      </c>
      <c r="H59" s="582">
        <v>35.106706620933018</v>
      </c>
      <c r="I59" s="580">
        <v>35.991693134353483</v>
      </c>
      <c r="J59" s="581">
        <v>31.35146738148109</v>
      </c>
      <c r="K59" s="583">
        <v>39.132438861251032</v>
      </c>
      <c r="L59" s="584">
        <v>40.087495481734408</v>
      </c>
      <c r="M59" s="584">
        <v>34.911686178247962</v>
      </c>
      <c r="N59" s="690"/>
      <c r="O59" s="691"/>
      <c r="P59" s="691"/>
      <c r="S59" s="10">
        <f>LARGE(A$8:A$754,5)</f>
        <v>44255</v>
      </c>
      <c r="T59" s="590">
        <f t="shared" si="0"/>
        <v>111.547387311677</v>
      </c>
      <c r="U59" s="590">
        <f t="shared" si="1"/>
        <v>122.91698484855399</v>
      </c>
      <c r="V59" s="591">
        <f t="shared" si="2"/>
        <v>128.911490797249</v>
      </c>
      <c r="X59" s="13"/>
      <c r="Y59" s="13"/>
      <c r="Z59" s="13"/>
    </row>
    <row r="60" spans="1:26">
      <c r="A60" s="16">
        <v>31746</v>
      </c>
      <c r="B60" s="573">
        <v>35.537001446929409</v>
      </c>
      <c r="C60" s="574">
        <v>37.205303050588633</v>
      </c>
      <c r="D60" s="575">
        <v>32.051526891420835</v>
      </c>
      <c r="E60" s="576">
        <v>48.6250807559869</v>
      </c>
      <c r="F60" s="574">
        <v>50.880275832995501</v>
      </c>
      <c r="G60" s="575">
        <v>43.825915405634355</v>
      </c>
      <c r="H60" s="576">
        <v>34.299556980956332</v>
      </c>
      <c r="I60" s="574">
        <v>35.911944728327114</v>
      </c>
      <c r="J60" s="575">
        <v>30.937826134283693</v>
      </c>
      <c r="K60" s="577">
        <v>37.876517212444213</v>
      </c>
      <c r="L60" s="578">
        <v>39.626003433266924</v>
      </c>
      <c r="M60" s="578">
        <v>34.130091240093762</v>
      </c>
      <c r="N60" s="688"/>
      <c r="O60" s="689"/>
      <c r="P60" s="689"/>
      <c r="S60" s="9">
        <f>LARGE(A$8:A$754,4)</f>
        <v>44286</v>
      </c>
      <c r="T60" s="588">
        <f t="shared" si="0"/>
        <v>115.22602657129499</v>
      </c>
      <c r="U60" s="588">
        <f t="shared" si="1"/>
        <v>127.28962564296199</v>
      </c>
      <c r="V60" s="589">
        <f t="shared" si="2"/>
        <v>132.412107026462</v>
      </c>
      <c r="X60" s="13"/>
      <c r="Y60" s="13"/>
      <c r="Z60" s="13"/>
    </row>
    <row r="61" spans="1:26">
      <c r="A61" s="16">
        <v>31777</v>
      </c>
      <c r="B61" s="579">
        <v>34.878797417604204</v>
      </c>
      <c r="C61" s="580">
        <v>37.086446712842694</v>
      </c>
      <c r="D61" s="581">
        <v>32.189912183669307</v>
      </c>
      <c r="E61" s="582">
        <v>47.794101833281147</v>
      </c>
      <c r="F61" s="580">
        <v>50.791738983806887</v>
      </c>
      <c r="G61" s="581">
        <v>44.079363107861631</v>
      </c>
      <c r="H61" s="582">
        <v>33.633141898950505</v>
      </c>
      <c r="I61" s="580">
        <v>35.764117178435619</v>
      </c>
      <c r="J61" s="581">
        <v>31.042670075228703</v>
      </c>
      <c r="K61" s="583">
        <v>37.311612006445372</v>
      </c>
      <c r="L61" s="584">
        <v>39.644587500589395</v>
      </c>
      <c r="M61" s="584">
        <v>34.403432044410295</v>
      </c>
      <c r="N61" s="690"/>
      <c r="O61" s="691"/>
      <c r="P61" s="691"/>
      <c r="S61" s="10">
        <f>LARGE(A$8:A$754,3)</f>
        <v>44316</v>
      </c>
      <c r="T61" s="590">
        <f t="shared" si="0"/>
        <v>118.961318544641</v>
      </c>
      <c r="U61" s="590">
        <f t="shared" si="1"/>
        <v>131.068663100507</v>
      </c>
      <c r="V61" s="591">
        <f t="shared" si="2"/>
        <v>136.30960729632901</v>
      </c>
      <c r="X61" s="13"/>
      <c r="Y61" s="13"/>
      <c r="Z61" s="13"/>
    </row>
    <row r="62" spans="1:26">
      <c r="A62" s="16">
        <v>31808</v>
      </c>
      <c r="B62" s="573">
        <v>35.198017311835358</v>
      </c>
      <c r="C62" s="574">
        <v>36.151624453734421</v>
      </c>
      <c r="D62" s="575">
        <v>32.514071988526915</v>
      </c>
      <c r="E62" s="576">
        <v>48.974380870882044</v>
      </c>
      <c r="F62" s="574">
        <v>50.274021407696701</v>
      </c>
      <c r="G62" s="575">
        <v>45.208993019685856</v>
      </c>
      <c r="H62" s="576">
        <v>33.608879547213469</v>
      </c>
      <c r="I62" s="574">
        <v>34.521526974940784</v>
      </c>
      <c r="J62" s="575">
        <v>31.048493796635253</v>
      </c>
      <c r="K62" s="577">
        <v>35.145559445674927</v>
      </c>
      <c r="L62" s="578">
        <v>36.071669668648937</v>
      </c>
      <c r="M62" s="578">
        <v>32.43568623044488</v>
      </c>
      <c r="N62" s="688"/>
      <c r="O62" s="689"/>
      <c r="P62" s="689"/>
      <c r="S62" s="9">
        <f>LARGE(A$8:A$754,2)</f>
        <v>44347</v>
      </c>
      <c r="T62" s="588">
        <f t="shared" si="0"/>
        <v>124.912467465361</v>
      </c>
      <c r="U62" s="588">
        <f t="shared" si="1"/>
        <v>137.72392558863001</v>
      </c>
      <c r="V62" s="589">
        <f t="shared" si="2"/>
        <v>144.45156778201201</v>
      </c>
      <c r="X62" s="13"/>
      <c r="Y62" s="13"/>
      <c r="Z62" s="13"/>
    </row>
    <row r="63" spans="1:26" ht="15.75" thickBot="1">
      <c r="A63" s="16">
        <v>31836</v>
      </c>
      <c r="B63" s="579">
        <v>36.186676822171954</v>
      </c>
      <c r="C63" s="580">
        <v>37.181155797326838</v>
      </c>
      <c r="D63" s="581">
        <v>33.736199597740715</v>
      </c>
      <c r="E63" s="582">
        <v>50.936954669215609</v>
      </c>
      <c r="F63" s="580">
        <v>52.3084938999014</v>
      </c>
      <c r="G63" s="581">
        <v>47.45512799951171</v>
      </c>
      <c r="H63" s="582">
        <v>34.290512644635605</v>
      </c>
      <c r="I63" s="580">
        <v>35.23501891103458</v>
      </c>
      <c r="J63" s="581">
        <v>31.970893498890867</v>
      </c>
      <c r="K63" s="583">
        <v>39.353420621946192</v>
      </c>
      <c r="L63" s="584">
        <v>40.405719043813107</v>
      </c>
      <c r="M63" s="584">
        <v>36.654678152622076</v>
      </c>
      <c r="N63" s="690"/>
      <c r="O63" s="691"/>
      <c r="P63" s="691"/>
      <c r="S63" s="11">
        <f>LARGE(A$8:A$754,1)</f>
        <v>44377</v>
      </c>
      <c r="T63" s="592">
        <f t="shared" si="0"/>
        <v>134.62650558533699</v>
      </c>
      <c r="U63" s="592">
        <f t="shared" si="1"/>
        <v>146.734009356782</v>
      </c>
      <c r="V63" s="593">
        <f t="shared" si="2"/>
        <v>153.48313964186201</v>
      </c>
      <c r="X63" s="13"/>
      <c r="Y63" s="13"/>
      <c r="Z63" s="13"/>
    </row>
    <row r="64" spans="1:26">
      <c r="A64" s="16">
        <v>31867</v>
      </c>
      <c r="B64" s="573">
        <v>36.052484908010435</v>
      </c>
      <c r="C64" s="574">
        <v>37.976550462458519</v>
      </c>
      <c r="D64" s="575">
        <v>34.655293650869211</v>
      </c>
      <c r="E64" s="576">
        <v>51.827849253069502</v>
      </c>
      <c r="F64" s="574">
        <v>54.564295469395773</v>
      </c>
      <c r="G64" s="575">
        <v>49.785203111928801</v>
      </c>
      <c r="H64" s="576">
        <v>33.680651161711225</v>
      </c>
      <c r="I64" s="574">
        <v>35.480287987145978</v>
      </c>
      <c r="J64" s="575">
        <v>32.377864333069155</v>
      </c>
      <c r="K64" s="577">
        <v>40.118297627179452</v>
      </c>
      <c r="L64" s="578">
        <v>42.228822724790476</v>
      </c>
      <c r="M64" s="578">
        <v>38.52798913926005</v>
      </c>
      <c r="N64" s="688"/>
      <c r="O64" s="689"/>
      <c r="P64" s="689"/>
    </row>
    <row r="65" spans="1:16">
      <c r="A65" s="16">
        <v>31897</v>
      </c>
      <c r="B65" s="579">
        <v>35.255110161033919</v>
      </c>
      <c r="C65" s="580">
        <v>37.774778067852331</v>
      </c>
      <c r="D65" s="581">
        <v>35.07270958932849</v>
      </c>
      <c r="E65" s="582">
        <v>51.623529656217272</v>
      </c>
      <c r="F65" s="580">
        <v>55.283126426618836</v>
      </c>
      <c r="G65" s="581">
        <v>51.321300769343658</v>
      </c>
      <c r="H65" s="582">
        <v>32.514645999864669</v>
      </c>
      <c r="I65" s="580">
        <v>34.840567659180763</v>
      </c>
      <c r="J65" s="581">
        <v>32.348907149928813</v>
      </c>
      <c r="K65" s="583">
        <v>40.077330470599989</v>
      </c>
      <c r="L65" s="584">
        <v>42.910620958784712</v>
      </c>
      <c r="M65" s="584">
        <v>39.833227457909594</v>
      </c>
      <c r="N65" s="690"/>
      <c r="O65" s="691"/>
      <c r="P65" s="691"/>
    </row>
    <row r="66" spans="1:16">
      <c r="A66" s="16">
        <v>31928</v>
      </c>
      <c r="B66" s="573">
        <v>35.60991019832251</v>
      </c>
      <c r="C66" s="574">
        <v>37.940075750672257</v>
      </c>
      <c r="D66" s="575">
        <v>35.580131917086824</v>
      </c>
      <c r="E66" s="576">
        <v>52.348496949512892</v>
      </c>
      <c r="F66" s="574">
        <v>55.743802051734534</v>
      </c>
      <c r="G66" s="575">
        <v>52.268929908012076</v>
      </c>
      <c r="H66" s="576">
        <v>32.75002832182679</v>
      </c>
      <c r="I66" s="574">
        <v>34.895171894532226</v>
      </c>
      <c r="J66" s="575">
        <v>32.725153747432579</v>
      </c>
      <c r="K66" s="577">
        <v>42.281768091111452</v>
      </c>
      <c r="L66" s="578">
        <v>45.015971082314138</v>
      </c>
      <c r="M66" s="578">
        <v>42.207466332481872</v>
      </c>
      <c r="N66" s="688"/>
      <c r="O66" s="689"/>
      <c r="P66" s="689"/>
    </row>
    <row r="67" spans="1:16">
      <c r="A67" s="16">
        <v>31958</v>
      </c>
      <c r="B67" s="579">
        <v>35.025499540968255</v>
      </c>
      <c r="C67" s="580">
        <v>38.012779392504669</v>
      </c>
      <c r="D67" s="581">
        <v>35.167735990432213</v>
      </c>
      <c r="E67" s="582">
        <v>50.969523818832009</v>
      </c>
      <c r="F67" s="580">
        <v>55.28673186481884</v>
      </c>
      <c r="G67" s="581">
        <v>51.141488657847248</v>
      </c>
      <c r="H67" s="582">
        <v>32.44494682000169</v>
      </c>
      <c r="I67" s="580">
        <v>35.214270890504707</v>
      </c>
      <c r="J67" s="581">
        <v>32.579204767282626</v>
      </c>
      <c r="K67" s="583">
        <v>42.113651096454738</v>
      </c>
      <c r="L67" s="584">
        <v>45.672454318967674</v>
      </c>
      <c r="M67" s="584">
        <v>42.245692601658497</v>
      </c>
      <c r="N67" s="690"/>
      <c r="O67" s="691"/>
      <c r="P67" s="691"/>
    </row>
    <row r="68" spans="1:16">
      <c r="A68" s="16">
        <v>31989</v>
      </c>
      <c r="B68" s="573">
        <v>35.516928253395548</v>
      </c>
      <c r="C68" s="574">
        <v>38.566860015946503</v>
      </c>
      <c r="D68" s="575">
        <v>35.208935505632496</v>
      </c>
      <c r="E68" s="576">
        <v>50.686224981220775</v>
      </c>
      <c r="F68" s="574">
        <v>55.009017160369631</v>
      </c>
      <c r="G68" s="575">
        <v>50.212305313070956</v>
      </c>
      <c r="H68" s="576">
        <v>33.346502156983213</v>
      </c>
      <c r="I68" s="574">
        <v>36.212250525682208</v>
      </c>
      <c r="J68" s="575">
        <v>33.059868595841749</v>
      </c>
      <c r="K68" s="577">
        <v>47.194244809633311</v>
      </c>
      <c r="L68" s="578">
        <v>51.209919443045379</v>
      </c>
      <c r="M68" s="578">
        <v>46.74186162493627</v>
      </c>
      <c r="N68" s="688"/>
      <c r="O68" s="689"/>
      <c r="P68" s="689"/>
    </row>
    <row r="69" spans="1:16">
      <c r="A69" s="16">
        <v>32020</v>
      </c>
      <c r="B69" s="579">
        <v>36.867686296334348</v>
      </c>
      <c r="C69" s="580">
        <v>40.026435425753235</v>
      </c>
      <c r="D69" s="581">
        <v>36.491236645304014</v>
      </c>
      <c r="E69" s="582">
        <v>54.158426120498589</v>
      </c>
      <c r="F69" s="580">
        <v>58.766810708710814</v>
      </c>
      <c r="G69" s="581">
        <v>53.568742270213335</v>
      </c>
      <c r="H69" s="582">
        <v>33.924256211289631</v>
      </c>
      <c r="I69" s="580">
        <v>36.833052624412289</v>
      </c>
      <c r="J69" s="581">
        <v>33.580439250294333</v>
      </c>
      <c r="K69" s="583">
        <v>50.078356333478865</v>
      </c>
      <c r="L69" s="584">
        <v>54.329694908520878</v>
      </c>
      <c r="M69" s="584">
        <v>49.521322163715993</v>
      </c>
      <c r="N69" s="690"/>
      <c r="O69" s="691"/>
      <c r="P69" s="691"/>
    </row>
    <row r="70" spans="1:16">
      <c r="A70" s="16">
        <v>32050</v>
      </c>
      <c r="B70" s="573">
        <v>35.733182635455435</v>
      </c>
      <c r="C70" s="574">
        <v>39.128567536220928</v>
      </c>
      <c r="D70" s="575">
        <v>36.343270820227183</v>
      </c>
      <c r="E70" s="576">
        <v>53.072737088274735</v>
      </c>
      <c r="F70" s="574">
        <v>58.08430414077943</v>
      </c>
      <c r="G70" s="575">
        <v>53.941934084374196</v>
      </c>
      <c r="H70" s="576">
        <v>32.620650633141032</v>
      </c>
      <c r="I70" s="574">
        <v>35.722448257969369</v>
      </c>
      <c r="J70" s="575">
        <v>33.180144302861066</v>
      </c>
      <c r="K70" s="577">
        <v>47.432046722713153</v>
      </c>
      <c r="L70" s="578">
        <v>51.90154465665784</v>
      </c>
      <c r="M70" s="578">
        <v>48.19740364619571</v>
      </c>
      <c r="N70" s="688"/>
      <c r="O70" s="689"/>
      <c r="P70" s="689"/>
    </row>
    <row r="71" spans="1:16">
      <c r="A71" s="16">
        <v>32081</v>
      </c>
      <c r="B71" s="579">
        <v>37.116417787766025</v>
      </c>
      <c r="C71" s="580">
        <v>39.884699453278884</v>
      </c>
      <c r="D71" s="581">
        <v>37.080186407554052</v>
      </c>
      <c r="E71" s="582">
        <v>55.569099233612661</v>
      </c>
      <c r="F71" s="580">
        <v>59.681355899030109</v>
      </c>
      <c r="G71" s="581">
        <v>55.476867171790531</v>
      </c>
      <c r="H71" s="582">
        <v>33.685849911032868</v>
      </c>
      <c r="I71" s="580">
        <v>36.200463027258451</v>
      </c>
      <c r="J71" s="581">
        <v>33.655550891037876</v>
      </c>
      <c r="K71" s="583">
        <v>52.539099275231784</v>
      </c>
      <c r="L71" s="584">
        <v>56.416879418196906</v>
      </c>
      <c r="M71" s="584">
        <v>52.439427848995649</v>
      </c>
      <c r="N71" s="690"/>
      <c r="O71" s="691"/>
      <c r="P71" s="691"/>
    </row>
    <row r="72" spans="1:16">
      <c r="A72" s="16">
        <v>32111</v>
      </c>
      <c r="B72" s="573">
        <v>38.555954310294233</v>
      </c>
      <c r="C72" s="574">
        <v>38.272264127579447</v>
      </c>
      <c r="D72" s="575">
        <v>37.045558512266332</v>
      </c>
      <c r="E72" s="576">
        <v>58.649806743439868</v>
      </c>
      <c r="F72" s="574">
        <v>58.186781909487962</v>
      </c>
      <c r="G72" s="575">
        <v>56.313690824814735</v>
      </c>
      <c r="H72" s="576">
        <v>34.578605722895269</v>
      </c>
      <c r="I72" s="574">
        <v>34.326262778374755</v>
      </c>
      <c r="J72" s="575">
        <v>33.226569740966625</v>
      </c>
      <c r="K72" s="577">
        <v>52.540197369337335</v>
      </c>
      <c r="L72" s="578">
        <v>52.115938897928871</v>
      </c>
      <c r="M72" s="578">
        <v>50.435445006449861</v>
      </c>
      <c r="N72" s="688"/>
      <c r="O72" s="689"/>
      <c r="P72" s="689"/>
    </row>
    <row r="73" spans="1:16">
      <c r="A73" s="16">
        <v>32142</v>
      </c>
      <c r="B73" s="579">
        <v>38.816829317572093</v>
      </c>
      <c r="C73" s="580">
        <v>38.886311279241106</v>
      </c>
      <c r="D73" s="581">
        <v>38.616001357399021</v>
      </c>
      <c r="E73" s="582">
        <v>59.565299423982275</v>
      </c>
      <c r="F73" s="580">
        <v>59.639648429224543</v>
      </c>
      <c r="G73" s="581">
        <v>59.216575610227409</v>
      </c>
      <c r="H73" s="582">
        <v>34.580710646568484</v>
      </c>
      <c r="I73" s="580">
        <v>34.644711666524209</v>
      </c>
      <c r="J73" s="581">
        <v>34.404440321726234</v>
      </c>
      <c r="K73" s="583">
        <v>55.907790701904972</v>
      </c>
      <c r="L73" s="584">
        <v>55.967407370019608</v>
      </c>
      <c r="M73" s="584">
        <v>55.567267518774969</v>
      </c>
      <c r="N73" s="690"/>
      <c r="O73" s="691"/>
      <c r="P73" s="691"/>
    </row>
    <row r="74" spans="1:16">
      <c r="A74" s="16">
        <v>32173</v>
      </c>
      <c r="B74" s="573">
        <v>39.412213658296537</v>
      </c>
      <c r="C74" s="574">
        <v>39.521116476242042</v>
      </c>
      <c r="D74" s="575">
        <v>39.318595929422209</v>
      </c>
      <c r="E74" s="576">
        <v>62.215202233770363</v>
      </c>
      <c r="F74" s="574">
        <v>62.353372584287236</v>
      </c>
      <c r="G74" s="575">
        <v>62.024947641649433</v>
      </c>
      <c r="H74" s="576">
        <v>34.334946770247285</v>
      </c>
      <c r="I74" s="574">
        <v>34.431908997989623</v>
      </c>
      <c r="J74" s="575">
        <v>34.256019007199278</v>
      </c>
      <c r="K74" s="577">
        <v>58.38049952214206</v>
      </c>
      <c r="L74" s="578">
        <v>58.499526545407818</v>
      </c>
      <c r="M74" s="578">
        <v>58.188136141858173</v>
      </c>
      <c r="N74" s="688"/>
      <c r="O74" s="689"/>
      <c r="P74" s="689"/>
    </row>
    <row r="75" spans="1:16">
      <c r="A75" s="16">
        <v>32202</v>
      </c>
      <c r="B75" s="579">
        <v>40.339556940097935</v>
      </c>
      <c r="C75" s="580">
        <v>41.346095252928627</v>
      </c>
      <c r="D75" s="581">
        <v>40.305823559002754</v>
      </c>
      <c r="E75" s="582">
        <v>65.926000902520514</v>
      </c>
      <c r="F75" s="580">
        <v>67.534418382391436</v>
      </c>
      <c r="G75" s="581">
        <v>65.825796748524382</v>
      </c>
      <c r="H75" s="582">
        <v>34.138376536838123</v>
      </c>
      <c r="I75" s="580">
        <v>34.992307975927559</v>
      </c>
      <c r="J75" s="581">
        <v>34.112447472639495</v>
      </c>
      <c r="K75" s="583">
        <v>59.470374754604805</v>
      </c>
      <c r="L75" s="584">
        <v>60.910227309204544</v>
      </c>
      <c r="M75" s="584">
        <v>59.365867454410925</v>
      </c>
      <c r="N75" s="690"/>
      <c r="O75" s="691"/>
      <c r="P75" s="691"/>
    </row>
    <row r="76" spans="1:16">
      <c r="A76" s="16">
        <v>32233</v>
      </c>
      <c r="B76" s="573">
        <v>40.553243422417459</v>
      </c>
      <c r="C76" s="574">
        <v>42.188669199102982</v>
      </c>
      <c r="D76" s="575">
        <v>41.557706595765339</v>
      </c>
      <c r="E76" s="576">
        <v>65.405936951818887</v>
      </c>
      <c r="F76" s="574">
        <v>68.006818495584938</v>
      </c>
      <c r="G76" s="575">
        <v>66.980111527549369</v>
      </c>
      <c r="H76" s="576">
        <v>34.707815252418165</v>
      </c>
      <c r="I76" s="574">
        <v>36.109697948826465</v>
      </c>
      <c r="J76" s="575">
        <v>35.570223606929908</v>
      </c>
      <c r="K76" s="577">
        <v>68.638031745375969</v>
      </c>
      <c r="L76" s="578">
        <v>71.354475973383032</v>
      </c>
      <c r="M76" s="578">
        <v>70.273286796560399</v>
      </c>
      <c r="N76" s="688"/>
      <c r="O76" s="689"/>
      <c r="P76" s="689"/>
    </row>
    <row r="77" spans="1:16">
      <c r="A77" s="16">
        <v>32263</v>
      </c>
      <c r="B77" s="579">
        <v>40.716860172716132</v>
      </c>
      <c r="C77" s="580">
        <v>42.866081381295132</v>
      </c>
      <c r="D77" s="581">
        <v>42.602725490907538</v>
      </c>
      <c r="E77" s="582">
        <v>65.671964980801434</v>
      </c>
      <c r="F77" s="580">
        <v>69.101037762705474</v>
      </c>
      <c r="G77" s="581">
        <v>68.666645411057914</v>
      </c>
      <c r="H77" s="582">
        <v>34.846891198160314</v>
      </c>
      <c r="I77" s="580">
        <v>36.688494403590774</v>
      </c>
      <c r="J77" s="581">
        <v>36.463678847442274</v>
      </c>
      <c r="K77" s="583">
        <v>69.472340854087065</v>
      </c>
      <c r="L77" s="584">
        <v>73.08657397295319</v>
      </c>
      <c r="M77" s="584">
        <v>72.6230531538923</v>
      </c>
      <c r="N77" s="690"/>
      <c r="O77" s="691"/>
      <c r="P77" s="691"/>
    </row>
    <row r="78" spans="1:16">
      <c r="A78" s="16">
        <v>32294</v>
      </c>
      <c r="B78" s="573">
        <v>40.329427870894364</v>
      </c>
      <c r="C78" s="574">
        <v>44.397036698634636</v>
      </c>
      <c r="D78" s="575">
        <v>43.94663697705861</v>
      </c>
      <c r="E78" s="576">
        <v>64.177487265186144</v>
      </c>
      <c r="F78" s="574">
        <v>70.612190981539285</v>
      </c>
      <c r="G78" s="575">
        <v>69.885811323230769</v>
      </c>
      <c r="H78" s="576">
        <v>34.904050198772936</v>
      </c>
      <c r="I78" s="574">
        <v>38.426788886959642</v>
      </c>
      <c r="J78" s="575">
        <v>38.03756872680669</v>
      </c>
      <c r="K78" s="577">
        <v>74.071694380163095</v>
      </c>
      <c r="L78" s="578">
        <v>81.483630403593594</v>
      </c>
      <c r="M78" s="578">
        <v>80.640893635795933</v>
      </c>
      <c r="N78" s="688"/>
      <c r="O78" s="689"/>
      <c r="P78" s="689"/>
    </row>
    <row r="79" spans="1:16">
      <c r="A79" s="16">
        <v>32324</v>
      </c>
      <c r="B79" s="579">
        <v>41.057945301572971</v>
      </c>
      <c r="C79" s="580">
        <v>47.884123100429186</v>
      </c>
      <c r="D79" s="581">
        <v>46.435212036855283</v>
      </c>
      <c r="E79" s="582">
        <v>65.926309423254764</v>
      </c>
      <c r="F79" s="580">
        <v>76.845447912225509</v>
      </c>
      <c r="G79" s="581">
        <v>74.509509186529826</v>
      </c>
      <c r="H79" s="582">
        <v>35.271031717454321</v>
      </c>
      <c r="I79" s="580">
        <v>41.137589217810486</v>
      </c>
      <c r="J79" s="581">
        <v>39.893461850317294</v>
      </c>
      <c r="K79" s="583">
        <v>81.121020409542297</v>
      </c>
      <c r="L79" s="584">
        <v>94.539630350062595</v>
      </c>
      <c r="M79" s="584">
        <v>91.660683954666922</v>
      </c>
      <c r="N79" s="690"/>
      <c r="O79" s="691"/>
      <c r="P79" s="691"/>
    </row>
    <row r="80" spans="1:16">
      <c r="A80" s="16">
        <v>32355</v>
      </c>
      <c r="B80" s="573">
        <v>40.291649933410575</v>
      </c>
      <c r="C80" s="574">
        <v>48.00206864129197</v>
      </c>
      <c r="D80" s="575">
        <v>45.061174515425385</v>
      </c>
      <c r="E80" s="576">
        <v>68.678466072738104</v>
      </c>
      <c r="F80" s="574">
        <v>81.776881178472166</v>
      </c>
      <c r="G80" s="575">
        <v>76.755721600616937</v>
      </c>
      <c r="H80" s="576">
        <v>32.832387637580013</v>
      </c>
      <c r="I80" s="574">
        <v>39.117736343686516</v>
      </c>
      <c r="J80" s="575">
        <v>36.721740921167076</v>
      </c>
      <c r="K80" s="577">
        <v>64.265201703811172</v>
      </c>
      <c r="L80" s="578">
        <v>76.508016824503969</v>
      </c>
      <c r="M80" s="578">
        <v>71.806341093365106</v>
      </c>
      <c r="N80" s="688"/>
      <c r="O80" s="689"/>
      <c r="P80" s="689"/>
    </row>
    <row r="81" spans="1:16">
      <c r="A81" s="16">
        <v>32386</v>
      </c>
      <c r="B81" s="579">
        <v>39.48369708790112</v>
      </c>
      <c r="C81" s="580">
        <v>47.930954493858778</v>
      </c>
      <c r="D81" s="581">
        <v>44.533248383054087</v>
      </c>
      <c r="E81" s="582">
        <v>65.320110437486775</v>
      </c>
      <c r="F81" s="580">
        <v>79.25200012449379</v>
      </c>
      <c r="G81" s="581">
        <v>73.623454433267995</v>
      </c>
      <c r="H81" s="582">
        <v>33.059664926578861</v>
      </c>
      <c r="I81" s="580">
        <v>40.134980896116708</v>
      </c>
      <c r="J81" s="581">
        <v>37.290512429761122</v>
      </c>
      <c r="K81" s="583">
        <v>66.065631759265514</v>
      </c>
      <c r="L81" s="584">
        <v>80.141972368232985</v>
      </c>
      <c r="M81" s="584">
        <v>74.44604376325988</v>
      </c>
      <c r="N81" s="690"/>
      <c r="O81" s="691"/>
      <c r="P81" s="691"/>
    </row>
    <row r="82" spans="1:16">
      <c r="A82" s="16">
        <v>32416</v>
      </c>
      <c r="B82" s="573">
        <v>39.321045545517322</v>
      </c>
      <c r="C82" s="574">
        <v>46.922257169136323</v>
      </c>
      <c r="D82" s="575">
        <v>43.623561322685958</v>
      </c>
      <c r="E82" s="576">
        <v>65.79052150510708</v>
      </c>
      <c r="F82" s="574">
        <v>78.466127974957715</v>
      </c>
      <c r="G82" s="575">
        <v>72.939386504778838</v>
      </c>
      <c r="H82" s="576">
        <v>32.592897373458449</v>
      </c>
      <c r="I82" s="574">
        <v>38.895839938684105</v>
      </c>
      <c r="J82" s="575">
        <v>36.16199398732865</v>
      </c>
      <c r="K82" s="577">
        <v>61.429623858445936</v>
      </c>
      <c r="L82" s="578">
        <v>73.251726034214457</v>
      </c>
      <c r="M82" s="578">
        <v>68.088439956893978</v>
      </c>
      <c r="N82" s="688"/>
      <c r="O82" s="689"/>
      <c r="P82" s="689"/>
    </row>
    <row r="83" spans="1:16">
      <c r="A83" s="16">
        <v>32447</v>
      </c>
      <c r="B83" s="579">
        <v>38.932009524137406</v>
      </c>
      <c r="C83" s="580">
        <v>46.556524268524306</v>
      </c>
      <c r="D83" s="581">
        <v>44.068978611273266</v>
      </c>
      <c r="E83" s="582">
        <v>66.093492132620653</v>
      </c>
      <c r="F83" s="580">
        <v>78.99461433924381</v>
      </c>
      <c r="G83" s="581">
        <v>74.763148047909951</v>
      </c>
      <c r="H83" s="582">
        <v>31.844006328665643</v>
      </c>
      <c r="I83" s="580">
        <v>38.082704039046092</v>
      </c>
      <c r="J83" s="581">
        <v>36.048500633032852</v>
      </c>
      <c r="K83" s="583">
        <v>61.495376960264771</v>
      </c>
      <c r="L83" s="584">
        <v>73.485620442134277</v>
      </c>
      <c r="M83" s="584">
        <v>69.545350369382589</v>
      </c>
      <c r="N83" s="690"/>
      <c r="O83" s="691"/>
      <c r="P83" s="691"/>
    </row>
    <row r="84" spans="1:16">
      <c r="A84" s="16">
        <v>32477</v>
      </c>
      <c r="B84" s="573">
        <v>37.508665525267823</v>
      </c>
      <c r="C84" s="574">
        <v>45.752394685286241</v>
      </c>
      <c r="D84" s="575">
        <v>44.588592076141424</v>
      </c>
      <c r="E84" s="576">
        <v>62.379024376625424</v>
      </c>
      <c r="F84" s="574">
        <v>76.047659052389307</v>
      </c>
      <c r="G84" s="575">
        <v>74.102599137839405</v>
      </c>
      <c r="H84" s="576">
        <v>31.260096374057571</v>
      </c>
      <c r="I84" s="574">
        <v>38.132815865845451</v>
      </c>
      <c r="J84" s="575">
        <v>37.16343073383868</v>
      </c>
      <c r="K84" s="577">
        <v>62.540181686640665</v>
      </c>
      <c r="L84" s="578">
        <v>76.230281500830174</v>
      </c>
      <c r="M84" s="578">
        <v>74.276383881982767</v>
      </c>
      <c r="N84" s="688"/>
      <c r="O84" s="689"/>
      <c r="P84" s="689"/>
    </row>
    <row r="85" spans="1:16">
      <c r="A85" s="16">
        <v>32508</v>
      </c>
      <c r="B85" s="579">
        <v>37.88183865060121</v>
      </c>
      <c r="C85" s="580">
        <v>46.657347213479355</v>
      </c>
      <c r="D85" s="581">
        <v>45.482737328566564</v>
      </c>
      <c r="E85" s="582">
        <v>62.206946320686875</v>
      </c>
      <c r="F85" s="580">
        <v>76.576044695422908</v>
      </c>
      <c r="G85" s="581">
        <v>74.637510289525864</v>
      </c>
      <c r="H85" s="582">
        <v>31.925460477705681</v>
      </c>
      <c r="I85" s="580">
        <v>39.32353116353309</v>
      </c>
      <c r="J85" s="581">
        <v>38.334169131444575</v>
      </c>
      <c r="K85" s="583">
        <v>65.981477500796686</v>
      </c>
      <c r="L85" s="584">
        <v>81.207697506902292</v>
      </c>
      <c r="M85" s="584">
        <v>79.147472036867939</v>
      </c>
      <c r="N85" s="690"/>
      <c r="O85" s="691"/>
      <c r="P85" s="691"/>
    </row>
    <row r="86" spans="1:16">
      <c r="A86" s="16">
        <v>32539</v>
      </c>
      <c r="B86" s="573">
        <v>37.525583013745745</v>
      </c>
      <c r="C86" s="574">
        <v>47.883833870031268</v>
      </c>
      <c r="D86" s="575">
        <v>45.627310200790241</v>
      </c>
      <c r="E86" s="576">
        <v>62.122216675686559</v>
      </c>
      <c r="F86" s="574">
        <v>79.227046484240603</v>
      </c>
      <c r="G86" s="575">
        <v>75.48263976336699</v>
      </c>
      <c r="H86" s="576">
        <v>31.401574645249802</v>
      </c>
      <c r="I86" s="574">
        <v>40.071835923147901</v>
      </c>
      <c r="J86" s="575">
        <v>38.184067191733021</v>
      </c>
      <c r="K86" s="577">
        <v>64.086978108282452</v>
      </c>
      <c r="L86" s="578">
        <v>81.717943539253824</v>
      </c>
      <c r="M86" s="578">
        <v>77.85144537965904</v>
      </c>
      <c r="N86" s="688"/>
      <c r="O86" s="689"/>
      <c r="P86" s="689"/>
    </row>
    <row r="87" spans="1:16">
      <c r="A87" s="16">
        <v>32567</v>
      </c>
      <c r="B87" s="579">
        <v>37.583140928495595</v>
      </c>
      <c r="C87" s="580">
        <v>47.613473593672964</v>
      </c>
      <c r="D87" s="581">
        <v>45.04522753094318</v>
      </c>
      <c r="E87" s="582">
        <v>62.718502284136633</v>
      </c>
      <c r="F87" s="580">
        <v>79.414083389827184</v>
      </c>
      <c r="G87" s="581">
        <v>75.119745559137527</v>
      </c>
      <c r="H87" s="582">
        <v>31.225774866068136</v>
      </c>
      <c r="I87" s="580">
        <v>39.561829301662691</v>
      </c>
      <c r="J87" s="581">
        <v>37.428487449083747</v>
      </c>
      <c r="K87" s="583">
        <v>62.046818073358303</v>
      </c>
      <c r="L87" s="584">
        <v>78.549328444589804</v>
      </c>
      <c r="M87" s="584">
        <v>74.297584483373583</v>
      </c>
      <c r="N87" s="690"/>
      <c r="O87" s="691"/>
      <c r="P87" s="691"/>
    </row>
    <row r="88" spans="1:16">
      <c r="A88" s="16">
        <v>32598</v>
      </c>
      <c r="B88" s="573">
        <v>39.365047854071761</v>
      </c>
      <c r="C88" s="574">
        <v>47.924834288810679</v>
      </c>
      <c r="D88" s="575">
        <v>44.983265753718541</v>
      </c>
      <c r="E88" s="576">
        <v>66.089272519913251</v>
      </c>
      <c r="F88" s="574">
        <v>80.416628759669138</v>
      </c>
      <c r="G88" s="575">
        <v>75.469919420924143</v>
      </c>
      <c r="H88" s="576">
        <v>32.528730585248745</v>
      </c>
      <c r="I88" s="574">
        <v>39.60438726991115</v>
      </c>
      <c r="J88" s="575">
        <v>37.174116337422383</v>
      </c>
      <c r="K88" s="577">
        <v>62.95009376897309</v>
      </c>
      <c r="L88" s="578">
        <v>76.583001866081361</v>
      </c>
      <c r="M88" s="578">
        <v>71.868080690888846</v>
      </c>
      <c r="N88" s="688"/>
      <c r="O88" s="689"/>
      <c r="P88" s="689"/>
    </row>
    <row r="89" spans="1:16">
      <c r="A89" s="16">
        <v>32628</v>
      </c>
      <c r="B89" s="579">
        <v>40.082501124009177</v>
      </c>
      <c r="C89" s="580">
        <v>48.252191139402633</v>
      </c>
      <c r="D89" s="581">
        <v>45.079641921323763</v>
      </c>
      <c r="E89" s="582">
        <v>66.37082510199393</v>
      </c>
      <c r="F89" s="580">
        <v>79.855438318246669</v>
      </c>
      <c r="G89" s="581">
        <v>74.594288840123752</v>
      </c>
      <c r="H89" s="582">
        <v>33.534185497604582</v>
      </c>
      <c r="I89" s="580">
        <v>40.371634740641205</v>
      </c>
      <c r="J89" s="581">
        <v>37.717834176113264</v>
      </c>
      <c r="K89" s="583">
        <v>62.206550188805799</v>
      </c>
      <c r="L89" s="584">
        <v>74.831510446492942</v>
      </c>
      <c r="M89" s="584">
        <v>69.897433380664197</v>
      </c>
      <c r="N89" s="690"/>
      <c r="O89" s="691"/>
      <c r="P89" s="691"/>
    </row>
    <row r="90" spans="1:16">
      <c r="A90" s="16">
        <v>32659</v>
      </c>
      <c r="B90" s="573">
        <v>41.388426240858237</v>
      </c>
      <c r="C90" s="574">
        <v>49.083171101024817</v>
      </c>
      <c r="D90" s="575">
        <v>44.77632032470013</v>
      </c>
      <c r="E90" s="576">
        <v>67.359938884635056</v>
      </c>
      <c r="F90" s="574">
        <v>79.839983724259326</v>
      </c>
      <c r="G90" s="575">
        <v>72.82389258461383</v>
      </c>
      <c r="H90" s="576">
        <v>35.151270031511736</v>
      </c>
      <c r="I90" s="574">
        <v>41.688960671303903</v>
      </c>
      <c r="J90" s="575">
        <v>38.031534514342702</v>
      </c>
      <c r="K90" s="577">
        <v>64.697561651734247</v>
      </c>
      <c r="L90" s="578">
        <v>76.670409256596045</v>
      </c>
      <c r="M90" s="578">
        <v>69.928927619623195</v>
      </c>
      <c r="N90" s="688"/>
      <c r="O90" s="689"/>
      <c r="P90" s="689"/>
    </row>
    <row r="91" spans="1:16">
      <c r="A91" s="16">
        <v>32689</v>
      </c>
      <c r="B91" s="579">
        <v>41.656647639093215</v>
      </c>
      <c r="C91" s="580">
        <v>49.360719625778302</v>
      </c>
      <c r="D91" s="581">
        <v>44.034840520157772</v>
      </c>
      <c r="E91" s="582">
        <v>68.637893769654994</v>
      </c>
      <c r="F91" s="580">
        <v>81.28794961397405</v>
      </c>
      <c r="G91" s="581">
        <v>72.506806301621523</v>
      </c>
      <c r="H91" s="582">
        <v>35.002926067729675</v>
      </c>
      <c r="I91" s="580">
        <v>41.478960447391685</v>
      </c>
      <c r="J91" s="581">
        <v>37.004096257101182</v>
      </c>
      <c r="K91" s="583">
        <v>59.404005979601372</v>
      </c>
      <c r="L91" s="584">
        <v>70.339466031623616</v>
      </c>
      <c r="M91" s="584">
        <v>62.737514866477731</v>
      </c>
      <c r="N91" s="690"/>
      <c r="O91" s="691"/>
      <c r="P91" s="691"/>
    </row>
    <row r="92" spans="1:16">
      <c r="A92" s="16">
        <v>32720</v>
      </c>
      <c r="B92" s="573">
        <v>41.618453814927591</v>
      </c>
      <c r="C92" s="574">
        <v>48.319108366549713</v>
      </c>
      <c r="D92" s="575">
        <v>44.08763779973868</v>
      </c>
      <c r="E92" s="576">
        <v>68.863868558464901</v>
      </c>
      <c r="F92" s="574">
        <v>79.907849234703548</v>
      </c>
      <c r="G92" s="575">
        <v>72.899579274105491</v>
      </c>
      <c r="H92" s="576">
        <v>34.841681507081368</v>
      </c>
      <c r="I92" s="574">
        <v>40.453716214228322</v>
      </c>
      <c r="J92" s="575">
        <v>36.911639471768403</v>
      </c>
      <c r="K92" s="577">
        <v>56.882293900388348</v>
      </c>
      <c r="L92" s="578">
        <v>65.992752103464269</v>
      </c>
      <c r="M92" s="578">
        <v>60.201520168416799</v>
      </c>
      <c r="N92" s="688"/>
      <c r="O92" s="689"/>
      <c r="P92" s="689"/>
    </row>
    <row r="93" spans="1:16">
      <c r="A93" s="16">
        <v>32751</v>
      </c>
      <c r="B93" s="579">
        <v>41.580042617351978</v>
      </c>
      <c r="C93" s="580">
        <v>48.816741281997714</v>
      </c>
      <c r="D93" s="581">
        <v>44.337840237038058</v>
      </c>
      <c r="E93" s="582">
        <v>68.633968935630364</v>
      </c>
      <c r="F93" s="580">
        <v>80.535623228046887</v>
      </c>
      <c r="G93" s="581">
        <v>73.136038869891735</v>
      </c>
      <c r="H93" s="582">
        <v>34.864229636624181</v>
      </c>
      <c r="I93" s="580">
        <v>40.934574021043431</v>
      </c>
      <c r="J93" s="581">
        <v>37.179454860589864</v>
      </c>
      <c r="K93" s="583">
        <v>59.433669966918167</v>
      </c>
      <c r="L93" s="584">
        <v>69.727255487656151</v>
      </c>
      <c r="M93" s="584">
        <v>63.317188103590723</v>
      </c>
      <c r="N93" s="690"/>
      <c r="O93" s="691"/>
      <c r="P93" s="691"/>
    </row>
    <row r="94" spans="1:16">
      <c r="A94" s="16">
        <v>32781</v>
      </c>
      <c r="B94" s="573">
        <v>41.049511823819756</v>
      </c>
      <c r="C94" s="574">
        <v>49.520165871744453</v>
      </c>
      <c r="D94" s="575">
        <v>44.346483892767921</v>
      </c>
      <c r="E94" s="576">
        <v>68.580483006456348</v>
      </c>
      <c r="F94" s="574">
        <v>82.687467066191672</v>
      </c>
      <c r="G94" s="575">
        <v>74.037961248717394</v>
      </c>
      <c r="H94" s="576">
        <v>34.148981400754117</v>
      </c>
      <c r="I94" s="574">
        <v>41.198195578016986</v>
      </c>
      <c r="J94" s="575">
        <v>36.894556070613106</v>
      </c>
      <c r="K94" s="577">
        <v>56.533399296011375</v>
      </c>
      <c r="L94" s="578">
        <v>68.14992183784392</v>
      </c>
      <c r="M94" s="578">
        <v>61.017690004137307</v>
      </c>
      <c r="N94" s="688"/>
      <c r="O94" s="689"/>
      <c r="P94" s="689"/>
    </row>
    <row r="95" spans="1:16">
      <c r="A95" s="16">
        <v>32812</v>
      </c>
      <c r="B95" s="579">
        <v>41.520007304480806</v>
      </c>
      <c r="C95" s="580">
        <v>49.21497127945544</v>
      </c>
      <c r="D95" s="581">
        <v>45.017432757940668</v>
      </c>
      <c r="E95" s="582">
        <v>69.447093636962592</v>
      </c>
      <c r="F95" s="580">
        <v>82.273305249582961</v>
      </c>
      <c r="G95" s="581">
        <v>75.245424293070954</v>
      </c>
      <c r="H95" s="582">
        <v>34.513890239418032</v>
      </c>
      <c r="I95" s="580">
        <v>40.912882188305574</v>
      </c>
      <c r="J95" s="581">
        <v>37.424030391953892</v>
      </c>
      <c r="K95" s="583">
        <v>58.036792205488254</v>
      </c>
      <c r="L95" s="584">
        <v>68.743142760450567</v>
      </c>
      <c r="M95" s="584">
        <v>62.867497168762519</v>
      </c>
      <c r="N95" s="690"/>
      <c r="O95" s="691"/>
      <c r="P95" s="691"/>
    </row>
    <row r="96" spans="1:16">
      <c r="A96" s="16">
        <v>32842</v>
      </c>
      <c r="B96" s="573">
        <v>41.333852220534197</v>
      </c>
      <c r="C96" s="574">
        <v>49.29198241509026</v>
      </c>
      <c r="D96" s="575">
        <v>45.260919057561871</v>
      </c>
      <c r="E96" s="576">
        <v>69.882086178226061</v>
      </c>
      <c r="F96" s="574">
        <v>83.291621887289509</v>
      </c>
      <c r="G96" s="575">
        <v>76.469115055524355</v>
      </c>
      <c r="H96" s="576">
        <v>34.113693457189811</v>
      </c>
      <c r="I96" s="574">
        <v>40.684172961963696</v>
      </c>
      <c r="J96" s="575">
        <v>37.357651709490398</v>
      </c>
      <c r="K96" s="577">
        <v>54.023020206317419</v>
      </c>
      <c r="L96" s="578">
        <v>64.377696144671077</v>
      </c>
      <c r="M96" s="578">
        <v>59.1011339394258</v>
      </c>
      <c r="N96" s="688"/>
      <c r="O96" s="689"/>
      <c r="P96" s="689"/>
    </row>
    <row r="97" spans="1:16">
      <c r="A97" s="16">
        <v>32873</v>
      </c>
      <c r="B97" s="579">
        <v>40.997431671094517</v>
      </c>
      <c r="C97" s="580">
        <v>48.236465547224348</v>
      </c>
      <c r="D97" s="581">
        <v>45.0933073266741</v>
      </c>
      <c r="E97" s="582">
        <v>69.461880711037111</v>
      </c>
      <c r="F97" s="580">
        <v>81.682763083215605</v>
      </c>
      <c r="G97" s="581">
        <v>76.349235624822484</v>
      </c>
      <c r="H97" s="582">
        <v>33.787177887322677</v>
      </c>
      <c r="I97" s="580">
        <v>39.755488345602338</v>
      </c>
      <c r="J97" s="581">
        <v>37.165561389661796</v>
      </c>
      <c r="K97" s="583">
        <v>50.894180045248362</v>
      </c>
      <c r="L97" s="584">
        <v>59.837455468382572</v>
      </c>
      <c r="M97" s="584">
        <v>55.927193694861501</v>
      </c>
      <c r="N97" s="690"/>
      <c r="O97" s="691"/>
      <c r="P97" s="691"/>
    </row>
    <row r="98" spans="1:16">
      <c r="A98" s="16">
        <v>32904</v>
      </c>
      <c r="B98" s="573">
        <v>40.979825101418939</v>
      </c>
      <c r="C98" s="574">
        <v>47.330398891961437</v>
      </c>
      <c r="D98" s="575">
        <v>44.890457962920102</v>
      </c>
      <c r="E98" s="576">
        <v>69.223691836134194</v>
      </c>
      <c r="F98" s="574">
        <v>79.907929265379479</v>
      </c>
      <c r="G98" s="575">
        <v>75.777698305034136</v>
      </c>
      <c r="H98" s="576">
        <v>33.841190142783724</v>
      </c>
      <c r="I98" s="574">
        <v>39.087873050056793</v>
      </c>
      <c r="J98" s="575">
        <v>37.073441556891026</v>
      </c>
      <c r="K98" s="577">
        <v>48.130858710261478</v>
      </c>
      <c r="L98" s="578">
        <v>55.549460100866256</v>
      </c>
      <c r="M98" s="578">
        <v>52.675299419179652</v>
      </c>
      <c r="N98" s="688"/>
      <c r="O98" s="689"/>
      <c r="P98" s="689"/>
    </row>
    <row r="99" spans="1:16">
      <c r="A99" s="16">
        <v>32932</v>
      </c>
      <c r="B99" s="579">
        <v>41.403161382789769</v>
      </c>
      <c r="C99" s="580">
        <v>46.135105336962006</v>
      </c>
      <c r="D99" s="581">
        <v>44.015986012125232</v>
      </c>
      <c r="E99" s="582">
        <v>68.316236295194088</v>
      </c>
      <c r="F99" s="580">
        <v>76.082889881656683</v>
      </c>
      <c r="G99" s="581">
        <v>72.577763394974255</v>
      </c>
      <c r="H99" s="582">
        <v>34.724390444818326</v>
      </c>
      <c r="I99" s="580">
        <v>38.695368859477178</v>
      </c>
      <c r="J99" s="581">
        <v>36.918572713131717</v>
      </c>
      <c r="K99" s="583">
        <v>48.750874151431987</v>
      </c>
      <c r="L99" s="584">
        <v>54.283343395392414</v>
      </c>
      <c r="M99" s="584">
        <v>51.779613744774387</v>
      </c>
      <c r="N99" s="690"/>
      <c r="O99" s="691"/>
      <c r="P99" s="691"/>
    </row>
    <row r="100" spans="1:16">
      <c r="A100" s="16">
        <v>32963</v>
      </c>
      <c r="B100" s="573">
        <v>41.885753861953937</v>
      </c>
      <c r="C100" s="574">
        <v>47.308745184482653</v>
      </c>
      <c r="D100" s="575">
        <v>44.294608375886284</v>
      </c>
      <c r="E100" s="576">
        <v>68.565191969861758</v>
      </c>
      <c r="F100" s="574">
        <v>77.400513870133182</v>
      </c>
      <c r="G100" s="575">
        <v>72.458767607045999</v>
      </c>
      <c r="H100" s="576">
        <v>35.309136277695501</v>
      </c>
      <c r="I100" s="574">
        <v>39.883065679509194</v>
      </c>
      <c r="J100" s="575">
        <v>37.34263539498626</v>
      </c>
      <c r="K100" s="577">
        <v>55.175664310409758</v>
      </c>
      <c r="L100" s="578">
        <v>62.274296705835411</v>
      </c>
      <c r="M100" s="578">
        <v>58.29503509739321</v>
      </c>
      <c r="N100" s="688"/>
      <c r="O100" s="689"/>
      <c r="P100" s="689"/>
    </row>
    <row r="101" spans="1:16">
      <c r="A101" s="16">
        <v>32993</v>
      </c>
      <c r="B101" s="579">
        <v>41.639620973586261</v>
      </c>
      <c r="C101" s="580">
        <v>47.614273335500116</v>
      </c>
      <c r="D101" s="581">
        <v>44.535372427592272</v>
      </c>
      <c r="E101" s="582">
        <v>68.89415658345375</v>
      </c>
      <c r="F101" s="580">
        <v>78.736813698516556</v>
      </c>
      <c r="G101" s="581">
        <v>73.634853225736663</v>
      </c>
      <c r="H101" s="582">
        <v>34.860959569489729</v>
      </c>
      <c r="I101" s="580">
        <v>39.865395509999594</v>
      </c>
      <c r="J101" s="581">
        <v>37.288163840483548</v>
      </c>
      <c r="K101" s="583">
        <v>52.683034066456877</v>
      </c>
      <c r="L101" s="584">
        <v>60.198731454231499</v>
      </c>
      <c r="M101" s="584">
        <v>56.29483708286439</v>
      </c>
      <c r="N101" s="690"/>
      <c r="O101" s="691"/>
      <c r="P101" s="691"/>
    </row>
    <row r="102" spans="1:16">
      <c r="A102" s="16">
        <v>33024</v>
      </c>
      <c r="B102" s="573">
        <v>41.557215370699041</v>
      </c>
      <c r="C102" s="574">
        <v>46.759723081299143</v>
      </c>
      <c r="D102" s="575">
        <v>44.296055002337951</v>
      </c>
      <c r="E102" s="576">
        <v>67.817268200225172</v>
      </c>
      <c r="F102" s="574">
        <v>76.265977008798984</v>
      </c>
      <c r="G102" s="575">
        <v>72.237318999466865</v>
      </c>
      <c r="H102" s="576">
        <v>35.101284545424527</v>
      </c>
      <c r="I102" s="574">
        <v>39.497976614977659</v>
      </c>
      <c r="J102" s="575">
        <v>37.417516676463613</v>
      </c>
      <c r="K102" s="577">
        <v>53.415216706905142</v>
      </c>
      <c r="L102" s="578">
        <v>60.058800515162204</v>
      </c>
      <c r="M102" s="578">
        <v>56.883075947893381</v>
      </c>
      <c r="N102" s="688"/>
      <c r="O102" s="689"/>
      <c r="P102" s="689"/>
    </row>
    <row r="103" spans="1:16">
      <c r="A103" s="16">
        <v>33054</v>
      </c>
      <c r="B103" s="579">
        <v>39.418180819651397</v>
      </c>
      <c r="C103" s="580">
        <v>45.434683025156033</v>
      </c>
      <c r="D103" s="581">
        <v>42.915051209084837</v>
      </c>
      <c r="E103" s="582">
        <v>62.085849418017872</v>
      </c>
      <c r="F103" s="580">
        <v>71.523475124385115</v>
      </c>
      <c r="G103" s="581">
        <v>67.547363423267399</v>
      </c>
      <c r="H103" s="582">
        <v>34.031453279132649</v>
      </c>
      <c r="I103" s="580">
        <v>39.228144617900284</v>
      </c>
      <c r="J103" s="581">
        <v>37.053300072971311</v>
      </c>
      <c r="K103" s="583">
        <v>52.359102432231822</v>
      </c>
      <c r="L103" s="584">
        <v>60.307216833159536</v>
      </c>
      <c r="M103" s="584">
        <v>56.951441125779709</v>
      </c>
      <c r="N103" s="690"/>
      <c r="O103" s="691"/>
      <c r="P103" s="691"/>
    </row>
    <row r="104" spans="1:16">
      <c r="A104" s="16">
        <v>33085</v>
      </c>
      <c r="B104" s="573">
        <v>38.402745287410383</v>
      </c>
      <c r="C104" s="574">
        <v>44.159615217932</v>
      </c>
      <c r="D104" s="575">
        <v>42.588660631068173</v>
      </c>
      <c r="E104" s="576">
        <v>57.954194867659794</v>
      </c>
      <c r="F104" s="574">
        <v>66.605936738147733</v>
      </c>
      <c r="G104" s="575">
        <v>64.227246556755574</v>
      </c>
      <c r="H104" s="576">
        <v>33.987571429856864</v>
      </c>
      <c r="I104" s="574">
        <v>39.084943546586523</v>
      </c>
      <c r="J104" s="575">
        <v>37.695124666041536</v>
      </c>
      <c r="K104" s="577">
        <v>52.196296031914137</v>
      </c>
      <c r="L104" s="578">
        <v>59.977569471153615</v>
      </c>
      <c r="M104" s="578">
        <v>57.832353099508552</v>
      </c>
      <c r="N104" s="688"/>
      <c r="O104" s="689"/>
      <c r="P104" s="689"/>
    </row>
    <row r="105" spans="1:16">
      <c r="A105" s="16">
        <v>33116</v>
      </c>
      <c r="B105" s="579">
        <v>39.067618348284597</v>
      </c>
      <c r="C105" s="580">
        <v>44.680831401624793</v>
      </c>
      <c r="D105" s="581">
        <v>44.211548010018156</v>
      </c>
      <c r="E105" s="582">
        <v>56.075817710651357</v>
      </c>
      <c r="F105" s="580">
        <v>64.098073912019757</v>
      </c>
      <c r="G105" s="581">
        <v>63.415747677501422</v>
      </c>
      <c r="H105" s="582">
        <v>35.523718915102407</v>
      </c>
      <c r="I105" s="580">
        <v>40.630211323734493</v>
      </c>
      <c r="J105" s="581">
        <v>40.204119040137584</v>
      </c>
      <c r="K105" s="583">
        <v>56.184297092248137</v>
      </c>
      <c r="L105" s="584">
        <v>64.210407964278076</v>
      </c>
      <c r="M105" s="584">
        <v>63.523322364379439</v>
      </c>
      <c r="N105" s="690"/>
      <c r="O105" s="691"/>
      <c r="P105" s="691"/>
    </row>
    <row r="106" spans="1:16">
      <c r="A106" s="16">
        <v>33146</v>
      </c>
      <c r="B106" s="573">
        <v>39.323888553430244</v>
      </c>
      <c r="C106" s="574">
        <v>45.394883175004196</v>
      </c>
      <c r="D106" s="575">
        <v>45.387410195746696</v>
      </c>
      <c r="E106" s="576">
        <v>54.91255182356489</v>
      </c>
      <c r="F106" s="574">
        <v>63.355909144344821</v>
      </c>
      <c r="G106" s="575">
        <v>63.33638750830918</v>
      </c>
      <c r="H106" s="576">
        <v>36.260273726210201</v>
      </c>
      <c r="I106" s="574">
        <v>41.860833488695242</v>
      </c>
      <c r="J106" s="575">
        <v>41.854616256833403</v>
      </c>
      <c r="K106" s="577">
        <v>60.150728945652077</v>
      </c>
      <c r="L106" s="578">
        <v>69.386903850551278</v>
      </c>
      <c r="M106" s="578">
        <v>69.361632818933302</v>
      </c>
      <c r="N106" s="688"/>
      <c r="O106" s="689"/>
      <c r="P106" s="689"/>
    </row>
    <row r="107" spans="1:16">
      <c r="A107" s="16">
        <v>33177</v>
      </c>
      <c r="B107" s="579">
        <v>39.708255794349434</v>
      </c>
      <c r="C107" s="580">
        <v>43.519997359110974</v>
      </c>
      <c r="D107" s="581">
        <v>44.614291296570009</v>
      </c>
      <c r="E107" s="582">
        <v>54.633349174004152</v>
      </c>
      <c r="F107" s="580">
        <v>59.845421383130329</v>
      </c>
      <c r="G107" s="581">
        <v>61.341406451314626</v>
      </c>
      <c r="H107" s="582">
        <v>36.88303255510926</v>
      </c>
      <c r="I107" s="580">
        <v>40.426022958262607</v>
      </c>
      <c r="J107" s="581">
        <v>41.443187416415846</v>
      </c>
      <c r="K107" s="583">
        <v>57.207321563992785</v>
      </c>
      <c r="L107" s="584">
        <v>62.653571457312374</v>
      </c>
      <c r="M107" s="584">
        <v>64.21615078482445</v>
      </c>
      <c r="N107" s="690"/>
      <c r="O107" s="691"/>
      <c r="P107" s="691"/>
    </row>
    <row r="108" spans="1:16">
      <c r="A108" s="16">
        <v>33207</v>
      </c>
      <c r="B108" s="573">
        <v>39.790361141692003</v>
      </c>
      <c r="C108" s="574">
        <v>41.518935506427638</v>
      </c>
      <c r="D108" s="575">
        <v>43.119820606733079</v>
      </c>
      <c r="E108" s="576">
        <v>55.927593120804787</v>
      </c>
      <c r="F108" s="574">
        <v>58.325640138520249</v>
      </c>
      <c r="G108" s="575">
        <v>60.565863163188837</v>
      </c>
      <c r="H108" s="576">
        <v>36.570811503134323</v>
      </c>
      <c r="I108" s="574">
        <v>38.16183712788844</v>
      </c>
      <c r="J108" s="575">
        <v>39.633917599314437</v>
      </c>
      <c r="K108" s="577">
        <v>51.319948499998944</v>
      </c>
      <c r="L108" s="578">
        <v>53.510709501437105</v>
      </c>
      <c r="M108" s="578">
        <v>55.562879394553214</v>
      </c>
      <c r="N108" s="688"/>
      <c r="O108" s="689"/>
      <c r="P108" s="689"/>
    </row>
    <row r="109" spans="1:16">
      <c r="A109" s="16">
        <v>33238</v>
      </c>
      <c r="B109" s="579">
        <v>39.093640999536582</v>
      </c>
      <c r="C109" s="580">
        <v>41.073482107839972</v>
      </c>
      <c r="D109" s="581">
        <v>42.129594319158315</v>
      </c>
      <c r="E109" s="582">
        <v>56.303509508021001</v>
      </c>
      <c r="F109" s="580">
        <v>59.122926586103311</v>
      </c>
      <c r="G109" s="581">
        <v>60.634435645264062</v>
      </c>
      <c r="H109" s="582">
        <v>35.484784199439048</v>
      </c>
      <c r="I109" s="580">
        <v>37.284121766618007</v>
      </c>
      <c r="J109" s="581">
        <v>38.243414916489208</v>
      </c>
      <c r="K109" s="583">
        <v>48.868139760051143</v>
      </c>
      <c r="L109" s="584">
        <v>51.305907960356336</v>
      </c>
      <c r="M109" s="584">
        <v>52.614619178157461</v>
      </c>
      <c r="N109" s="690"/>
      <c r="O109" s="691"/>
      <c r="P109" s="691"/>
    </row>
    <row r="110" spans="1:16">
      <c r="A110" s="16">
        <v>33269</v>
      </c>
      <c r="B110" s="573">
        <v>38.363102338888176</v>
      </c>
      <c r="C110" s="574">
        <v>40.94062688851686</v>
      </c>
      <c r="D110" s="575">
        <v>41.809316388708098</v>
      </c>
      <c r="E110" s="576">
        <v>55.303995572766155</v>
      </c>
      <c r="F110" s="574">
        <v>58.987818073431519</v>
      </c>
      <c r="G110" s="575">
        <v>60.230791770077275</v>
      </c>
      <c r="H110" s="576">
        <v>34.804377602733972</v>
      </c>
      <c r="I110" s="574">
        <v>37.14505337327229</v>
      </c>
      <c r="J110" s="575">
        <v>37.933818180488721</v>
      </c>
      <c r="K110" s="577">
        <v>47.772442345571818</v>
      </c>
      <c r="L110" s="578">
        <v>50.945330158067556</v>
      </c>
      <c r="M110" s="578">
        <v>52.015916932902705</v>
      </c>
      <c r="N110" s="688"/>
      <c r="O110" s="689"/>
      <c r="P110" s="689"/>
    </row>
    <row r="111" spans="1:16">
      <c r="A111" s="16">
        <v>33297</v>
      </c>
      <c r="B111" s="579">
        <v>36.2303695951897</v>
      </c>
      <c r="C111" s="580">
        <v>38.36137684440137</v>
      </c>
      <c r="D111" s="581">
        <v>39.758740839103126</v>
      </c>
      <c r="E111" s="582">
        <v>48.669423384056785</v>
      </c>
      <c r="F111" s="580">
        <v>51.50420379496142</v>
      </c>
      <c r="G111" s="581">
        <v>53.372651082656262</v>
      </c>
      <c r="H111" s="582">
        <v>34.040269609674453</v>
      </c>
      <c r="I111" s="580">
        <v>36.044645610287979</v>
      </c>
      <c r="J111" s="581">
        <v>37.35822116219569</v>
      </c>
      <c r="K111" s="583">
        <v>46.63694201866069</v>
      </c>
      <c r="L111" s="584">
        <v>49.344375389027121</v>
      </c>
      <c r="M111" s="584">
        <v>51.131600945479974</v>
      </c>
      <c r="N111" s="690"/>
      <c r="O111" s="691"/>
      <c r="P111" s="691"/>
    </row>
    <row r="112" spans="1:16">
      <c r="A112" s="16">
        <v>33328</v>
      </c>
      <c r="B112" s="573">
        <v>36.677500063481283</v>
      </c>
      <c r="C112" s="574">
        <v>39.741428155760687</v>
      </c>
      <c r="D112" s="575">
        <v>39.613061650613318</v>
      </c>
      <c r="E112" s="576">
        <v>49.772249080200723</v>
      </c>
      <c r="F112" s="574">
        <v>53.90090589708548</v>
      </c>
      <c r="G112" s="575">
        <v>53.719092346741647</v>
      </c>
      <c r="H112" s="576">
        <v>34.295220044030181</v>
      </c>
      <c r="I112" s="574">
        <v>37.162394051369162</v>
      </c>
      <c r="J112" s="575">
        <v>37.042954422536283</v>
      </c>
      <c r="K112" s="577">
        <v>47.87495726754269</v>
      </c>
      <c r="L112" s="578">
        <v>51.836815175499225</v>
      </c>
      <c r="M112" s="578">
        <v>51.659066027019463</v>
      </c>
      <c r="N112" s="688"/>
      <c r="O112" s="689"/>
      <c r="P112" s="689"/>
    </row>
    <row r="113" spans="1:16">
      <c r="A113" s="16">
        <v>33358</v>
      </c>
      <c r="B113" s="579">
        <v>36.389097152706391</v>
      </c>
      <c r="C113" s="580">
        <v>40.859621715387092</v>
      </c>
      <c r="D113" s="581">
        <v>39.693624166503781</v>
      </c>
      <c r="E113" s="582">
        <v>49.813973459410136</v>
      </c>
      <c r="F113" s="580">
        <v>55.903538894137483</v>
      </c>
      <c r="G113" s="581">
        <v>54.300443260797636</v>
      </c>
      <c r="H113" s="582">
        <v>33.883118656562715</v>
      </c>
      <c r="I113" s="580">
        <v>38.048083378822149</v>
      </c>
      <c r="J113" s="581">
        <v>36.962912969638204</v>
      </c>
      <c r="K113" s="583">
        <v>45.591888398916829</v>
      </c>
      <c r="L113" s="584">
        <v>51.156027255561419</v>
      </c>
      <c r="M113" s="584">
        <v>49.686284426566203</v>
      </c>
      <c r="N113" s="690"/>
      <c r="O113" s="691"/>
      <c r="P113" s="691"/>
    </row>
    <row r="114" spans="1:16">
      <c r="A114" s="16">
        <v>33389</v>
      </c>
      <c r="B114" s="573">
        <v>36.527602142955004</v>
      </c>
      <c r="C114" s="574">
        <v>40.979594636811569</v>
      </c>
      <c r="D114" s="575">
        <v>39.589161083806232</v>
      </c>
      <c r="E114" s="576">
        <v>52.324280430274719</v>
      </c>
      <c r="F114" s="574">
        <v>58.669827847837574</v>
      </c>
      <c r="G114" s="575">
        <v>56.671031371407466</v>
      </c>
      <c r="H114" s="576">
        <v>33.248879710278459</v>
      </c>
      <c r="I114" s="574">
        <v>37.303523752610154</v>
      </c>
      <c r="J114" s="575">
        <v>36.038399227973933</v>
      </c>
      <c r="K114" s="577">
        <v>42.53360379098897</v>
      </c>
      <c r="L114" s="578">
        <v>47.6831396743097</v>
      </c>
      <c r="M114" s="578">
        <v>46.056060151691099</v>
      </c>
      <c r="N114" s="688"/>
      <c r="O114" s="689"/>
      <c r="P114" s="689"/>
    </row>
    <row r="115" spans="1:16">
      <c r="A115" s="16">
        <v>33419</v>
      </c>
      <c r="B115" s="579">
        <v>37.610781257682547</v>
      </c>
      <c r="C115" s="580">
        <v>42.128908259703394</v>
      </c>
      <c r="D115" s="581">
        <v>40.00006800600822</v>
      </c>
      <c r="E115" s="582">
        <v>54.612275026786413</v>
      </c>
      <c r="F115" s="580">
        <v>61.139681753561824</v>
      </c>
      <c r="G115" s="581">
        <v>58.04186523872891</v>
      </c>
      <c r="H115" s="582">
        <v>33.992658851600957</v>
      </c>
      <c r="I115" s="580">
        <v>38.078456208830872</v>
      </c>
      <c r="J115" s="581">
        <v>36.154873878689394</v>
      </c>
      <c r="K115" s="583">
        <v>42.640321448741233</v>
      </c>
      <c r="L115" s="584">
        <v>47.728137613305691</v>
      </c>
      <c r="M115" s="584">
        <v>45.307313594982269</v>
      </c>
      <c r="N115" s="690"/>
      <c r="O115" s="691"/>
      <c r="P115" s="691"/>
    </row>
    <row r="116" spans="1:16">
      <c r="A116" s="16">
        <v>33450</v>
      </c>
      <c r="B116" s="573">
        <v>36.992750553955567</v>
      </c>
      <c r="C116" s="574">
        <v>42.03424360041187</v>
      </c>
      <c r="D116" s="575">
        <v>39.912135883518019</v>
      </c>
      <c r="E116" s="576">
        <v>53.606529077811139</v>
      </c>
      <c r="F116" s="574">
        <v>60.879258786456305</v>
      </c>
      <c r="G116" s="575">
        <v>57.79745969964344</v>
      </c>
      <c r="H116" s="576">
        <v>33.469712372135753</v>
      </c>
      <c r="I116" s="574">
        <v>38.033381515346711</v>
      </c>
      <c r="J116" s="575">
        <v>36.113839695879555</v>
      </c>
      <c r="K116" s="577">
        <v>42.378595800621525</v>
      </c>
      <c r="L116" s="578">
        <v>48.119304693106621</v>
      </c>
      <c r="M116" s="578">
        <v>45.680870927025076</v>
      </c>
      <c r="N116" s="688"/>
      <c r="O116" s="689"/>
      <c r="P116" s="689"/>
    </row>
    <row r="117" spans="1:16">
      <c r="A117" s="16">
        <v>33481</v>
      </c>
      <c r="B117" s="579">
        <v>36.097314763466841</v>
      </c>
      <c r="C117" s="580">
        <v>41.157291420742808</v>
      </c>
      <c r="D117" s="581">
        <v>39.51676466753176</v>
      </c>
      <c r="E117" s="582">
        <v>51.85114207648256</v>
      </c>
      <c r="F117" s="580">
        <v>59.087453173756998</v>
      </c>
      <c r="G117" s="581">
        <v>56.724088735165367</v>
      </c>
      <c r="H117" s="582">
        <v>32.810111021191567</v>
      </c>
      <c r="I117" s="580">
        <v>37.411570197730484</v>
      </c>
      <c r="J117" s="581">
        <v>35.920926048917082</v>
      </c>
      <c r="K117" s="583">
        <v>40.733715085002579</v>
      </c>
      <c r="L117" s="584">
        <v>46.410054556440286</v>
      </c>
      <c r="M117" s="584">
        <v>44.551258118866429</v>
      </c>
      <c r="N117" s="690"/>
      <c r="O117" s="691"/>
      <c r="P117" s="691"/>
    </row>
    <row r="118" spans="1:16">
      <c r="A118" s="16">
        <v>33511</v>
      </c>
      <c r="B118" s="573">
        <v>35.564998628827823</v>
      </c>
      <c r="C118" s="574">
        <v>40.598812878676178</v>
      </c>
      <c r="D118" s="575">
        <v>39.446574626385456</v>
      </c>
      <c r="E118" s="576">
        <v>51.554259594294969</v>
      </c>
      <c r="F118" s="574">
        <v>58.819340079615714</v>
      </c>
      <c r="G118" s="575">
        <v>57.141780890922412</v>
      </c>
      <c r="H118" s="576">
        <v>32.172442016580696</v>
      </c>
      <c r="I118" s="574">
        <v>36.728307205132474</v>
      </c>
      <c r="J118" s="575">
        <v>35.686492736999931</v>
      </c>
      <c r="K118" s="577">
        <v>39.384526986623662</v>
      </c>
      <c r="L118" s="578">
        <v>44.926474593528695</v>
      </c>
      <c r="M118" s="578">
        <v>43.642699102964436</v>
      </c>
      <c r="N118" s="688"/>
      <c r="O118" s="689"/>
      <c r="P118" s="689"/>
    </row>
    <row r="119" spans="1:16">
      <c r="A119" s="16">
        <v>33542</v>
      </c>
      <c r="B119" s="579">
        <v>35.648023696366998</v>
      </c>
      <c r="C119" s="580">
        <v>40.43686918437853</v>
      </c>
      <c r="D119" s="581">
        <v>39.593527392017897</v>
      </c>
      <c r="E119" s="582">
        <v>51.664637030930237</v>
      </c>
      <c r="F119" s="580">
        <v>58.573409264572554</v>
      </c>
      <c r="G119" s="581">
        <v>57.343584454343109</v>
      </c>
      <c r="H119" s="582">
        <v>32.250827401512645</v>
      </c>
      <c r="I119" s="580">
        <v>36.585523454241951</v>
      </c>
      <c r="J119" s="581">
        <v>35.823081261988058</v>
      </c>
      <c r="K119" s="583">
        <v>38.052491016990061</v>
      </c>
      <c r="L119" s="584">
        <v>43.133164872901517</v>
      </c>
      <c r="M119" s="584">
        <v>42.225159279786503</v>
      </c>
      <c r="N119" s="690"/>
      <c r="O119" s="691"/>
      <c r="P119" s="691"/>
    </row>
    <row r="120" spans="1:16">
      <c r="A120" s="16">
        <v>33572</v>
      </c>
      <c r="B120" s="573">
        <v>36.355663816357776</v>
      </c>
      <c r="C120" s="574">
        <v>40.19938326330756</v>
      </c>
      <c r="D120" s="575">
        <v>40.003061147516348</v>
      </c>
      <c r="E120" s="576">
        <v>53.676087321660702</v>
      </c>
      <c r="F120" s="574">
        <v>59.318917515662193</v>
      </c>
      <c r="G120" s="575">
        <v>59.020748768659402</v>
      </c>
      <c r="H120" s="576">
        <v>32.566809912629466</v>
      </c>
      <c r="I120" s="574">
        <v>36.012135666990027</v>
      </c>
      <c r="J120" s="575">
        <v>35.836839917485293</v>
      </c>
      <c r="K120" s="577">
        <v>38.343276616830678</v>
      </c>
      <c r="L120" s="578">
        <v>42.366511202150242</v>
      </c>
      <c r="M120" s="578">
        <v>42.151189736433224</v>
      </c>
      <c r="N120" s="688"/>
      <c r="O120" s="689"/>
      <c r="P120" s="689"/>
    </row>
    <row r="121" spans="1:16">
      <c r="A121" s="16">
        <v>33603</v>
      </c>
      <c r="B121" s="579">
        <v>37.393331580581204</v>
      </c>
      <c r="C121" s="580">
        <v>40.014870730332021</v>
      </c>
      <c r="D121" s="581">
        <v>40.407114458973986</v>
      </c>
      <c r="E121" s="582">
        <v>56.211766939238004</v>
      </c>
      <c r="F121" s="580">
        <v>60.120079973368831</v>
      </c>
      <c r="G121" s="581">
        <v>60.700690458242946</v>
      </c>
      <c r="H121" s="582">
        <v>33.16626714718501</v>
      </c>
      <c r="I121" s="580">
        <v>35.493612132935368</v>
      </c>
      <c r="J121" s="581">
        <v>35.842113604597557</v>
      </c>
      <c r="K121" s="583">
        <v>38.181122231646583</v>
      </c>
      <c r="L121" s="584">
        <v>40.828376869879563</v>
      </c>
      <c r="M121" s="584">
        <v>41.220365069112027</v>
      </c>
      <c r="N121" s="690"/>
      <c r="O121" s="691"/>
      <c r="P121" s="691"/>
    </row>
    <row r="122" spans="1:16">
      <c r="A122" s="16">
        <v>33634</v>
      </c>
      <c r="B122" s="573">
        <v>38.384823904571142</v>
      </c>
      <c r="C122" s="574">
        <v>39.61901753702309</v>
      </c>
      <c r="D122" s="575">
        <v>40.173418856758737</v>
      </c>
      <c r="E122" s="576">
        <v>57.9690665006381</v>
      </c>
      <c r="F122" s="574">
        <v>59.800595821339051</v>
      </c>
      <c r="G122" s="575">
        <v>60.628701088670532</v>
      </c>
      <c r="H122" s="576">
        <v>33.957925281095257</v>
      </c>
      <c r="I122" s="574">
        <v>35.051906500295374</v>
      </c>
      <c r="J122" s="575">
        <v>35.542971137801381</v>
      </c>
      <c r="K122" s="577">
        <v>40.799137896186835</v>
      </c>
      <c r="L122" s="578">
        <v>42.08053994448975</v>
      </c>
      <c r="M122" s="578">
        <v>42.660868631522469</v>
      </c>
      <c r="N122" s="688"/>
      <c r="O122" s="689"/>
      <c r="P122" s="689"/>
    </row>
    <row r="123" spans="1:16">
      <c r="A123" s="16">
        <v>33663</v>
      </c>
      <c r="B123" s="579">
        <v>38.620720764759717</v>
      </c>
      <c r="C123" s="580">
        <v>40.629230308985775</v>
      </c>
      <c r="D123" s="581">
        <v>40.631055256947789</v>
      </c>
      <c r="E123" s="582">
        <v>59.290097720142185</v>
      </c>
      <c r="F123" s="580">
        <v>62.339805305353671</v>
      </c>
      <c r="G123" s="581">
        <v>62.333657487250271</v>
      </c>
      <c r="H123" s="582">
        <v>33.84933156513587</v>
      </c>
      <c r="I123" s="580">
        <v>35.611860564857309</v>
      </c>
      <c r="J123" s="581">
        <v>35.614033624087114</v>
      </c>
      <c r="K123" s="583">
        <v>42.678104414076273</v>
      </c>
      <c r="L123" s="584">
        <v>44.865189880467824</v>
      </c>
      <c r="M123" s="584">
        <v>44.858248889366045</v>
      </c>
      <c r="N123" s="690"/>
      <c r="O123" s="691"/>
      <c r="P123" s="691"/>
    </row>
    <row r="124" spans="1:16">
      <c r="A124" s="16">
        <v>33694</v>
      </c>
      <c r="B124" s="573">
        <v>37.748920353656978</v>
      </c>
      <c r="C124" s="574">
        <v>40.806836933430581</v>
      </c>
      <c r="D124" s="575">
        <v>40.078319179689828</v>
      </c>
      <c r="E124" s="576">
        <v>57.728043567727674</v>
      </c>
      <c r="F124" s="574">
        <v>62.37065312564377</v>
      </c>
      <c r="G124" s="575">
        <v>61.248367954966319</v>
      </c>
      <c r="H124" s="576">
        <v>33.158797452618245</v>
      </c>
      <c r="I124" s="574">
        <v>35.847057820484778</v>
      </c>
      <c r="J124" s="575">
        <v>35.207653121471722</v>
      </c>
      <c r="K124" s="577">
        <v>42.800594889458168</v>
      </c>
      <c r="L124" s="578">
        <v>46.234308977488126</v>
      </c>
      <c r="M124" s="578">
        <v>45.399831121118304</v>
      </c>
      <c r="N124" s="688"/>
      <c r="O124" s="689"/>
      <c r="P124" s="689"/>
    </row>
    <row r="125" spans="1:16">
      <c r="A125" s="16">
        <v>33724</v>
      </c>
      <c r="B125" s="579">
        <v>37.081328386795171</v>
      </c>
      <c r="C125" s="580">
        <v>40.157339031223231</v>
      </c>
      <c r="D125" s="581">
        <v>39.582255795105212</v>
      </c>
      <c r="E125" s="582">
        <v>56.073186684266943</v>
      </c>
      <c r="F125" s="580">
        <v>60.691788622012957</v>
      </c>
      <c r="G125" s="581">
        <v>59.814050399935759</v>
      </c>
      <c r="H125" s="582">
        <v>32.780862435966817</v>
      </c>
      <c r="I125" s="580">
        <v>35.502289873228591</v>
      </c>
      <c r="J125" s="581">
        <v>34.994433934947786</v>
      </c>
      <c r="K125" s="583">
        <v>43.621914952751091</v>
      </c>
      <c r="L125" s="584">
        <v>47.206362632796285</v>
      </c>
      <c r="M125" s="584">
        <v>46.521043895162244</v>
      </c>
      <c r="N125" s="690"/>
      <c r="O125" s="691"/>
      <c r="P125" s="691"/>
    </row>
    <row r="126" spans="1:16">
      <c r="A126" s="16">
        <v>33755</v>
      </c>
      <c r="B126" s="573">
        <v>37.417897708844663</v>
      </c>
      <c r="C126" s="574">
        <v>39.720713320637962</v>
      </c>
      <c r="D126" s="575">
        <v>39.595982733810224</v>
      </c>
      <c r="E126" s="576">
        <v>55.862678664213142</v>
      </c>
      <c r="F126" s="574">
        <v>59.268572523347004</v>
      </c>
      <c r="G126" s="575">
        <v>59.073977926134461</v>
      </c>
      <c r="H126" s="576">
        <v>33.315005093396152</v>
      </c>
      <c r="I126" s="574">
        <v>35.3674612723403</v>
      </c>
      <c r="J126" s="575">
        <v>35.25696845146674</v>
      </c>
      <c r="K126" s="577">
        <v>43.978722231703806</v>
      </c>
      <c r="L126" s="578">
        <v>46.651587938030346</v>
      </c>
      <c r="M126" s="578">
        <v>46.495809933427601</v>
      </c>
      <c r="N126" s="688"/>
      <c r="O126" s="689"/>
      <c r="P126" s="689"/>
    </row>
    <row r="127" spans="1:16">
      <c r="A127" s="16">
        <v>33785</v>
      </c>
      <c r="B127" s="579">
        <v>37.54584881873194</v>
      </c>
      <c r="C127" s="580">
        <v>39.206148046411045</v>
      </c>
      <c r="D127" s="581">
        <v>39.731381840871009</v>
      </c>
      <c r="E127" s="582">
        <v>55.557304425602425</v>
      </c>
      <c r="F127" s="580">
        <v>57.982704661000994</v>
      </c>
      <c r="G127" s="581">
        <v>58.751049068044168</v>
      </c>
      <c r="H127" s="582">
        <v>33.59217565260704</v>
      </c>
      <c r="I127" s="580">
        <v>35.079769243381229</v>
      </c>
      <c r="J127" s="581">
        <v>35.550295546401209</v>
      </c>
      <c r="K127" s="583">
        <v>43.714791084530411</v>
      </c>
      <c r="L127" s="584">
        <v>45.614910150117609</v>
      </c>
      <c r="M127" s="584">
        <v>46.216772893883082</v>
      </c>
      <c r="N127" s="690"/>
      <c r="O127" s="691"/>
      <c r="P127" s="691"/>
    </row>
    <row r="128" spans="1:16">
      <c r="A128" s="16">
        <v>33816</v>
      </c>
      <c r="B128" s="573">
        <v>38.162686448086205</v>
      </c>
      <c r="C128" s="574">
        <v>38.357270463042802</v>
      </c>
      <c r="D128" s="575">
        <v>39.802098480822806</v>
      </c>
      <c r="E128" s="576">
        <v>54.792747602030389</v>
      </c>
      <c r="F128" s="574">
        <v>55.042340117717494</v>
      </c>
      <c r="G128" s="575">
        <v>57.107457677267767</v>
      </c>
      <c r="H128" s="576">
        <v>34.69567031671361</v>
      </c>
      <c r="I128" s="574">
        <v>34.874692344419309</v>
      </c>
      <c r="J128" s="575">
        <v>36.18892258283595</v>
      </c>
      <c r="K128" s="577">
        <v>46.310958496277074</v>
      </c>
      <c r="L128" s="578">
        <v>46.513465021798908</v>
      </c>
      <c r="M128" s="578">
        <v>48.255883111278408</v>
      </c>
      <c r="N128" s="688"/>
      <c r="O128" s="689"/>
      <c r="P128" s="689"/>
    </row>
    <row r="129" spans="1:16">
      <c r="A129" s="16">
        <v>33847</v>
      </c>
      <c r="B129" s="579">
        <v>38.666329687524389</v>
      </c>
      <c r="C129" s="580">
        <v>37.553984040194145</v>
      </c>
      <c r="D129" s="581">
        <v>39.266984942785747</v>
      </c>
      <c r="E129" s="582">
        <v>55.109563282201321</v>
      </c>
      <c r="F129" s="580">
        <v>53.495234084214182</v>
      </c>
      <c r="G129" s="581">
        <v>55.927356562532879</v>
      </c>
      <c r="H129" s="582">
        <v>35.287177199360833</v>
      </c>
      <c r="I129" s="580">
        <v>34.274121582046121</v>
      </c>
      <c r="J129" s="581">
        <v>35.838090746591774</v>
      </c>
      <c r="K129" s="583">
        <v>47.592377020478402</v>
      </c>
      <c r="L129" s="584">
        <v>46.189858542694417</v>
      </c>
      <c r="M129" s="584">
        <v>48.287138519838997</v>
      </c>
      <c r="N129" s="690"/>
      <c r="O129" s="691"/>
      <c r="P129" s="691"/>
    </row>
    <row r="130" spans="1:16">
      <c r="A130" s="16">
        <v>33877</v>
      </c>
      <c r="B130" s="573">
        <v>38.832024204567382</v>
      </c>
      <c r="C130" s="574">
        <v>37.503285128663464</v>
      </c>
      <c r="D130" s="575">
        <v>39.255952866016244</v>
      </c>
      <c r="E130" s="576">
        <v>56.264425393998906</v>
      </c>
      <c r="F130" s="574">
        <v>54.309802698727914</v>
      </c>
      <c r="G130" s="575">
        <v>56.839742097150605</v>
      </c>
      <c r="H130" s="576">
        <v>35.13625861540369</v>
      </c>
      <c r="I130" s="574">
        <v>33.936038508485403</v>
      </c>
      <c r="J130" s="575">
        <v>35.522567572825217</v>
      </c>
      <c r="K130" s="577">
        <v>46.478222515759043</v>
      </c>
      <c r="L130" s="578">
        <v>44.855423457251867</v>
      </c>
      <c r="M130" s="578">
        <v>46.942311610797823</v>
      </c>
      <c r="N130" s="688"/>
      <c r="O130" s="689"/>
      <c r="P130" s="689"/>
    </row>
    <row r="131" spans="1:16">
      <c r="A131" s="16">
        <v>33908</v>
      </c>
      <c r="B131" s="579">
        <v>38.672514494479479</v>
      </c>
      <c r="C131" s="580">
        <v>37.462139244033018</v>
      </c>
      <c r="D131" s="581">
        <v>38.73216268755867</v>
      </c>
      <c r="E131" s="582">
        <v>56.128408203877676</v>
      </c>
      <c r="F131" s="580">
        <v>54.342290999673523</v>
      </c>
      <c r="G131" s="581">
        <v>56.176513147046613</v>
      </c>
      <c r="H131" s="582">
        <v>34.960654804354938</v>
      </c>
      <c r="I131" s="580">
        <v>33.868508221246913</v>
      </c>
      <c r="J131" s="581">
        <v>35.01726598020656</v>
      </c>
      <c r="K131" s="583">
        <v>42.973277364937424</v>
      </c>
      <c r="L131" s="584">
        <v>41.598225750843014</v>
      </c>
      <c r="M131" s="584">
        <v>42.999883638767173</v>
      </c>
      <c r="N131" s="690"/>
      <c r="O131" s="691"/>
      <c r="P131" s="691"/>
    </row>
    <row r="132" spans="1:16">
      <c r="A132" s="16">
        <v>33938</v>
      </c>
      <c r="B132" s="573">
        <v>38.981557861984307</v>
      </c>
      <c r="C132" s="574">
        <v>37.731161336454953</v>
      </c>
      <c r="D132" s="575">
        <v>37.645388955265496</v>
      </c>
      <c r="E132" s="576">
        <v>56.123489942023582</v>
      </c>
      <c r="F132" s="574">
        <v>54.293858337079001</v>
      </c>
      <c r="G132" s="575">
        <v>54.162659793833313</v>
      </c>
      <c r="H132" s="576">
        <v>35.389163112063514</v>
      </c>
      <c r="I132" s="574">
        <v>34.256076575957465</v>
      </c>
      <c r="J132" s="575">
        <v>34.178754298311311</v>
      </c>
      <c r="K132" s="577">
        <v>42.647223389292371</v>
      </c>
      <c r="L132" s="578">
        <v>41.249426088925965</v>
      </c>
      <c r="M132" s="578">
        <v>41.147440488621328</v>
      </c>
      <c r="N132" s="688"/>
      <c r="O132" s="689"/>
      <c r="P132" s="689"/>
    </row>
    <row r="133" spans="1:16">
      <c r="A133" s="16">
        <v>33969</v>
      </c>
      <c r="B133" s="579">
        <v>38.987783291003517</v>
      </c>
      <c r="C133" s="580">
        <v>37.661302926216315</v>
      </c>
      <c r="D133" s="581">
        <v>37.618670134080389</v>
      </c>
      <c r="E133" s="582">
        <v>55.983774998324918</v>
      </c>
      <c r="F133" s="580">
        <v>54.049792629211524</v>
      </c>
      <c r="G133" s="581">
        <v>53.980859075345741</v>
      </c>
      <c r="H133" s="582">
        <v>35.443710279730936</v>
      </c>
      <c r="I133" s="580">
        <v>34.239886955947846</v>
      </c>
      <c r="J133" s="581">
        <v>34.201677959127956</v>
      </c>
      <c r="K133" s="583">
        <v>43.96705328811111</v>
      </c>
      <c r="L133" s="584">
        <v>42.440483724112354</v>
      </c>
      <c r="M133" s="584">
        <v>42.38397867033509</v>
      </c>
      <c r="N133" s="690"/>
      <c r="O133" s="691"/>
      <c r="P133" s="691"/>
    </row>
    <row r="134" spans="1:16">
      <c r="A134" s="16">
        <v>34000</v>
      </c>
      <c r="B134" s="573">
        <v>40.132350116080595</v>
      </c>
      <c r="C134" s="574">
        <v>38.235767369844076</v>
      </c>
      <c r="D134" s="575">
        <v>37.847058487459975</v>
      </c>
      <c r="E134" s="576">
        <v>58.900998336085664</v>
      </c>
      <c r="F134" s="574">
        <v>56.087092756672732</v>
      </c>
      <c r="G134" s="575">
        <v>55.508937139770751</v>
      </c>
      <c r="H134" s="576">
        <v>36.065352803832987</v>
      </c>
      <c r="I134" s="574">
        <v>34.363053648322563</v>
      </c>
      <c r="J134" s="575">
        <v>34.014262902652376</v>
      </c>
      <c r="K134" s="577">
        <v>45.103038862702618</v>
      </c>
      <c r="L134" s="578">
        <v>42.940509215570735</v>
      </c>
      <c r="M134" s="578">
        <v>42.495486959408375</v>
      </c>
      <c r="N134" s="688"/>
      <c r="O134" s="689"/>
      <c r="P134" s="689"/>
    </row>
    <row r="135" spans="1:16">
      <c r="A135" s="16">
        <v>34028</v>
      </c>
      <c r="B135" s="579">
        <v>39.571426543082652</v>
      </c>
      <c r="C135" s="580">
        <v>38.246978829448459</v>
      </c>
      <c r="D135" s="581">
        <v>37.718664030835669</v>
      </c>
      <c r="E135" s="582">
        <v>57.128186438484086</v>
      </c>
      <c r="F135" s="580">
        <v>55.186254711903025</v>
      </c>
      <c r="G135" s="581">
        <v>54.416142195392716</v>
      </c>
      <c r="H135" s="582">
        <v>35.873553678774392</v>
      </c>
      <c r="I135" s="580">
        <v>34.674976557542436</v>
      </c>
      <c r="J135" s="581">
        <v>34.196553345004091</v>
      </c>
      <c r="K135" s="583">
        <v>44.236518606812972</v>
      </c>
      <c r="L135" s="584">
        <v>42.725045869034084</v>
      </c>
      <c r="M135" s="584">
        <v>42.126463654265699</v>
      </c>
      <c r="N135" s="690"/>
      <c r="O135" s="691"/>
      <c r="P135" s="691"/>
    </row>
    <row r="136" spans="1:16">
      <c r="A136" s="16">
        <v>34059</v>
      </c>
      <c r="B136" s="573">
        <v>37.427058565827629</v>
      </c>
      <c r="C136" s="574">
        <v>37.351527237546861</v>
      </c>
      <c r="D136" s="575">
        <v>37.041254290959088</v>
      </c>
      <c r="E136" s="576">
        <v>53.810577832779529</v>
      </c>
      <c r="F136" s="574">
        <v>53.67293913725527</v>
      </c>
      <c r="G136" s="575">
        <v>53.219447321357485</v>
      </c>
      <c r="H136" s="576">
        <v>34.002529882018003</v>
      </c>
      <c r="I136" s="574">
        <v>33.935968272676668</v>
      </c>
      <c r="J136" s="575">
        <v>33.654609733680559</v>
      </c>
      <c r="K136" s="577">
        <v>40.829816532323392</v>
      </c>
      <c r="L136" s="578">
        <v>40.717983666816508</v>
      </c>
      <c r="M136" s="578">
        <v>40.371685686447293</v>
      </c>
      <c r="N136" s="688"/>
      <c r="O136" s="689"/>
      <c r="P136" s="689"/>
    </row>
    <row r="137" spans="1:16">
      <c r="A137" s="16">
        <v>34089</v>
      </c>
      <c r="B137" s="579">
        <v>36.889235257638973</v>
      </c>
      <c r="C137" s="580">
        <v>36.230468517298796</v>
      </c>
      <c r="D137" s="581">
        <v>36.738639983248753</v>
      </c>
      <c r="E137" s="582">
        <v>54.68025513171311</v>
      </c>
      <c r="F137" s="580">
        <v>53.674732095315093</v>
      </c>
      <c r="G137" s="581">
        <v>54.419766295183273</v>
      </c>
      <c r="H137" s="582">
        <v>32.97360928608046</v>
      </c>
      <c r="I137" s="580">
        <v>32.386732379019939</v>
      </c>
      <c r="J137" s="581">
        <v>32.84152012518809</v>
      </c>
      <c r="K137" s="583">
        <v>39.136280763528369</v>
      </c>
      <c r="L137" s="584">
        <v>38.409620590620221</v>
      </c>
      <c r="M137" s="584">
        <v>38.940582308693671</v>
      </c>
      <c r="N137" s="690"/>
      <c r="O137" s="691"/>
      <c r="P137" s="691"/>
    </row>
    <row r="138" spans="1:16">
      <c r="A138" s="16">
        <v>34120</v>
      </c>
      <c r="B138" s="573">
        <v>37.826040142383732</v>
      </c>
      <c r="C138" s="574">
        <v>36.305946293833379</v>
      </c>
      <c r="D138" s="575">
        <v>36.935496372170981</v>
      </c>
      <c r="E138" s="576">
        <v>56.087995595780406</v>
      </c>
      <c r="F138" s="574">
        <v>53.804903499194282</v>
      </c>
      <c r="G138" s="575">
        <v>54.730031442143897</v>
      </c>
      <c r="H138" s="576">
        <v>33.804684881146237</v>
      </c>
      <c r="I138" s="574">
        <v>32.448163420982752</v>
      </c>
      <c r="J138" s="575">
        <v>33.011350583451424</v>
      </c>
      <c r="K138" s="577">
        <v>39.450155951554997</v>
      </c>
      <c r="L138" s="578">
        <v>37.837442523350937</v>
      </c>
      <c r="M138" s="578">
        <v>38.485865032691692</v>
      </c>
      <c r="N138" s="688"/>
      <c r="O138" s="689"/>
      <c r="P138" s="689"/>
    </row>
    <row r="139" spans="1:16">
      <c r="A139" s="16">
        <v>34150</v>
      </c>
      <c r="B139" s="579">
        <v>38.732841383068987</v>
      </c>
      <c r="C139" s="580">
        <v>36.108310597311814</v>
      </c>
      <c r="D139" s="581">
        <v>36.590306158533195</v>
      </c>
      <c r="E139" s="582">
        <v>57.081751735216855</v>
      </c>
      <c r="F139" s="580">
        <v>53.185121973592977</v>
      </c>
      <c r="G139" s="581">
        <v>53.887333657768679</v>
      </c>
      <c r="H139" s="582">
        <v>34.730461807931853</v>
      </c>
      <c r="I139" s="580">
        <v>32.379095836950576</v>
      </c>
      <c r="J139" s="581">
        <v>32.81183993941066</v>
      </c>
      <c r="K139" s="583">
        <v>41.679792432252441</v>
      </c>
      <c r="L139" s="584">
        <v>38.827508887555872</v>
      </c>
      <c r="M139" s="584">
        <v>39.337947905131415</v>
      </c>
      <c r="N139" s="690"/>
      <c r="O139" s="691"/>
      <c r="P139" s="691"/>
    </row>
    <row r="140" spans="1:16">
      <c r="A140" s="16">
        <v>34181</v>
      </c>
      <c r="B140" s="573">
        <v>39.251805794996194</v>
      </c>
      <c r="C140" s="574">
        <v>37.216953355238417</v>
      </c>
      <c r="D140" s="575">
        <v>37.207380922770902</v>
      </c>
      <c r="E140" s="576">
        <v>57.937904113844063</v>
      </c>
      <c r="F140" s="574">
        <v>54.904635466218608</v>
      </c>
      <c r="G140" s="575">
        <v>54.882635296862567</v>
      </c>
      <c r="H140" s="576">
        <v>35.165761617254283</v>
      </c>
      <c r="I140" s="574">
        <v>33.344756581763519</v>
      </c>
      <c r="J140" s="575">
        <v>33.336716908885691</v>
      </c>
      <c r="K140" s="577">
        <v>42.4461702093122</v>
      </c>
      <c r="L140" s="578">
        <v>40.21664671659633</v>
      </c>
      <c r="M140" s="578">
        <v>40.19827692820509</v>
      </c>
      <c r="N140" s="688"/>
      <c r="O140" s="689"/>
      <c r="P140" s="689"/>
    </row>
    <row r="141" spans="1:16">
      <c r="A141" s="16">
        <v>34212</v>
      </c>
      <c r="B141" s="579">
        <v>38.751874806857934</v>
      </c>
      <c r="C141" s="580">
        <v>36.535177730602022</v>
      </c>
      <c r="D141" s="581">
        <v>36.784999057538016</v>
      </c>
      <c r="E141" s="582">
        <v>57.21813780883501</v>
      </c>
      <c r="F141" s="580">
        <v>53.915952295369088</v>
      </c>
      <c r="G141" s="581">
        <v>54.276829008733287</v>
      </c>
      <c r="H141" s="582">
        <v>34.711900208595004</v>
      </c>
      <c r="I141" s="580">
        <v>32.728284479572331</v>
      </c>
      <c r="J141" s="581">
        <v>32.952605539660127</v>
      </c>
      <c r="K141" s="583">
        <v>41.480979224316137</v>
      </c>
      <c r="L141" s="584">
        <v>39.079920729730283</v>
      </c>
      <c r="M141" s="584">
        <v>39.339288262089582</v>
      </c>
      <c r="N141" s="690"/>
      <c r="O141" s="691"/>
      <c r="P141" s="691"/>
    </row>
    <row r="142" spans="1:16">
      <c r="A142" s="16">
        <v>34242</v>
      </c>
      <c r="B142" s="573">
        <v>39.411814879594054</v>
      </c>
      <c r="C142" s="574">
        <v>35.317037889430644</v>
      </c>
      <c r="D142" s="575">
        <v>35.960635535659264</v>
      </c>
      <c r="E142" s="576">
        <v>58.848488941900371</v>
      </c>
      <c r="F142" s="574">
        <v>52.705775524949907</v>
      </c>
      <c r="G142" s="575">
        <v>53.658553014082777</v>
      </c>
      <c r="H142" s="576">
        <v>35.087324596019911</v>
      </c>
      <c r="I142" s="574">
        <v>31.443757522996059</v>
      </c>
      <c r="J142" s="575">
        <v>32.017286267219127</v>
      </c>
      <c r="K142" s="577">
        <v>41.235433561827627</v>
      </c>
      <c r="L142" s="578">
        <v>36.924495514399204</v>
      </c>
      <c r="M142" s="578">
        <v>37.589881520691797</v>
      </c>
      <c r="N142" s="688"/>
      <c r="O142" s="689"/>
      <c r="P142" s="689"/>
    </row>
    <row r="143" spans="1:16">
      <c r="A143" s="16">
        <v>34273</v>
      </c>
      <c r="B143" s="579">
        <v>39.085222711938307</v>
      </c>
      <c r="C143" s="580">
        <v>35.667020217479447</v>
      </c>
      <c r="D143" s="581">
        <v>36.11137776831572</v>
      </c>
      <c r="E143" s="582">
        <v>58.51612098278207</v>
      </c>
      <c r="F143" s="580">
        <v>53.369707325612822</v>
      </c>
      <c r="G143" s="581">
        <v>54.026858284879467</v>
      </c>
      <c r="H143" s="582">
        <v>34.745498304324265</v>
      </c>
      <c r="I143" s="580">
        <v>31.708750475325775</v>
      </c>
      <c r="J143" s="581">
        <v>32.104310886403837</v>
      </c>
      <c r="K143" s="583">
        <v>39.548699351367119</v>
      </c>
      <c r="L143" s="584">
        <v>36.063893380339145</v>
      </c>
      <c r="M143" s="584">
        <v>36.505906761998666</v>
      </c>
      <c r="N143" s="690"/>
      <c r="O143" s="691"/>
      <c r="P143" s="691"/>
    </row>
    <row r="144" spans="1:16">
      <c r="A144" s="16">
        <v>34303</v>
      </c>
      <c r="B144" s="573">
        <v>38.803069210759702</v>
      </c>
      <c r="C144" s="574">
        <v>36.141624616318261</v>
      </c>
      <c r="D144" s="575">
        <v>36.098665467414548</v>
      </c>
      <c r="E144" s="576">
        <v>58.592728712946737</v>
      </c>
      <c r="F144" s="574">
        <v>54.544425446401469</v>
      </c>
      <c r="G144" s="575">
        <v>54.471772734544352</v>
      </c>
      <c r="H144" s="576">
        <v>34.330557389857546</v>
      </c>
      <c r="I144" s="574">
        <v>31.977815612818571</v>
      </c>
      <c r="J144" s="575">
        <v>31.940320028017986</v>
      </c>
      <c r="K144" s="577">
        <v>38.250485898578148</v>
      </c>
      <c r="L144" s="578">
        <v>35.601206562800186</v>
      </c>
      <c r="M144" s="578">
        <v>35.55179165424088</v>
      </c>
      <c r="N144" s="688"/>
      <c r="O144" s="689"/>
      <c r="P144" s="689"/>
    </row>
    <row r="145" spans="1:16">
      <c r="A145" s="16">
        <v>34334</v>
      </c>
      <c r="B145" s="579">
        <v>39.020953463762986</v>
      </c>
      <c r="C145" s="580">
        <v>36.934187667280199</v>
      </c>
      <c r="D145" s="581">
        <v>36.762867014364012</v>
      </c>
      <c r="E145" s="582">
        <v>59.648842306457894</v>
      </c>
      <c r="F145" s="580">
        <v>56.42840161571749</v>
      </c>
      <c r="G145" s="581">
        <v>56.15859478246832</v>
      </c>
      <c r="H145" s="582">
        <v>34.284205292768831</v>
      </c>
      <c r="I145" s="580">
        <v>32.452720426739816</v>
      </c>
      <c r="J145" s="581">
        <v>32.302707388567804</v>
      </c>
      <c r="K145" s="583">
        <v>40.092464123136061</v>
      </c>
      <c r="L145" s="584">
        <v>37.920983450869208</v>
      </c>
      <c r="M145" s="584">
        <v>37.737550989612586</v>
      </c>
      <c r="N145" s="690"/>
      <c r="O145" s="691"/>
      <c r="P145" s="691"/>
    </row>
    <row r="146" spans="1:16">
      <c r="A146" s="16">
        <v>34365</v>
      </c>
      <c r="B146" s="573">
        <v>38.661588375044921</v>
      </c>
      <c r="C146" s="574">
        <v>38.094757071530807</v>
      </c>
      <c r="D146" s="575">
        <v>37.614074847292535</v>
      </c>
      <c r="E146" s="576">
        <v>59.229342138305917</v>
      </c>
      <c r="F146" s="574">
        <v>58.329396060759187</v>
      </c>
      <c r="G146" s="575">
        <v>57.585125496720771</v>
      </c>
      <c r="H146" s="576">
        <v>33.925763794057659</v>
      </c>
      <c r="I146" s="574">
        <v>33.43039412716525</v>
      </c>
      <c r="J146" s="575">
        <v>33.009098681339893</v>
      </c>
      <c r="K146" s="577">
        <v>41.181930343488446</v>
      </c>
      <c r="L146" s="578">
        <v>40.548835233348449</v>
      </c>
      <c r="M146" s="578">
        <v>40.029195226734181</v>
      </c>
      <c r="N146" s="688"/>
      <c r="O146" s="689"/>
      <c r="P146" s="689"/>
    </row>
    <row r="147" spans="1:16">
      <c r="A147" s="16">
        <v>34393</v>
      </c>
      <c r="B147" s="579">
        <v>38.085871650540177</v>
      </c>
      <c r="C147" s="580">
        <v>38.280805289051408</v>
      </c>
      <c r="D147" s="581">
        <v>38.160068961463026</v>
      </c>
      <c r="E147" s="582">
        <v>59.180000263007074</v>
      </c>
      <c r="F147" s="580">
        <v>59.450728870572043</v>
      </c>
      <c r="G147" s="581">
        <v>59.254717377433408</v>
      </c>
      <c r="H147" s="582">
        <v>33.146736032713626</v>
      </c>
      <c r="I147" s="580">
        <v>33.318411093181766</v>
      </c>
      <c r="J147" s="581">
        <v>33.213860812317321</v>
      </c>
      <c r="K147" s="583">
        <v>42.346755677239742</v>
      </c>
      <c r="L147" s="584">
        <v>42.532751334463214</v>
      </c>
      <c r="M147" s="584">
        <v>42.390141082717228</v>
      </c>
      <c r="N147" s="690"/>
      <c r="O147" s="691"/>
      <c r="P147" s="691"/>
    </row>
    <row r="148" spans="1:16">
      <c r="A148" s="16">
        <v>34424</v>
      </c>
      <c r="B148" s="573">
        <v>38.211107716737871</v>
      </c>
      <c r="C148" s="574">
        <v>37.768922329757345</v>
      </c>
      <c r="D148" s="575">
        <v>38.049444169144358</v>
      </c>
      <c r="E148" s="576">
        <v>60.260297854838349</v>
      </c>
      <c r="F148" s="574">
        <v>59.530741819999797</v>
      </c>
      <c r="G148" s="575">
        <v>59.96428781604137</v>
      </c>
      <c r="H148" s="576">
        <v>32.964452876785153</v>
      </c>
      <c r="I148" s="574">
        <v>32.584959404798134</v>
      </c>
      <c r="J148" s="575">
        <v>32.827506904027594</v>
      </c>
      <c r="K148" s="577">
        <v>42.769730297792478</v>
      </c>
      <c r="L148" s="578">
        <v>42.244253990635784</v>
      </c>
      <c r="M148" s="578">
        <v>42.549520291203471</v>
      </c>
      <c r="N148" s="688"/>
      <c r="O148" s="689"/>
      <c r="P148" s="689"/>
    </row>
    <row r="149" spans="1:16">
      <c r="A149" s="16">
        <v>34454</v>
      </c>
      <c r="B149" s="579">
        <v>37.446039562172089</v>
      </c>
      <c r="C149" s="580">
        <v>37.114395810967956</v>
      </c>
      <c r="D149" s="581">
        <v>37.466621089788994</v>
      </c>
      <c r="E149" s="582">
        <v>59.338967780445614</v>
      </c>
      <c r="F149" s="580">
        <v>58.781619285861574</v>
      </c>
      <c r="G149" s="581">
        <v>59.330955249193707</v>
      </c>
      <c r="H149" s="582">
        <v>32.210637474849392</v>
      </c>
      <c r="I149" s="580">
        <v>31.927298311234932</v>
      </c>
      <c r="J149" s="581">
        <v>32.230815682940154</v>
      </c>
      <c r="K149" s="583">
        <v>42.114129713689238</v>
      </c>
      <c r="L149" s="584">
        <v>41.710990378634364</v>
      </c>
      <c r="M149" s="584">
        <v>42.098433343414655</v>
      </c>
      <c r="N149" s="690"/>
      <c r="O149" s="691"/>
      <c r="P149" s="691"/>
    </row>
    <row r="150" spans="1:16">
      <c r="A150" s="16">
        <v>34485</v>
      </c>
      <c r="B150" s="573">
        <v>37.256551419062561</v>
      </c>
      <c r="C150" s="574">
        <v>37.100093433197024</v>
      </c>
      <c r="D150" s="575">
        <v>37.743606883005107</v>
      </c>
      <c r="E150" s="576">
        <v>59.07132965258991</v>
      </c>
      <c r="F150" s="574">
        <v>58.791447387264519</v>
      </c>
      <c r="G150" s="575">
        <v>59.802619965642201</v>
      </c>
      <c r="H150" s="576">
        <v>32.036909493018797</v>
      </c>
      <c r="I150" s="574">
        <v>31.904306715604729</v>
      </c>
      <c r="J150" s="575">
        <v>32.458220178507055</v>
      </c>
      <c r="K150" s="577">
        <v>44.0338780185091</v>
      </c>
      <c r="L150" s="578">
        <v>43.817283922316861</v>
      </c>
      <c r="M150" s="578">
        <v>44.56841093507844</v>
      </c>
      <c r="N150" s="688"/>
      <c r="O150" s="689"/>
      <c r="P150" s="689"/>
    </row>
    <row r="151" spans="1:16">
      <c r="A151" s="16">
        <v>34515</v>
      </c>
      <c r="B151" s="579">
        <v>37.174118150222029</v>
      </c>
      <c r="C151" s="580">
        <v>37.215006845490706</v>
      </c>
      <c r="D151" s="581">
        <v>38.14453328506022</v>
      </c>
      <c r="E151" s="582">
        <v>58.202627027792573</v>
      </c>
      <c r="F151" s="580">
        <v>58.235132869867442</v>
      </c>
      <c r="G151" s="581">
        <v>59.681115899101556</v>
      </c>
      <c r="H151" s="582">
        <v>32.208730586006325</v>
      </c>
      <c r="I151" s="580">
        <v>32.246113917568529</v>
      </c>
      <c r="J151" s="581">
        <v>33.052063578117163</v>
      </c>
      <c r="K151" s="583">
        <v>46.219085798992374</v>
      </c>
      <c r="L151" s="584">
        <v>46.236499561056611</v>
      </c>
      <c r="M151" s="584">
        <v>47.381897505813683</v>
      </c>
      <c r="N151" s="690"/>
      <c r="O151" s="691"/>
      <c r="P151" s="691"/>
    </row>
    <row r="152" spans="1:16">
      <c r="A152" s="16">
        <v>34546</v>
      </c>
      <c r="B152" s="573">
        <v>37.38976004067041</v>
      </c>
      <c r="C152" s="574">
        <v>36.696027815574212</v>
      </c>
      <c r="D152" s="575">
        <v>38.448250011790456</v>
      </c>
      <c r="E152" s="576">
        <v>57.745553356702025</v>
      </c>
      <c r="F152" s="574">
        <v>56.643486990808057</v>
      </c>
      <c r="G152" s="575">
        <v>59.33967506532111</v>
      </c>
      <c r="H152" s="576">
        <v>32.656920156616287</v>
      </c>
      <c r="I152" s="574">
        <v>32.052945839628045</v>
      </c>
      <c r="J152" s="575">
        <v>33.584003321436704</v>
      </c>
      <c r="K152" s="577">
        <v>48.591607530484595</v>
      </c>
      <c r="L152" s="578">
        <v>47.655585897700973</v>
      </c>
      <c r="M152" s="578">
        <v>49.921156025816927</v>
      </c>
      <c r="N152" s="688"/>
      <c r="O152" s="689"/>
      <c r="P152" s="689"/>
    </row>
    <row r="153" spans="1:16">
      <c r="A153" s="16">
        <v>34577</v>
      </c>
      <c r="B153" s="579">
        <v>37.152816487286742</v>
      </c>
      <c r="C153" s="580">
        <v>36.814697738595555</v>
      </c>
      <c r="D153" s="581">
        <v>38.497196375218543</v>
      </c>
      <c r="E153" s="582">
        <v>58.695988128277165</v>
      </c>
      <c r="F153" s="580">
        <v>58.130354302050655</v>
      </c>
      <c r="G153" s="581">
        <v>60.778292536309522</v>
      </c>
      <c r="H153" s="582">
        <v>32.121037115499028</v>
      </c>
      <c r="I153" s="580">
        <v>31.830642347071585</v>
      </c>
      <c r="J153" s="581">
        <v>33.285896576563943</v>
      </c>
      <c r="K153" s="583">
        <v>47.032050102867622</v>
      </c>
      <c r="L153" s="584">
        <v>46.570357802025192</v>
      </c>
      <c r="M153" s="584">
        <v>48.688986809945469</v>
      </c>
      <c r="N153" s="690"/>
      <c r="O153" s="691"/>
      <c r="P153" s="691"/>
    </row>
    <row r="154" spans="1:16">
      <c r="A154" s="16">
        <v>34607</v>
      </c>
      <c r="B154" s="573">
        <v>37.995881247578076</v>
      </c>
      <c r="C154" s="574">
        <v>37.503191323097731</v>
      </c>
      <c r="D154" s="575">
        <v>39.416681547557246</v>
      </c>
      <c r="E154" s="576">
        <v>61.152314451663273</v>
      </c>
      <c r="F154" s="574">
        <v>60.326712263855853</v>
      </c>
      <c r="G154" s="575">
        <v>63.395605248149714</v>
      </c>
      <c r="H154" s="576">
        <v>32.568957896031492</v>
      </c>
      <c r="I154" s="574">
        <v>32.148588773329188</v>
      </c>
      <c r="J154" s="575">
        <v>33.789420220406022</v>
      </c>
      <c r="K154" s="577">
        <v>50.26270736750471</v>
      </c>
      <c r="L154" s="578">
        <v>49.575117222850665</v>
      </c>
      <c r="M154" s="578">
        <v>52.094141128598714</v>
      </c>
      <c r="N154" s="688"/>
      <c r="O154" s="689"/>
      <c r="P154" s="689"/>
    </row>
    <row r="155" spans="1:16">
      <c r="A155" s="16">
        <v>34638</v>
      </c>
      <c r="B155" s="579">
        <v>38.124255965750415</v>
      </c>
      <c r="C155" s="580">
        <v>37.102061358172456</v>
      </c>
      <c r="D155" s="581">
        <v>39.379724189367906</v>
      </c>
      <c r="E155" s="582">
        <v>60.111522700547873</v>
      </c>
      <c r="F155" s="580">
        <v>58.468162719325449</v>
      </c>
      <c r="G155" s="581">
        <v>62.048564655326857</v>
      </c>
      <c r="H155" s="582">
        <v>32.990694607488464</v>
      </c>
      <c r="I155" s="580">
        <v>32.108089808108389</v>
      </c>
      <c r="J155" s="581">
        <v>34.079725900173244</v>
      </c>
      <c r="K155" s="583">
        <v>53.579286005251014</v>
      </c>
      <c r="L155" s="584">
        <v>52.105042277641303</v>
      </c>
      <c r="M155" s="584">
        <v>55.292685377129523</v>
      </c>
      <c r="N155" s="690"/>
      <c r="O155" s="691"/>
      <c r="P155" s="691"/>
    </row>
    <row r="156" spans="1:16">
      <c r="A156" s="16">
        <v>34668</v>
      </c>
      <c r="B156" s="573">
        <v>38.29521161061556</v>
      </c>
      <c r="C156" s="574">
        <v>38.153703437029279</v>
      </c>
      <c r="D156" s="575">
        <v>40.396254190873293</v>
      </c>
      <c r="E156" s="576">
        <v>61.088359015036652</v>
      </c>
      <c r="F156" s="574">
        <v>60.829709172143254</v>
      </c>
      <c r="G156" s="575">
        <v>64.395837918164034</v>
      </c>
      <c r="H156" s="576">
        <v>32.961895916770956</v>
      </c>
      <c r="I156" s="574">
        <v>32.842087708860987</v>
      </c>
      <c r="J156" s="575">
        <v>34.772998878105419</v>
      </c>
      <c r="K156" s="577">
        <v>57.864941190114969</v>
      </c>
      <c r="L156" s="578">
        <v>57.609474031805995</v>
      </c>
      <c r="M156" s="578">
        <v>60.983396099176467</v>
      </c>
      <c r="N156" s="688"/>
      <c r="O156" s="689"/>
      <c r="P156" s="689"/>
    </row>
    <row r="157" spans="1:16">
      <c r="A157" s="16">
        <v>34699</v>
      </c>
      <c r="B157" s="579">
        <v>37.740133327480294</v>
      </c>
      <c r="C157" s="580">
        <v>39.162772183945357</v>
      </c>
      <c r="D157" s="581">
        <v>40.873648709459445</v>
      </c>
      <c r="E157" s="582">
        <v>60.587485733027727</v>
      </c>
      <c r="F157" s="580">
        <v>62.837367385631282</v>
      </c>
      <c r="G157" s="581">
        <v>65.573086365985461</v>
      </c>
      <c r="H157" s="582">
        <v>32.38802349917929</v>
      </c>
      <c r="I157" s="580">
        <v>33.610950077495851</v>
      </c>
      <c r="J157" s="581">
        <v>35.079852924914384</v>
      </c>
      <c r="K157" s="583">
        <v>57.08437694959165</v>
      </c>
      <c r="L157" s="584">
        <v>59.193419561868431</v>
      </c>
      <c r="M157" s="584">
        <v>61.767028771582076</v>
      </c>
      <c r="N157" s="690"/>
      <c r="O157" s="691"/>
      <c r="P157" s="691"/>
    </row>
    <row r="158" spans="1:16">
      <c r="A158" s="16">
        <v>34730</v>
      </c>
      <c r="B158" s="573">
        <v>38.933695645451181</v>
      </c>
      <c r="C158" s="574">
        <v>39.607813535869035</v>
      </c>
      <c r="D158" s="575">
        <v>41.717534519906309</v>
      </c>
      <c r="E158" s="576">
        <v>61.507277387481416</v>
      </c>
      <c r="F158" s="574">
        <v>62.538404574400438</v>
      </c>
      <c r="G158" s="575">
        <v>65.86007558357781</v>
      </c>
      <c r="H158" s="576">
        <v>33.661282720668858</v>
      </c>
      <c r="I158" s="574">
        <v>34.246188877891207</v>
      </c>
      <c r="J158" s="575">
        <v>36.070902296898097</v>
      </c>
      <c r="K158" s="577">
        <v>62.193590888085524</v>
      </c>
      <c r="L158" s="578">
        <v>63.22473821990998</v>
      </c>
      <c r="M158" s="578">
        <v>66.579128230540405</v>
      </c>
      <c r="N158" s="688"/>
      <c r="O158" s="689"/>
      <c r="P158" s="689"/>
    </row>
    <row r="159" spans="1:16">
      <c r="A159" s="16">
        <v>34758</v>
      </c>
      <c r="B159" s="579">
        <v>39.152926845243904</v>
      </c>
      <c r="C159" s="580">
        <v>38.439998117636812</v>
      </c>
      <c r="D159" s="581">
        <v>40.82885205162107</v>
      </c>
      <c r="E159" s="582">
        <v>63.134893992218863</v>
      </c>
      <c r="F159" s="580">
        <v>61.951758085711475</v>
      </c>
      <c r="G159" s="581">
        <v>65.792306067864743</v>
      </c>
      <c r="H159" s="582">
        <v>33.530664012287922</v>
      </c>
      <c r="I159" s="580">
        <v>32.922107267857761</v>
      </c>
      <c r="J159" s="581">
        <v>34.968614923125642</v>
      </c>
      <c r="K159" s="583">
        <v>58.699658815113722</v>
      </c>
      <c r="L159" s="584">
        <v>57.589176701742929</v>
      </c>
      <c r="M159" s="584">
        <v>61.155846349071474</v>
      </c>
      <c r="N159" s="690"/>
      <c r="O159" s="691"/>
      <c r="P159" s="691"/>
    </row>
    <row r="160" spans="1:16">
      <c r="A160" s="16">
        <v>34789</v>
      </c>
      <c r="B160" s="573">
        <v>39.57579794432958</v>
      </c>
      <c r="C160" s="574">
        <v>36.91446626239096</v>
      </c>
      <c r="D160" s="575">
        <v>40.678596245319824</v>
      </c>
      <c r="E160" s="576">
        <v>64.215136015455499</v>
      </c>
      <c r="F160" s="574">
        <v>59.8645021593072</v>
      </c>
      <c r="G160" s="575">
        <v>65.959355181231558</v>
      </c>
      <c r="H160" s="576">
        <v>33.793272400851848</v>
      </c>
      <c r="I160" s="574">
        <v>31.522707298415657</v>
      </c>
      <c r="J160" s="575">
        <v>34.737604555129117</v>
      </c>
      <c r="K160" s="577">
        <v>57.164613190267765</v>
      </c>
      <c r="L160" s="578">
        <v>53.281979443007778</v>
      </c>
      <c r="M160" s="578">
        <v>58.703367369924166</v>
      </c>
      <c r="N160" s="688"/>
      <c r="O160" s="689"/>
      <c r="P160" s="689"/>
    </row>
    <row r="161" spans="1:16">
      <c r="A161" s="16">
        <v>34819</v>
      </c>
      <c r="B161" s="579">
        <v>39.863042241850039</v>
      </c>
      <c r="C161" s="580">
        <v>36.233462913860251</v>
      </c>
      <c r="D161" s="581">
        <v>41.054812796742816</v>
      </c>
      <c r="E161" s="582">
        <v>62.270333328277076</v>
      </c>
      <c r="F161" s="580">
        <v>56.569930893586161</v>
      </c>
      <c r="G161" s="581">
        <v>64.088121741867937</v>
      </c>
      <c r="H161" s="582">
        <v>34.640970659488588</v>
      </c>
      <c r="I161" s="580">
        <v>31.488777652362828</v>
      </c>
      <c r="J161" s="581">
        <v>35.679357834572059</v>
      </c>
      <c r="K161" s="583">
        <v>57.98532519346309</v>
      </c>
      <c r="L161" s="584">
        <v>52.667616904634073</v>
      </c>
      <c r="M161" s="584">
        <v>59.663839925227848</v>
      </c>
      <c r="N161" s="690"/>
      <c r="O161" s="691"/>
      <c r="P161" s="691"/>
    </row>
    <row r="162" spans="1:16">
      <c r="A162" s="16">
        <v>34850</v>
      </c>
      <c r="B162" s="573">
        <v>40.421126724561283</v>
      </c>
      <c r="C162" s="574">
        <v>36.749626690356777</v>
      </c>
      <c r="D162" s="575">
        <v>41.164122682422828</v>
      </c>
      <c r="E162" s="576">
        <v>63.059025823043349</v>
      </c>
      <c r="F162" s="574">
        <v>57.300291177425642</v>
      </c>
      <c r="G162" s="575">
        <v>64.174194001072507</v>
      </c>
      <c r="H162" s="576">
        <v>35.146709460552977</v>
      </c>
      <c r="I162" s="574">
        <v>31.956229750921377</v>
      </c>
      <c r="J162" s="575">
        <v>35.795502236600832</v>
      </c>
      <c r="K162" s="577">
        <v>56.480478780975332</v>
      </c>
      <c r="L162" s="578">
        <v>51.313194715850393</v>
      </c>
      <c r="M162" s="578">
        <v>57.465645002598144</v>
      </c>
      <c r="N162" s="688"/>
      <c r="O162" s="689"/>
      <c r="P162" s="689"/>
    </row>
    <row r="163" spans="1:16">
      <c r="A163" s="16">
        <v>34880</v>
      </c>
      <c r="B163" s="579">
        <v>41.358584851885695</v>
      </c>
      <c r="C163" s="580">
        <v>37.034711065231029</v>
      </c>
      <c r="D163" s="581">
        <v>41.640347915304531</v>
      </c>
      <c r="E163" s="582">
        <v>64.550969356669839</v>
      </c>
      <c r="F163" s="580">
        <v>57.77116345934904</v>
      </c>
      <c r="G163" s="581">
        <v>64.946262651312267</v>
      </c>
      <c r="H163" s="582">
        <v>35.954480219335757</v>
      </c>
      <c r="I163" s="580">
        <v>32.197537084868991</v>
      </c>
      <c r="J163" s="581">
        <v>36.202205903111974</v>
      </c>
      <c r="K163" s="583">
        <v>58.565248497749224</v>
      </c>
      <c r="L163" s="584">
        <v>52.404604653577906</v>
      </c>
      <c r="M163" s="584">
        <v>58.909879851114177</v>
      </c>
      <c r="N163" s="690"/>
      <c r="O163" s="691"/>
      <c r="P163" s="691"/>
    </row>
    <row r="164" spans="1:16">
      <c r="A164" s="16">
        <v>34911</v>
      </c>
      <c r="B164" s="573">
        <v>40.887383317485167</v>
      </c>
      <c r="C164" s="574">
        <v>37.127777416863282</v>
      </c>
      <c r="D164" s="575">
        <v>41.582202309241424</v>
      </c>
      <c r="E164" s="576">
        <v>62.199122400994419</v>
      </c>
      <c r="F164" s="574">
        <v>56.449350081773794</v>
      </c>
      <c r="G164" s="575">
        <v>63.212816811921883</v>
      </c>
      <c r="H164" s="576">
        <v>35.948752590082812</v>
      </c>
      <c r="I164" s="574">
        <v>32.645235510410444</v>
      </c>
      <c r="J164" s="575">
        <v>36.562453796490935</v>
      </c>
      <c r="K164" s="577">
        <v>60.654632192739399</v>
      </c>
      <c r="L164" s="578">
        <v>55.03763651318917</v>
      </c>
      <c r="M164" s="578">
        <v>61.628501817156703</v>
      </c>
      <c r="N164" s="688"/>
      <c r="O164" s="689"/>
      <c r="P164" s="689"/>
    </row>
    <row r="165" spans="1:16">
      <c r="A165" s="16">
        <v>34942</v>
      </c>
      <c r="B165" s="579">
        <v>40.162296611774067</v>
      </c>
      <c r="C165" s="580">
        <v>38.281292163376357</v>
      </c>
      <c r="D165" s="581">
        <v>41.650857747849507</v>
      </c>
      <c r="E165" s="582">
        <v>60.850104052149881</v>
      </c>
      <c r="F165" s="580">
        <v>57.968815951211717</v>
      </c>
      <c r="G165" s="581">
        <v>63.062248633139959</v>
      </c>
      <c r="H165" s="582">
        <v>35.372714738468666</v>
      </c>
      <c r="I165" s="580">
        <v>33.71807622841483</v>
      </c>
      <c r="J165" s="581">
        <v>36.686572781081956</v>
      </c>
      <c r="K165" s="583">
        <v>59.876823263224018</v>
      </c>
      <c r="L165" s="584">
        <v>57.03126025894526</v>
      </c>
      <c r="M165" s="584">
        <v>62.038834278953395</v>
      </c>
      <c r="N165" s="690"/>
      <c r="O165" s="691"/>
      <c r="P165" s="691"/>
    </row>
    <row r="166" spans="1:16">
      <c r="A166" s="16">
        <v>34972</v>
      </c>
      <c r="B166" s="573">
        <v>39.505823061091945</v>
      </c>
      <c r="C166" s="574">
        <v>39.095456234173867</v>
      </c>
      <c r="D166" s="575">
        <v>41.688312562466486</v>
      </c>
      <c r="E166" s="576">
        <v>59.854888092292789</v>
      </c>
      <c r="F166" s="574">
        <v>59.201109980225496</v>
      </c>
      <c r="G166" s="575">
        <v>63.118336169653674</v>
      </c>
      <c r="H166" s="576">
        <v>34.794676682044624</v>
      </c>
      <c r="I166" s="574">
        <v>34.435335890187375</v>
      </c>
      <c r="J166" s="575">
        <v>36.719718874791937</v>
      </c>
      <c r="K166" s="577">
        <v>55.463628095177832</v>
      </c>
      <c r="L166" s="578">
        <v>54.847850800938723</v>
      </c>
      <c r="M166" s="578">
        <v>58.473749719817413</v>
      </c>
      <c r="N166" s="688"/>
      <c r="O166" s="689"/>
      <c r="P166" s="689"/>
    </row>
    <row r="167" spans="1:16">
      <c r="A167" s="16">
        <v>35003</v>
      </c>
      <c r="B167" s="579">
        <v>38.682593602830281</v>
      </c>
      <c r="C167" s="580">
        <v>38.068410217219942</v>
      </c>
      <c r="D167" s="581">
        <v>41.028029859332563</v>
      </c>
      <c r="E167" s="582">
        <v>58.76468240153487</v>
      </c>
      <c r="F167" s="580">
        <v>57.800368042096153</v>
      </c>
      <c r="G167" s="581">
        <v>62.285103154268384</v>
      </c>
      <c r="H167" s="582">
        <v>34.030372932658352</v>
      </c>
      <c r="I167" s="580">
        <v>33.492087011468882</v>
      </c>
      <c r="J167" s="581">
        <v>36.096502723123741</v>
      </c>
      <c r="K167" s="583">
        <v>53.292887057989113</v>
      </c>
      <c r="L167" s="584">
        <v>52.408842939914827</v>
      </c>
      <c r="M167" s="584">
        <v>56.472081193296063</v>
      </c>
      <c r="N167" s="690"/>
      <c r="O167" s="691"/>
      <c r="P167" s="691"/>
    </row>
    <row r="168" spans="1:16">
      <c r="A168" s="16">
        <v>35033</v>
      </c>
      <c r="B168" s="573">
        <v>39.757647386680503</v>
      </c>
      <c r="C168" s="574">
        <v>38.599680729332967</v>
      </c>
      <c r="D168" s="575">
        <v>41.491620870526781</v>
      </c>
      <c r="E168" s="576">
        <v>60.155627800169789</v>
      </c>
      <c r="F168" s="574">
        <v>58.371970389977577</v>
      </c>
      <c r="G168" s="575">
        <v>62.736271402815248</v>
      </c>
      <c r="H168" s="576">
        <v>35.036659754630378</v>
      </c>
      <c r="I168" s="574">
        <v>34.018258541389287</v>
      </c>
      <c r="J168" s="575">
        <v>36.567541184084362</v>
      </c>
      <c r="K168" s="577">
        <v>55.546729634115579</v>
      </c>
      <c r="L168" s="578">
        <v>53.889939686697396</v>
      </c>
      <c r="M168" s="578">
        <v>57.915883413929727</v>
      </c>
      <c r="N168" s="688"/>
      <c r="O168" s="689"/>
      <c r="P168" s="689"/>
    </row>
    <row r="169" spans="1:16">
      <c r="A169" s="16">
        <v>35064</v>
      </c>
      <c r="B169" s="579">
        <v>39.873031755822559</v>
      </c>
      <c r="C169" s="580">
        <v>38.742730544269484</v>
      </c>
      <c r="D169" s="581">
        <v>41.372447246299572</v>
      </c>
      <c r="E169" s="582">
        <v>60.066079731563264</v>
      </c>
      <c r="F169" s="580">
        <v>58.331790953985397</v>
      </c>
      <c r="G169" s="581">
        <v>62.282201811045709</v>
      </c>
      <c r="H169" s="582">
        <v>35.204343270345454</v>
      </c>
      <c r="I169" s="580">
        <v>34.208462985877901</v>
      </c>
      <c r="J169" s="581">
        <v>36.530998215654797</v>
      </c>
      <c r="K169" s="583">
        <v>55.378720485470609</v>
      </c>
      <c r="L169" s="584">
        <v>53.770002020374562</v>
      </c>
      <c r="M169" s="584">
        <v>57.408253780683893</v>
      </c>
      <c r="N169" s="690"/>
      <c r="O169" s="691"/>
      <c r="P169" s="691"/>
    </row>
    <row r="170" spans="1:16">
      <c r="A170" s="16">
        <v>35095</v>
      </c>
      <c r="B170" s="573">
        <v>39.8762507173888</v>
      </c>
      <c r="C170" s="574">
        <v>39.172724718679483</v>
      </c>
      <c r="D170" s="575">
        <v>41.398510609892703</v>
      </c>
      <c r="E170" s="576">
        <v>59.380222991113826</v>
      </c>
      <c r="F170" s="574">
        <v>58.301045363034689</v>
      </c>
      <c r="G170" s="575">
        <v>61.604855043398302</v>
      </c>
      <c r="H170" s="576">
        <v>35.379776905185757</v>
      </c>
      <c r="I170" s="574">
        <v>34.757689534878992</v>
      </c>
      <c r="J170" s="575">
        <v>36.733205564084798</v>
      </c>
      <c r="K170" s="577">
        <v>52.670576824728791</v>
      </c>
      <c r="L170" s="578">
        <v>51.703947912721951</v>
      </c>
      <c r="M170" s="578">
        <v>54.630847880454027</v>
      </c>
      <c r="N170" s="688"/>
      <c r="O170" s="689"/>
      <c r="P170" s="689"/>
    </row>
    <row r="171" spans="1:16">
      <c r="A171" s="16">
        <v>35124</v>
      </c>
      <c r="B171" s="579">
        <v>39.311054409572741</v>
      </c>
      <c r="C171" s="580">
        <v>39.456760703322026</v>
      </c>
      <c r="D171" s="581">
        <v>41.556646149219318</v>
      </c>
      <c r="E171" s="582">
        <v>58.150114740873782</v>
      </c>
      <c r="F171" s="580">
        <v>58.334081796332761</v>
      </c>
      <c r="G171" s="581">
        <v>61.429798469517884</v>
      </c>
      <c r="H171" s="582">
        <v>34.975381622180471</v>
      </c>
      <c r="I171" s="580">
        <v>35.107147505247376</v>
      </c>
      <c r="J171" s="581">
        <v>36.976142317496667</v>
      </c>
      <c r="K171" s="583">
        <v>52.302225703144892</v>
      </c>
      <c r="L171" s="584">
        <v>52.458162471001316</v>
      </c>
      <c r="M171" s="584">
        <v>55.238952639151407</v>
      </c>
      <c r="N171" s="690"/>
      <c r="O171" s="691"/>
      <c r="P171" s="691"/>
    </row>
    <row r="172" spans="1:16">
      <c r="A172" s="16">
        <v>35155</v>
      </c>
      <c r="B172" s="573">
        <v>38.397584300920798</v>
      </c>
      <c r="C172" s="574">
        <v>39.430910848385892</v>
      </c>
      <c r="D172" s="575">
        <v>41.445488683246282</v>
      </c>
      <c r="E172" s="576">
        <v>56.162879891340864</v>
      </c>
      <c r="F172" s="574">
        <v>57.643100300214769</v>
      </c>
      <c r="G172" s="575">
        <v>60.579467058643054</v>
      </c>
      <c r="H172" s="576">
        <v>34.321581752696389</v>
      </c>
      <c r="I172" s="574">
        <v>35.247356275496763</v>
      </c>
      <c r="J172" s="575">
        <v>37.048787306761191</v>
      </c>
      <c r="K172" s="577">
        <v>51.956273701423164</v>
      </c>
      <c r="L172" s="578">
        <v>53.315940037844079</v>
      </c>
      <c r="M172" s="578">
        <v>56.028736078322773</v>
      </c>
      <c r="N172" s="688"/>
      <c r="O172" s="689"/>
      <c r="P172" s="689"/>
    </row>
    <row r="173" spans="1:16">
      <c r="A173" s="16">
        <v>35185</v>
      </c>
      <c r="B173" s="579">
        <v>38.023070670816409</v>
      </c>
      <c r="C173" s="580">
        <v>40.143454293808823</v>
      </c>
      <c r="D173" s="581">
        <v>41.878121937543291</v>
      </c>
      <c r="E173" s="582">
        <v>56.1480533282704</v>
      </c>
      <c r="F173" s="580">
        <v>59.247129292962818</v>
      </c>
      <c r="G173" s="581">
        <v>61.798428450854857</v>
      </c>
      <c r="H173" s="582">
        <v>33.853648674373638</v>
      </c>
      <c r="I173" s="580">
        <v>35.743689871053469</v>
      </c>
      <c r="J173" s="581">
        <v>37.288836579068303</v>
      </c>
      <c r="K173" s="583">
        <v>50.401545487956298</v>
      </c>
      <c r="L173" s="584">
        <v>53.173785004482376</v>
      </c>
      <c r="M173" s="584">
        <v>55.460442635098637</v>
      </c>
      <c r="N173" s="690"/>
      <c r="O173" s="691"/>
      <c r="P173" s="691"/>
    </row>
    <row r="174" spans="1:16">
      <c r="A174" s="16">
        <v>35216</v>
      </c>
      <c r="B174" s="573">
        <v>37.756310651744641</v>
      </c>
      <c r="C174" s="574">
        <v>40.538003497181258</v>
      </c>
      <c r="D174" s="575">
        <v>42.102601347579252</v>
      </c>
      <c r="E174" s="576">
        <v>56.780056134665799</v>
      </c>
      <c r="F174" s="574">
        <v>60.930350679878117</v>
      </c>
      <c r="G174" s="575">
        <v>63.272925301134485</v>
      </c>
      <c r="H174" s="576">
        <v>33.359785584924502</v>
      </c>
      <c r="I174" s="574">
        <v>35.819737810136886</v>
      </c>
      <c r="J174" s="575">
        <v>37.202829345705169</v>
      </c>
      <c r="K174" s="577">
        <v>50.246522814911955</v>
      </c>
      <c r="L174" s="578">
        <v>53.909460553690067</v>
      </c>
      <c r="M174" s="578">
        <v>55.978964353269319</v>
      </c>
      <c r="N174" s="688"/>
      <c r="O174" s="689"/>
      <c r="P174" s="689"/>
    </row>
    <row r="175" spans="1:16">
      <c r="A175" s="16">
        <v>35246</v>
      </c>
      <c r="B175" s="579">
        <v>37.533523075461972</v>
      </c>
      <c r="C175" s="580">
        <v>40.07538514756456</v>
      </c>
      <c r="D175" s="581">
        <v>41.558784443952717</v>
      </c>
      <c r="E175" s="582">
        <v>56.132882658134555</v>
      </c>
      <c r="F175" s="580">
        <v>59.901924340560107</v>
      </c>
      <c r="G175" s="581">
        <v>62.110291517230543</v>
      </c>
      <c r="H175" s="582">
        <v>33.240935351196185</v>
      </c>
      <c r="I175" s="580">
        <v>35.494246102762418</v>
      </c>
      <c r="J175" s="581">
        <v>36.808666231991019</v>
      </c>
      <c r="K175" s="583">
        <v>46.553803049608149</v>
      </c>
      <c r="L175" s="584">
        <v>49.670634369869553</v>
      </c>
      <c r="M175" s="584">
        <v>51.498921896235473</v>
      </c>
      <c r="N175" s="690"/>
      <c r="O175" s="691"/>
      <c r="P175" s="691"/>
    </row>
    <row r="176" spans="1:16">
      <c r="A176" s="16">
        <v>35277</v>
      </c>
      <c r="B176" s="573">
        <v>37.247385086282755</v>
      </c>
      <c r="C176" s="574">
        <v>39.49350305051253</v>
      </c>
      <c r="D176" s="575">
        <v>41.134022395247293</v>
      </c>
      <c r="E176" s="576">
        <v>55.123642636993367</v>
      </c>
      <c r="F176" s="574">
        <v>58.416136678195464</v>
      </c>
      <c r="G176" s="575">
        <v>60.833950027794934</v>
      </c>
      <c r="H176" s="576">
        <v>33.132777897621004</v>
      </c>
      <c r="I176" s="574">
        <v>35.132905239387185</v>
      </c>
      <c r="J176" s="575">
        <v>36.592879091783274</v>
      </c>
      <c r="K176" s="577">
        <v>45.110863388953639</v>
      </c>
      <c r="L176" s="578">
        <v>47.796618846244407</v>
      </c>
      <c r="M176" s="578">
        <v>49.772103763814471</v>
      </c>
      <c r="N176" s="688"/>
      <c r="O176" s="689"/>
      <c r="P176" s="689"/>
    </row>
    <row r="177" spans="1:16">
      <c r="A177" s="16">
        <v>35308</v>
      </c>
      <c r="B177" s="579">
        <v>37.68427219318464</v>
      </c>
      <c r="C177" s="580">
        <v>39.402246722742298</v>
      </c>
      <c r="D177" s="581">
        <v>41.313308180245443</v>
      </c>
      <c r="E177" s="582">
        <v>55.530353447149629</v>
      </c>
      <c r="F177" s="580">
        <v>58.030504581320272</v>
      </c>
      <c r="G177" s="581">
        <v>60.836328359183192</v>
      </c>
      <c r="H177" s="582">
        <v>33.581337145859749</v>
      </c>
      <c r="I177" s="580">
        <v>35.114394653064693</v>
      </c>
      <c r="J177" s="581">
        <v>36.818082438263062</v>
      </c>
      <c r="K177" s="583">
        <v>45.854899098252126</v>
      </c>
      <c r="L177" s="584">
        <v>47.910727371985345</v>
      </c>
      <c r="M177" s="584">
        <v>50.22443388021388</v>
      </c>
      <c r="N177" s="690"/>
      <c r="O177" s="691"/>
      <c r="P177" s="691"/>
    </row>
    <row r="178" spans="1:16">
      <c r="A178" s="16">
        <v>35338</v>
      </c>
      <c r="B178" s="573">
        <v>37.076055584559029</v>
      </c>
      <c r="C178" s="574">
        <v>39.487189954435401</v>
      </c>
      <c r="D178" s="575">
        <v>41.134653380706723</v>
      </c>
      <c r="E178" s="576">
        <v>53.818609798054993</v>
      </c>
      <c r="F178" s="574">
        <v>57.287548060135251</v>
      </c>
      <c r="G178" s="575">
        <v>59.669103061737935</v>
      </c>
      <c r="H178" s="576">
        <v>33.24311456970576</v>
      </c>
      <c r="I178" s="574">
        <v>35.407132617160158</v>
      </c>
      <c r="J178" s="575">
        <v>36.884964015021765</v>
      </c>
      <c r="K178" s="577">
        <v>44.016237978640753</v>
      </c>
      <c r="L178" s="578">
        <v>46.844843628029288</v>
      </c>
      <c r="M178" s="578">
        <v>48.78953803633658</v>
      </c>
      <c r="N178" s="688"/>
      <c r="O178" s="689"/>
      <c r="P178" s="689"/>
    </row>
    <row r="179" spans="1:16">
      <c r="A179" s="16">
        <v>35369</v>
      </c>
      <c r="B179" s="579">
        <v>37.140613494048623</v>
      </c>
      <c r="C179" s="580">
        <v>39.77572824737193</v>
      </c>
      <c r="D179" s="581">
        <v>41.154941252100031</v>
      </c>
      <c r="E179" s="582">
        <v>53.295640469048969</v>
      </c>
      <c r="F179" s="580">
        <v>57.046080084149509</v>
      </c>
      <c r="G179" s="581">
        <v>59.015666387465352</v>
      </c>
      <c r="H179" s="582">
        <v>33.455092619359853</v>
      </c>
      <c r="I179" s="580">
        <v>35.830894486729839</v>
      </c>
      <c r="J179" s="581">
        <v>37.073918394435559</v>
      </c>
      <c r="K179" s="583">
        <v>42.550500994826187</v>
      </c>
      <c r="L179" s="584">
        <v>45.536527843022952</v>
      </c>
      <c r="M179" s="584">
        <v>47.106090070974673</v>
      </c>
      <c r="N179" s="690"/>
      <c r="O179" s="691"/>
      <c r="P179" s="691"/>
    </row>
    <row r="180" spans="1:16">
      <c r="A180" s="16">
        <v>35399</v>
      </c>
      <c r="B180" s="573">
        <v>36.655021608108989</v>
      </c>
      <c r="C180" s="574">
        <v>39.093447878727858</v>
      </c>
      <c r="D180" s="575">
        <v>40.832138452803882</v>
      </c>
      <c r="E180" s="576">
        <v>51.68479176203742</v>
      </c>
      <c r="F180" s="574">
        <v>55.093240936840829</v>
      </c>
      <c r="G180" s="575">
        <v>57.53526704917585</v>
      </c>
      <c r="H180" s="576">
        <v>33.246084240046315</v>
      </c>
      <c r="I180" s="574">
        <v>35.459886658035892</v>
      </c>
      <c r="J180" s="575">
        <v>37.037570115368759</v>
      </c>
      <c r="K180" s="577">
        <v>44.946813708990661</v>
      </c>
      <c r="L180" s="578">
        <v>47.902212527172374</v>
      </c>
      <c r="M180" s="578">
        <v>50.022687729063833</v>
      </c>
      <c r="N180" s="688"/>
      <c r="O180" s="689"/>
      <c r="P180" s="689"/>
    </row>
    <row r="181" spans="1:16">
      <c r="A181" s="16">
        <v>35430</v>
      </c>
      <c r="B181" s="579">
        <v>36.527343128907326</v>
      </c>
      <c r="C181" s="580">
        <v>39.395252468434514</v>
      </c>
      <c r="D181" s="581">
        <v>40.778182253086143</v>
      </c>
      <c r="E181" s="582">
        <v>50.755175266088528</v>
      </c>
      <c r="F181" s="580">
        <v>54.710563840953228</v>
      </c>
      <c r="G181" s="581">
        <v>56.62299368414326</v>
      </c>
      <c r="H181" s="582">
        <v>33.317584203309835</v>
      </c>
      <c r="I181" s="580">
        <v>35.935662404294163</v>
      </c>
      <c r="J181" s="581">
        <v>37.197745819905514</v>
      </c>
      <c r="K181" s="583">
        <v>45.45830375344444</v>
      </c>
      <c r="L181" s="584">
        <v>48.992003285009957</v>
      </c>
      <c r="M181" s="584">
        <v>50.701694244759402</v>
      </c>
      <c r="N181" s="690"/>
      <c r="O181" s="691"/>
      <c r="P181" s="691"/>
    </row>
    <row r="182" spans="1:16">
      <c r="A182" s="16">
        <v>35461</v>
      </c>
      <c r="B182" s="573">
        <v>37.508268231183763</v>
      </c>
      <c r="C182" s="574">
        <v>40.034997909141005</v>
      </c>
      <c r="D182" s="575">
        <v>40.885938335429294</v>
      </c>
      <c r="E182" s="576">
        <v>52.362168337477641</v>
      </c>
      <c r="F182" s="574">
        <v>55.859298149667922</v>
      </c>
      <c r="G182" s="575">
        <v>57.038394900045184</v>
      </c>
      <c r="H182" s="576">
        <v>34.151346175213504</v>
      </c>
      <c r="I182" s="574">
        <v>36.45414958547066</v>
      </c>
      <c r="J182" s="575">
        <v>37.229578881071831</v>
      </c>
      <c r="K182" s="577">
        <v>48.985386733820476</v>
      </c>
      <c r="L182" s="578">
        <v>52.247498993679251</v>
      </c>
      <c r="M182" s="578">
        <v>53.347363970228145</v>
      </c>
      <c r="N182" s="688"/>
      <c r="O182" s="689"/>
      <c r="P182" s="689"/>
    </row>
    <row r="183" spans="1:16">
      <c r="A183" s="16">
        <v>35489</v>
      </c>
      <c r="B183" s="579">
        <v>37.997536347777142</v>
      </c>
      <c r="C183" s="580">
        <v>40.950187173942631</v>
      </c>
      <c r="D183" s="581">
        <v>40.81704808368454</v>
      </c>
      <c r="E183" s="582">
        <v>54.332356968196279</v>
      </c>
      <c r="F183" s="580">
        <v>58.522659300849533</v>
      </c>
      <c r="G183" s="581">
        <v>58.324015437000462</v>
      </c>
      <c r="H183" s="582">
        <v>34.275193344123764</v>
      </c>
      <c r="I183" s="580">
        <v>36.940835372636386</v>
      </c>
      <c r="J183" s="581">
        <v>36.821324584807378</v>
      </c>
      <c r="K183" s="583">
        <v>50.348988838521755</v>
      </c>
      <c r="L183" s="584">
        <v>54.222229790767088</v>
      </c>
      <c r="M183" s="584">
        <v>54.03515161132777</v>
      </c>
      <c r="N183" s="690"/>
      <c r="O183" s="691"/>
      <c r="P183" s="691"/>
    </row>
    <row r="184" spans="1:16">
      <c r="A184" s="16">
        <v>35520</v>
      </c>
      <c r="B184" s="573">
        <v>37.600686879687942</v>
      </c>
      <c r="C184" s="574">
        <v>41.905772007529727</v>
      </c>
      <c r="D184" s="575">
        <v>41.500364755977877</v>
      </c>
      <c r="E184" s="576">
        <v>55.689207302063096</v>
      </c>
      <c r="F184" s="574">
        <v>62.031767850300412</v>
      </c>
      <c r="G184" s="575">
        <v>61.422839326374287</v>
      </c>
      <c r="H184" s="576">
        <v>33.436381346591318</v>
      </c>
      <c r="I184" s="574">
        <v>37.266935691376425</v>
      </c>
      <c r="J184" s="575">
        <v>36.90700003645626</v>
      </c>
      <c r="K184" s="577">
        <v>50.550810412388799</v>
      </c>
      <c r="L184" s="578">
        <v>56.297921067778269</v>
      </c>
      <c r="M184" s="578">
        <v>55.742151212978975</v>
      </c>
      <c r="N184" s="688"/>
      <c r="O184" s="689"/>
      <c r="P184" s="689"/>
    </row>
    <row r="185" spans="1:16">
      <c r="A185" s="16">
        <v>35550</v>
      </c>
      <c r="B185" s="579">
        <v>37.645825422798048</v>
      </c>
      <c r="C185" s="580">
        <v>41.599903159711999</v>
      </c>
      <c r="D185" s="581">
        <v>41.032371152356546</v>
      </c>
      <c r="E185" s="582">
        <v>56.921986023093176</v>
      </c>
      <c r="F185" s="580">
        <v>62.866690029384387</v>
      </c>
      <c r="G185" s="581">
        <v>62.00012309414614</v>
      </c>
      <c r="H185" s="582">
        <v>33.185182708319523</v>
      </c>
      <c r="I185" s="580">
        <v>36.672967679670734</v>
      </c>
      <c r="J185" s="581">
        <v>36.17323450231428</v>
      </c>
      <c r="K185" s="583">
        <v>49.106582850585013</v>
      </c>
      <c r="L185" s="584">
        <v>54.225226909110845</v>
      </c>
      <c r="M185" s="584">
        <v>53.474775760262041</v>
      </c>
      <c r="N185" s="690"/>
      <c r="O185" s="691"/>
      <c r="P185" s="691"/>
    </row>
    <row r="186" spans="1:16">
      <c r="A186" s="16">
        <v>35581</v>
      </c>
      <c r="B186" s="573">
        <v>37.945322305270984</v>
      </c>
      <c r="C186" s="574">
        <v>41.397420662100878</v>
      </c>
      <c r="D186" s="575">
        <v>41.161183047403256</v>
      </c>
      <c r="E186" s="576">
        <v>56.769593940342943</v>
      </c>
      <c r="F186" s="574">
        <v>61.90074547879766</v>
      </c>
      <c r="G186" s="575">
        <v>61.538670216644718</v>
      </c>
      <c r="H186" s="576">
        <v>33.600428724411472</v>
      </c>
      <c r="I186" s="574">
        <v>36.659471709749717</v>
      </c>
      <c r="J186" s="575">
        <v>36.450858522927753</v>
      </c>
      <c r="K186" s="577">
        <v>51.144720728242888</v>
      </c>
      <c r="L186" s="578">
        <v>55.757336053810747</v>
      </c>
      <c r="M186" s="578">
        <v>55.428085925600143</v>
      </c>
      <c r="N186" s="688"/>
      <c r="O186" s="689"/>
      <c r="P186" s="689"/>
    </row>
    <row r="187" spans="1:16">
      <c r="A187" s="16">
        <v>35611</v>
      </c>
      <c r="B187" s="579">
        <v>38.229072155553482</v>
      </c>
      <c r="C187" s="580">
        <v>40.310279273432378</v>
      </c>
      <c r="D187" s="581">
        <v>40.31453765378707</v>
      </c>
      <c r="E187" s="582">
        <v>56.937662661603163</v>
      </c>
      <c r="F187" s="580">
        <v>60.004903206877444</v>
      </c>
      <c r="G187" s="581">
        <v>60.002628803110582</v>
      </c>
      <c r="H187" s="582">
        <v>33.915768148342707</v>
      </c>
      <c r="I187" s="580">
        <v>35.764326755806891</v>
      </c>
      <c r="J187" s="581">
        <v>35.768680868737704</v>
      </c>
      <c r="K187" s="583">
        <v>51.811345662339946</v>
      </c>
      <c r="L187" s="584">
        <v>54.592513435712007</v>
      </c>
      <c r="M187" s="584">
        <v>54.587381908891871</v>
      </c>
      <c r="N187" s="690"/>
      <c r="O187" s="691"/>
      <c r="P187" s="691"/>
    </row>
    <row r="188" spans="1:16">
      <c r="A188" s="16">
        <v>35642</v>
      </c>
      <c r="B188" s="573">
        <v>38.143593156409416</v>
      </c>
      <c r="C188" s="574">
        <v>39.978234080027711</v>
      </c>
      <c r="D188" s="575">
        <v>39.622074217347283</v>
      </c>
      <c r="E188" s="576">
        <v>56.527459602500763</v>
      </c>
      <c r="F188" s="574">
        <v>59.214290279164835</v>
      </c>
      <c r="G188" s="575">
        <v>58.678336162591137</v>
      </c>
      <c r="H188" s="576">
        <v>33.910621850783976</v>
      </c>
      <c r="I188" s="574">
        <v>35.543820405262295</v>
      </c>
      <c r="J188" s="575">
        <v>35.227733300194735</v>
      </c>
      <c r="K188" s="577">
        <v>53.233878721228066</v>
      </c>
      <c r="L188" s="578">
        <v>55.754032509353145</v>
      </c>
      <c r="M188" s="578">
        <v>55.246298275123195</v>
      </c>
      <c r="N188" s="688"/>
      <c r="O188" s="689"/>
      <c r="P188" s="689"/>
    </row>
    <row r="189" spans="1:16">
      <c r="A189" s="16">
        <v>35673</v>
      </c>
      <c r="B189" s="579">
        <v>38.620696408296887</v>
      </c>
      <c r="C189" s="580">
        <v>41.133838916356744</v>
      </c>
      <c r="D189" s="581">
        <v>40.088078299679957</v>
      </c>
      <c r="E189" s="582">
        <v>57.739281855071489</v>
      </c>
      <c r="F189" s="580">
        <v>61.463257713508568</v>
      </c>
      <c r="G189" s="581">
        <v>59.89205740161605</v>
      </c>
      <c r="H189" s="582">
        <v>34.2086477701409</v>
      </c>
      <c r="I189" s="580">
        <v>36.436897972829158</v>
      </c>
      <c r="J189" s="581">
        <v>35.511121221883734</v>
      </c>
      <c r="K189" s="583">
        <v>54.916865516527601</v>
      </c>
      <c r="L189" s="584">
        <v>58.448187960972156</v>
      </c>
      <c r="M189" s="584">
        <v>56.950867755300138</v>
      </c>
      <c r="N189" s="690"/>
      <c r="O189" s="691"/>
      <c r="P189" s="691"/>
    </row>
    <row r="190" spans="1:16">
      <c r="A190" s="16">
        <v>35703</v>
      </c>
      <c r="B190" s="573">
        <v>39.098284871898912</v>
      </c>
      <c r="C190" s="574">
        <v>40.503698944036017</v>
      </c>
      <c r="D190" s="575">
        <v>39.590270228212241</v>
      </c>
      <c r="E190" s="576">
        <v>58.410056088046304</v>
      </c>
      <c r="F190" s="574">
        <v>60.476919027840957</v>
      </c>
      <c r="G190" s="575">
        <v>59.104575119879229</v>
      </c>
      <c r="H190" s="576">
        <v>34.642480237478189</v>
      </c>
      <c r="I190" s="574">
        <v>35.889904655163377</v>
      </c>
      <c r="J190" s="575">
        <v>35.081089904288774</v>
      </c>
      <c r="K190" s="577">
        <v>53.87184400939158</v>
      </c>
      <c r="L190" s="578">
        <v>55.76798968650818</v>
      </c>
      <c r="M190" s="578">
        <v>54.499443593448241</v>
      </c>
      <c r="N190" s="688"/>
      <c r="O190" s="689"/>
      <c r="P190" s="689"/>
    </row>
    <row r="191" spans="1:16">
      <c r="A191" s="16">
        <v>35734</v>
      </c>
      <c r="B191" s="579">
        <v>38.968165308900474</v>
      </c>
      <c r="C191" s="580">
        <v>39.961000554478559</v>
      </c>
      <c r="D191" s="581">
        <v>39.324832585760497</v>
      </c>
      <c r="E191" s="582">
        <v>57.730125524040531</v>
      </c>
      <c r="F191" s="580">
        <v>59.168962146880553</v>
      </c>
      <c r="G191" s="581">
        <v>58.218651556911816</v>
      </c>
      <c r="H191" s="582">
        <v>34.648515266096013</v>
      </c>
      <c r="I191" s="580">
        <v>35.533449595413721</v>
      </c>
      <c r="J191" s="581">
        <v>34.968330081040804</v>
      </c>
      <c r="K191" s="583">
        <v>51.951054340776793</v>
      </c>
      <c r="L191" s="584">
        <v>53.23618539443796</v>
      </c>
      <c r="M191" s="584">
        <v>52.378222578540409</v>
      </c>
      <c r="N191" s="690"/>
      <c r="O191" s="691"/>
      <c r="P191" s="691"/>
    </row>
    <row r="192" spans="1:16">
      <c r="A192" s="16">
        <v>35764</v>
      </c>
      <c r="B192" s="573">
        <v>40.063632871416914</v>
      </c>
      <c r="C192" s="574">
        <v>39.414868749202732</v>
      </c>
      <c r="D192" s="575">
        <v>38.981868870582595</v>
      </c>
      <c r="E192" s="576">
        <v>60.160380863431371</v>
      </c>
      <c r="F192" s="574">
        <v>59.154173294058069</v>
      </c>
      <c r="G192" s="575">
        <v>58.495926320479299</v>
      </c>
      <c r="H192" s="576">
        <v>35.420810119099464</v>
      </c>
      <c r="I192" s="574">
        <v>34.849342921834932</v>
      </c>
      <c r="J192" s="575">
        <v>34.467053542830769</v>
      </c>
      <c r="K192" s="577">
        <v>52.167403027523292</v>
      </c>
      <c r="L192" s="578">
        <v>51.2855648062949</v>
      </c>
      <c r="M192" s="578">
        <v>50.712032088066586</v>
      </c>
      <c r="N192" s="688"/>
      <c r="O192" s="689"/>
      <c r="P192" s="689"/>
    </row>
    <row r="193" spans="1:16">
      <c r="A193" s="16">
        <v>35795</v>
      </c>
      <c r="B193" s="579">
        <v>40.847195814738811</v>
      </c>
      <c r="C193" s="580">
        <v>38.887768718518288</v>
      </c>
      <c r="D193" s="581">
        <v>37.876456555083315</v>
      </c>
      <c r="E193" s="582">
        <v>61.507367208866569</v>
      </c>
      <c r="F193" s="580">
        <v>58.525208631714001</v>
      </c>
      <c r="G193" s="581">
        <v>56.995025210002318</v>
      </c>
      <c r="H193" s="582">
        <v>36.070996859273372</v>
      </c>
      <c r="I193" s="580">
        <v>34.342765895736818</v>
      </c>
      <c r="J193" s="581">
        <v>33.450189341202893</v>
      </c>
      <c r="K193" s="583">
        <v>51.989051782526808</v>
      </c>
      <c r="L193" s="584">
        <v>49.459399874017492</v>
      </c>
      <c r="M193" s="584">
        <v>48.163546599270603</v>
      </c>
      <c r="N193" s="690"/>
      <c r="O193" s="691"/>
      <c r="P193" s="691"/>
    </row>
    <row r="194" spans="1:16">
      <c r="A194" s="16">
        <v>35826</v>
      </c>
      <c r="B194" s="573">
        <v>40.181107841285915</v>
      </c>
      <c r="C194" s="574">
        <v>38.095235584517425</v>
      </c>
      <c r="D194" s="575">
        <v>36.792979702434714</v>
      </c>
      <c r="E194" s="576">
        <v>59.447922543379704</v>
      </c>
      <c r="F194" s="574">
        <v>56.331393471126809</v>
      </c>
      <c r="G194" s="575">
        <v>54.397939994087011</v>
      </c>
      <c r="H194" s="576">
        <v>35.746777400598155</v>
      </c>
      <c r="I194" s="574">
        <v>33.893155167190827</v>
      </c>
      <c r="J194" s="575">
        <v>32.735071241412086</v>
      </c>
      <c r="K194" s="577">
        <v>51.159982635640652</v>
      </c>
      <c r="L194" s="578">
        <v>48.469139950759676</v>
      </c>
      <c r="M194" s="578">
        <v>46.802915778262374</v>
      </c>
      <c r="N194" s="688"/>
      <c r="O194" s="689"/>
      <c r="P194" s="689"/>
    </row>
    <row r="195" spans="1:16">
      <c r="A195" s="16">
        <v>35854</v>
      </c>
      <c r="B195" s="579">
        <v>39.006390894823944</v>
      </c>
      <c r="C195" s="580">
        <v>37.871309695490964</v>
      </c>
      <c r="D195" s="581">
        <v>36.749467506370827</v>
      </c>
      <c r="E195" s="582">
        <v>56.999328289330201</v>
      </c>
      <c r="F195" s="580">
        <v>55.310724681890001</v>
      </c>
      <c r="G195" s="581">
        <v>53.664580232534895</v>
      </c>
      <c r="H195" s="582">
        <v>34.879263547018482</v>
      </c>
      <c r="I195" s="580">
        <v>33.866335721610042</v>
      </c>
      <c r="J195" s="581">
        <v>32.863659990880748</v>
      </c>
      <c r="K195" s="583">
        <v>48.740099463006537</v>
      </c>
      <c r="L195" s="584">
        <v>47.287585013454404</v>
      </c>
      <c r="M195" s="584">
        <v>45.877649643024206</v>
      </c>
      <c r="N195" s="690"/>
      <c r="O195" s="691"/>
      <c r="P195" s="691"/>
    </row>
    <row r="196" spans="1:16">
      <c r="A196" s="16">
        <v>35885</v>
      </c>
      <c r="B196" s="573">
        <v>38.954972676707833</v>
      </c>
      <c r="C196" s="574">
        <v>37.765916650547773</v>
      </c>
      <c r="D196" s="575">
        <v>36.513252822316566</v>
      </c>
      <c r="E196" s="576">
        <v>57.619502204547103</v>
      </c>
      <c r="F196" s="574">
        <v>55.830521334026216</v>
      </c>
      <c r="G196" s="575">
        <v>53.97092221751133</v>
      </c>
      <c r="H196" s="576">
        <v>34.65954356363865</v>
      </c>
      <c r="I196" s="574">
        <v>33.603639139795334</v>
      </c>
      <c r="J196" s="575">
        <v>32.489557735900902</v>
      </c>
      <c r="K196" s="577">
        <v>49.005155005693091</v>
      </c>
      <c r="L196" s="578">
        <v>47.475009639311295</v>
      </c>
      <c r="M196" s="578">
        <v>45.891140898558014</v>
      </c>
      <c r="N196" s="688"/>
      <c r="O196" s="689"/>
      <c r="P196" s="689"/>
    </row>
    <row r="197" spans="1:16">
      <c r="A197" s="16">
        <v>35915</v>
      </c>
      <c r="B197" s="579">
        <v>39.688245834387224</v>
      </c>
      <c r="C197" s="580">
        <v>37.538434551806411</v>
      </c>
      <c r="D197" s="581">
        <v>36.228207118598277</v>
      </c>
      <c r="E197" s="582">
        <v>56.757982787413596</v>
      </c>
      <c r="F197" s="580">
        <v>53.654513379240655</v>
      </c>
      <c r="G197" s="581">
        <v>51.774344215970558</v>
      </c>
      <c r="H197" s="582">
        <v>35.798253638029706</v>
      </c>
      <c r="I197" s="580">
        <v>33.861207496207058</v>
      </c>
      <c r="J197" s="581">
        <v>32.679854845534066</v>
      </c>
      <c r="K197" s="583">
        <v>50.521525918858821</v>
      </c>
      <c r="L197" s="584">
        <v>47.750385347037714</v>
      </c>
      <c r="M197" s="584">
        <v>46.074524772727003</v>
      </c>
      <c r="N197" s="690"/>
      <c r="O197" s="691"/>
      <c r="P197" s="691"/>
    </row>
    <row r="198" spans="1:16">
      <c r="A198" s="16">
        <v>35946</v>
      </c>
      <c r="B198" s="573">
        <v>40.150781219859056</v>
      </c>
      <c r="C198" s="574">
        <v>36.688099313028196</v>
      </c>
      <c r="D198" s="575">
        <v>35.4623995890136</v>
      </c>
      <c r="E198" s="576">
        <v>58.436714978839412</v>
      </c>
      <c r="F198" s="574">
        <v>53.368139430253734</v>
      </c>
      <c r="G198" s="575">
        <v>51.577778204559579</v>
      </c>
      <c r="H198" s="576">
        <v>35.961263645736217</v>
      </c>
      <c r="I198" s="574">
        <v>32.86188746851883</v>
      </c>
      <c r="J198" s="575">
        <v>31.764527791878212</v>
      </c>
      <c r="K198" s="577">
        <v>49.975304254279465</v>
      </c>
      <c r="L198" s="578">
        <v>45.632349288056538</v>
      </c>
      <c r="M198" s="578">
        <v>44.099029658790123</v>
      </c>
      <c r="N198" s="688"/>
      <c r="O198" s="689"/>
      <c r="P198" s="689"/>
    </row>
    <row r="199" spans="1:16">
      <c r="A199" s="16">
        <v>35976</v>
      </c>
      <c r="B199" s="579">
        <v>40.645041572817654</v>
      </c>
      <c r="C199" s="580">
        <v>35.770353976801687</v>
      </c>
      <c r="D199" s="581">
        <v>34.291141973302729</v>
      </c>
      <c r="E199" s="582">
        <v>58.296499047704145</v>
      </c>
      <c r="F199" s="580">
        <v>51.277069260073397</v>
      </c>
      <c r="G199" s="581">
        <v>49.149552442972393</v>
      </c>
      <c r="H199" s="582">
        <v>36.618739458276458</v>
      </c>
      <c r="I199" s="580">
        <v>32.228894070147909</v>
      </c>
      <c r="J199" s="581">
        <v>30.89662962795235</v>
      </c>
      <c r="K199" s="583">
        <v>49.959073394790899</v>
      </c>
      <c r="L199" s="584">
        <v>43.9355642909075</v>
      </c>
      <c r="M199" s="584">
        <v>42.110288658314374</v>
      </c>
      <c r="N199" s="690"/>
      <c r="O199" s="691"/>
      <c r="P199" s="691"/>
    </row>
    <row r="200" spans="1:16">
      <c r="A200" s="16">
        <v>36007</v>
      </c>
      <c r="B200" s="573">
        <v>39.344460481349145</v>
      </c>
      <c r="C200" s="574">
        <v>35.568821651382663</v>
      </c>
      <c r="D200" s="575">
        <v>34.031019913578561</v>
      </c>
      <c r="E200" s="576">
        <v>56.611860989738361</v>
      </c>
      <c r="F200" s="574">
        <v>51.151499568725733</v>
      </c>
      <c r="G200" s="575">
        <v>48.9329635928787</v>
      </c>
      <c r="H200" s="576">
        <v>35.401825407024624</v>
      </c>
      <c r="I200" s="574">
        <v>32.006477955725479</v>
      </c>
      <c r="J200" s="575">
        <v>30.623185630114513</v>
      </c>
      <c r="K200" s="577">
        <v>48.926328223283413</v>
      </c>
      <c r="L200" s="578">
        <v>44.199227204708421</v>
      </c>
      <c r="M200" s="578">
        <v>42.279852415105736</v>
      </c>
      <c r="N200" s="688"/>
      <c r="O200" s="689"/>
      <c r="P200" s="689"/>
    </row>
    <row r="201" spans="1:16">
      <c r="A201" s="16">
        <v>36038</v>
      </c>
      <c r="B201" s="579">
        <v>40.593282048751824</v>
      </c>
      <c r="C201" s="580">
        <v>35.175711137817991</v>
      </c>
      <c r="D201" s="581">
        <v>33.526952686043195</v>
      </c>
      <c r="E201" s="582">
        <v>57.605484568853946</v>
      </c>
      <c r="F201" s="580">
        <v>49.890471589622003</v>
      </c>
      <c r="G201" s="581">
        <v>47.545176763121056</v>
      </c>
      <c r="H201" s="582">
        <v>36.726225595692583</v>
      </c>
      <c r="I201" s="580">
        <v>31.826681967655201</v>
      </c>
      <c r="J201" s="581">
        <v>30.33538792836455</v>
      </c>
      <c r="K201" s="583">
        <v>50.821167445717528</v>
      </c>
      <c r="L201" s="584">
        <v>44.006773223767716</v>
      </c>
      <c r="M201" s="584">
        <v>41.935711892487362</v>
      </c>
      <c r="N201" s="690"/>
      <c r="O201" s="691"/>
      <c r="P201" s="691"/>
    </row>
    <row r="202" spans="1:16">
      <c r="A202" s="16">
        <v>36068</v>
      </c>
      <c r="B202" s="573">
        <v>40.174704201758445</v>
      </c>
      <c r="C202" s="574">
        <v>33.785615395705548</v>
      </c>
      <c r="D202" s="575">
        <v>33.102578799594475</v>
      </c>
      <c r="E202" s="576">
        <v>55.200074409276056</v>
      </c>
      <c r="F202" s="574">
        <v>46.396355160007268</v>
      </c>
      <c r="G202" s="575">
        <v>45.451845348901635</v>
      </c>
      <c r="H202" s="576">
        <v>36.800153003589529</v>
      </c>
      <c r="I202" s="574">
        <v>30.949605476753163</v>
      </c>
      <c r="J202" s="575">
        <v>30.324392189906046</v>
      </c>
      <c r="K202" s="577">
        <v>51.327219108607167</v>
      </c>
      <c r="L202" s="578">
        <v>43.133336068042688</v>
      </c>
      <c r="M202" s="578">
        <v>42.252882562643194</v>
      </c>
      <c r="N202" s="688"/>
      <c r="O202" s="689"/>
      <c r="P202" s="689"/>
    </row>
    <row r="203" spans="1:16">
      <c r="A203" s="16">
        <v>36099</v>
      </c>
      <c r="B203" s="579">
        <v>38.567445584094152</v>
      </c>
      <c r="C203" s="580">
        <v>33.017816651910614</v>
      </c>
      <c r="D203" s="581">
        <v>33.345150872316005</v>
      </c>
      <c r="E203" s="582">
        <v>53.08430454497001</v>
      </c>
      <c r="F203" s="580">
        <v>45.421206212311318</v>
      </c>
      <c r="G203" s="581">
        <v>45.864922108869152</v>
      </c>
      <c r="H203" s="582">
        <v>35.304759355411761</v>
      </c>
      <c r="I203" s="580">
        <v>30.226445473862611</v>
      </c>
      <c r="J203" s="581">
        <v>30.526597969894386</v>
      </c>
      <c r="K203" s="583">
        <v>47.200871736984098</v>
      </c>
      <c r="L203" s="584">
        <v>40.379753531709149</v>
      </c>
      <c r="M203" s="584">
        <v>40.771932660446417</v>
      </c>
      <c r="N203" s="690"/>
      <c r="O203" s="691"/>
      <c r="P203" s="691"/>
    </row>
    <row r="204" spans="1:16">
      <c r="A204" s="16">
        <v>36129</v>
      </c>
      <c r="B204" s="573">
        <v>37.388663558073098</v>
      </c>
      <c r="C204" s="574">
        <v>33.09431353353105</v>
      </c>
      <c r="D204" s="575">
        <v>33.178508985699061</v>
      </c>
      <c r="E204" s="576">
        <v>52.831676592864206</v>
      </c>
      <c r="F204" s="574">
        <v>46.73829693886637</v>
      </c>
      <c r="G204" s="575">
        <v>46.850478789776211</v>
      </c>
      <c r="H204" s="576">
        <v>33.883404540111471</v>
      </c>
      <c r="I204" s="574">
        <v>29.9934776078337</v>
      </c>
      <c r="J204" s="575">
        <v>30.07026841198704</v>
      </c>
      <c r="K204" s="577">
        <v>46.107298485437354</v>
      </c>
      <c r="L204" s="578">
        <v>40.782071361094545</v>
      </c>
      <c r="M204" s="578">
        <v>40.87766382695704</v>
      </c>
      <c r="N204" s="688"/>
      <c r="O204" s="689"/>
      <c r="P204" s="689"/>
    </row>
    <row r="205" spans="1:16">
      <c r="A205" s="16">
        <v>36160</v>
      </c>
      <c r="B205" s="579">
        <v>37.515375078521473</v>
      </c>
      <c r="C205" s="580">
        <v>32.241995687971411</v>
      </c>
      <c r="D205" s="581">
        <v>32.459449405069641</v>
      </c>
      <c r="E205" s="582">
        <v>53.723400963656395</v>
      </c>
      <c r="F205" s="580">
        <v>46.146755893329278</v>
      </c>
      <c r="G205" s="581">
        <v>46.451321173842111</v>
      </c>
      <c r="H205" s="582">
        <v>33.8201552263614</v>
      </c>
      <c r="I205" s="580">
        <v>29.067960821455372</v>
      </c>
      <c r="J205" s="581">
        <v>29.264478731889827</v>
      </c>
      <c r="K205" s="583">
        <v>45.568048588372143</v>
      </c>
      <c r="L205" s="584">
        <v>39.134448821304126</v>
      </c>
      <c r="M205" s="584">
        <v>39.390523627111335</v>
      </c>
      <c r="N205" s="690"/>
      <c r="O205" s="691"/>
      <c r="P205" s="691"/>
    </row>
    <row r="206" spans="1:16">
      <c r="A206" s="16">
        <v>36191</v>
      </c>
      <c r="B206" s="573">
        <v>37.08431056474825</v>
      </c>
      <c r="C206" s="574">
        <v>32.379221918179454</v>
      </c>
      <c r="D206" s="575">
        <v>32.73101977577754</v>
      </c>
      <c r="E206" s="576">
        <v>52.976072517735282</v>
      </c>
      <c r="F206" s="574">
        <v>46.229693257669695</v>
      </c>
      <c r="G206" s="575">
        <v>46.725268092890474</v>
      </c>
      <c r="H206" s="576">
        <v>33.464041113239908</v>
      </c>
      <c r="I206" s="574">
        <v>29.220048398097227</v>
      </c>
      <c r="J206" s="575">
        <v>29.537997705781251</v>
      </c>
      <c r="K206" s="577">
        <v>44.051749149391561</v>
      </c>
      <c r="L206" s="578">
        <v>38.434879558815886</v>
      </c>
      <c r="M206" s="578">
        <v>38.844716120043657</v>
      </c>
      <c r="N206" s="688"/>
      <c r="O206" s="689"/>
      <c r="P206" s="689"/>
    </row>
    <row r="207" spans="1:16">
      <c r="A207" s="16">
        <v>36219</v>
      </c>
      <c r="B207" s="579">
        <v>36.183590106695611</v>
      </c>
      <c r="C207" s="580">
        <v>32.612620890164472</v>
      </c>
      <c r="D207" s="581">
        <v>32.398519217812698</v>
      </c>
      <c r="E207" s="582">
        <v>51.302729663885984</v>
      </c>
      <c r="F207" s="580">
        <v>46.214640094929088</v>
      </c>
      <c r="G207" s="581">
        <v>45.904651670167965</v>
      </c>
      <c r="H207" s="582">
        <v>32.747862899151734</v>
      </c>
      <c r="I207" s="580">
        <v>29.517757288041036</v>
      </c>
      <c r="J207" s="581">
        <v>29.324445576396528</v>
      </c>
      <c r="K207" s="583">
        <v>43.531451835978089</v>
      </c>
      <c r="L207" s="584">
        <v>39.206977804107034</v>
      </c>
      <c r="M207" s="584">
        <v>38.941809260653677</v>
      </c>
      <c r="N207" s="690"/>
      <c r="O207" s="691"/>
      <c r="P207" s="691"/>
    </row>
    <row r="208" spans="1:16">
      <c r="A208" s="16">
        <v>36250</v>
      </c>
      <c r="B208" s="573">
        <v>36.846467423222521</v>
      </c>
      <c r="C208" s="574">
        <v>33.151682410691016</v>
      </c>
      <c r="D208" s="575">
        <v>32.481645778368318</v>
      </c>
      <c r="E208" s="576">
        <v>52.288816143603214</v>
      </c>
      <c r="F208" s="574">
        <v>47.020103458648549</v>
      </c>
      <c r="G208" s="575">
        <v>46.063156504384025</v>
      </c>
      <c r="H208" s="576">
        <v>33.33624668609994</v>
      </c>
      <c r="I208" s="574">
        <v>29.995269219491533</v>
      </c>
      <c r="J208" s="575">
        <v>29.38950086003549</v>
      </c>
      <c r="K208" s="577">
        <v>44.289879880656954</v>
      </c>
      <c r="L208" s="578">
        <v>39.819920320546061</v>
      </c>
      <c r="M208" s="578">
        <v>39.00732229170449</v>
      </c>
      <c r="N208" s="688"/>
      <c r="O208" s="689"/>
      <c r="P208" s="689"/>
    </row>
    <row r="209" spans="1:16">
      <c r="A209" s="16">
        <v>36280</v>
      </c>
      <c r="B209" s="579">
        <v>35.654709514270756</v>
      </c>
      <c r="C209" s="580">
        <v>32.868846467610773</v>
      </c>
      <c r="D209" s="581">
        <v>32.019364808506353</v>
      </c>
      <c r="E209" s="582">
        <v>51.531164041499601</v>
      </c>
      <c r="F209" s="580">
        <v>47.479109859778838</v>
      </c>
      <c r="G209" s="581">
        <v>46.245393536948384</v>
      </c>
      <c r="H209" s="582">
        <v>32.024744859592708</v>
      </c>
      <c r="I209" s="580">
        <v>29.524298368398487</v>
      </c>
      <c r="J209" s="581">
        <v>28.761718300389266</v>
      </c>
      <c r="K209" s="583">
        <v>45.86401423919893</v>
      </c>
      <c r="L209" s="584">
        <v>42.249910371394975</v>
      </c>
      <c r="M209" s="584">
        <v>41.149763233704739</v>
      </c>
      <c r="N209" s="690"/>
      <c r="O209" s="691"/>
      <c r="P209" s="691"/>
    </row>
    <row r="210" spans="1:16">
      <c r="A210" s="16">
        <v>36311</v>
      </c>
      <c r="B210" s="573">
        <v>34.482489759771568</v>
      </c>
      <c r="C210" s="574">
        <v>32.938201095699647</v>
      </c>
      <c r="D210" s="575">
        <v>31.946384184129883</v>
      </c>
      <c r="E210" s="576">
        <v>50.518427800395685</v>
      </c>
      <c r="F210" s="574">
        <v>48.229875640671779</v>
      </c>
      <c r="G210" s="575">
        <v>46.770890353736903</v>
      </c>
      <c r="H210" s="576">
        <v>30.801587785171087</v>
      </c>
      <c r="I210" s="574">
        <v>29.423932265661652</v>
      </c>
      <c r="J210" s="575">
        <v>28.538394616481042</v>
      </c>
      <c r="K210" s="577">
        <v>45.974877343389203</v>
      </c>
      <c r="L210" s="578">
        <v>43.88418206312538</v>
      </c>
      <c r="M210" s="578">
        <v>42.554269617293777</v>
      </c>
      <c r="N210" s="688"/>
      <c r="O210" s="689"/>
      <c r="P210" s="689"/>
    </row>
    <row r="211" spans="1:16">
      <c r="A211" s="16">
        <v>36341</v>
      </c>
      <c r="B211" s="579">
        <v>34.890707519542893</v>
      </c>
      <c r="C211" s="580">
        <v>33.241930487425975</v>
      </c>
      <c r="D211" s="581">
        <v>32.021162031612718</v>
      </c>
      <c r="E211" s="582">
        <v>51.992070969969852</v>
      </c>
      <c r="F211" s="580">
        <v>49.508370526289916</v>
      </c>
      <c r="G211" s="581">
        <v>47.683392429065172</v>
      </c>
      <c r="H211" s="582">
        <v>30.947440786217811</v>
      </c>
      <c r="I211" s="580">
        <v>29.48679349721084</v>
      </c>
      <c r="J211" s="581">
        <v>28.404385149263444</v>
      </c>
      <c r="K211" s="583">
        <v>45.402102596185237</v>
      </c>
      <c r="L211" s="584">
        <v>43.225357577968545</v>
      </c>
      <c r="M211" s="584">
        <v>41.629648610543704</v>
      </c>
      <c r="N211" s="690"/>
      <c r="O211" s="691"/>
      <c r="P211" s="691"/>
    </row>
    <row r="212" spans="1:16">
      <c r="A212" s="16">
        <v>36372</v>
      </c>
      <c r="B212" s="573">
        <v>35.037101124818129</v>
      </c>
      <c r="C212" s="574">
        <v>33.517726860954625</v>
      </c>
      <c r="D212" s="575">
        <v>32.246432287834836</v>
      </c>
      <c r="E212" s="576">
        <v>51.767339666249335</v>
      </c>
      <c r="F212" s="574">
        <v>49.495679750269339</v>
      </c>
      <c r="G212" s="575">
        <v>47.611522470260113</v>
      </c>
      <c r="H212" s="576">
        <v>31.187954492917303</v>
      </c>
      <c r="I212" s="574">
        <v>29.837307470914897</v>
      </c>
      <c r="J212" s="575">
        <v>28.706069844081917</v>
      </c>
      <c r="K212" s="577">
        <v>48.734950451628407</v>
      </c>
      <c r="L212" s="578">
        <v>46.587894988525939</v>
      </c>
      <c r="M212" s="578">
        <v>44.811914775946512</v>
      </c>
      <c r="N212" s="688"/>
      <c r="O212" s="689"/>
      <c r="P212" s="689"/>
    </row>
    <row r="213" spans="1:16">
      <c r="A213" s="16">
        <v>36403</v>
      </c>
      <c r="B213" s="579">
        <v>36.633318927908533</v>
      </c>
      <c r="C213" s="580">
        <v>33.736303752626199</v>
      </c>
      <c r="D213" s="581">
        <v>33.076430332303261</v>
      </c>
      <c r="E213" s="582">
        <v>54.637172218765109</v>
      </c>
      <c r="F213" s="580">
        <v>50.289173779194243</v>
      </c>
      <c r="G213" s="581">
        <v>49.298453730230094</v>
      </c>
      <c r="H213" s="582">
        <v>32.481021074026714</v>
      </c>
      <c r="I213" s="580">
        <v>29.914190262496771</v>
      </c>
      <c r="J213" s="581">
        <v>29.329548679302324</v>
      </c>
      <c r="K213" s="583">
        <v>51.295745107313785</v>
      </c>
      <c r="L213" s="584">
        <v>47.205080449739448</v>
      </c>
      <c r="M213" s="584">
        <v>46.272522649013318</v>
      </c>
      <c r="N213" s="690"/>
      <c r="O213" s="691"/>
      <c r="P213" s="691"/>
    </row>
    <row r="214" spans="1:16">
      <c r="A214" s="16">
        <v>36433</v>
      </c>
      <c r="B214" s="573">
        <v>36.79752503646359</v>
      </c>
      <c r="C214" s="574">
        <v>33.774018366867878</v>
      </c>
      <c r="D214" s="575">
        <v>33.411683801774842</v>
      </c>
      <c r="E214" s="576">
        <v>53.702971138475498</v>
      </c>
      <c r="F214" s="574">
        <v>49.263753067979536</v>
      </c>
      <c r="G214" s="575">
        <v>48.728246568697116</v>
      </c>
      <c r="H214" s="576">
        <v>32.921246921357969</v>
      </c>
      <c r="I214" s="574">
        <v>30.21807180314207</v>
      </c>
      <c r="J214" s="575">
        <v>29.894367534648126</v>
      </c>
      <c r="K214" s="577">
        <v>53.391155018615819</v>
      </c>
      <c r="L214" s="578">
        <v>48.968816733276078</v>
      </c>
      <c r="M214" s="578">
        <v>48.433799183555166</v>
      </c>
      <c r="N214" s="688"/>
      <c r="O214" s="689"/>
      <c r="P214" s="689"/>
    </row>
    <row r="215" spans="1:16">
      <c r="A215" s="16">
        <v>36464</v>
      </c>
      <c r="B215" s="579">
        <v>37.340657192453655</v>
      </c>
      <c r="C215" s="580">
        <v>34.088161425281008</v>
      </c>
      <c r="D215" s="581">
        <v>34.038533850381476</v>
      </c>
      <c r="E215" s="582">
        <v>52.117829427435147</v>
      </c>
      <c r="F215" s="580">
        <v>47.552460752959433</v>
      </c>
      <c r="G215" s="581">
        <v>47.476415851106147</v>
      </c>
      <c r="H215" s="582">
        <v>34.00132252431635</v>
      </c>
      <c r="I215" s="580">
        <v>31.041577054680701</v>
      </c>
      <c r="J215" s="581">
        <v>30.996884007829934</v>
      </c>
      <c r="K215" s="583">
        <v>52.55344042550589</v>
      </c>
      <c r="L215" s="584">
        <v>47.941204491449248</v>
      </c>
      <c r="M215" s="584">
        <v>47.861852938785439</v>
      </c>
      <c r="N215" s="690"/>
      <c r="O215" s="691"/>
      <c r="P215" s="691"/>
    </row>
    <row r="216" spans="1:16">
      <c r="A216" s="16">
        <v>36494</v>
      </c>
      <c r="B216" s="573">
        <v>37.640834488625899</v>
      </c>
      <c r="C216" s="574">
        <v>34.045932413210892</v>
      </c>
      <c r="D216" s="575">
        <v>33.682330170285404</v>
      </c>
      <c r="E216" s="576">
        <v>52.79087135729489</v>
      </c>
      <c r="F216" s="574">
        <v>47.72323496795763</v>
      </c>
      <c r="G216" s="575">
        <v>47.206785981000991</v>
      </c>
      <c r="H216" s="576">
        <v>34.211168360502498</v>
      </c>
      <c r="I216" s="574">
        <v>30.945695135596747</v>
      </c>
      <c r="J216" s="575">
        <v>30.615695660636966</v>
      </c>
      <c r="K216" s="577">
        <v>53.962090292713242</v>
      </c>
      <c r="L216" s="578">
        <v>48.773163108362503</v>
      </c>
      <c r="M216" s="578">
        <v>48.242645718172824</v>
      </c>
      <c r="N216" s="688"/>
      <c r="O216" s="689"/>
      <c r="P216" s="689"/>
    </row>
    <row r="217" spans="1:16">
      <c r="A217" s="16">
        <v>36525</v>
      </c>
      <c r="B217" s="579">
        <v>37.461179600167291</v>
      </c>
      <c r="C217" s="580">
        <v>34.022718377734421</v>
      </c>
      <c r="D217" s="581">
        <v>33.568431833507681</v>
      </c>
      <c r="E217" s="582">
        <v>51.168181166385082</v>
      </c>
      <c r="F217" s="580">
        <v>46.446457588253068</v>
      </c>
      <c r="G217" s="581">
        <v>45.819706345411383</v>
      </c>
      <c r="H217" s="582">
        <v>34.390395881128107</v>
      </c>
      <c r="I217" s="580">
        <v>31.235688549241015</v>
      </c>
      <c r="J217" s="581">
        <v>30.819111939663951</v>
      </c>
      <c r="K217" s="583">
        <v>56.357840245755206</v>
      </c>
      <c r="L217" s="584">
        <v>51.14793110261742</v>
      </c>
      <c r="M217" s="584">
        <v>50.454907451890463</v>
      </c>
      <c r="N217" s="690"/>
      <c r="O217" s="691"/>
      <c r="P217" s="691"/>
    </row>
    <row r="218" spans="1:16">
      <c r="A218" s="16">
        <v>36556</v>
      </c>
      <c r="B218" s="573">
        <v>37.353524127472035</v>
      </c>
      <c r="C218" s="574">
        <v>34.899271733338352</v>
      </c>
      <c r="D218" s="575">
        <v>34.371069200892627</v>
      </c>
      <c r="E218" s="576">
        <v>50.75962374978252</v>
      </c>
      <c r="F218" s="574">
        <v>47.39889661177704</v>
      </c>
      <c r="G218" s="575">
        <v>46.674811392109945</v>
      </c>
      <c r="H218" s="576">
        <v>34.356910779252374</v>
      </c>
      <c r="I218" s="574">
        <v>32.101493389580476</v>
      </c>
      <c r="J218" s="575">
        <v>31.616144497908888</v>
      </c>
      <c r="K218" s="577">
        <v>57.649424975224441</v>
      </c>
      <c r="L218" s="578">
        <v>53.822755805752251</v>
      </c>
      <c r="M218" s="578">
        <v>52.997563960707318</v>
      </c>
      <c r="N218" s="688"/>
      <c r="O218" s="689"/>
      <c r="P218" s="689"/>
    </row>
    <row r="219" spans="1:16">
      <c r="A219" s="16">
        <v>36585</v>
      </c>
      <c r="B219" s="579">
        <v>39.714637277320307</v>
      </c>
      <c r="C219" s="580">
        <v>36.138068432301338</v>
      </c>
      <c r="D219" s="581">
        <v>34.959167109654757</v>
      </c>
      <c r="E219" s="582">
        <v>53.762635137953829</v>
      </c>
      <c r="F219" s="580">
        <v>48.894491945319238</v>
      </c>
      <c r="G219" s="581">
        <v>47.292659899762313</v>
      </c>
      <c r="H219" s="582">
        <v>36.579958041285586</v>
      </c>
      <c r="I219" s="580">
        <v>33.287707409178566</v>
      </c>
      <c r="J219" s="581">
        <v>32.202309517826208</v>
      </c>
      <c r="K219" s="583">
        <v>60.109750622142464</v>
      </c>
      <c r="L219" s="584">
        <v>54.656954607482092</v>
      </c>
      <c r="M219" s="584">
        <v>52.863373012483251</v>
      </c>
      <c r="N219" s="690"/>
      <c r="O219" s="691"/>
      <c r="P219" s="691"/>
    </row>
    <row r="220" spans="1:16">
      <c r="A220" s="16">
        <v>36616</v>
      </c>
      <c r="B220" s="573">
        <v>40.559106000390635</v>
      </c>
      <c r="C220" s="574">
        <v>35.839179860365746</v>
      </c>
      <c r="D220" s="575">
        <v>34.59555218984179</v>
      </c>
      <c r="E220" s="576">
        <v>56.226232158801736</v>
      </c>
      <c r="F220" s="574">
        <v>49.656227890564537</v>
      </c>
      <c r="G220" s="575">
        <v>47.926265745348765</v>
      </c>
      <c r="H220" s="576">
        <v>37.027830099721385</v>
      </c>
      <c r="I220" s="574">
        <v>32.720829001331339</v>
      </c>
      <c r="J220" s="575">
        <v>31.585917427032246</v>
      </c>
      <c r="K220" s="577">
        <v>60.532750360276729</v>
      </c>
      <c r="L220" s="578">
        <v>53.4498220975238</v>
      </c>
      <c r="M220" s="578">
        <v>51.584801945780399</v>
      </c>
      <c r="N220" s="688"/>
      <c r="O220" s="689"/>
      <c r="P220" s="689"/>
    </row>
    <row r="221" spans="1:16">
      <c r="A221" s="16">
        <v>36646</v>
      </c>
      <c r="B221" s="579">
        <v>41.113593750657706</v>
      </c>
      <c r="C221" s="580">
        <v>35.6792331277858</v>
      </c>
      <c r="D221" s="581">
        <v>34.391257183993567</v>
      </c>
      <c r="E221" s="582">
        <v>59.027448758585813</v>
      </c>
      <c r="F221" s="580">
        <v>51.197545301878044</v>
      </c>
      <c r="G221" s="581">
        <v>49.342294544151812</v>
      </c>
      <c r="H221" s="582">
        <v>37.026155746875517</v>
      </c>
      <c r="I221" s="580">
        <v>32.134018663146939</v>
      </c>
      <c r="J221" s="581">
        <v>30.974519321567541</v>
      </c>
      <c r="K221" s="583">
        <v>58.269941658798906</v>
      </c>
      <c r="L221" s="584">
        <v>50.53134085283304</v>
      </c>
      <c r="M221" s="584">
        <v>48.697499556307044</v>
      </c>
      <c r="N221" s="690"/>
      <c r="O221" s="691"/>
      <c r="P221" s="691"/>
    </row>
    <row r="222" spans="1:16">
      <c r="A222" s="16">
        <v>36677</v>
      </c>
      <c r="B222" s="573">
        <v>42.970899591233582</v>
      </c>
      <c r="C222" s="574">
        <v>36.909669700509191</v>
      </c>
      <c r="D222" s="575">
        <v>34.779196606240319</v>
      </c>
      <c r="E222" s="576">
        <v>62.171039259281017</v>
      </c>
      <c r="F222" s="574">
        <v>53.372665832403534</v>
      </c>
      <c r="G222" s="575">
        <v>50.284709329516588</v>
      </c>
      <c r="H222" s="576">
        <v>38.579613635182412</v>
      </c>
      <c r="I222" s="574">
        <v>33.139803882292036</v>
      </c>
      <c r="J222" s="575">
        <v>31.227435080947679</v>
      </c>
      <c r="K222" s="577">
        <v>61.298707426369312</v>
      </c>
      <c r="L222" s="578">
        <v>52.614227470028098</v>
      </c>
      <c r="M222" s="578">
        <v>49.567370911496781</v>
      </c>
      <c r="N222" s="688"/>
      <c r="O222" s="689"/>
      <c r="P222" s="689"/>
    </row>
    <row r="223" spans="1:16">
      <c r="A223" s="16">
        <v>36707</v>
      </c>
      <c r="B223" s="579">
        <v>42.672762452898837</v>
      </c>
      <c r="C223" s="580">
        <v>37.051759056441817</v>
      </c>
      <c r="D223" s="581">
        <v>35.447488826852997</v>
      </c>
      <c r="E223" s="582">
        <v>60.923364402009696</v>
      </c>
      <c r="F223" s="580">
        <v>52.869719554002415</v>
      </c>
      <c r="G223" s="581">
        <v>50.573302165471844</v>
      </c>
      <c r="H223" s="582">
        <v>38.515924643116946</v>
      </c>
      <c r="I223" s="580">
        <v>33.44450313809044</v>
      </c>
      <c r="J223" s="581">
        <v>31.996935416008547</v>
      </c>
      <c r="K223" s="583">
        <v>58.817789850148614</v>
      </c>
      <c r="L223" s="584">
        <v>51.033216594058587</v>
      </c>
      <c r="M223" s="584">
        <v>48.813830060746326</v>
      </c>
      <c r="N223" s="690"/>
      <c r="O223" s="691"/>
      <c r="P223" s="691"/>
    </row>
    <row r="224" spans="1:16">
      <c r="A224" s="16">
        <v>36738</v>
      </c>
      <c r="B224" s="573">
        <v>43.230260501629168</v>
      </c>
      <c r="C224" s="574">
        <v>37.414688349472911</v>
      </c>
      <c r="D224" s="575">
        <v>35.609267794198708</v>
      </c>
      <c r="E224" s="576">
        <v>62.356561019007842</v>
      </c>
      <c r="F224" s="574">
        <v>53.938826078945013</v>
      </c>
      <c r="G224" s="575">
        <v>51.328676213768475</v>
      </c>
      <c r="H224" s="576">
        <v>38.859878113746866</v>
      </c>
      <c r="I224" s="574">
        <v>33.634274207117485</v>
      </c>
      <c r="J224" s="575">
        <v>32.011790458645493</v>
      </c>
      <c r="K224" s="577">
        <v>60.990926777101585</v>
      </c>
      <c r="L224" s="578">
        <v>52.747961468375195</v>
      </c>
      <c r="M224" s="578">
        <v>50.192622914448016</v>
      </c>
      <c r="N224" s="688"/>
      <c r="O224" s="689"/>
      <c r="P224" s="689"/>
    </row>
    <row r="225" spans="1:16">
      <c r="A225" s="16">
        <v>36769</v>
      </c>
      <c r="B225" s="579">
        <v>43.79248024813964</v>
      </c>
      <c r="C225" s="580">
        <v>37.871009144390463</v>
      </c>
      <c r="D225" s="581">
        <v>35.636503776145425</v>
      </c>
      <c r="E225" s="582">
        <v>63.839133103893019</v>
      </c>
      <c r="F225" s="580">
        <v>55.177163525375995</v>
      </c>
      <c r="G225" s="581">
        <v>51.914089895030159</v>
      </c>
      <c r="H225" s="582">
        <v>39.197439982619642</v>
      </c>
      <c r="I225" s="580">
        <v>33.899351162634225</v>
      </c>
      <c r="J225" s="581">
        <v>31.899699429431067</v>
      </c>
      <c r="K225" s="583">
        <v>61.449911546252508</v>
      </c>
      <c r="L225" s="584">
        <v>53.1024752633245</v>
      </c>
      <c r="M225" s="584">
        <v>49.959292149876482</v>
      </c>
      <c r="N225" s="690"/>
      <c r="O225" s="691"/>
      <c r="P225" s="691"/>
    </row>
    <row r="226" spans="1:16">
      <c r="A226" s="16">
        <v>36799</v>
      </c>
      <c r="B226" s="573">
        <v>46.320758513248236</v>
      </c>
      <c r="C226" s="574">
        <v>38.591376566385385</v>
      </c>
      <c r="D226" s="575">
        <v>35.912771275471677</v>
      </c>
      <c r="E226" s="576">
        <v>65.531825636142088</v>
      </c>
      <c r="F226" s="574">
        <v>54.567232722756252</v>
      </c>
      <c r="G226" s="575">
        <v>50.772464085043723</v>
      </c>
      <c r="H226" s="576">
        <v>41.958422685829376</v>
      </c>
      <c r="I226" s="574">
        <v>34.959089129606113</v>
      </c>
      <c r="J226" s="575">
        <v>32.533122690777226</v>
      </c>
      <c r="K226" s="577">
        <v>67.719564100889158</v>
      </c>
      <c r="L226" s="578">
        <v>56.378683430504836</v>
      </c>
      <c r="M226" s="578">
        <v>52.454998441726353</v>
      </c>
      <c r="N226" s="688"/>
      <c r="O226" s="689"/>
      <c r="P226" s="689"/>
    </row>
    <row r="227" spans="1:16">
      <c r="A227" s="16">
        <v>36830</v>
      </c>
      <c r="B227" s="579">
        <v>48.135010391864377</v>
      </c>
      <c r="C227" s="580">
        <v>38.476776584469263</v>
      </c>
      <c r="D227" s="581">
        <v>35.588749554061984</v>
      </c>
      <c r="E227" s="582">
        <v>69.343684248064534</v>
      </c>
      <c r="F227" s="580">
        <v>55.399976288355916</v>
      </c>
      <c r="G227" s="581">
        <v>51.234356754639087</v>
      </c>
      <c r="H227" s="582">
        <v>43.290676348544423</v>
      </c>
      <c r="I227" s="580">
        <v>34.606551906289319</v>
      </c>
      <c r="J227" s="581">
        <v>32.009535370306125</v>
      </c>
      <c r="K227" s="583">
        <v>66.314355155019683</v>
      </c>
      <c r="L227" s="584">
        <v>52.970165601814621</v>
      </c>
      <c r="M227" s="584">
        <v>48.984499755359934</v>
      </c>
      <c r="N227" s="690"/>
      <c r="O227" s="691"/>
      <c r="P227" s="691"/>
    </row>
    <row r="228" spans="1:16">
      <c r="A228" s="16">
        <v>36860</v>
      </c>
      <c r="B228" s="573">
        <v>48.117515049394818</v>
      </c>
      <c r="C228" s="574">
        <v>38.143517116474172</v>
      </c>
      <c r="D228" s="575">
        <v>35.16206733864658</v>
      </c>
      <c r="E228" s="576">
        <v>69.748983486954884</v>
      </c>
      <c r="F228" s="574">
        <v>55.261221783460336</v>
      </c>
      <c r="G228" s="575">
        <v>50.934472180892435</v>
      </c>
      <c r="H228" s="576">
        <v>43.16736886796339</v>
      </c>
      <c r="I228" s="574">
        <v>34.221533771628685</v>
      </c>
      <c r="J228" s="575">
        <v>31.54714988012261</v>
      </c>
      <c r="K228" s="577">
        <v>65.246997455734572</v>
      </c>
      <c r="L228" s="578">
        <v>51.684967092309776</v>
      </c>
      <c r="M228" s="578">
        <v>47.635552741190885</v>
      </c>
      <c r="N228" s="688"/>
      <c r="O228" s="689"/>
      <c r="P228" s="689"/>
    </row>
    <row r="229" spans="1:16">
      <c r="A229" s="16">
        <v>36891</v>
      </c>
      <c r="B229" s="579">
        <v>45.966437305895944</v>
      </c>
      <c r="C229" s="580">
        <v>37.867589673289423</v>
      </c>
      <c r="D229" s="581">
        <v>35.216028904321192</v>
      </c>
      <c r="E229" s="582">
        <v>67.286854874082906</v>
      </c>
      <c r="F229" s="580">
        <v>55.401573815733251</v>
      </c>
      <c r="G229" s="581">
        <v>51.514855160975202</v>
      </c>
      <c r="H229" s="582">
        <v>41.073672204436043</v>
      </c>
      <c r="I229" s="580">
        <v>33.838935906206267</v>
      </c>
      <c r="J229" s="581">
        <v>31.469975895966169</v>
      </c>
      <c r="K229" s="583">
        <v>64.738484382301635</v>
      </c>
      <c r="L229" s="584">
        <v>53.293655955480169</v>
      </c>
      <c r="M229" s="584">
        <v>49.552039289561606</v>
      </c>
      <c r="N229" s="690"/>
      <c r="O229" s="691"/>
      <c r="P229" s="691"/>
    </row>
    <row r="230" spans="1:16">
      <c r="A230" s="16">
        <v>36922</v>
      </c>
      <c r="B230" s="573">
        <v>45.565234817599489</v>
      </c>
      <c r="C230" s="574">
        <v>37.852820204947626</v>
      </c>
      <c r="D230" s="575">
        <v>35.425914436388666</v>
      </c>
      <c r="E230" s="576">
        <v>67.47770054505952</v>
      </c>
      <c r="F230" s="574">
        <v>56.026044108595919</v>
      </c>
      <c r="G230" s="575">
        <v>52.426449664320948</v>
      </c>
      <c r="H230" s="576">
        <v>40.520736149816436</v>
      </c>
      <c r="I230" s="574">
        <v>33.664200349597962</v>
      </c>
      <c r="J230" s="575">
        <v>31.506352199847665</v>
      </c>
      <c r="K230" s="577">
        <v>64.303199048728786</v>
      </c>
      <c r="L230" s="578">
        <v>53.380590870765701</v>
      </c>
      <c r="M230" s="578">
        <v>49.948161053207016</v>
      </c>
      <c r="N230" s="688"/>
      <c r="O230" s="689"/>
      <c r="P230" s="689"/>
    </row>
    <row r="231" spans="1:16">
      <c r="A231" s="16">
        <v>36950</v>
      </c>
      <c r="B231" s="579">
        <v>47.497229367806632</v>
      </c>
      <c r="C231" s="580">
        <v>38.24976804019586</v>
      </c>
      <c r="D231" s="581">
        <v>35.562894567527493</v>
      </c>
      <c r="E231" s="582">
        <v>70.007210891914582</v>
      </c>
      <c r="F231" s="580">
        <v>56.346683558968849</v>
      </c>
      <c r="G231" s="581">
        <v>52.381064238580386</v>
      </c>
      <c r="H231" s="582">
        <v>42.321696660561869</v>
      </c>
      <c r="I231" s="580">
        <v>34.083952068607573</v>
      </c>
      <c r="J231" s="581">
        <v>31.690218649132035</v>
      </c>
      <c r="K231" s="583">
        <v>66.113228080375407</v>
      </c>
      <c r="L231" s="584">
        <v>53.20286988848585</v>
      </c>
      <c r="M231" s="584">
        <v>49.455734417233934</v>
      </c>
      <c r="N231" s="690"/>
      <c r="O231" s="691"/>
      <c r="P231" s="691"/>
    </row>
    <row r="232" spans="1:16">
      <c r="A232" s="16">
        <v>36981</v>
      </c>
      <c r="B232" s="573">
        <v>49.399358952650857</v>
      </c>
      <c r="C232" s="574">
        <v>37.893550319364067</v>
      </c>
      <c r="D232" s="575">
        <v>34.89296335473685</v>
      </c>
      <c r="E232" s="576">
        <v>74.980350271297596</v>
      </c>
      <c r="F232" s="574">
        <v>57.485260508605208</v>
      </c>
      <c r="G232" s="575">
        <v>52.925713676160925</v>
      </c>
      <c r="H232" s="576">
        <v>43.474440283754021</v>
      </c>
      <c r="I232" s="574">
        <v>33.350652107873138</v>
      </c>
      <c r="J232" s="575">
        <v>30.710287395811292</v>
      </c>
      <c r="K232" s="577">
        <v>66.919381080533796</v>
      </c>
      <c r="L232" s="578">
        <v>51.29583073758166</v>
      </c>
      <c r="M232" s="578">
        <v>47.224560431205632</v>
      </c>
      <c r="N232" s="688"/>
      <c r="O232" s="689"/>
      <c r="P232" s="689"/>
    </row>
    <row r="233" spans="1:16">
      <c r="A233" s="16">
        <v>37011</v>
      </c>
      <c r="B233" s="579">
        <v>50.396407041230106</v>
      </c>
      <c r="C233" s="580">
        <v>38.776142801023546</v>
      </c>
      <c r="D233" s="581">
        <v>35.326322666325012</v>
      </c>
      <c r="E233" s="582">
        <v>74.81911513861607</v>
      </c>
      <c r="F233" s="580">
        <v>57.536395865629906</v>
      </c>
      <c r="G233" s="581">
        <v>52.409997740699602</v>
      </c>
      <c r="H233" s="582">
        <v>44.770346203326774</v>
      </c>
      <c r="I233" s="580">
        <v>34.449413366055801</v>
      </c>
      <c r="J233" s="581">
        <v>31.38503731904332</v>
      </c>
      <c r="K233" s="583">
        <v>66.53060444208073</v>
      </c>
      <c r="L233" s="584">
        <v>51.153183651113629</v>
      </c>
      <c r="M233" s="584">
        <v>46.592905429247637</v>
      </c>
      <c r="N233" s="690"/>
      <c r="O233" s="691"/>
      <c r="P233" s="691"/>
    </row>
    <row r="234" spans="1:16">
      <c r="A234" s="16">
        <v>37042</v>
      </c>
      <c r="B234" s="573">
        <v>49.896812089972137</v>
      </c>
      <c r="C234" s="574">
        <v>39.990675180592334</v>
      </c>
      <c r="D234" s="575">
        <v>36.309102321857281</v>
      </c>
      <c r="E234" s="576">
        <v>71.907857228334009</v>
      </c>
      <c r="F234" s="574">
        <v>57.600644084084493</v>
      </c>
      <c r="G234" s="575">
        <v>52.290377465978665</v>
      </c>
      <c r="H234" s="576">
        <v>44.868645748486486</v>
      </c>
      <c r="I234" s="574">
        <v>35.962944740582067</v>
      </c>
      <c r="J234" s="575">
        <v>32.652693690661266</v>
      </c>
      <c r="K234" s="577">
        <v>65.662356162514882</v>
      </c>
      <c r="L234" s="578">
        <v>52.588231701813015</v>
      </c>
      <c r="M234" s="578">
        <v>47.737386886796472</v>
      </c>
      <c r="N234" s="688"/>
      <c r="O234" s="689"/>
      <c r="P234" s="689"/>
    </row>
    <row r="235" spans="1:16">
      <c r="A235" s="16">
        <v>37072</v>
      </c>
      <c r="B235" s="579">
        <v>49.66231463823928</v>
      </c>
      <c r="C235" s="580">
        <v>40.051088783971153</v>
      </c>
      <c r="D235" s="581">
        <v>36.002293373273844</v>
      </c>
      <c r="E235" s="582">
        <v>71.130792841736593</v>
      </c>
      <c r="F235" s="580">
        <v>57.333713810814004</v>
      </c>
      <c r="G235" s="581">
        <v>51.530407380516777</v>
      </c>
      <c r="H235" s="582">
        <v>44.767505628315376</v>
      </c>
      <c r="I235" s="580">
        <v>36.105770186500727</v>
      </c>
      <c r="J235" s="581">
        <v>32.456332701323021</v>
      </c>
      <c r="K235" s="583">
        <v>62.779919821772204</v>
      </c>
      <c r="L235" s="584">
        <v>50.593449921354647</v>
      </c>
      <c r="M235" s="584">
        <v>45.469840790046042</v>
      </c>
      <c r="N235" s="690"/>
      <c r="O235" s="691"/>
      <c r="P235" s="691"/>
    </row>
    <row r="236" spans="1:16">
      <c r="A236" s="16">
        <v>37103</v>
      </c>
      <c r="B236" s="573">
        <v>49.92177237829339</v>
      </c>
      <c r="C236" s="574">
        <v>39.631196542715138</v>
      </c>
      <c r="D236" s="575">
        <v>35.632808230311433</v>
      </c>
      <c r="E236" s="576">
        <v>71.792992417406523</v>
      </c>
      <c r="F236" s="574">
        <v>56.963189654506138</v>
      </c>
      <c r="G236" s="575">
        <v>51.208826933002626</v>
      </c>
      <c r="H236" s="576">
        <v>44.928781182732294</v>
      </c>
      <c r="I236" s="574">
        <v>35.669594581714051</v>
      </c>
      <c r="J236" s="575">
        <v>32.071408412326313</v>
      </c>
      <c r="K236" s="577">
        <v>61.104705087762234</v>
      </c>
      <c r="L236" s="578">
        <v>48.473905233778005</v>
      </c>
      <c r="M236" s="578">
        <v>43.574676801087506</v>
      </c>
      <c r="N236" s="688"/>
      <c r="O236" s="689"/>
      <c r="P236" s="689"/>
    </row>
    <row r="237" spans="1:16">
      <c r="A237" s="16">
        <v>37134</v>
      </c>
      <c r="B237" s="579">
        <v>48.839511703555928</v>
      </c>
      <c r="C237" s="580">
        <v>39.154029056799153</v>
      </c>
      <c r="D237" s="581">
        <v>35.857329718329147</v>
      </c>
      <c r="E237" s="582">
        <v>70.442579602621223</v>
      </c>
      <c r="F237" s="580">
        <v>56.442397376402241</v>
      </c>
      <c r="G237" s="581">
        <v>51.682629296512964</v>
      </c>
      <c r="H237" s="582">
        <v>43.909586351059346</v>
      </c>
      <c r="I237" s="580">
        <v>35.203904837067228</v>
      </c>
      <c r="J237" s="581">
        <v>32.240318056701831</v>
      </c>
      <c r="K237" s="583">
        <v>57.427149026438599</v>
      </c>
      <c r="L237" s="584">
        <v>46.005374452901535</v>
      </c>
      <c r="M237" s="584">
        <v>42.123393888203623</v>
      </c>
      <c r="N237" s="690"/>
      <c r="O237" s="691"/>
      <c r="P237" s="691"/>
    </row>
    <row r="238" spans="1:16">
      <c r="A238" s="16">
        <v>37164</v>
      </c>
      <c r="B238" s="573">
        <v>50.826614714448603</v>
      </c>
      <c r="C238" s="574">
        <v>38.943501281881339</v>
      </c>
      <c r="D238" s="575">
        <v>36.007068297707718</v>
      </c>
      <c r="E238" s="576">
        <v>73.91452276087</v>
      </c>
      <c r="F238" s="574">
        <v>56.602894788728889</v>
      </c>
      <c r="G238" s="575">
        <v>52.327389816359407</v>
      </c>
      <c r="H238" s="576">
        <v>45.563228897015421</v>
      </c>
      <c r="I238" s="574">
        <v>34.912797585837588</v>
      </c>
      <c r="J238" s="575">
        <v>32.280809088293744</v>
      </c>
      <c r="K238" s="577">
        <v>57.350752885312453</v>
      </c>
      <c r="L238" s="578">
        <v>43.91057275689662</v>
      </c>
      <c r="M238" s="578">
        <v>40.591506396758739</v>
      </c>
      <c r="N238" s="688"/>
      <c r="O238" s="689"/>
      <c r="P238" s="689"/>
    </row>
    <row r="239" spans="1:16">
      <c r="A239" s="16">
        <v>37195</v>
      </c>
      <c r="B239" s="579">
        <v>48.725036436186713</v>
      </c>
      <c r="C239" s="580">
        <v>37.422578398788545</v>
      </c>
      <c r="D239" s="581">
        <v>34.419263001005007</v>
      </c>
      <c r="E239" s="582">
        <v>69.144299058906086</v>
      </c>
      <c r="F239" s="580">
        <v>53.076584462975859</v>
      </c>
      <c r="G239" s="581">
        <v>48.809964248651134</v>
      </c>
      <c r="H239" s="582">
        <v>44.055185590506071</v>
      </c>
      <c r="I239" s="580">
        <v>33.838017943427367</v>
      </c>
      <c r="J239" s="581">
        <v>31.12287938153651</v>
      </c>
      <c r="K239" s="583">
        <v>55.120637336436452</v>
      </c>
      <c r="L239" s="584">
        <v>42.304048652986879</v>
      </c>
      <c r="M239" s="584">
        <v>38.901208397992072</v>
      </c>
      <c r="N239" s="690"/>
      <c r="O239" s="691"/>
      <c r="P239" s="691"/>
    </row>
    <row r="240" spans="1:16">
      <c r="A240" s="16">
        <v>37225</v>
      </c>
      <c r="B240" s="573">
        <v>47.73580803534643</v>
      </c>
      <c r="C240" s="574">
        <v>37.858857092957642</v>
      </c>
      <c r="D240" s="575">
        <v>34.521659437971266</v>
      </c>
      <c r="E240" s="576">
        <v>69.266266066845745</v>
      </c>
      <c r="F240" s="574">
        <v>54.904766956502748</v>
      </c>
      <c r="G240" s="575">
        <v>50.05781387529742</v>
      </c>
      <c r="H240" s="576">
        <v>42.826147833529163</v>
      </c>
      <c r="I240" s="574">
        <v>33.967108574809906</v>
      </c>
      <c r="J240" s="575">
        <v>30.973461074445396</v>
      </c>
      <c r="K240" s="577">
        <v>56.061103582660913</v>
      </c>
      <c r="L240" s="578">
        <v>44.429459667476024</v>
      </c>
      <c r="M240" s="578">
        <v>40.504986860123346</v>
      </c>
      <c r="N240" s="688"/>
      <c r="O240" s="689"/>
      <c r="P240" s="689"/>
    </row>
    <row r="241" spans="1:16">
      <c r="A241" s="16">
        <v>37256</v>
      </c>
      <c r="B241" s="579">
        <v>47.92953194141834</v>
      </c>
      <c r="C241" s="580">
        <v>37.949236765731293</v>
      </c>
      <c r="D241" s="581">
        <v>34.47536712342098</v>
      </c>
      <c r="E241" s="582">
        <v>71.146143091321733</v>
      </c>
      <c r="F241" s="580">
        <v>56.301021484463845</v>
      </c>
      <c r="G241" s="581">
        <v>51.139890070390649</v>
      </c>
      <c r="H241" s="582">
        <v>42.649313971295705</v>
      </c>
      <c r="I241" s="580">
        <v>33.770559396238028</v>
      </c>
      <c r="J241" s="581">
        <v>30.679699517561104</v>
      </c>
      <c r="K241" s="583">
        <v>57.267215075284781</v>
      </c>
      <c r="L241" s="584">
        <v>45.30979421788917</v>
      </c>
      <c r="M241" s="584">
        <v>41.15392320722281</v>
      </c>
      <c r="N241" s="690"/>
      <c r="O241" s="691"/>
      <c r="P241" s="691"/>
    </row>
    <row r="242" spans="1:16">
      <c r="A242" s="16">
        <v>37287</v>
      </c>
      <c r="B242" s="573">
        <v>48.172867729022485</v>
      </c>
      <c r="C242" s="574">
        <v>38.627036073020108</v>
      </c>
      <c r="D242" s="575">
        <v>34.826535837465819</v>
      </c>
      <c r="E242" s="576">
        <v>72.310748796206298</v>
      </c>
      <c r="F242" s="574">
        <v>57.950448086606855</v>
      </c>
      <c r="G242" s="575">
        <v>52.241225085805709</v>
      </c>
      <c r="H242" s="576">
        <v>42.689645951015194</v>
      </c>
      <c r="I242" s="574">
        <v>34.232434388603984</v>
      </c>
      <c r="J242" s="575">
        <v>30.864814440264247</v>
      </c>
      <c r="K242" s="577">
        <v>59.120408387539193</v>
      </c>
      <c r="L242" s="578">
        <v>47.37099185050544</v>
      </c>
      <c r="M242" s="578">
        <v>42.701651310667749</v>
      </c>
      <c r="N242" s="688"/>
      <c r="O242" s="689"/>
      <c r="P242" s="689"/>
    </row>
    <row r="243" spans="1:16">
      <c r="A243" s="16">
        <v>37315</v>
      </c>
      <c r="B243" s="579">
        <v>48.302697918365531</v>
      </c>
      <c r="C243" s="580">
        <v>38.753842547160659</v>
      </c>
      <c r="D243" s="581">
        <v>34.673499934389746</v>
      </c>
      <c r="E243" s="582">
        <v>71.620367633192231</v>
      </c>
      <c r="F243" s="580">
        <v>57.430815442826756</v>
      </c>
      <c r="G243" s="581">
        <v>51.376623125153131</v>
      </c>
      <c r="H243" s="582">
        <v>42.998848805340479</v>
      </c>
      <c r="I243" s="580">
        <v>34.500592788079473</v>
      </c>
      <c r="J243" s="581">
        <v>30.868566476095456</v>
      </c>
      <c r="K243" s="583">
        <v>59.61048626221681</v>
      </c>
      <c r="L243" s="584">
        <v>47.791670870356512</v>
      </c>
      <c r="M243" s="584">
        <v>42.751211326111132</v>
      </c>
      <c r="N243" s="690"/>
      <c r="O243" s="691"/>
      <c r="P243" s="691"/>
    </row>
    <row r="244" spans="1:16">
      <c r="A244" s="16">
        <v>37346</v>
      </c>
      <c r="B244" s="573">
        <v>48.44368810061048</v>
      </c>
      <c r="C244" s="574">
        <v>39.580068187326702</v>
      </c>
      <c r="D244" s="575">
        <v>35.563256568348997</v>
      </c>
      <c r="E244" s="576">
        <v>71.822073972473603</v>
      </c>
      <c r="F244" s="574">
        <v>58.649232836392962</v>
      </c>
      <c r="G244" s="575">
        <v>52.689609812890211</v>
      </c>
      <c r="H244" s="576">
        <v>43.125968614097957</v>
      </c>
      <c r="I244" s="574">
        <v>35.237456127573886</v>
      </c>
      <c r="J244" s="575">
        <v>31.661867446409232</v>
      </c>
      <c r="K244" s="577">
        <v>60.470413785549248</v>
      </c>
      <c r="L244" s="578">
        <v>49.37060477881591</v>
      </c>
      <c r="M244" s="578">
        <v>44.35133853046181</v>
      </c>
      <c r="N244" s="688"/>
      <c r="O244" s="689"/>
      <c r="P244" s="689"/>
    </row>
    <row r="245" spans="1:16">
      <c r="A245" s="16">
        <v>37376</v>
      </c>
      <c r="B245" s="579">
        <v>47.695519729787641</v>
      </c>
      <c r="C245" s="580">
        <v>39.577316845263475</v>
      </c>
      <c r="D245" s="581">
        <v>35.726550887823919</v>
      </c>
      <c r="E245" s="582">
        <v>68.536270610985497</v>
      </c>
      <c r="F245" s="580">
        <v>56.840028354082285</v>
      </c>
      <c r="G245" s="581">
        <v>51.302282827114922</v>
      </c>
      <c r="H245" s="582">
        <v>42.937279953443827</v>
      </c>
      <c r="I245" s="580">
        <v>35.6311334540109</v>
      </c>
      <c r="J245" s="581">
        <v>32.164838410785784</v>
      </c>
      <c r="K245" s="583">
        <v>58.935160703573573</v>
      </c>
      <c r="L245" s="584">
        <v>48.868544296241964</v>
      </c>
      <c r="M245" s="584">
        <v>44.104961212662879</v>
      </c>
      <c r="N245" s="690"/>
      <c r="O245" s="691"/>
      <c r="P245" s="691"/>
    </row>
    <row r="246" spans="1:16">
      <c r="A246" s="16">
        <v>37407</v>
      </c>
      <c r="B246" s="573">
        <v>46.272162435260945</v>
      </c>
      <c r="C246" s="574">
        <v>38.794859149682878</v>
      </c>
      <c r="D246" s="575">
        <v>35.588982442561424</v>
      </c>
      <c r="E246" s="576">
        <v>65.226643329914921</v>
      </c>
      <c r="F246" s="574">
        <v>54.656833581485145</v>
      </c>
      <c r="G246" s="575">
        <v>50.132980099504024</v>
      </c>
      <c r="H246" s="576">
        <v>41.933204841350964</v>
      </c>
      <c r="I246" s="574">
        <v>35.159183922389019</v>
      </c>
      <c r="J246" s="575">
        <v>32.254266566811793</v>
      </c>
      <c r="K246" s="577">
        <v>56.24141012290076</v>
      </c>
      <c r="L246" s="578">
        <v>47.119074632022411</v>
      </c>
      <c r="M246" s="578">
        <v>43.21668429035698</v>
      </c>
      <c r="N246" s="688"/>
      <c r="O246" s="689"/>
      <c r="P246" s="689"/>
    </row>
    <row r="247" spans="1:16">
      <c r="A247" s="16">
        <v>37437</v>
      </c>
      <c r="B247" s="579">
        <v>44.97184494191233</v>
      </c>
      <c r="C247" s="580">
        <v>38.396028974866908</v>
      </c>
      <c r="D247" s="581">
        <v>35.840444699698793</v>
      </c>
      <c r="E247" s="582">
        <v>64.507983427215549</v>
      </c>
      <c r="F247" s="580">
        <v>55.045792271654157</v>
      </c>
      <c r="G247" s="581">
        <v>51.3746489941351</v>
      </c>
      <c r="H247" s="582">
        <v>40.510436200250169</v>
      </c>
      <c r="I247" s="580">
        <v>34.589068990704966</v>
      </c>
      <c r="J247" s="581">
        <v>32.287390387446308</v>
      </c>
      <c r="K247" s="583">
        <v>55.359439988281991</v>
      </c>
      <c r="L247" s="584">
        <v>47.230599968553882</v>
      </c>
      <c r="M247" s="584">
        <v>44.078198933432503</v>
      </c>
      <c r="N247" s="690"/>
      <c r="O247" s="691"/>
      <c r="P247" s="691"/>
    </row>
    <row r="248" spans="1:16">
      <c r="A248" s="16">
        <v>37468</v>
      </c>
      <c r="B248" s="573">
        <v>46.706362640217833</v>
      </c>
      <c r="C248" s="574">
        <v>37.871174108287633</v>
      </c>
      <c r="D248" s="575">
        <v>36.228798606684663</v>
      </c>
      <c r="E248" s="576">
        <v>69.558654500543255</v>
      </c>
      <c r="F248" s="574">
        <v>56.370118837074855</v>
      </c>
      <c r="G248" s="575">
        <v>53.917751793691494</v>
      </c>
      <c r="H248" s="576">
        <v>41.510855441143107</v>
      </c>
      <c r="I248" s="574">
        <v>33.660514729265842</v>
      </c>
      <c r="J248" s="575">
        <v>32.201263227311905</v>
      </c>
      <c r="K248" s="577">
        <v>56.283575031504732</v>
      </c>
      <c r="L248" s="578">
        <v>45.603751029817985</v>
      </c>
      <c r="M248" s="578">
        <v>43.617325089299882</v>
      </c>
      <c r="N248" s="688"/>
      <c r="O248" s="689"/>
      <c r="P248" s="689"/>
    </row>
    <row r="249" spans="1:16">
      <c r="A249" s="16">
        <v>37499</v>
      </c>
      <c r="B249" s="579">
        <v>47.857853801060436</v>
      </c>
      <c r="C249" s="580">
        <v>38.245069489385678</v>
      </c>
      <c r="D249" s="581">
        <v>36.299920265981491</v>
      </c>
      <c r="E249" s="582">
        <v>73.375789838729844</v>
      </c>
      <c r="F249" s="580">
        <v>58.605729993723799</v>
      </c>
      <c r="G249" s="581">
        <v>55.617051141447874</v>
      </c>
      <c r="H249" s="582">
        <v>42.073206512296522</v>
      </c>
      <c r="I249" s="580">
        <v>33.624372994263396</v>
      </c>
      <c r="J249" s="581">
        <v>31.914746906463243</v>
      </c>
      <c r="K249" s="583">
        <v>54.880394156707581</v>
      </c>
      <c r="L249" s="584">
        <v>43.825373462523089</v>
      </c>
      <c r="M249" s="584">
        <v>41.588105947673434</v>
      </c>
      <c r="N249" s="690"/>
      <c r="O249" s="691"/>
      <c r="P249" s="691"/>
    </row>
    <row r="250" spans="1:16">
      <c r="A250" s="16">
        <v>37529</v>
      </c>
      <c r="B250" s="573">
        <v>48.551462029349338</v>
      </c>
      <c r="C250" s="574">
        <v>39.102122080172457</v>
      </c>
      <c r="D250" s="575">
        <v>37.159952560011142</v>
      </c>
      <c r="E250" s="576">
        <v>78.202610219914021</v>
      </c>
      <c r="F250" s="574">
        <v>62.948345381733539</v>
      </c>
      <c r="G250" s="575">
        <v>59.813167875610404</v>
      </c>
      <c r="H250" s="576">
        <v>41.857618271688857</v>
      </c>
      <c r="I250" s="574">
        <v>33.713114448642635</v>
      </c>
      <c r="J250" s="575">
        <v>32.039128317505018</v>
      </c>
      <c r="K250" s="577">
        <v>54.438643525956735</v>
      </c>
      <c r="L250" s="578">
        <v>43.811838510245238</v>
      </c>
      <c r="M250" s="578">
        <v>41.62743018100025</v>
      </c>
      <c r="N250" s="688"/>
      <c r="O250" s="689"/>
      <c r="P250" s="689"/>
    </row>
    <row r="251" spans="1:16">
      <c r="A251" s="16">
        <v>37560</v>
      </c>
      <c r="B251" s="579">
        <v>49.017740577006556</v>
      </c>
      <c r="C251" s="580">
        <v>39.797172356634505</v>
      </c>
      <c r="D251" s="581">
        <v>37.698869791529816</v>
      </c>
      <c r="E251" s="582">
        <v>81.30887232334311</v>
      </c>
      <c r="F251" s="580">
        <v>65.978421314262491</v>
      </c>
      <c r="G251" s="581">
        <v>62.490744107821719</v>
      </c>
      <c r="H251" s="582">
        <v>41.743079370017384</v>
      </c>
      <c r="I251" s="580">
        <v>33.892980168069606</v>
      </c>
      <c r="J251" s="581">
        <v>32.106492636173172</v>
      </c>
      <c r="K251" s="583">
        <v>54.642581327417197</v>
      </c>
      <c r="L251" s="584">
        <v>44.331895657448555</v>
      </c>
      <c r="M251" s="584">
        <v>41.986117419056527</v>
      </c>
      <c r="N251" s="690"/>
      <c r="O251" s="691"/>
      <c r="P251" s="691"/>
    </row>
    <row r="252" spans="1:16">
      <c r="A252" s="16">
        <v>37590</v>
      </c>
      <c r="B252" s="573">
        <v>48.549481761262101</v>
      </c>
      <c r="C252" s="574">
        <v>39.823636115109203</v>
      </c>
      <c r="D252" s="575">
        <v>38.116892614777953</v>
      </c>
      <c r="E252" s="576">
        <v>79.469146251439938</v>
      </c>
      <c r="F252" s="574">
        <v>65.150824311839571</v>
      </c>
      <c r="G252" s="575">
        <v>62.349669320498577</v>
      </c>
      <c r="H252" s="576">
        <v>41.577443256787106</v>
      </c>
      <c r="I252" s="574">
        <v>34.106757940516964</v>
      </c>
      <c r="J252" s="575">
        <v>32.645551512795748</v>
      </c>
      <c r="K252" s="577">
        <v>56.377321744787267</v>
      </c>
      <c r="L252" s="578">
        <v>46.211165399562837</v>
      </c>
      <c r="M252" s="578">
        <v>44.221838896377022</v>
      </c>
      <c r="N252" s="688"/>
      <c r="O252" s="689"/>
      <c r="P252" s="689"/>
    </row>
    <row r="253" spans="1:16">
      <c r="A253" s="16">
        <v>37621</v>
      </c>
      <c r="B253" s="579">
        <v>48.773715877839898</v>
      </c>
      <c r="C253" s="580">
        <v>39.94052078034769</v>
      </c>
      <c r="D253" s="581">
        <v>38.432129730207834</v>
      </c>
      <c r="E253" s="582">
        <v>78.357266795671592</v>
      </c>
      <c r="F253" s="580">
        <v>64.131620375619789</v>
      </c>
      <c r="G253" s="581">
        <v>61.700772775357649</v>
      </c>
      <c r="H253" s="582">
        <v>42.093822984438503</v>
      </c>
      <c r="I253" s="580">
        <v>34.472485418862135</v>
      </c>
      <c r="J253" s="581">
        <v>33.171133968465725</v>
      </c>
      <c r="K253" s="583">
        <v>56.222807050576151</v>
      </c>
      <c r="L253" s="584">
        <v>46.007281508973904</v>
      </c>
      <c r="M253" s="584">
        <v>44.260936627489912</v>
      </c>
      <c r="N253" s="690"/>
      <c r="O253" s="691"/>
      <c r="P253" s="691"/>
    </row>
    <row r="254" spans="1:16">
      <c r="A254" s="16">
        <v>37652</v>
      </c>
      <c r="B254" s="573">
        <v>47.841410038919086</v>
      </c>
      <c r="C254" s="574">
        <v>39.722270588894737</v>
      </c>
      <c r="D254" s="575">
        <v>38.975448750085306</v>
      </c>
      <c r="E254" s="576">
        <v>74.689742414012755</v>
      </c>
      <c r="F254" s="574">
        <v>61.980647797537202</v>
      </c>
      <c r="G254" s="575">
        <v>60.806615550132634</v>
      </c>
      <c r="H254" s="576">
        <v>41.765053770680986</v>
      </c>
      <c r="I254" s="574">
        <v>34.679233196371541</v>
      </c>
      <c r="J254" s="575">
        <v>34.027773873195336</v>
      </c>
      <c r="K254" s="577">
        <v>55.860230873187888</v>
      </c>
      <c r="L254" s="578">
        <v>46.346718355323787</v>
      </c>
      <c r="M254" s="578">
        <v>45.466272100651395</v>
      </c>
      <c r="N254" s="688"/>
      <c r="O254" s="689"/>
      <c r="P254" s="689"/>
    </row>
    <row r="255" spans="1:16">
      <c r="A255" s="16">
        <v>37680</v>
      </c>
      <c r="B255" s="579">
        <v>47.741830456686067</v>
      </c>
      <c r="C255" s="580">
        <v>40.32099643802983</v>
      </c>
      <c r="D255" s="581">
        <v>39.722262527765139</v>
      </c>
      <c r="E255" s="582">
        <v>74.143704570529437</v>
      </c>
      <c r="F255" s="580">
        <v>62.585183029648881</v>
      </c>
      <c r="G255" s="581">
        <v>61.646994735043826</v>
      </c>
      <c r="H255" s="582">
        <v>41.763780080888822</v>
      </c>
      <c r="I255" s="580">
        <v>35.27429455152356</v>
      </c>
      <c r="J255" s="581">
        <v>34.75105962902505</v>
      </c>
      <c r="K255" s="583">
        <v>56.80878373591991</v>
      </c>
      <c r="L255" s="584">
        <v>47.943954144378395</v>
      </c>
      <c r="M255" s="584">
        <v>47.222597267804495</v>
      </c>
      <c r="N255" s="690"/>
      <c r="O255" s="691"/>
      <c r="P255" s="691"/>
    </row>
    <row r="256" spans="1:16">
      <c r="A256" s="16">
        <v>37711</v>
      </c>
      <c r="B256" s="573">
        <v>46.162804289267115</v>
      </c>
      <c r="C256" s="574">
        <v>39.504170775073739</v>
      </c>
      <c r="D256" s="575">
        <v>38.901574363706374</v>
      </c>
      <c r="E256" s="576">
        <v>72.814257811529615</v>
      </c>
      <c r="F256" s="574">
        <v>62.277654646753852</v>
      </c>
      <c r="G256" s="575">
        <v>61.318869362675102</v>
      </c>
      <c r="H256" s="576">
        <v>40.136228092233949</v>
      </c>
      <c r="I256" s="574">
        <v>34.348966122432792</v>
      </c>
      <c r="J256" s="575">
        <v>33.825551853407923</v>
      </c>
      <c r="K256" s="577">
        <v>54.819553565484405</v>
      </c>
      <c r="L256" s="578">
        <v>46.878362089658957</v>
      </c>
      <c r="M256" s="578">
        <v>46.154064879868905</v>
      </c>
      <c r="N256" s="688"/>
      <c r="O256" s="689"/>
      <c r="P256" s="689"/>
    </row>
    <row r="257" spans="1:16">
      <c r="A257" s="16">
        <v>37741</v>
      </c>
      <c r="B257" s="579">
        <v>44.371179501027427</v>
      </c>
      <c r="C257" s="580">
        <v>38.50927967694556</v>
      </c>
      <c r="D257" s="581">
        <v>37.869995709903201</v>
      </c>
      <c r="E257" s="582">
        <v>70.271798497020171</v>
      </c>
      <c r="F257" s="580">
        <v>60.955169801263978</v>
      </c>
      <c r="G257" s="581">
        <v>59.934663047164115</v>
      </c>
      <c r="H257" s="582">
        <v>38.516317740229937</v>
      </c>
      <c r="I257" s="580">
        <v>33.429934777372353</v>
      </c>
      <c r="J257" s="581">
        <v>32.875501262352174</v>
      </c>
      <c r="K257" s="583">
        <v>52.00350386887316</v>
      </c>
      <c r="L257" s="584">
        <v>45.100691016611592</v>
      </c>
      <c r="M257" s="584">
        <v>44.343131139387715</v>
      </c>
      <c r="N257" s="690"/>
      <c r="O257" s="691"/>
      <c r="P257" s="691"/>
    </row>
    <row r="258" spans="1:16">
      <c r="A258" s="16">
        <v>37772</v>
      </c>
      <c r="B258" s="573">
        <v>41.908670531451406</v>
      </c>
      <c r="C258" s="574">
        <v>37.517400317935483</v>
      </c>
      <c r="D258" s="575">
        <v>37.934097770944867</v>
      </c>
      <c r="E258" s="576">
        <v>63.175203401102152</v>
      </c>
      <c r="F258" s="574">
        <v>56.52499821284642</v>
      </c>
      <c r="G258" s="575">
        <v>57.144605785704748</v>
      </c>
      <c r="H258" s="576">
        <v>37.079810621210619</v>
      </c>
      <c r="I258" s="574">
        <v>33.196531374424275</v>
      </c>
      <c r="J258" s="575">
        <v>33.565778388316602</v>
      </c>
      <c r="K258" s="577">
        <v>51.153958936572018</v>
      </c>
      <c r="L258" s="578">
        <v>45.760869936332121</v>
      </c>
      <c r="M258" s="578">
        <v>46.259889728198083</v>
      </c>
      <c r="N258" s="688"/>
      <c r="O258" s="689"/>
      <c r="P258" s="689"/>
    </row>
    <row r="259" spans="1:16">
      <c r="A259" s="16">
        <v>37802</v>
      </c>
      <c r="B259" s="579">
        <v>41.139253731243208</v>
      </c>
      <c r="C259" s="580">
        <v>37.586789676836489</v>
      </c>
      <c r="D259" s="581">
        <v>38.240548811402817</v>
      </c>
      <c r="E259" s="582">
        <v>61.384568080741332</v>
      </c>
      <c r="F259" s="580">
        <v>56.053544997323336</v>
      </c>
      <c r="G259" s="581">
        <v>57.020317135734977</v>
      </c>
      <c r="H259" s="582">
        <v>36.537386753302449</v>
      </c>
      <c r="I259" s="580">
        <v>33.38432915625684</v>
      </c>
      <c r="J259" s="581">
        <v>33.965540474036914</v>
      </c>
      <c r="K259" s="583">
        <v>50.964397607001175</v>
      </c>
      <c r="L259" s="584">
        <v>46.529875220224426</v>
      </c>
      <c r="M259" s="584">
        <v>47.32973466858266</v>
      </c>
      <c r="N259" s="690"/>
      <c r="O259" s="691"/>
      <c r="P259" s="691"/>
    </row>
    <row r="260" spans="1:16">
      <c r="A260" s="16">
        <v>37833</v>
      </c>
      <c r="B260" s="573">
        <v>41.508816900181969</v>
      </c>
      <c r="C260" s="574">
        <v>38.244693700465035</v>
      </c>
      <c r="D260" s="575">
        <v>38.45359940377319</v>
      </c>
      <c r="E260" s="576">
        <v>62.44301919079448</v>
      </c>
      <c r="F260" s="574">
        <v>57.501580303134162</v>
      </c>
      <c r="G260" s="575">
        <v>57.807375561921312</v>
      </c>
      <c r="H260" s="576">
        <v>36.754414130510682</v>
      </c>
      <c r="I260" s="574">
        <v>33.866216722162271</v>
      </c>
      <c r="J260" s="575">
        <v>34.051753994929364</v>
      </c>
      <c r="K260" s="577">
        <v>52.217231410659018</v>
      </c>
      <c r="L260" s="578">
        <v>48.076278414895683</v>
      </c>
      <c r="M260" s="578">
        <v>48.329238414638269</v>
      </c>
      <c r="N260" s="688"/>
      <c r="O260" s="689"/>
      <c r="P260" s="689"/>
    </row>
    <row r="261" spans="1:16">
      <c r="A261" s="16">
        <v>37864</v>
      </c>
      <c r="B261" s="579">
        <v>43.038775653769349</v>
      </c>
      <c r="C261" s="580">
        <v>39.346616598650762</v>
      </c>
      <c r="D261" s="581">
        <v>39.201570293607283</v>
      </c>
      <c r="E261" s="582">
        <v>66.037465044749666</v>
      </c>
      <c r="F261" s="580">
        <v>60.339670475431483</v>
      </c>
      <c r="G261" s="581">
        <v>60.108607404875237</v>
      </c>
      <c r="H261" s="582">
        <v>37.825586051925193</v>
      </c>
      <c r="I261" s="580">
        <v>34.582747810643077</v>
      </c>
      <c r="J261" s="581">
        <v>34.455817729693194</v>
      </c>
      <c r="K261" s="583">
        <v>54.168728487242333</v>
      </c>
      <c r="L261" s="584">
        <v>49.485993617633063</v>
      </c>
      <c r="M261" s="584">
        <v>49.293728011958621</v>
      </c>
      <c r="N261" s="690"/>
      <c r="O261" s="691"/>
      <c r="P261" s="691"/>
    </row>
    <row r="262" spans="1:16">
      <c r="A262" s="16">
        <v>37894</v>
      </c>
      <c r="B262" s="573">
        <v>42.834004968346093</v>
      </c>
      <c r="C262" s="574">
        <v>39.557677004823852</v>
      </c>
      <c r="D262" s="575">
        <v>39.631366656934766</v>
      </c>
      <c r="E262" s="576">
        <v>65.825658185976579</v>
      </c>
      <c r="F262" s="574">
        <v>60.757845145725057</v>
      </c>
      <c r="G262" s="575">
        <v>60.86229060554107</v>
      </c>
      <c r="H262" s="576">
        <v>37.623163851070579</v>
      </c>
      <c r="I262" s="574">
        <v>34.747515570417441</v>
      </c>
      <c r="J262" s="575">
        <v>34.812805233099269</v>
      </c>
      <c r="K262" s="577">
        <v>53.74132267372925</v>
      </c>
      <c r="L262" s="578">
        <v>49.594854042688006</v>
      </c>
      <c r="M262" s="578">
        <v>49.677322995158086</v>
      </c>
      <c r="N262" s="688"/>
      <c r="O262" s="689"/>
      <c r="P262" s="689"/>
    </row>
    <row r="263" spans="1:16">
      <c r="A263" s="16">
        <v>37925</v>
      </c>
      <c r="B263" s="579">
        <v>42.125645374552768</v>
      </c>
      <c r="C263" s="580">
        <v>39.720627513166029</v>
      </c>
      <c r="D263" s="581">
        <v>40.883822424861393</v>
      </c>
      <c r="E263" s="582">
        <v>65.263161458946811</v>
      </c>
      <c r="F263" s="580">
        <v>61.503905799940242</v>
      </c>
      <c r="G263" s="581">
        <v>63.295924962869954</v>
      </c>
      <c r="H263" s="582">
        <v>36.885600546549909</v>
      </c>
      <c r="I263" s="580">
        <v>34.781854913432788</v>
      </c>
      <c r="J263" s="581">
        <v>35.800997299654739</v>
      </c>
      <c r="K263" s="583">
        <v>54.912790674191079</v>
      </c>
      <c r="L263" s="584">
        <v>51.740332677209111</v>
      </c>
      <c r="M263" s="584">
        <v>53.244886847014683</v>
      </c>
      <c r="N263" s="690"/>
      <c r="O263" s="691"/>
      <c r="P263" s="691"/>
    </row>
    <row r="264" spans="1:16">
      <c r="A264" s="16">
        <v>37955</v>
      </c>
      <c r="B264" s="573">
        <v>41.646365863755399</v>
      </c>
      <c r="C264" s="574">
        <v>40.498547494010417</v>
      </c>
      <c r="D264" s="575">
        <v>41.712408990656705</v>
      </c>
      <c r="E264" s="576">
        <v>65.460551484639126</v>
      </c>
      <c r="F264" s="574">
        <v>63.621961129784296</v>
      </c>
      <c r="G264" s="575">
        <v>65.519494598802268</v>
      </c>
      <c r="H264" s="576">
        <v>36.259803379941708</v>
      </c>
      <c r="I264" s="574">
        <v>35.262583606969692</v>
      </c>
      <c r="J264" s="575">
        <v>36.320092594161714</v>
      </c>
      <c r="K264" s="577">
        <v>55.803984841600155</v>
      </c>
      <c r="L264" s="578">
        <v>54.226767597082471</v>
      </c>
      <c r="M264" s="578">
        <v>55.840955571043558</v>
      </c>
      <c r="N264" s="688"/>
      <c r="O264" s="689"/>
      <c r="P264" s="689"/>
    </row>
    <row r="265" spans="1:16">
      <c r="A265" s="16">
        <v>37986</v>
      </c>
      <c r="B265" s="579">
        <v>41.235831580349256</v>
      </c>
      <c r="C265" s="580">
        <v>40.437256010213275</v>
      </c>
      <c r="D265" s="581">
        <v>42.602702654025585</v>
      </c>
      <c r="E265" s="582">
        <v>62.817885689932581</v>
      </c>
      <c r="F265" s="580">
        <v>61.568034641657363</v>
      </c>
      <c r="G265" s="581">
        <v>64.85574100042875</v>
      </c>
      <c r="H265" s="582">
        <v>36.34041991462702</v>
      </c>
      <c r="I265" s="580">
        <v>35.638811177519337</v>
      </c>
      <c r="J265" s="581">
        <v>37.547901969891903</v>
      </c>
      <c r="K265" s="583">
        <v>58.787652174253189</v>
      </c>
      <c r="L265" s="584">
        <v>57.607523341961773</v>
      </c>
      <c r="M265" s="584">
        <v>60.68033603620033</v>
      </c>
      <c r="N265" s="690"/>
      <c r="O265" s="691"/>
      <c r="P265" s="691"/>
    </row>
    <row r="266" spans="1:16">
      <c r="A266" s="16">
        <v>38017</v>
      </c>
      <c r="B266" s="573">
        <v>41.295089566959412</v>
      </c>
      <c r="C266" s="574">
        <v>41.457420093616818</v>
      </c>
      <c r="D266" s="575">
        <v>44.427168749095273</v>
      </c>
      <c r="E266" s="576">
        <v>65.186437710795303</v>
      </c>
      <c r="F266" s="574">
        <v>65.407291196055567</v>
      </c>
      <c r="G266" s="575">
        <v>70.082597588139109</v>
      </c>
      <c r="H266" s="576">
        <v>35.892985874041514</v>
      </c>
      <c r="I266" s="574">
        <v>36.036266903116626</v>
      </c>
      <c r="J266" s="575">
        <v>38.618300116506759</v>
      </c>
      <c r="K266" s="577">
        <v>59.456279438292057</v>
      </c>
      <c r="L266" s="578">
        <v>59.646883511726479</v>
      </c>
      <c r="M266" s="578">
        <v>63.906851478982738</v>
      </c>
      <c r="N266" s="688"/>
      <c r="O266" s="689"/>
      <c r="P266" s="689"/>
    </row>
    <row r="267" spans="1:16">
      <c r="A267" s="16">
        <v>38046</v>
      </c>
      <c r="B267" s="579">
        <v>41.20460083439098</v>
      </c>
      <c r="C267" s="580">
        <v>41.668925379843571</v>
      </c>
      <c r="D267" s="581">
        <v>44.833488670209945</v>
      </c>
      <c r="E267" s="582">
        <v>60.475283008810621</v>
      </c>
      <c r="F267" s="580">
        <v>61.123688462265868</v>
      </c>
      <c r="G267" s="581">
        <v>65.756312294762125</v>
      </c>
      <c r="H267" s="582">
        <v>36.816226676802486</v>
      </c>
      <c r="I267" s="580">
        <v>37.233358440755509</v>
      </c>
      <c r="J267" s="581">
        <v>40.061705912640427</v>
      </c>
      <c r="K267" s="583">
        <v>62.227873534619206</v>
      </c>
      <c r="L267" s="584">
        <v>62.883646492615838</v>
      </c>
      <c r="M267" s="584">
        <v>67.645864422924546</v>
      </c>
      <c r="N267" s="690"/>
      <c r="O267" s="691"/>
      <c r="P267" s="691"/>
    </row>
    <row r="268" spans="1:16">
      <c r="A268" s="16">
        <v>38077</v>
      </c>
      <c r="B268" s="573">
        <v>43.525864241558381</v>
      </c>
      <c r="C268" s="574">
        <v>43.122730841964113</v>
      </c>
      <c r="D268" s="575">
        <v>45.660515401419829</v>
      </c>
      <c r="E268" s="576">
        <v>63.789464273969799</v>
      </c>
      <c r="F268" s="574">
        <v>63.164470871809542</v>
      </c>
      <c r="G268" s="575">
        <v>66.872117904554912</v>
      </c>
      <c r="H268" s="576">
        <v>38.910600490500862</v>
      </c>
      <c r="I268" s="574">
        <v>38.552552088092881</v>
      </c>
      <c r="J268" s="575">
        <v>40.8220377113255</v>
      </c>
      <c r="K268" s="577">
        <v>63.856645790321423</v>
      </c>
      <c r="L268" s="578">
        <v>63.219509681357287</v>
      </c>
      <c r="M268" s="578">
        <v>66.926632912416764</v>
      </c>
      <c r="N268" s="688"/>
      <c r="O268" s="689"/>
      <c r="P268" s="689"/>
    </row>
    <row r="269" spans="1:16">
      <c r="A269" s="16">
        <v>38107</v>
      </c>
      <c r="B269" s="579">
        <v>44.613558030262567</v>
      </c>
      <c r="C269" s="580">
        <v>44.290822505550878</v>
      </c>
      <c r="D269" s="581">
        <v>46.54737683067993</v>
      </c>
      <c r="E269" s="582">
        <v>64.936852963659064</v>
      </c>
      <c r="F269" s="580">
        <v>64.432232219008412</v>
      </c>
      <c r="G269" s="581">
        <v>67.70524365340593</v>
      </c>
      <c r="H269" s="582">
        <v>39.980924519320283</v>
      </c>
      <c r="I269" s="580">
        <v>39.694109584546403</v>
      </c>
      <c r="J269" s="581">
        <v>41.717139685935301</v>
      </c>
      <c r="K269" s="583">
        <v>63.032885735463175</v>
      </c>
      <c r="L269" s="584">
        <v>62.531701085000513</v>
      </c>
      <c r="M269" s="584">
        <v>65.704483917736184</v>
      </c>
      <c r="N269" s="690"/>
      <c r="O269" s="691"/>
      <c r="P269" s="691"/>
    </row>
    <row r="270" spans="1:16">
      <c r="A270" s="16">
        <v>38138</v>
      </c>
      <c r="B270" s="573">
        <v>48.28257414381617</v>
      </c>
      <c r="C270" s="574">
        <v>45.679521009750616</v>
      </c>
      <c r="D270" s="575">
        <v>47.653063454523107</v>
      </c>
      <c r="E270" s="576">
        <v>67.997026844478441</v>
      </c>
      <c r="F270" s="574">
        <v>64.296318099092375</v>
      </c>
      <c r="G270" s="575">
        <v>67.064555387477924</v>
      </c>
      <c r="H270" s="576">
        <v>43.769037702961661</v>
      </c>
      <c r="I270" s="574">
        <v>41.411834579797393</v>
      </c>
      <c r="J270" s="575">
        <v>43.201691144950985</v>
      </c>
      <c r="K270" s="577">
        <v>62.418671143800829</v>
      </c>
      <c r="L270" s="578">
        <v>59.010842061330223</v>
      </c>
      <c r="M270" s="578">
        <v>61.5480637672594</v>
      </c>
      <c r="N270" s="688"/>
      <c r="O270" s="689"/>
      <c r="P270" s="689"/>
    </row>
    <row r="271" spans="1:16">
      <c r="A271" s="16">
        <v>38168</v>
      </c>
      <c r="B271" s="579">
        <v>48.912252932114484</v>
      </c>
      <c r="C271" s="580">
        <v>45.078401850886998</v>
      </c>
      <c r="D271" s="581">
        <v>47.505750646428794</v>
      </c>
      <c r="E271" s="582">
        <v>68.142564027771741</v>
      </c>
      <c r="F271" s="580">
        <v>62.767433267776255</v>
      </c>
      <c r="G271" s="581">
        <v>66.137794059583115</v>
      </c>
      <c r="H271" s="582">
        <v>44.502418688522646</v>
      </c>
      <c r="I271" s="580">
        <v>41.016708460051312</v>
      </c>
      <c r="J271" s="581">
        <v>43.226042212010171</v>
      </c>
      <c r="K271" s="583">
        <v>67.074528251634007</v>
      </c>
      <c r="L271" s="584">
        <v>61.77242326314699</v>
      </c>
      <c r="M271" s="584">
        <v>65.085704773886803</v>
      </c>
      <c r="N271" s="690"/>
      <c r="O271" s="691"/>
      <c r="P271" s="691"/>
    </row>
    <row r="272" spans="1:16">
      <c r="A272" s="16">
        <v>38199</v>
      </c>
      <c r="B272" s="573">
        <v>48.329485034824543</v>
      </c>
      <c r="C272" s="574">
        <v>45.75092144850273</v>
      </c>
      <c r="D272" s="575">
        <v>48.440093947464582</v>
      </c>
      <c r="E272" s="576">
        <v>63.427925393090746</v>
      </c>
      <c r="F272" s="574">
        <v>60.011328286672736</v>
      </c>
      <c r="G272" s="575">
        <v>63.529587103507168</v>
      </c>
      <c r="H272" s="576">
        <v>44.828117137593807</v>
      </c>
      <c r="I272" s="574">
        <v>42.438939495355186</v>
      </c>
      <c r="J272" s="575">
        <v>44.934162075982371</v>
      </c>
      <c r="K272" s="577">
        <v>67.84997273040409</v>
      </c>
      <c r="L272" s="578">
        <v>64.183518824295277</v>
      </c>
      <c r="M272" s="578">
        <v>67.942567416330121</v>
      </c>
      <c r="N272" s="688"/>
      <c r="O272" s="689"/>
      <c r="P272" s="689"/>
    </row>
    <row r="273" spans="1:27">
      <c r="A273" s="16">
        <v>38230</v>
      </c>
      <c r="B273" s="579">
        <v>49.821946847424329</v>
      </c>
      <c r="C273" s="580">
        <v>46.998021926481883</v>
      </c>
      <c r="D273" s="581">
        <v>49.48469129496344</v>
      </c>
      <c r="E273" s="582">
        <v>62.895714289799379</v>
      </c>
      <c r="F273" s="580">
        <v>59.298675654897814</v>
      </c>
      <c r="G273" s="581">
        <v>62.427212294226507</v>
      </c>
      <c r="H273" s="582">
        <v>46.758746896907489</v>
      </c>
      <c r="I273" s="580">
        <v>44.111121157635623</v>
      </c>
      <c r="J273" s="581">
        <v>46.445792255079603</v>
      </c>
      <c r="K273" s="583">
        <v>66.529314652225878</v>
      </c>
      <c r="L273" s="584">
        <v>62.713076041459182</v>
      </c>
      <c r="M273" s="584">
        <v>66.018049388699453</v>
      </c>
      <c r="N273" s="690"/>
      <c r="O273" s="691"/>
      <c r="P273" s="691"/>
    </row>
    <row r="274" spans="1:27">
      <c r="A274" s="16">
        <v>38260</v>
      </c>
      <c r="B274" s="573">
        <v>50.878846378629525</v>
      </c>
      <c r="C274" s="574">
        <v>47.426052840959684</v>
      </c>
      <c r="D274" s="575">
        <v>49.926892024305026</v>
      </c>
      <c r="E274" s="576">
        <v>65.635812617787991</v>
      </c>
      <c r="F274" s="574">
        <v>61.148477289127534</v>
      </c>
      <c r="G274" s="575">
        <v>64.363678912581705</v>
      </c>
      <c r="H274" s="576">
        <v>47.442341733907966</v>
      </c>
      <c r="I274" s="574">
        <v>44.225442772205177</v>
      </c>
      <c r="J274" s="575">
        <v>46.558259213935344</v>
      </c>
      <c r="K274" s="577">
        <v>68.158239032263097</v>
      </c>
      <c r="L274" s="578">
        <v>63.486919469559545</v>
      </c>
      <c r="M274" s="578">
        <v>66.821328365759001</v>
      </c>
      <c r="N274" s="688"/>
      <c r="O274" s="689"/>
      <c r="P274" s="689"/>
    </row>
    <row r="275" spans="1:27">
      <c r="A275" s="16">
        <v>38291</v>
      </c>
      <c r="B275" s="579">
        <v>50.221428897246327</v>
      </c>
      <c r="C275" s="580">
        <v>48.461544721753633</v>
      </c>
      <c r="D275" s="581">
        <v>51.489658856361807</v>
      </c>
      <c r="E275" s="582">
        <v>61.928284971154859</v>
      </c>
      <c r="F275" s="580">
        <v>59.725844075491693</v>
      </c>
      <c r="G275" s="581">
        <v>63.44869867401772</v>
      </c>
      <c r="H275" s="582">
        <v>47.456439679347227</v>
      </c>
      <c r="I275" s="580">
        <v>45.796225815318522</v>
      </c>
      <c r="J275" s="581">
        <v>48.658581327506937</v>
      </c>
      <c r="K275" s="583">
        <v>68.825916112853832</v>
      </c>
      <c r="L275" s="584">
        <v>66.366109169100653</v>
      </c>
      <c r="M275" s="584">
        <v>70.49891247444009</v>
      </c>
      <c r="N275" s="690"/>
      <c r="O275" s="691"/>
      <c r="P275" s="691"/>
    </row>
    <row r="276" spans="1:27">
      <c r="A276" s="16">
        <v>38321</v>
      </c>
      <c r="B276" s="573">
        <v>48.041050973194871</v>
      </c>
      <c r="C276" s="574">
        <v>47.557938575715148</v>
      </c>
      <c r="D276" s="575">
        <v>51.676879116461841</v>
      </c>
      <c r="E276" s="576">
        <v>59.868573795675516</v>
      </c>
      <c r="F276" s="574">
        <v>59.234467598993547</v>
      </c>
      <c r="G276" s="575">
        <v>64.355461253074367</v>
      </c>
      <c r="H276" s="576">
        <v>45.258173300233366</v>
      </c>
      <c r="I276" s="574">
        <v>44.805764296784929</v>
      </c>
      <c r="J276" s="575">
        <v>48.687126049817302</v>
      </c>
      <c r="K276" s="577">
        <v>65.931116131459035</v>
      </c>
      <c r="L276" s="578">
        <v>65.220949626316639</v>
      </c>
      <c r="M276" s="578">
        <v>70.855517338878684</v>
      </c>
      <c r="N276" s="688"/>
      <c r="O276" s="689"/>
      <c r="P276" s="689"/>
    </row>
    <row r="277" spans="1:27">
      <c r="A277" s="16">
        <v>38352</v>
      </c>
      <c r="B277" s="579">
        <v>47.558465505192821</v>
      </c>
      <c r="C277" s="580">
        <v>46.178641244688556</v>
      </c>
      <c r="D277" s="581">
        <v>51.08682971383567</v>
      </c>
      <c r="E277" s="582">
        <v>60.806483818821633</v>
      </c>
      <c r="F277" s="580">
        <v>59.010359772115059</v>
      </c>
      <c r="G277" s="581">
        <v>65.273023007725456</v>
      </c>
      <c r="H277" s="582">
        <v>44.465952230829501</v>
      </c>
      <c r="I277" s="580">
        <v>43.178471127213825</v>
      </c>
      <c r="J277" s="581">
        <v>47.768549761162284</v>
      </c>
      <c r="K277" s="583">
        <v>66.883959339473591</v>
      </c>
      <c r="L277" s="584">
        <v>64.896527482653994</v>
      </c>
      <c r="M277" s="584">
        <v>71.779852354725051</v>
      </c>
      <c r="N277" s="690"/>
      <c r="O277" s="691"/>
      <c r="P277" s="691"/>
    </row>
    <row r="278" spans="1:27">
      <c r="A278" s="16">
        <v>38383</v>
      </c>
      <c r="B278" s="573">
        <v>48.8493304039565</v>
      </c>
      <c r="C278" s="574">
        <v>47.699395110500909</v>
      </c>
      <c r="D278" s="575">
        <v>52.332587909009654</v>
      </c>
      <c r="E278" s="576">
        <v>61.341966785610843</v>
      </c>
      <c r="F278" s="574">
        <v>59.865554316542756</v>
      </c>
      <c r="G278" s="575">
        <v>65.67105753480152</v>
      </c>
      <c r="H278" s="576">
        <v>45.917405518142566</v>
      </c>
      <c r="I278" s="574">
        <v>44.839209194027973</v>
      </c>
      <c r="J278" s="575">
        <v>49.195375278404477</v>
      </c>
      <c r="K278" s="577">
        <v>67.964347515759655</v>
      </c>
      <c r="L278" s="578">
        <v>66.316496836629554</v>
      </c>
      <c r="M278" s="578">
        <v>72.743503829177953</v>
      </c>
      <c r="N278" s="688"/>
      <c r="O278" s="689"/>
      <c r="P278" s="689"/>
    </row>
    <row r="279" spans="1:27">
      <c r="A279" s="16">
        <v>38411</v>
      </c>
      <c r="B279" s="579">
        <v>48.691019363798922</v>
      </c>
      <c r="C279" s="580">
        <v>48.778649934789883</v>
      </c>
      <c r="D279" s="581">
        <v>53.188667177739326</v>
      </c>
      <c r="E279" s="582">
        <v>59.486220169007673</v>
      </c>
      <c r="F279" s="580">
        <v>59.561049062096828</v>
      </c>
      <c r="G279" s="581">
        <v>64.936568049193141</v>
      </c>
      <c r="H279" s="582">
        <v>46.131987361835243</v>
      </c>
      <c r="I279" s="580">
        <v>46.217816138130523</v>
      </c>
      <c r="J279" s="581">
        <v>50.397123096218323</v>
      </c>
      <c r="K279" s="583">
        <v>68.904906898870891</v>
      </c>
      <c r="L279" s="584">
        <v>68.979052984688991</v>
      </c>
      <c r="M279" s="584">
        <v>75.200349433640497</v>
      </c>
      <c r="N279" s="690"/>
      <c r="O279" s="691"/>
      <c r="P279" s="691"/>
    </row>
    <row r="280" spans="1:27">
      <c r="A280" s="16">
        <v>38442</v>
      </c>
      <c r="B280" s="573">
        <v>50.258430400828381</v>
      </c>
      <c r="C280" s="574">
        <v>50.280343491753008</v>
      </c>
      <c r="D280" s="575">
        <v>55.18230294627935</v>
      </c>
      <c r="E280" s="576">
        <v>59.885233858403332</v>
      </c>
      <c r="F280" s="574">
        <v>59.878942195941256</v>
      </c>
      <c r="G280" s="575">
        <v>65.707261399605471</v>
      </c>
      <c r="H280" s="576">
        <v>47.949478924993677</v>
      </c>
      <c r="I280" s="574">
        <v>47.973295554516675</v>
      </c>
      <c r="J280" s="575">
        <v>52.651182816064633</v>
      </c>
      <c r="K280" s="577">
        <v>71.791715862705246</v>
      </c>
      <c r="L280" s="578">
        <v>71.771135311118485</v>
      </c>
      <c r="M280" s="578">
        <v>78.752563697715075</v>
      </c>
      <c r="N280" s="688"/>
      <c r="O280" s="689"/>
      <c r="P280" s="689"/>
    </row>
    <row r="281" spans="1:27">
      <c r="A281" s="16">
        <v>38472</v>
      </c>
      <c r="B281" s="579">
        <v>55.856726557129207</v>
      </c>
      <c r="C281" s="580">
        <v>55.627969952358939</v>
      </c>
      <c r="D281" s="581">
        <v>60.386491200992495</v>
      </c>
      <c r="E281" s="582">
        <v>59.275158486044774</v>
      </c>
      <c r="F281" s="580">
        <v>59.000475219046102</v>
      </c>
      <c r="G281" s="581">
        <v>64.038294274001018</v>
      </c>
      <c r="H281" s="582">
        <v>54.887335763717815</v>
      </c>
      <c r="I281" s="580">
        <v>54.665865478552277</v>
      </c>
      <c r="J281" s="581">
        <v>59.343042074501042</v>
      </c>
      <c r="K281" s="583">
        <v>71.113288553089376</v>
      </c>
      <c r="L281" s="584">
        <v>70.770890689958051</v>
      </c>
      <c r="M281" s="584">
        <v>76.809430436937632</v>
      </c>
      <c r="N281" s="690"/>
      <c r="O281" s="691"/>
      <c r="P281" s="691"/>
    </row>
    <row r="282" spans="1:27">
      <c r="A282" s="16">
        <v>38503</v>
      </c>
      <c r="B282" s="573">
        <v>55.649333419952555</v>
      </c>
      <c r="C282" s="574">
        <v>55.347200968552116</v>
      </c>
      <c r="D282" s="575">
        <v>59.652515721317457</v>
      </c>
      <c r="E282" s="576">
        <v>58.311774443462781</v>
      </c>
      <c r="F282" s="574">
        <v>57.963821219740474</v>
      </c>
      <c r="G282" s="575">
        <v>62.463709442148229</v>
      </c>
      <c r="H282" s="576">
        <v>54.846557182239152</v>
      </c>
      <c r="I282" s="574">
        <v>54.552092537146358</v>
      </c>
      <c r="J282" s="575">
        <v>58.796504648020651</v>
      </c>
      <c r="K282" s="577">
        <v>69.584589527135805</v>
      </c>
      <c r="L282" s="578">
        <v>69.15680703805846</v>
      </c>
      <c r="M282" s="578">
        <v>74.521456479731626</v>
      </c>
      <c r="N282" s="688"/>
      <c r="O282" s="689"/>
      <c r="P282" s="689"/>
    </row>
    <row r="283" spans="1:27">
      <c r="A283" s="16">
        <v>38533</v>
      </c>
      <c r="B283" s="579">
        <v>57.219201846217203</v>
      </c>
      <c r="C283" s="580">
        <v>58.151829245584267</v>
      </c>
      <c r="D283" s="581">
        <v>61.376572913312401</v>
      </c>
      <c r="E283" s="582">
        <v>57.452184785610442</v>
      </c>
      <c r="F283" s="580">
        <v>58.357031049405414</v>
      </c>
      <c r="G283" s="581">
        <v>61.584313575316251</v>
      </c>
      <c r="H283" s="582">
        <v>56.943063900556915</v>
      </c>
      <c r="I283" s="580">
        <v>57.874701392590865</v>
      </c>
      <c r="J283" s="581">
        <v>61.085060875637396</v>
      </c>
      <c r="K283" s="583">
        <v>69.787951252181273</v>
      </c>
      <c r="L283" s="584">
        <v>70.874205297476806</v>
      </c>
      <c r="M283" s="584">
        <v>74.789521728610339</v>
      </c>
      <c r="N283" s="690"/>
      <c r="O283" s="691"/>
      <c r="P283" s="691"/>
    </row>
    <row r="284" spans="1:27">
      <c r="A284" s="16">
        <v>38564</v>
      </c>
      <c r="B284" s="573">
        <v>59.672986806493796</v>
      </c>
      <c r="C284" s="574">
        <v>60.251570892061622</v>
      </c>
      <c r="D284" s="575">
        <v>62.822886314244585</v>
      </c>
      <c r="E284" s="576">
        <v>59.866770885994924</v>
      </c>
      <c r="F284" s="574">
        <v>60.414541938347845</v>
      </c>
      <c r="G284" s="575">
        <v>62.983771099543176</v>
      </c>
      <c r="H284" s="576">
        <v>59.395795018861783</v>
      </c>
      <c r="I284" s="574">
        <v>59.975329831044618</v>
      </c>
      <c r="J284" s="575">
        <v>62.535863288239355</v>
      </c>
      <c r="K284" s="577">
        <v>69.673369762127919</v>
      </c>
      <c r="L284" s="578">
        <v>70.298099194266342</v>
      </c>
      <c r="M284" s="578">
        <v>73.283532013572781</v>
      </c>
      <c r="N284" s="688"/>
      <c r="O284" s="689"/>
      <c r="P284" s="689"/>
    </row>
    <row r="285" spans="1:27">
      <c r="A285" s="16">
        <v>38595</v>
      </c>
      <c r="B285" s="579">
        <v>60.685022272759092</v>
      </c>
      <c r="C285" s="580">
        <v>61.309758195755784</v>
      </c>
      <c r="D285" s="581">
        <v>64.633916643260292</v>
      </c>
      <c r="E285" s="582">
        <v>58.646382396233051</v>
      </c>
      <c r="F285" s="580">
        <v>59.218086559677161</v>
      </c>
      <c r="G285" s="581">
        <v>62.419876184333653</v>
      </c>
      <c r="H285" s="582">
        <v>60.893450509214183</v>
      </c>
      <c r="I285" s="580">
        <v>61.524064451412507</v>
      </c>
      <c r="J285" s="581">
        <v>64.860886812334186</v>
      </c>
      <c r="K285" s="583">
        <v>72.090050639564197</v>
      </c>
      <c r="L285" s="584">
        <v>72.779586922704141</v>
      </c>
      <c r="M285" s="584">
        <v>76.710313234091103</v>
      </c>
      <c r="N285" s="690"/>
      <c r="O285" s="691"/>
      <c r="P285" s="691"/>
    </row>
    <row r="286" spans="1:27">
      <c r="A286" s="16">
        <v>38625</v>
      </c>
      <c r="B286" s="573">
        <v>61.135475970203871</v>
      </c>
      <c r="C286" s="574">
        <v>62.098401558445246</v>
      </c>
      <c r="D286" s="575">
        <v>65.459200630972816</v>
      </c>
      <c r="E286" s="576">
        <v>60.402144032422044</v>
      </c>
      <c r="F286" s="574">
        <v>61.320337043670811</v>
      </c>
      <c r="G286" s="575">
        <v>64.629749299383249</v>
      </c>
      <c r="H286" s="576">
        <v>61.05586115150922</v>
      </c>
      <c r="I286" s="574">
        <v>62.021295222733251</v>
      </c>
      <c r="J286" s="575">
        <v>65.37897402743117</v>
      </c>
      <c r="K286" s="577">
        <v>71.202090683725373</v>
      </c>
      <c r="L286" s="578">
        <v>72.271328428007664</v>
      </c>
      <c r="M286" s="578">
        <v>76.16748452952929</v>
      </c>
      <c r="N286" s="688"/>
      <c r="O286" s="689"/>
      <c r="P286" s="689"/>
    </row>
    <row r="287" spans="1:27">
      <c r="A287" s="16">
        <v>38656</v>
      </c>
      <c r="B287" s="579">
        <v>62.281053457783351</v>
      </c>
      <c r="C287" s="580">
        <v>63.245125179051634</v>
      </c>
      <c r="D287" s="581">
        <v>65.729662378907122</v>
      </c>
      <c r="E287" s="582">
        <v>62.411972610998703</v>
      </c>
      <c r="F287" s="580">
        <v>63.343793834398411</v>
      </c>
      <c r="G287" s="581">
        <v>65.822758358259492</v>
      </c>
      <c r="H287" s="582">
        <v>62.007391326024461</v>
      </c>
      <c r="I287" s="580">
        <v>62.971047015575863</v>
      </c>
      <c r="J287" s="581">
        <v>65.445871106779137</v>
      </c>
      <c r="K287" s="583">
        <v>73.41777689158711</v>
      </c>
      <c r="L287" s="584">
        <v>74.500382853197408</v>
      </c>
      <c r="M287" s="584">
        <v>77.411618717161218</v>
      </c>
      <c r="N287" s="690"/>
      <c r="O287" s="691"/>
      <c r="P287" s="691"/>
      <c r="Q287" s="7"/>
      <c r="R287" s="7"/>
      <c r="U287" s="7"/>
      <c r="V287" s="7"/>
      <c r="W287" s="7"/>
      <c r="X287" s="7"/>
      <c r="Y287" s="7"/>
      <c r="Z287" s="7"/>
      <c r="AA287" s="7"/>
    </row>
    <row r="288" spans="1:27">
      <c r="A288" s="16">
        <v>38686</v>
      </c>
      <c r="B288" s="573">
        <v>63.682335489273001</v>
      </c>
      <c r="C288" s="574">
        <v>63.82956735432149</v>
      </c>
      <c r="D288" s="575">
        <v>65.529716932326636</v>
      </c>
      <c r="E288" s="576">
        <v>63.54072856609254</v>
      </c>
      <c r="F288" s="574">
        <v>63.653188573411825</v>
      </c>
      <c r="G288" s="575">
        <v>65.339260772755893</v>
      </c>
      <c r="H288" s="576">
        <v>63.462930752154875</v>
      </c>
      <c r="I288" s="574">
        <v>63.61351442082389</v>
      </c>
      <c r="J288" s="575">
        <v>65.30896090427828</v>
      </c>
      <c r="K288" s="577">
        <v>78.755479656801938</v>
      </c>
      <c r="L288" s="578">
        <v>78.880538610643754</v>
      </c>
      <c r="M288" s="578">
        <v>80.965417165389951</v>
      </c>
      <c r="N288" s="688"/>
      <c r="O288" s="689"/>
      <c r="P288" s="689"/>
      <c r="Q288" s="7"/>
      <c r="R288" s="7"/>
      <c r="S288" s="7"/>
      <c r="T288" s="7"/>
      <c r="U288" s="7"/>
      <c r="V288" s="7"/>
      <c r="W288" s="7"/>
      <c r="X288" s="7"/>
      <c r="Y288" s="7"/>
      <c r="Z288" s="7"/>
      <c r="AA288" s="7"/>
    </row>
    <row r="289" spans="1:27">
      <c r="A289" s="16">
        <v>38717</v>
      </c>
      <c r="B289" s="579">
        <v>65.147392747859371</v>
      </c>
      <c r="C289" s="580">
        <v>65.749304833788784</v>
      </c>
      <c r="D289" s="581">
        <v>67.626959655169088</v>
      </c>
      <c r="E289" s="582">
        <v>64.438431956266143</v>
      </c>
      <c r="F289" s="580">
        <v>64.998621270271656</v>
      </c>
      <c r="G289" s="581">
        <v>66.845242651619387</v>
      </c>
      <c r="H289" s="582">
        <v>65.046654244171677</v>
      </c>
      <c r="I289" s="580">
        <v>65.651618284798317</v>
      </c>
      <c r="J289" s="581">
        <v>67.527570760914173</v>
      </c>
      <c r="K289" s="583">
        <v>85.427977291750437</v>
      </c>
      <c r="L289" s="584">
        <v>86.154986254635503</v>
      </c>
      <c r="M289" s="584">
        <v>88.597693198446251</v>
      </c>
      <c r="N289" s="690"/>
      <c r="O289" s="691"/>
      <c r="P289" s="691"/>
      <c r="Q289" s="7"/>
      <c r="R289" s="7"/>
      <c r="S289" s="7"/>
      <c r="T289" s="7"/>
      <c r="U289" s="7"/>
      <c r="V289" s="7"/>
      <c r="W289" s="7"/>
      <c r="X289" s="7"/>
      <c r="Y289" s="7"/>
      <c r="Z289" s="7"/>
      <c r="AA289" s="7"/>
    </row>
    <row r="290" spans="1:27">
      <c r="A290" s="16">
        <v>38748</v>
      </c>
      <c r="B290" s="573">
        <v>66.530323461738774</v>
      </c>
      <c r="C290" s="574">
        <v>67.084975677873544</v>
      </c>
      <c r="D290" s="575">
        <v>69.731700607256045</v>
      </c>
      <c r="E290" s="576">
        <v>65.479272572674489</v>
      </c>
      <c r="F290" s="574">
        <v>65.98945367007417</v>
      </c>
      <c r="G290" s="575">
        <v>68.583111574213646</v>
      </c>
      <c r="H290" s="576">
        <v>66.499170845145443</v>
      </c>
      <c r="I290" s="574">
        <v>67.057631343163706</v>
      </c>
      <c r="J290" s="575">
        <v>69.704399866970292</v>
      </c>
      <c r="K290" s="577">
        <v>90.280019050194156</v>
      </c>
      <c r="L290" s="578">
        <v>90.96690983411807</v>
      </c>
      <c r="M290" s="578">
        <v>94.536981474868853</v>
      </c>
      <c r="N290" s="688"/>
      <c r="O290" s="689"/>
      <c r="P290" s="689"/>
      <c r="Q290" s="7"/>
      <c r="R290" s="7"/>
      <c r="S290" s="7"/>
      <c r="T290" s="7"/>
    </row>
    <row r="291" spans="1:27">
      <c r="A291" s="16">
        <v>38776</v>
      </c>
      <c r="B291" s="579">
        <v>67.947022255196501</v>
      </c>
      <c r="C291" s="580">
        <v>68.296776956084727</v>
      </c>
      <c r="D291" s="581">
        <v>70.505573980772766</v>
      </c>
      <c r="E291" s="582">
        <v>69.492893007943636</v>
      </c>
      <c r="F291" s="580">
        <v>69.812827405584315</v>
      </c>
      <c r="G291" s="581">
        <v>72.060311065938464</v>
      </c>
      <c r="H291" s="582">
        <v>67.340758262153756</v>
      </c>
      <c r="I291" s="580">
        <v>67.691498691398635</v>
      </c>
      <c r="J291" s="581">
        <v>69.881845591093423</v>
      </c>
      <c r="K291" s="583">
        <v>94.651091934119876</v>
      </c>
      <c r="L291" s="584">
        <v>95.069580365905779</v>
      </c>
      <c r="M291" s="584">
        <v>98.124649774517223</v>
      </c>
      <c r="N291" s="690"/>
      <c r="O291" s="691"/>
      <c r="P291" s="691"/>
      <c r="Q291" s="7"/>
      <c r="R291" s="7"/>
      <c r="S291" s="7"/>
      <c r="T291" s="7"/>
    </row>
    <row r="292" spans="1:27">
      <c r="A292" s="16">
        <v>38807</v>
      </c>
      <c r="B292" s="573">
        <v>69.447985069327245</v>
      </c>
      <c r="C292" s="574">
        <v>68.378093996594941</v>
      </c>
      <c r="D292" s="575">
        <v>70.716726064969862</v>
      </c>
      <c r="E292" s="576">
        <v>69.890130334720908</v>
      </c>
      <c r="F292" s="574">
        <v>68.776211055886748</v>
      </c>
      <c r="G292" s="575">
        <v>71.118250353980329</v>
      </c>
      <c r="H292" s="576">
        <v>69.077879540498927</v>
      </c>
      <c r="I292" s="574">
        <v>68.01781642741625</v>
      </c>
      <c r="J292" s="575">
        <v>70.345259208082069</v>
      </c>
      <c r="K292" s="577">
        <v>97.514032638761975</v>
      </c>
      <c r="L292" s="578">
        <v>95.942410568837417</v>
      </c>
      <c r="M292" s="578">
        <v>99.203976439238374</v>
      </c>
      <c r="N292" s="688"/>
      <c r="O292" s="689"/>
      <c r="P292" s="689"/>
      <c r="Q292" s="7"/>
      <c r="R292" s="7"/>
      <c r="S292" s="7"/>
      <c r="T292" s="7"/>
    </row>
    <row r="293" spans="1:27">
      <c r="A293" s="16">
        <v>38837</v>
      </c>
      <c r="B293" s="579">
        <v>72.114982988390381</v>
      </c>
      <c r="C293" s="580">
        <v>71.16679392652955</v>
      </c>
      <c r="D293" s="581">
        <v>74.162682498478446</v>
      </c>
      <c r="E293" s="582">
        <v>69.595343156816</v>
      </c>
      <c r="F293" s="580">
        <v>68.643138399017403</v>
      </c>
      <c r="G293" s="581">
        <v>71.522522355611443</v>
      </c>
      <c r="H293" s="582">
        <v>72.383947179321453</v>
      </c>
      <c r="I293" s="580">
        <v>71.436555336842744</v>
      </c>
      <c r="J293" s="581">
        <v>74.444998734201022</v>
      </c>
      <c r="K293" s="583">
        <v>112.11935076986599</v>
      </c>
      <c r="L293" s="584">
        <v>110.56524643972917</v>
      </c>
      <c r="M293" s="584">
        <v>115.1966809448232</v>
      </c>
      <c r="N293" s="690"/>
      <c r="O293" s="691"/>
      <c r="P293" s="691"/>
      <c r="Q293" s="7"/>
      <c r="R293" s="7"/>
      <c r="S293" s="7"/>
      <c r="T293" s="7"/>
    </row>
    <row r="294" spans="1:27">
      <c r="A294" s="16">
        <v>38868</v>
      </c>
      <c r="B294" s="573">
        <v>72.349671076571482</v>
      </c>
      <c r="C294" s="574">
        <v>72.241010088940968</v>
      </c>
      <c r="D294" s="575">
        <v>77.272011736420552</v>
      </c>
      <c r="E294" s="576">
        <v>68.389404365166513</v>
      </c>
      <c r="F294" s="574">
        <v>68.249759452853169</v>
      </c>
      <c r="G294" s="575">
        <v>72.992324812962224</v>
      </c>
      <c r="H294" s="576">
        <v>72.933660924972315</v>
      </c>
      <c r="I294" s="574">
        <v>72.828540934464996</v>
      </c>
      <c r="J294" s="575">
        <v>77.901713766875119</v>
      </c>
      <c r="K294" s="577">
        <v>124.66537974325158</v>
      </c>
      <c r="L294" s="578">
        <v>124.38822802300751</v>
      </c>
      <c r="M294" s="578">
        <v>133.02430226638467</v>
      </c>
      <c r="N294" s="688"/>
      <c r="O294" s="689"/>
      <c r="P294" s="689"/>
      <c r="Q294" s="7"/>
      <c r="R294" s="7"/>
      <c r="S294" s="7"/>
      <c r="T294" s="7"/>
    </row>
    <row r="295" spans="1:27">
      <c r="A295" s="16">
        <v>38898</v>
      </c>
      <c r="B295" s="579">
        <v>72.334849391706769</v>
      </c>
      <c r="C295" s="580">
        <v>70.473437695049881</v>
      </c>
      <c r="D295" s="581">
        <v>74.938982914505033</v>
      </c>
      <c r="E295" s="582">
        <v>68.779115144174995</v>
      </c>
      <c r="F295" s="580">
        <v>66.972963205373532</v>
      </c>
      <c r="G295" s="581">
        <v>71.206479436979734</v>
      </c>
      <c r="H295" s="582">
        <v>72.830178171251475</v>
      </c>
      <c r="I295" s="580">
        <v>70.960324798629287</v>
      </c>
      <c r="J295" s="581">
        <v>75.457936656502056</v>
      </c>
      <c r="K295" s="583">
        <v>116.0278145980925</v>
      </c>
      <c r="L295" s="584">
        <v>112.96038288651874</v>
      </c>
      <c r="M295" s="584">
        <v>120.09413339883959</v>
      </c>
      <c r="N295" s="690"/>
      <c r="O295" s="691"/>
      <c r="P295" s="691"/>
      <c r="Q295" s="7"/>
      <c r="R295" s="7"/>
      <c r="S295" s="7"/>
      <c r="T295" s="7"/>
    </row>
    <row r="296" spans="1:27">
      <c r="A296" s="16">
        <v>38929</v>
      </c>
      <c r="B296" s="573">
        <v>73.52842595410705</v>
      </c>
      <c r="C296" s="574">
        <v>72.800003110884703</v>
      </c>
      <c r="D296" s="575">
        <v>77.306879833430813</v>
      </c>
      <c r="E296" s="576">
        <v>69.926698051070105</v>
      </c>
      <c r="F296" s="574">
        <v>69.19651227713517</v>
      </c>
      <c r="G296" s="575">
        <v>73.469758849428715</v>
      </c>
      <c r="H296" s="576">
        <v>74.029147448859874</v>
      </c>
      <c r="I296" s="574">
        <v>73.300210813278184</v>
      </c>
      <c r="J296" s="575">
        <v>77.83930762851746</v>
      </c>
      <c r="K296" s="577">
        <v>124.26395076928223</v>
      </c>
      <c r="L296" s="578">
        <v>122.94403264763677</v>
      </c>
      <c r="M296" s="578">
        <v>130.52914724027204</v>
      </c>
      <c r="N296" s="688"/>
      <c r="O296" s="689"/>
      <c r="P296" s="689"/>
      <c r="Q296" s="7"/>
      <c r="R296" s="7"/>
      <c r="S296" s="7"/>
      <c r="T296" s="7"/>
      <c r="U296" s="7"/>
      <c r="V296" s="7"/>
      <c r="W296" s="7"/>
    </row>
    <row r="297" spans="1:27">
      <c r="A297" s="16">
        <v>38960</v>
      </c>
      <c r="B297" s="579">
        <v>73.010799830657731</v>
      </c>
      <c r="C297" s="580">
        <v>72.925241982897077</v>
      </c>
      <c r="D297" s="581">
        <v>77.939679852787464</v>
      </c>
      <c r="E297" s="582">
        <v>67.53766576730979</v>
      </c>
      <c r="F297" s="580">
        <v>67.422037729582911</v>
      </c>
      <c r="G297" s="581">
        <v>72.047725473549747</v>
      </c>
      <c r="H297" s="582">
        <v>73.923981454694726</v>
      </c>
      <c r="I297" s="580">
        <v>73.841833047343854</v>
      </c>
      <c r="J297" s="581">
        <v>78.920567776545212</v>
      </c>
      <c r="K297" s="583">
        <v>126.92977308350216</v>
      </c>
      <c r="L297" s="584">
        <v>126.68944818193123</v>
      </c>
      <c r="M297" s="584">
        <v>135.37375714557317</v>
      </c>
      <c r="N297" s="690"/>
      <c r="O297" s="691"/>
      <c r="P297" s="691"/>
      <c r="Q297" s="7"/>
      <c r="R297" s="7"/>
      <c r="S297" s="7"/>
      <c r="T297" s="7"/>
      <c r="U297" s="7"/>
      <c r="V297" s="7"/>
      <c r="W297" s="7"/>
    </row>
    <row r="298" spans="1:27">
      <c r="A298" s="16">
        <v>38990</v>
      </c>
      <c r="B298" s="573">
        <v>71.566900808887965</v>
      </c>
      <c r="C298" s="574">
        <v>71.115273798560935</v>
      </c>
      <c r="D298" s="575">
        <v>75.763047039532722</v>
      </c>
      <c r="E298" s="576">
        <v>68.145174012869987</v>
      </c>
      <c r="F298" s="574">
        <v>67.678517323868519</v>
      </c>
      <c r="G298" s="575">
        <v>72.091331028988392</v>
      </c>
      <c r="H298" s="576">
        <v>72.035860290309159</v>
      </c>
      <c r="I298" s="574">
        <v>71.585616566975702</v>
      </c>
      <c r="J298" s="575">
        <v>76.26535735527797</v>
      </c>
      <c r="K298" s="577">
        <v>127.96364169723149</v>
      </c>
      <c r="L298" s="578">
        <v>127.06426688492758</v>
      </c>
      <c r="M298" s="578">
        <v>135.34159200512863</v>
      </c>
      <c r="N298" s="688"/>
      <c r="O298" s="689"/>
      <c r="P298" s="689"/>
      <c r="Q298" s="7"/>
      <c r="R298" s="7"/>
      <c r="S298" s="7"/>
      <c r="T298" s="7"/>
      <c r="U298" s="7"/>
      <c r="V298" s="7"/>
      <c r="W298" s="7"/>
    </row>
    <row r="299" spans="1:27">
      <c r="A299" s="16">
        <v>39021</v>
      </c>
      <c r="B299" s="579">
        <v>72.092683293627829</v>
      </c>
      <c r="C299" s="580">
        <v>71.751663240962486</v>
      </c>
      <c r="D299" s="581">
        <v>76.015085049501764</v>
      </c>
      <c r="E299" s="582">
        <v>71.582072266748483</v>
      </c>
      <c r="F299" s="580">
        <v>71.204936635723584</v>
      </c>
      <c r="G299" s="581">
        <v>75.425045222052987</v>
      </c>
      <c r="H299" s="582">
        <v>71.921128389364668</v>
      </c>
      <c r="I299" s="580">
        <v>71.585262504016768</v>
      </c>
      <c r="J299" s="581">
        <v>75.84001814293164</v>
      </c>
      <c r="K299" s="583">
        <v>136.51981671531476</v>
      </c>
      <c r="L299" s="584">
        <v>135.77588650686195</v>
      </c>
      <c r="M299" s="584">
        <v>143.81485886034679</v>
      </c>
      <c r="N299" s="690"/>
      <c r="O299" s="691"/>
      <c r="P299" s="691"/>
      <c r="Q299" s="7"/>
      <c r="R299" s="7"/>
      <c r="S299" s="7"/>
      <c r="T299" s="7"/>
    </row>
    <row r="300" spans="1:27">
      <c r="A300" s="16">
        <v>39051</v>
      </c>
      <c r="B300" s="573">
        <v>71.236839489511226</v>
      </c>
      <c r="C300" s="574">
        <v>71.959927905218208</v>
      </c>
      <c r="D300" s="575">
        <v>76.952792782206089</v>
      </c>
      <c r="E300" s="576">
        <v>72.491165420426</v>
      </c>
      <c r="F300" s="574">
        <v>73.187382174743846</v>
      </c>
      <c r="G300" s="575">
        <v>78.254179372009503</v>
      </c>
      <c r="H300" s="576">
        <v>70.681576394088609</v>
      </c>
      <c r="I300" s="574">
        <v>71.403360246627841</v>
      </c>
      <c r="J300" s="575">
        <v>76.358837827199594</v>
      </c>
      <c r="K300" s="577">
        <v>134.02543556917365</v>
      </c>
      <c r="L300" s="578">
        <v>135.28806082416972</v>
      </c>
      <c r="M300" s="578">
        <v>144.64600304351117</v>
      </c>
      <c r="N300" s="688"/>
      <c r="O300" s="689"/>
      <c r="P300" s="689"/>
      <c r="Q300" s="7"/>
      <c r="R300" s="7"/>
      <c r="S300" s="7"/>
      <c r="T300" s="7"/>
    </row>
    <row r="301" spans="1:27">
      <c r="A301" s="16">
        <v>39082</v>
      </c>
      <c r="B301" s="579">
        <v>71.062446438442777</v>
      </c>
      <c r="C301" s="580">
        <v>72.090657646433073</v>
      </c>
      <c r="D301" s="581">
        <v>78.162611299886791</v>
      </c>
      <c r="E301" s="582">
        <v>71.221760966359511</v>
      </c>
      <c r="F301" s="580">
        <v>72.213200794684184</v>
      </c>
      <c r="G301" s="581">
        <v>78.284238210816611</v>
      </c>
      <c r="H301" s="582">
        <v>70.748019824831118</v>
      </c>
      <c r="I301" s="580">
        <v>71.776035789965334</v>
      </c>
      <c r="J301" s="581">
        <v>77.82274304779267</v>
      </c>
      <c r="K301" s="583">
        <v>134.56057404296376</v>
      </c>
      <c r="L301" s="584">
        <v>136.4089393247429</v>
      </c>
      <c r="M301" s="584">
        <v>147.86868271335771</v>
      </c>
      <c r="N301" s="690"/>
      <c r="O301" s="691"/>
      <c r="P301" s="691"/>
      <c r="Q301" s="7"/>
      <c r="R301" s="7"/>
      <c r="S301" s="7"/>
      <c r="T301" s="7"/>
    </row>
    <row r="302" spans="1:27">
      <c r="A302" s="16">
        <v>39113</v>
      </c>
      <c r="B302" s="573">
        <v>69.670027929282298</v>
      </c>
      <c r="C302" s="574">
        <v>71.098292147755004</v>
      </c>
      <c r="D302" s="575">
        <v>76.426980423743856</v>
      </c>
      <c r="E302" s="576">
        <v>71.420832194872148</v>
      </c>
      <c r="F302" s="574">
        <v>72.845569907578138</v>
      </c>
      <c r="G302" s="575">
        <v>78.293974456075532</v>
      </c>
      <c r="H302" s="576">
        <v>69.012042746931286</v>
      </c>
      <c r="I302" s="574">
        <v>70.4310906428138</v>
      </c>
      <c r="J302" s="575">
        <v>75.710992514635123</v>
      </c>
      <c r="K302" s="577">
        <v>130.2061441854064</v>
      </c>
      <c r="L302" s="578">
        <v>132.77943930938355</v>
      </c>
      <c r="M302" s="578">
        <v>142.70252651773978</v>
      </c>
      <c r="N302" s="688"/>
      <c r="O302" s="689"/>
      <c r="P302" s="689"/>
      <c r="S302" s="7"/>
    </row>
    <row r="303" spans="1:27">
      <c r="A303" s="16">
        <v>39141</v>
      </c>
      <c r="B303" s="579">
        <v>71.480445425392489</v>
      </c>
      <c r="C303" s="580">
        <v>72.735319545849578</v>
      </c>
      <c r="D303" s="581">
        <v>78.237381422867131</v>
      </c>
      <c r="E303" s="582">
        <v>71.512369807313618</v>
      </c>
      <c r="F303" s="580">
        <v>72.728449040077777</v>
      </c>
      <c r="G303" s="581">
        <v>78.218762962143771</v>
      </c>
      <c r="H303" s="582">
        <v>71.192313189543853</v>
      </c>
      <c r="I303" s="580">
        <v>72.446523916708159</v>
      </c>
      <c r="J303" s="581">
        <v>77.927994693893794</v>
      </c>
      <c r="K303" s="583">
        <v>133.98009130205321</v>
      </c>
      <c r="L303" s="584">
        <v>136.23369582090851</v>
      </c>
      <c r="M303" s="584">
        <v>146.50983964709198</v>
      </c>
      <c r="N303" s="690"/>
      <c r="O303" s="691"/>
      <c r="P303" s="691"/>
      <c r="Q303" s="7"/>
      <c r="R303" s="7"/>
    </row>
    <row r="304" spans="1:27">
      <c r="A304" s="16">
        <v>39172</v>
      </c>
      <c r="B304" s="573">
        <v>71.896556640187512</v>
      </c>
      <c r="C304" s="574">
        <v>73.519389993836455</v>
      </c>
      <c r="D304" s="575">
        <v>79.661188088656743</v>
      </c>
      <c r="E304" s="576">
        <v>70.952839711040099</v>
      </c>
      <c r="F304" s="574">
        <v>72.515131788486912</v>
      </c>
      <c r="G304" s="575">
        <v>78.56175684112381</v>
      </c>
      <c r="H304" s="576">
        <v>71.820758995241235</v>
      </c>
      <c r="I304" s="574">
        <v>73.446337022655044</v>
      </c>
      <c r="J304" s="575">
        <v>79.583313778900802</v>
      </c>
      <c r="K304" s="577">
        <v>140.09337521146188</v>
      </c>
      <c r="L304" s="578">
        <v>143.15204965954496</v>
      </c>
      <c r="M304" s="578">
        <v>155.07998641153191</v>
      </c>
      <c r="N304" s="688"/>
      <c r="O304" s="689"/>
      <c r="P304" s="689"/>
      <c r="Q304" s="7"/>
      <c r="R304" s="7"/>
      <c r="S304" s="7"/>
      <c r="T304" s="7"/>
    </row>
    <row r="305" spans="1:20">
      <c r="A305" s="16">
        <v>39202</v>
      </c>
      <c r="B305" s="579">
        <v>71.266828434882754</v>
      </c>
      <c r="C305" s="580">
        <v>75.345669042698702</v>
      </c>
      <c r="D305" s="581">
        <v>82.291660237767829</v>
      </c>
      <c r="E305" s="582">
        <v>67.205147970195327</v>
      </c>
      <c r="F305" s="580">
        <v>71.013097813113916</v>
      </c>
      <c r="G305" s="581">
        <v>77.548544487417573</v>
      </c>
      <c r="H305" s="582">
        <v>71.877318464194133</v>
      </c>
      <c r="I305" s="580">
        <v>75.99570968965746</v>
      </c>
      <c r="J305" s="581">
        <v>83.002963604697072</v>
      </c>
      <c r="K305" s="583">
        <v>146.34921115859518</v>
      </c>
      <c r="L305" s="584">
        <v>154.61350149529792</v>
      </c>
      <c r="M305" s="584">
        <v>168.83335302407653</v>
      </c>
      <c r="N305" s="690"/>
      <c r="O305" s="691"/>
      <c r="P305" s="691"/>
      <c r="Q305" s="7"/>
      <c r="R305" s="7"/>
      <c r="S305" s="7"/>
      <c r="T305" s="7"/>
    </row>
    <row r="306" spans="1:20">
      <c r="A306" s="16">
        <v>39233</v>
      </c>
      <c r="B306" s="573">
        <v>71.734194756338852</v>
      </c>
      <c r="C306" s="574">
        <v>75.877594546560971</v>
      </c>
      <c r="D306" s="575">
        <v>82.820903743562155</v>
      </c>
      <c r="E306" s="576">
        <v>67.738725830678504</v>
      </c>
      <c r="F306" s="574">
        <v>71.612593997975466</v>
      </c>
      <c r="G306" s="575">
        <v>78.154408020208237</v>
      </c>
      <c r="H306" s="576">
        <v>72.328325572489561</v>
      </c>
      <c r="I306" s="574">
        <v>76.51068408722098</v>
      </c>
      <c r="J306" s="575">
        <v>83.513270003853336</v>
      </c>
      <c r="K306" s="577">
        <v>149.51308515104574</v>
      </c>
      <c r="L306" s="578">
        <v>158.03478800664894</v>
      </c>
      <c r="M306" s="578">
        <v>172.46159890496494</v>
      </c>
      <c r="N306" s="688"/>
      <c r="O306" s="689"/>
      <c r="P306" s="689"/>
      <c r="S306" s="7"/>
      <c r="T306" s="7"/>
    </row>
    <row r="307" spans="1:20">
      <c r="A307" s="16">
        <v>39263</v>
      </c>
      <c r="B307" s="579">
        <v>69.32012474955296</v>
      </c>
      <c r="C307" s="580">
        <v>75.180307886411398</v>
      </c>
      <c r="D307" s="581">
        <v>81.692195221350346</v>
      </c>
      <c r="E307" s="582">
        <v>68.656578116296387</v>
      </c>
      <c r="F307" s="580">
        <v>74.420395468998905</v>
      </c>
      <c r="G307" s="581">
        <v>80.854854880209786</v>
      </c>
      <c r="H307" s="582">
        <v>69.193015065552842</v>
      </c>
      <c r="I307" s="580">
        <v>75.047005271676255</v>
      </c>
      <c r="J307" s="581">
        <v>81.548659485658902</v>
      </c>
      <c r="K307" s="583">
        <v>133.9899318280616</v>
      </c>
      <c r="L307" s="584">
        <v>145.21219781936438</v>
      </c>
      <c r="M307" s="584">
        <v>157.75853494618011</v>
      </c>
      <c r="N307" s="690"/>
      <c r="O307" s="691"/>
      <c r="P307" s="691"/>
    </row>
    <row r="308" spans="1:20">
      <c r="A308" s="16">
        <v>39294</v>
      </c>
      <c r="B308" s="573">
        <v>67.996453678927594</v>
      </c>
      <c r="C308" s="574">
        <v>75.118034503867776</v>
      </c>
      <c r="D308" s="575">
        <v>82.53182990942139</v>
      </c>
      <c r="E308" s="576">
        <v>70.090956686859116</v>
      </c>
      <c r="F308" s="574">
        <v>77.390026587699452</v>
      </c>
      <c r="G308" s="575">
        <v>85.015852934778451</v>
      </c>
      <c r="H308" s="576">
        <v>67.269672905933206</v>
      </c>
      <c r="I308" s="574">
        <v>74.319643183262642</v>
      </c>
      <c r="J308" s="575">
        <v>81.65595600414494</v>
      </c>
      <c r="K308" s="577">
        <v>126.68535250332786</v>
      </c>
      <c r="L308" s="578">
        <v>139.85259374332</v>
      </c>
      <c r="M308" s="578">
        <v>153.62471250854574</v>
      </c>
      <c r="N308" s="688"/>
      <c r="O308" s="689"/>
      <c r="P308" s="689"/>
    </row>
    <row r="309" spans="1:20">
      <c r="A309" s="16">
        <v>39325</v>
      </c>
      <c r="B309" s="579">
        <v>70.114791493606177</v>
      </c>
      <c r="C309" s="580">
        <v>74.01275852632304</v>
      </c>
      <c r="D309" s="581">
        <v>81.367922092493245</v>
      </c>
      <c r="E309" s="582">
        <v>75.562966129429128</v>
      </c>
      <c r="F309" s="580">
        <v>79.720680374026003</v>
      </c>
      <c r="G309" s="581">
        <v>87.630500626893308</v>
      </c>
      <c r="H309" s="582">
        <v>68.644174455327061</v>
      </c>
      <c r="I309" s="580">
        <v>72.464779909226564</v>
      </c>
      <c r="J309" s="581">
        <v>79.667392902119005</v>
      </c>
      <c r="K309" s="583">
        <v>120.30470457396751</v>
      </c>
      <c r="L309" s="584">
        <v>126.9011983673204</v>
      </c>
      <c r="M309" s="584">
        <v>139.4844058888859</v>
      </c>
      <c r="N309" s="690"/>
      <c r="O309" s="691"/>
      <c r="P309" s="691"/>
    </row>
    <row r="310" spans="1:20">
      <c r="A310" s="16">
        <v>39355</v>
      </c>
      <c r="B310" s="573">
        <v>71.845936536352511</v>
      </c>
      <c r="C310" s="574">
        <v>76.627644859803183</v>
      </c>
      <c r="D310" s="575">
        <v>84.95470502085216</v>
      </c>
      <c r="E310" s="576">
        <v>82.560235556694622</v>
      </c>
      <c r="F310" s="574">
        <v>88.007411155783558</v>
      </c>
      <c r="G310" s="575">
        <v>97.557096481164265</v>
      </c>
      <c r="H310" s="576">
        <v>69.213579667687057</v>
      </c>
      <c r="I310" s="574">
        <v>73.824569912650844</v>
      </c>
      <c r="J310" s="575">
        <v>81.848340301407347</v>
      </c>
      <c r="K310" s="577">
        <v>117.98457004928757</v>
      </c>
      <c r="L310" s="578">
        <v>125.74613632823232</v>
      </c>
      <c r="M310" s="578">
        <v>139.38303202706564</v>
      </c>
      <c r="N310" s="688"/>
      <c r="O310" s="689"/>
      <c r="P310" s="689"/>
    </row>
    <row r="311" spans="1:20">
      <c r="A311" s="16">
        <v>39386</v>
      </c>
      <c r="B311" s="579">
        <v>70.014544648343374</v>
      </c>
      <c r="C311" s="580">
        <v>78.525418624741377</v>
      </c>
      <c r="D311" s="581">
        <v>87.939380219160256</v>
      </c>
      <c r="E311" s="582">
        <v>80.475412299523327</v>
      </c>
      <c r="F311" s="580">
        <v>90.209080712860029</v>
      </c>
      <c r="G311" s="581">
        <v>101.00922968721524</v>
      </c>
      <c r="H311" s="582">
        <v>67.444971475656416</v>
      </c>
      <c r="I311" s="580">
        <v>75.648080718244358</v>
      </c>
      <c r="J311" s="581">
        <v>84.718458974895412</v>
      </c>
      <c r="K311" s="583">
        <v>116.63586899390188</v>
      </c>
      <c r="L311" s="584">
        <v>130.71947326969214</v>
      </c>
      <c r="M311" s="584">
        <v>146.36145850646361</v>
      </c>
      <c r="N311" s="690"/>
      <c r="O311" s="691"/>
      <c r="P311" s="691"/>
    </row>
    <row r="312" spans="1:20">
      <c r="A312" s="16">
        <v>39416</v>
      </c>
      <c r="B312" s="573">
        <v>71.154364150093045</v>
      </c>
      <c r="C312" s="574">
        <v>78.519185801269089</v>
      </c>
      <c r="D312" s="575">
        <v>89.476306217340507</v>
      </c>
      <c r="E312" s="576">
        <v>78.893139425583684</v>
      </c>
      <c r="F312" s="574">
        <v>87.01187734977222</v>
      </c>
      <c r="G312" s="575">
        <v>99.139896335960799</v>
      </c>
      <c r="H312" s="576">
        <v>69.17729924232286</v>
      </c>
      <c r="I312" s="574">
        <v>76.342116322287538</v>
      </c>
      <c r="J312" s="575">
        <v>86.996833995706936</v>
      </c>
      <c r="K312" s="577">
        <v>109.44219540958657</v>
      </c>
      <c r="L312" s="578">
        <v>120.68275337246095</v>
      </c>
      <c r="M312" s="578">
        <v>137.4962231748863</v>
      </c>
      <c r="N312" s="688"/>
      <c r="O312" s="689"/>
      <c r="P312" s="689"/>
    </row>
    <row r="313" spans="1:20">
      <c r="A313" s="16">
        <v>39447</v>
      </c>
      <c r="B313" s="579">
        <v>73.235914564016241</v>
      </c>
      <c r="C313" s="580">
        <v>78.938410965465835</v>
      </c>
      <c r="D313" s="581">
        <v>89.376310612028504</v>
      </c>
      <c r="E313" s="582">
        <v>85.537135815094729</v>
      </c>
      <c r="F313" s="580">
        <v>92.147600206343654</v>
      </c>
      <c r="G313" s="581">
        <v>104.31715515184656</v>
      </c>
      <c r="H313" s="582">
        <v>70.250057746202017</v>
      </c>
      <c r="I313" s="580">
        <v>75.724654917820999</v>
      </c>
      <c r="J313" s="581">
        <v>85.738985366695516</v>
      </c>
      <c r="K313" s="583">
        <v>102.48452719520411</v>
      </c>
      <c r="L313" s="584">
        <v>110.38466409240873</v>
      </c>
      <c r="M313" s="584">
        <v>124.95570330116466</v>
      </c>
      <c r="N313" s="690"/>
      <c r="O313" s="691"/>
      <c r="P313" s="691"/>
    </row>
    <row r="314" spans="1:20">
      <c r="A314" s="16">
        <v>39478</v>
      </c>
      <c r="B314" s="573">
        <v>74.396379027947773</v>
      </c>
      <c r="C314" s="574">
        <v>80.640189259217124</v>
      </c>
      <c r="D314" s="575">
        <v>91.773462924744734</v>
      </c>
      <c r="E314" s="576">
        <v>86.791256702162244</v>
      </c>
      <c r="F314" s="574">
        <v>94.024443547541424</v>
      </c>
      <c r="G314" s="575">
        <v>106.9902038034445</v>
      </c>
      <c r="H314" s="576">
        <v>71.385418030463711</v>
      </c>
      <c r="I314" s="574">
        <v>77.381223819053673</v>
      </c>
      <c r="J314" s="575">
        <v>88.065979201167409</v>
      </c>
      <c r="K314" s="577">
        <v>105.3723033478901</v>
      </c>
      <c r="L314" s="578">
        <v>114.13330187581303</v>
      </c>
      <c r="M314" s="578">
        <v>129.86474345173349</v>
      </c>
      <c r="N314" s="688"/>
      <c r="O314" s="689"/>
      <c r="P314" s="689"/>
    </row>
    <row r="315" spans="1:20">
      <c r="A315" s="16">
        <v>39507</v>
      </c>
      <c r="B315" s="579">
        <v>75.717800697281135</v>
      </c>
      <c r="C315" s="580">
        <v>84.869107702780695</v>
      </c>
      <c r="D315" s="581">
        <v>96.701168048091603</v>
      </c>
      <c r="E315" s="582">
        <v>89.399047340417184</v>
      </c>
      <c r="F315" s="580">
        <v>100.149685791899</v>
      </c>
      <c r="G315" s="581">
        <v>114.09571565707928</v>
      </c>
      <c r="H315" s="582">
        <v>72.419524718087231</v>
      </c>
      <c r="I315" s="580">
        <v>81.177124296825724</v>
      </c>
      <c r="J315" s="581">
        <v>92.495954731319458</v>
      </c>
      <c r="K315" s="583">
        <v>111.64769743152911</v>
      </c>
      <c r="L315" s="584">
        <v>125.05111952141536</v>
      </c>
      <c r="M315" s="584">
        <v>142.45672869625943</v>
      </c>
      <c r="N315" s="690"/>
      <c r="O315" s="691"/>
      <c r="P315" s="691"/>
    </row>
    <row r="316" spans="1:20">
      <c r="A316" s="16">
        <v>39538</v>
      </c>
      <c r="B316" s="573">
        <v>79.093128179427396</v>
      </c>
      <c r="C316" s="574">
        <v>87.269820671556602</v>
      </c>
      <c r="D316" s="575">
        <v>102.36559085838405</v>
      </c>
      <c r="E316" s="576">
        <v>89.758048268772356</v>
      </c>
      <c r="F316" s="574">
        <v>98.983723477468274</v>
      </c>
      <c r="G316" s="575">
        <v>116.08907815342218</v>
      </c>
      <c r="H316" s="576">
        <v>76.443097746220104</v>
      </c>
      <c r="I316" s="574">
        <v>84.350945668495498</v>
      </c>
      <c r="J316" s="575">
        <v>98.943407564234917</v>
      </c>
      <c r="K316" s="577">
        <v>116.73645068727888</v>
      </c>
      <c r="L316" s="578">
        <v>128.71168738216878</v>
      </c>
      <c r="M316" s="578">
        <v>150.94585687775509</v>
      </c>
      <c r="N316" s="688"/>
      <c r="O316" s="689"/>
      <c r="P316" s="689"/>
    </row>
    <row r="317" spans="1:20">
      <c r="A317" s="16">
        <v>39568</v>
      </c>
      <c r="B317" s="579">
        <v>84.761253841949852</v>
      </c>
      <c r="C317" s="580">
        <v>93.730925565808036</v>
      </c>
      <c r="D317" s="581">
        <v>110.36367233110724</v>
      </c>
      <c r="E317" s="582">
        <v>82.479638259253747</v>
      </c>
      <c r="F317" s="580">
        <v>91.158534718817052</v>
      </c>
      <c r="G317" s="581">
        <v>107.31939979656831</v>
      </c>
      <c r="H317" s="582">
        <v>84.928278676920115</v>
      </c>
      <c r="I317" s="580">
        <v>93.921323093370972</v>
      </c>
      <c r="J317" s="581">
        <v>110.58963707016285</v>
      </c>
      <c r="K317" s="583">
        <v>113.81555316642068</v>
      </c>
      <c r="L317" s="584">
        <v>125.76891512646613</v>
      </c>
      <c r="M317" s="584">
        <v>148.05730896893218</v>
      </c>
      <c r="N317" s="690"/>
      <c r="O317" s="691"/>
      <c r="P317" s="691"/>
    </row>
    <row r="318" spans="1:20">
      <c r="A318" s="16">
        <v>39599</v>
      </c>
      <c r="B318" s="573">
        <v>87.702662963213754</v>
      </c>
      <c r="C318" s="574">
        <v>99.769903758199817</v>
      </c>
      <c r="D318" s="575">
        <v>116.46601452717404</v>
      </c>
      <c r="E318" s="576">
        <v>77.224706645327274</v>
      </c>
      <c r="F318" s="574">
        <v>87.802745338845057</v>
      </c>
      <c r="G318" s="575">
        <v>102.48148691259891</v>
      </c>
      <c r="H318" s="576">
        <v>89.655686099173721</v>
      </c>
      <c r="I318" s="574">
        <v>101.99783611520459</v>
      </c>
      <c r="J318" s="575">
        <v>119.06870013054967</v>
      </c>
      <c r="K318" s="577">
        <v>104.49038928359036</v>
      </c>
      <c r="L318" s="578">
        <v>118.78163208397197</v>
      </c>
      <c r="M318" s="578">
        <v>138.63160408358749</v>
      </c>
      <c r="N318" s="688"/>
      <c r="O318" s="689"/>
      <c r="P318" s="689"/>
    </row>
    <row r="319" spans="1:20">
      <c r="A319" s="16">
        <v>39629</v>
      </c>
      <c r="B319" s="579">
        <v>92.816379441189014</v>
      </c>
      <c r="C319" s="580">
        <v>106.31649268738886</v>
      </c>
      <c r="D319" s="581">
        <v>123.52947414947435</v>
      </c>
      <c r="E319" s="582">
        <v>80.343080241117363</v>
      </c>
      <c r="F319" s="580">
        <v>91.979183604911157</v>
      </c>
      <c r="G319" s="581">
        <v>106.85556967660568</v>
      </c>
      <c r="H319" s="582">
        <v>95.186895752988022</v>
      </c>
      <c r="I319" s="580">
        <v>109.03841457816115</v>
      </c>
      <c r="J319" s="581">
        <v>126.69412403179139</v>
      </c>
      <c r="K319" s="583">
        <v>99.74155003255467</v>
      </c>
      <c r="L319" s="584">
        <v>114.1663979016039</v>
      </c>
      <c r="M319" s="584">
        <v>132.62382511171575</v>
      </c>
      <c r="N319" s="690"/>
      <c r="O319" s="691"/>
      <c r="P319" s="691"/>
    </row>
    <row r="320" spans="1:20">
      <c r="A320" s="16">
        <v>39660</v>
      </c>
      <c r="B320" s="573">
        <v>96.710125371726662</v>
      </c>
      <c r="C320" s="574">
        <v>111.02031062297384</v>
      </c>
      <c r="D320" s="575">
        <v>130.2404144269187</v>
      </c>
      <c r="E320" s="576">
        <v>80.110588139951247</v>
      </c>
      <c r="F320" s="574">
        <v>91.91480433382813</v>
      </c>
      <c r="G320" s="575">
        <v>107.81184053636414</v>
      </c>
      <c r="H320" s="576">
        <v>99.970266686190385</v>
      </c>
      <c r="I320" s="574">
        <v>114.76981705977418</v>
      </c>
      <c r="J320" s="575">
        <v>134.64121252473439</v>
      </c>
      <c r="K320" s="577">
        <v>98.15048854112581</v>
      </c>
      <c r="L320" s="578">
        <v>112.59241269811933</v>
      </c>
      <c r="M320" s="578">
        <v>132.05831640428875</v>
      </c>
      <c r="N320" s="688"/>
      <c r="O320" s="689"/>
      <c r="P320" s="689"/>
    </row>
    <row r="321" spans="1:16">
      <c r="A321" s="16">
        <v>39691</v>
      </c>
      <c r="B321" s="579">
        <v>103.9324847928934</v>
      </c>
      <c r="C321" s="580">
        <v>112.58772015794258</v>
      </c>
      <c r="D321" s="581">
        <v>128.4645475653677</v>
      </c>
      <c r="E321" s="582">
        <v>85.009331472824698</v>
      </c>
      <c r="F321" s="580">
        <v>92.038889587614548</v>
      </c>
      <c r="G321" s="581">
        <v>105.00290128885956</v>
      </c>
      <c r="H321" s="582">
        <v>107.60208632147558</v>
      </c>
      <c r="I321" s="580">
        <v>116.56998847483817</v>
      </c>
      <c r="J321" s="581">
        <v>133.01052681050496</v>
      </c>
      <c r="K321" s="583">
        <v>97.712295650239099</v>
      </c>
      <c r="L321" s="584">
        <v>105.77306749582138</v>
      </c>
      <c r="M321" s="584">
        <v>120.66481889090124</v>
      </c>
      <c r="N321" s="690"/>
      <c r="O321" s="691"/>
      <c r="P321" s="691"/>
    </row>
    <row r="322" spans="1:16">
      <c r="A322" s="16">
        <v>39721</v>
      </c>
      <c r="B322" s="573">
        <v>111.99521299937109</v>
      </c>
      <c r="C322" s="574">
        <v>114.90461414043037</v>
      </c>
      <c r="D322" s="575">
        <v>128.56030503659753</v>
      </c>
      <c r="E322" s="576">
        <v>83.921847860610683</v>
      </c>
      <c r="F322" s="574">
        <v>86.05539484710593</v>
      </c>
      <c r="G322" s="575">
        <v>96.268718136574464</v>
      </c>
      <c r="H322" s="576">
        <v>117.12590539365333</v>
      </c>
      <c r="I322" s="574">
        <v>120.17588155162311</v>
      </c>
      <c r="J322" s="575">
        <v>134.46019458821593</v>
      </c>
      <c r="K322" s="577">
        <v>97.536848725040542</v>
      </c>
      <c r="L322" s="578">
        <v>99.998364439451223</v>
      </c>
      <c r="M322" s="578">
        <v>111.86020775503545</v>
      </c>
      <c r="N322" s="688"/>
      <c r="O322" s="689"/>
      <c r="P322" s="689"/>
    </row>
    <row r="323" spans="1:16">
      <c r="A323" s="16">
        <v>39752</v>
      </c>
      <c r="B323" s="579">
        <v>124.97256822147619</v>
      </c>
      <c r="C323" s="580">
        <v>111.05866443015229</v>
      </c>
      <c r="D323" s="581">
        <v>121.14992464162601</v>
      </c>
      <c r="E323" s="582">
        <v>83.669687912276075</v>
      </c>
      <c r="F323" s="580">
        <v>74.314054351198806</v>
      </c>
      <c r="G323" s="581">
        <v>81.054908438686851</v>
      </c>
      <c r="H323" s="582">
        <v>132.22553138223725</v>
      </c>
      <c r="I323" s="580">
        <v>117.51124284860437</v>
      </c>
      <c r="J323" s="581">
        <v>128.19087584130901</v>
      </c>
      <c r="K323" s="583">
        <v>90.325154497861647</v>
      </c>
      <c r="L323" s="584">
        <v>80.210760281242628</v>
      </c>
      <c r="M323" s="584">
        <v>87.481583185392253</v>
      </c>
      <c r="N323" s="690"/>
      <c r="O323" s="691"/>
      <c r="P323" s="691"/>
    </row>
    <row r="324" spans="1:16">
      <c r="A324" s="16">
        <v>39782</v>
      </c>
      <c r="B324" s="573">
        <v>122.18200914525576</v>
      </c>
      <c r="C324" s="574">
        <v>105.13334338835524</v>
      </c>
      <c r="D324" s="575">
        <v>112.08097406553583</v>
      </c>
      <c r="E324" s="576">
        <v>79.742411015605427</v>
      </c>
      <c r="F324" s="574">
        <v>68.578444618984847</v>
      </c>
      <c r="G324" s="575">
        <v>73.099888353057892</v>
      </c>
      <c r="H324" s="576">
        <v>129.58832068176494</v>
      </c>
      <c r="I324" s="574">
        <v>111.51298014174532</v>
      </c>
      <c r="J324" s="575">
        <v>118.88411700054095</v>
      </c>
      <c r="K324" s="577">
        <v>80.945026074181044</v>
      </c>
      <c r="L324" s="578">
        <v>69.600049564110805</v>
      </c>
      <c r="M324" s="578">
        <v>74.184687056086702</v>
      </c>
      <c r="N324" s="688"/>
      <c r="O324" s="689"/>
      <c r="P324" s="689"/>
    </row>
    <row r="325" spans="1:16">
      <c r="A325" s="16">
        <v>39813</v>
      </c>
      <c r="B325" s="579">
        <v>112.09676112147039</v>
      </c>
      <c r="C325" s="580">
        <v>96.116971146665179</v>
      </c>
      <c r="D325" s="581">
        <v>104.99199207819558</v>
      </c>
      <c r="E325" s="582">
        <v>77.983224002426454</v>
      </c>
      <c r="F325" s="580">
        <v>66.830275787225474</v>
      </c>
      <c r="G325" s="581">
        <v>72.990613559385835</v>
      </c>
      <c r="H325" s="582">
        <v>118.15316873754178</v>
      </c>
      <c r="I325" s="580">
        <v>101.31616268693226</v>
      </c>
      <c r="J325" s="581">
        <v>110.67303635559259</v>
      </c>
      <c r="K325" s="583">
        <v>65.357457440924847</v>
      </c>
      <c r="L325" s="584">
        <v>56.000038970542377</v>
      </c>
      <c r="M325" s="584">
        <v>61.158627089802309</v>
      </c>
      <c r="N325" s="690"/>
      <c r="O325" s="691"/>
      <c r="P325" s="691"/>
    </row>
    <row r="326" spans="1:16">
      <c r="A326" s="16">
        <v>39844</v>
      </c>
      <c r="B326" s="573">
        <v>107.29252418270157</v>
      </c>
      <c r="C326" s="574">
        <v>93.398073934255663</v>
      </c>
      <c r="D326" s="575">
        <v>101.73636257114526</v>
      </c>
      <c r="E326" s="576">
        <v>79.076133653264819</v>
      </c>
      <c r="F326" s="574">
        <v>68.798495226626315</v>
      </c>
      <c r="G326" s="575">
        <v>74.929854112048048</v>
      </c>
      <c r="H326" s="576">
        <v>112.41019641935999</v>
      </c>
      <c r="I326" s="574">
        <v>97.85894088745286</v>
      </c>
      <c r="J326" s="575">
        <v>106.59719829554825</v>
      </c>
      <c r="K326" s="577">
        <v>65.62832350736663</v>
      </c>
      <c r="L326" s="578">
        <v>57.088145586337568</v>
      </c>
      <c r="M326" s="578">
        <v>62.172384035715488</v>
      </c>
      <c r="N326" s="686">
        <v>91.510698045857779</v>
      </c>
      <c r="O326" s="578">
        <v>79.5963379566047</v>
      </c>
      <c r="P326" s="578">
        <v>86.697125698442264</v>
      </c>
    </row>
    <row r="327" spans="1:16">
      <c r="A327" s="16">
        <v>39872</v>
      </c>
      <c r="B327" s="579">
        <v>108.25657826250588</v>
      </c>
      <c r="C327" s="580">
        <v>91.948919906544745</v>
      </c>
      <c r="D327" s="581">
        <v>98.303308216447505</v>
      </c>
      <c r="E327" s="582">
        <v>79.002975291641746</v>
      </c>
      <c r="F327" s="580">
        <v>67.065758161437486</v>
      </c>
      <c r="G327" s="581">
        <v>71.690234633994493</v>
      </c>
      <c r="H327" s="582">
        <v>113.54024302114205</v>
      </c>
      <c r="I327" s="580">
        <v>96.442509506797933</v>
      </c>
      <c r="J327" s="581">
        <v>103.109100264698</v>
      </c>
      <c r="K327" s="583">
        <v>65.664403680822232</v>
      </c>
      <c r="L327" s="584">
        <v>55.732497975276075</v>
      </c>
      <c r="M327" s="584">
        <v>59.572154827365779</v>
      </c>
      <c r="N327" s="687">
        <v>96.987915649130201</v>
      </c>
      <c r="O327" s="584">
        <v>82.389996095069591</v>
      </c>
      <c r="P327" s="584">
        <v>88.093018999098362</v>
      </c>
    </row>
    <row r="328" spans="1:16">
      <c r="A328" s="16">
        <v>39903</v>
      </c>
      <c r="B328" s="573">
        <v>99.777612962313171</v>
      </c>
      <c r="C328" s="574">
        <v>87.061144253657702</v>
      </c>
      <c r="D328" s="575">
        <v>92.738191570074349</v>
      </c>
      <c r="E328" s="576">
        <v>78.345941689230671</v>
      </c>
      <c r="F328" s="574">
        <v>68.323927159781476</v>
      </c>
      <c r="G328" s="575">
        <v>72.768719837362312</v>
      </c>
      <c r="H328" s="576">
        <v>103.80050190482228</v>
      </c>
      <c r="I328" s="574">
        <v>90.576818351079552</v>
      </c>
      <c r="J328" s="575">
        <v>96.484667949274169</v>
      </c>
      <c r="K328" s="577">
        <v>67.435860002680499</v>
      </c>
      <c r="L328" s="578">
        <v>58.798781947010859</v>
      </c>
      <c r="M328" s="578">
        <v>62.620406234102191</v>
      </c>
      <c r="N328" s="686">
        <v>76.488442657816165</v>
      </c>
      <c r="O328" s="578">
        <v>66.679183549372397</v>
      </c>
      <c r="P328" s="578">
        <v>71.017965889041804</v>
      </c>
    </row>
    <row r="329" spans="1:16">
      <c r="A329" s="16">
        <v>39933</v>
      </c>
      <c r="B329" s="579">
        <v>85.939962686450812</v>
      </c>
      <c r="C329" s="580">
        <v>79.895686378602093</v>
      </c>
      <c r="D329" s="581">
        <v>85.704356960491992</v>
      </c>
      <c r="E329" s="582">
        <v>75.19099851570968</v>
      </c>
      <c r="F329" s="580">
        <v>69.864905913465762</v>
      </c>
      <c r="G329" s="581">
        <v>74.933550197135673</v>
      </c>
      <c r="H329" s="582">
        <v>88.224197474914817</v>
      </c>
      <c r="I329" s="580">
        <v>82.024243711847404</v>
      </c>
      <c r="J329" s="581">
        <v>87.989084033085078</v>
      </c>
      <c r="K329" s="583">
        <v>70.262732760046021</v>
      </c>
      <c r="L329" s="584">
        <v>65.273872138358215</v>
      </c>
      <c r="M329" s="584">
        <v>70.005513305323376</v>
      </c>
      <c r="N329" s="687">
        <v>69.854844318135832</v>
      </c>
      <c r="O329" s="584">
        <v>64.89047129700684</v>
      </c>
      <c r="P329" s="584">
        <v>69.60694353421249</v>
      </c>
    </row>
    <row r="330" spans="1:16">
      <c r="A330" s="16">
        <v>39964</v>
      </c>
      <c r="B330" s="573">
        <v>76.037407554744263</v>
      </c>
      <c r="C330" s="574">
        <v>74.317222167712785</v>
      </c>
      <c r="D330" s="575">
        <v>81.112851410133089</v>
      </c>
      <c r="E330" s="576">
        <v>75.819633222188912</v>
      </c>
      <c r="F330" s="574">
        <v>74.06429631944907</v>
      </c>
      <c r="G330" s="575">
        <v>80.825195422981338</v>
      </c>
      <c r="H330" s="576">
        <v>76.635412928056041</v>
      </c>
      <c r="I330" s="574">
        <v>74.906243060963831</v>
      </c>
      <c r="J330" s="575">
        <v>81.7570493664781</v>
      </c>
      <c r="K330" s="577">
        <v>68.086262752184894</v>
      </c>
      <c r="L330" s="578">
        <v>66.497884809912591</v>
      </c>
      <c r="M330" s="578">
        <v>72.56401945204405</v>
      </c>
      <c r="N330" s="686">
        <v>64.387729886513881</v>
      </c>
      <c r="O330" s="578">
        <v>62.927344776227891</v>
      </c>
      <c r="P330" s="578">
        <v>68.677830703347695</v>
      </c>
    </row>
    <row r="331" spans="1:16">
      <c r="A331" s="16">
        <v>39994</v>
      </c>
      <c r="B331" s="579">
        <v>75.332645349215184</v>
      </c>
      <c r="C331" s="580">
        <v>76.151292552784284</v>
      </c>
      <c r="D331" s="581">
        <v>84.566660301476944</v>
      </c>
      <c r="E331" s="582">
        <v>72.649915609341647</v>
      </c>
      <c r="F331" s="580">
        <v>73.399690764300686</v>
      </c>
      <c r="G331" s="581">
        <v>81.49928387990883</v>
      </c>
      <c r="H331" s="582">
        <v>76.302887828602692</v>
      </c>
      <c r="I331" s="580">
        <v>77.136758189810507</v>
      </c>
      <c r="J331" s="581">
        <v>85.662407685892177</v>
      </c>
      <c r="K331" s="583">
        <v>70.684598902315926</v>
      </c>
      <c r="L331" s="584">
        <v>71.401120477426588</v>
      </c>
      <c r="M331" s="584">
        <v>79.275725818484943</v>
      </c>
      <c r="N331" s="687">
        <v>65.81438126492894</v>
      </c>
      <c r="O331" s="584">
        <v>66.539286173634565</v>
      </c>
      <c r="P331" s="584">
        <v>73.885769960338678</v>
      </c>
    </row>
    <row r="332" spans="1:16">
      <c r="A332" s="16">
        <v>40025</v>
      </c>
      <c r="B332" s="573">
        <v>73.982214457907162</v>
      </c>
      <c r="C332" s="574">
        <v>74.589202408729534</v>
      </c>
      <c r="D332" s="575">
        <v>83.215974299193007</v>
      </c>
      <c r="E332" s="576">
        <v>71.499533095795172</v>
      </c>
      <c r="F332" s="574">
        <v>72.047165183472202</v>
      </c>
      <c r="G332" s="575">
        <v>80.368395571064298</v>
      </c>
      <c r="H332" s="576">
        <v>74.911794200950879</v>
      </c>
      <c r="I332" s="574">
        <v>75.530990925180546</v>
      </c>
      <c r="J332" s="575">
        <v>84.268044288623699</v>
      </c>
      <c r="K332" s="577">
        <v>73.647608819494366</v>
      </c>
      <c r="L332" s="578">
        <v>74.198214660375058</v>
      </c>
      <c r="M332" s="578">
        <v>82.76324188124768</v>
      </c>
      <c r="N332" s="686">
        <v>76.73309326193538</v>
      </c>
      <c r="O332" s="578">
        <v>77.404764571290841</v>
      </c>
      <c r="P332" s="578">
        <v>86.366761200123307</v>
      </c>
    </row>
    <row r="333" spans="1:16">
      <c r="A333" s="16">
        <v>40056</v>
      </c>
      <c r="B333" s="579">
        <v>73.462182538248868</v>
      </c>
      <c r="C333" s="580">
        <v>76.473778572285568</v>
      </c>
      <c r="D333" s="581">
        <v>85.734371651023295</v>
      </c>
      <c r="E333" s="582">
        <v>69.583218842044786</v>
      </c>
      <c r="F333" s="580">
        <v>72.396620253219737</v>
      </c>
      <c r="G333" s="581">
        <v>81.151840522910064</v>
      </c>
      <c r="H333" s="582">
        <v>74.601720058753685</v>
      </c>
      <c r="I333" s="580">
        <v>77.664743116218858</v>
      </c>
      <c r="J333" s="581">
        <v>87.070958125035105</v>
      </c>
      <c r="K333" s="583">
        <v>82.56304800116331</v>
      </c>
      <c r="L333" s="584">
        <v>85.885650217041658</v>
      </c>
      <c r="M333" s="584">
        <v>96.266753790323079</v>
      </c>
      <c r="N333" s="687">
        <v>83.965191257533391</v>
      </c>
      <c r="O333" s="584">
        <v>87.426062153116064</v>
      </c>
      <c r="P333" s="584">
        <v>98.007783956468813</v>
      </c>
    </row>
    <row r="334" spans="1:16">
      <c r="A334" s="16">
        <v>40086</v>
      </c>
      <c r="B334" s="573">
        <v>73.182458535089907</v>
      </c>
      <c r="C334" s="574">
        <v>77.781513466557215</v>
      </c>
      <c r="D334" s="575">
        <v>88.166811118957298</v>
      </c>
      <c r="E334" s="576">
        <v>67.776032762462037</v>
      </c>
      <c r="F334" s="574">
        <v>71.996368820873258</v>
      </c>
      <c r="G334" s="575">
        <v>81.59752740162665</v>
      </c>
      <c r="H334" s="576">
        <v>74.55382656478416</v>
      </c>
      <c r="I334" s="574">
        <v>79.2438705727143</v>
      </c>
      <c r="J334" s="575">
        <v>89.825866879649112</v>
      </c>
      <c r="K334" s="577">
        <v>79.394586520941019</v>
      </c>
      <c r="L334" s="578">
        <v>84.323078475281861</v>
      </c>
      <c r="M334" s="578">
        <v>95.562718672536903</v>
      </c>
      <c r="N334" s="686">
        <v>75.442998822292083</v>
      </c>
      <c r="O334" s="578">
        <v>80.205458800540683</v>
      </c>
      <c r="P334" s="578">
        <v>90.921982650919617</v>
      </c>
    </row>
    <row r="335" spans="1:16">
      <c r="A335" s="16">
        <v>40117</v>
      </c>
      <c r="B335" s="579">
        <v>70.572947892363686</v>
      </c>
      <c r="C335" s="580">
        <v>78.39456382658598</v>
      </c>
      <c r="D335" s="581">
        <v>89.57419319760352</v>
      </c>
      <c r="E335" s="582">
        <v>66.319376894231837</v>
      </c>
      <c r="F335" s="580">
        <v>73.62972554222992</v>
      </c>
      <c r="G335" s="581">
        <v>84.117779624849149</v>
      </c>
      <c r="H335" s="582">
        <v>71.748395303557061</v>
      </c>
      <c r="I335" s="580">
        <v>79.705121588490329</v>
      </c>
      <c r="J335" s="581">
        <v>91.073112444641751</v>
      </c>
      <c r="K335" s="583">
        <v>77.616994498876593</v>
      </c>
      <c r="L335" s="584">
        <v>86.157022041605273</v>
      </c>
      <c r="M335" s="584">
        <v>98.423982944925442</v>
      </c>
      <c r="N335" s="687">
        <v>74.075590810329899</v>
      </c>
      <c r="O335" s="584">
        <v>82.283116871317048</v>
      </c>
      <c r="P335" s="584">
        <v>94.016042687107515</v>
      </c>
    </row>
    <row r="336" spans="1:16">
      <c r="A336" s="16">
        <v>40147</v>
      </c>
      <c r="B336" s="573">
        <v>72.110164230219141</v>
      </c>
      <c r="C336" s="574">
        <v>80.763293794740804</v>
      </c>
      <c r="D336" s="575">
        <v>92.843545066329554</v>
      </c>
      <c r="E336" s="576">
        <v>67.631549973583461</v>
      </c>
      <c r="F336" s="574">
        <v>75.706284702486045</v>
      </c>
      <c r="G336" s="575">
        <v>87.017637423081652</v>
      </c>
      <c r="H336" s="576">
        <v>73.331489041719735</v>
      </c>
      <c r="I336" s="574">
        <v>82.136158779394563</v>
      </c>
      <c r="J336" s="575">
        <v>94.423278174550944</v>
      </c>
      <c r="K336" s="577">
        <v>79.589942458405943</v>
      </c>
      <c r="L336" s="578">
        <v>89.076244110116136</v>
      </c>
      <c r="M336" s="578">
        <v>102.37947267668279</v>
      </c>
      <c r="N336" s="686">
        <v>77.127507920400234</v>
      </c>
      <c r="O336" s="578">
        <v>86.397884719332794</v>
      </c>
      <c r="P336" s="578">
        <v>99.325824852257512</v>
      </c>
    </row>
    <row r="337" spans="1:16">
      <c r="A337" s="16">
        <v>40178</v>
      </c>
      <c r="B337" s="579">
        <v>74.260454243327544</v>
      </c>
      <c r="C337" s="580">
        <v>82.231704120489255</v>
      </c>
      <c r="D337" s="581">
        <v>93.591115151342748</v>
      </c>
      <c r="E337" s="582">
        <v>70.325275177493623</v>
      </c>
      <c r="F337" s="580">
        <v>77.831998895740924</v>
      </c>
      <c r="G337" s="581">
        <v>88.570924464481664</v>
      </c>
      <c r="H337" s="582">
        <v>75.414528293132676</v>
      </c>
      <c r="I337" s="580">
        <v>83.5147248934678</v>
      </c>
      <c r="J337" s="581">
        <v>95.052901814031159</v>
      </c>
      <c r="K337" s="583">
        <v>87.301742355180394</v>
      </c>
      <c r="L337" s="584">
        <v>96.603034446139219</v>
      </c>
      <c r="M337" s="584">
        <v>109.92574036192688</v>
      </c>
      <c r="N337" s="687">
        <v>86.85632364286765</v>
      </c>
      <c r="O337" s="584">
        <v>96.174679273528596</v>
      </c>
      <c r="P337" s="584">
        <v>109.4103539679536</v>
      </c>
    </row>
    <row r="338" spans="1:16">
      <c r="A338" s="16">
        <v>40209</v>
      </c>
      <c r="B338" s="573">
        <v>75.694468807296843</v>
      </c>
      <c r="C338" s="574">
        <v>85.982997607329352</v>
      </c>
      <c r="D338" s="575">
        <v>96.754557349949266</v>
      </c>
      <c r="E338" s="576">
        <v>70.890216264181532</v>
      </c>
      <c r="F338" s="574">
        <v>80.482191292723542</v>
      </c>
      <c r="G338" s="575">
        <v>90.551636374375079</v>
      </c>
      <c r="H338" s="576">
        <v>76.992277379365305</v>
      </c>
      <c r="I338" s="574">
        <v>87.462512503953178</v>
      </c>
      <c r="J338" s="575">
        <v>98.421003988642795</v>
      </c>
      <c r="K338" s="577">
        <v>88.769971060417348</v>
      </c>
      <c r="L338" s="578">
        <v>100.76290565168868</v>
      </c>
      <c r="M338" s="578">
        <v>113.36339155169392</v>
      </c>
      <c r="N338" s="686">
        <v>100.39120428591457</v>
      </c>
      <c r="O338" s="578">
        <v>114.07588904585313</v>
      </c>
      <c r="P338" s="578">
        <v>128.36806816997154</v>
      </c>
    </row>
    <row r="339" spans="1:16">
      <c r="A339" s="16">
        <v>40237</v>
      </c>
      <c r="B339" s="579">
        <v>78.912638909433213</v>
      </c>
      <c r="C339" s="580">
        <v>88.455269201690783</v>
      </c>
      <c r="D339" s="581">
        <v>97.858675676347744</v>
      </c>
      <c r="E339" s="582">
        <v>72.58941848067343</v>
      </c>
      <c r="F339" s="580">
        <v>81.323397477104848</v>
      </c>
      <c r="G339" s="581">
        <v>89.955723629303762</v>
      </c>
      <c r="H339" s="582">
        <v>80.466952721071451</v>
      </c>
      <c r="I339" s="580">
        <v>90.203012855001703</v>
      </c>
      <c r="J339" s="581">
        <v>99.793823495416731</v>
      </c>
      <c r="K339" s="583">
        <v>84.704313558072059</v>
      </c>
      <c r="L339" s="584">
        <v>94.878724392381613</v>
      </c>
      <c r="M339" s="584">
        <v>104.94403587204513</v>
      </c>
      <c r="N339" s="687">
        <v>107.0834132905205</v>
      </c>
      <c r="O339" s="584">
        <v>120.08487104332329</v>
      </c>
      <c r="P339" s="584">
        <v>132.82954540877009</v>
      </c>
    </row>
    <row r="340" spans="1:16">
      <c r="A340" s="16">
        <v>40268</v>
      </c>
      <c r="B340" s="573">
        <v>78.566747097022443</v>
      </c>
      <c r="C340" s="574">
        <v>91.268010454520393</v>
      </c>
      <c r="D340" s="575">
        <v>100.25656763134927</v>
      </c>
      <c r="E340" s="576">
        <v>69.545457150819928</v>
      </c>
      <c r="F340" s="574">
        <v>80.744626949890616</v>
      </c>
      <c r="G340" s="575">
        <v>88.684055050545723</v>
      </c>
      <c r="H340" s="576">
        <v>80.531660904722912</v>
      </c>
      <c r="I340" s="574">
        <v>93.556251818537149</v>
      </c>
      <c r="J340" s="575">
        <v>102.77182201650655</v>
      </c>
      <c r="K340" s="577">
        <v>88.693890075233483</v>
      </c>
      <c r="L340" s="578">
        <v>102.95790157721703</v>
      </c>
      <c r="M340" s="578">
        <v>113.07516505697244</v>
      </c>
      <c r="N340" s="686">
        <v>112.15366034071501</v>
      </c>
      <c r="O340" s="578">
        <v>130.33959826388502</v>
      </c>
      <c r="P340" s="578">
        <v>143.14747167482989</v>
      </c>
    </row>
    <row r="341" spans="1:16">
      <c r="A341" s="16">
        <v>40298</v>
      </c>
      <c r="B341" s="579">
        <v>88.988402741091917</v>
      </c>
      <c r="C341" s="580">
        <v>105.60829475053042</v>
      </c>
      <c r="D341" s="581">
        <v>115.24430007050677</v>
      </c>
      <c r="E341" s="582">
        <v>69.075956748998507</v>
      </c>
      <c r="F341" s="580">
        <v>81.932570895032711</v>
      </c>
      <c r="G341" s="581">
        <v>89.395502257835702</v>
      </c>
      <c r="H341" s="582">
        <v>92.698524211618448</v>
      </c>
      <c r="I341" s="580">
        <v>110.01801008272123</v>
      </c>
      <c r="J341" s="581">
        <v>120.05830379027418</v>
      </c>
      <c r="K341" s="583">
        <v>91.835853624251087</v>
      </c>
      <c r="L341" s="584">
        <v>108.90882029587333</v>
      </c>
      <c r="M341" s="584">
        <v>118.82225154054954</v>
      </c>
      <c r="N341" s="687">
        <v>129.61945675674755</v>
      </c>
      <c r="O341" s="584">
        <v>153.8795948915533</v>
      </c>
      <c r="P341" s="584">
        <v>167.91417760963486</v>
      </c>
    </row>
    <row r="342" spans="1:16">
      <c r="A342" s="16">
        <v>40329</v>
      </c>
      <c r="B342" s="573">
        <v>96.159505073650237</v>
      </c>
      <c r="C342" s="574">
        <v>110.11379019599117</v>
      </c>
      <c r="D342" s="575">
        <v>117.24843889908503</v>
      </c>
      <c r="E342" s="576">
        <v>70.286523660200302</v>
      </c>
      <c r="F342" s="574">
        <v>80.442694846898078</v>
      </c>
      <c r="G342" s="575">
        <v>85.642557987243691</v>
      </c>
      <c r="H342" s="576">
        <v>100.83564539342579</v>
      </c>
      <c r="I342" s="574">
        <v>115.47551863771315</v>
      </c>
      <c r="J342" s="575">
        <v>122.95955200985689</v>
      </c>
      <c r="K342" s="577">
        <v>85.223470085411762</v>
      </c>
      <c r="L342" s="578">
        <v>97.520265270557147</v>
      </c>
      <c r="M342" s="578">
        <v>103.81820856463106</v>
      </c>
      <c r="N342" s="686">
        <v>130.01874470939381</v>
      </c>
      <c r="O342" s="578">
        <v>149.00163258570242</v>
      </c>
      <c r="P342" s="578">
        <v>158.72481118154909</v>
      </c>
    </row>
    <row r="343" spans="1:16">
      <c r="A343" s="16">
        <v>40359</v>
      </c>
      <c r="B343" s="579">
        <v>99.371838121158348</v>
      </c>
      <c r="C343" s="580">
        <v>112.32288905856895</v>
      </c>
      <c r="D343" s="581">
        <v>118.52604014792544</v>
      </c>
      <c r="E343" s="582">
        <v>69.348665999210326</v>
      </c>
      <c r="F343" s="580">
        <v>78.344427009592465</v>
      </c>
      <c r="G343" s="581">
        <v>82.659215711455829</v>
      </c>
      <c r="H343" s="582">
        <v>104.70737237365056</v>
      </c>
      <c r="I343" s="580">
        <v>118.36097942732854</v>
      </c>
      <c r="J343" s="581">
        <v>124.89960168656091</v>
      </c>
      <c r="K343" s="583">
        <v>80.851636985600607</v>
      </c>
      <c r="L343" s="584">
        <v>91.322949092950395</v>
      </c>
      <c r="M343" s="584">
        <v>96.347119894261496</v>
      </c>
      <c r="N343" s="687">
        <v>122.03031536976646</v>
      </c>
      <c r="O343" s="584">
        <v>137.91798154483698</v>
      </c>
      <c r="P343" s="584">
        <v>145.52959687424362</v>
      </c>
    </row>
    <row r="344" spans="1:16">
      <c r="A344" s="16">
        <v>40390</v>
      </c>
      <c r="B344" s="573">
        <v>100.47193910648026</v>
      </c>
      <c r="C344" s="574">
        <v>113.83480799319831</v>
      </c>
      <c r="D344" s="575">
        <v>122.8915781862209</v>
      </c>
      <c r="E344" s="576">
        <v>71.576383099288705</v>
      </c>
      <c r="F344" s="574">
        <v>81.05225442118234</v>
      </c>
      <c r="G344" s="575">
        <v>87.488264802284974</v>
      </c>
      <c r="H344" s="576">
        <v>105.64296536942281</v>
      </c>
      <c r="I344" s="574">
        <v>119.70084750004013</v>
      </c>
      <c r="J344" s="575">
        <v>129.22640442699429</v>
      </c>
      <c r="K344" s="577">
        <v>81.885164926681639</v>
      </c>
      <c r="L344" s="578">
        <v>92.708956179898635</v>
      </c>
      <c r="M344" s="578">
        <v>100.06496153701225</v>
      </c>
      <c r="N344" s="686">
        <v>108.4890546197141</v>
      </c>
      <c r="O344" s="578">
        <v>122.8976173793269</v>
      </c>
      <c r="P344" s="578">
        <v>132.66930287880797</v>
      </c>
    </row>
    <row r="345" spans="1:16">
      <c r="A345" s="16">
        <v>40421</v>
      </c>
      <c r="B345" s="579">
        <v>101.32323901477996</v>
      </c>
      <c r="C345" s="580">
        <v>116.95162302260978</v>
      </c>
      <c r="D345" s="581">
        <v>127.65563531420025</v>
      </c>
      <c r="E345" s="582">
        <v>78.147807979470556</v>
      </c>
      <c r="F345" s="580">
        <v>90.152763612373448</v>
      </c>
      <c r="G345" s="581">
        <v>98.389883078049564</v>
      </c>
      <c r="H345" s="582">
        <v>105.62176881404869</v>
      </c>
      <c r="I345" s="580">
        <v>121.92056647107381</v>
      </c>
      <c r="J345" s="581">
        <v>133.08150490157652</v>
      </c>
      <c r="K345" s="583">
        <v>85.825889534578764</v>
      </c>
      <c r="L345" s="584">
        <v>98.992358199135282</v>
      </c>
      <c r="M345" s="584">
        <v>108.03107745219714</v>
      </c>
      <c r="N345" s="687">
        <v>113.03298327607135</v>
      </c>
      <c r="O345" s="584">
        <v>130.49767372474017</v>
      </c>
      <c r="P345" s="584">
        <v>142.43987695204586</v>
      </c>
    </row>
    <row r="346" spans="1:16">
      <c r="A346" s="16">
        <v>40451</v>
      </c>
      <c r="B346" s="573">
        <v>98.016174144322221</v>
      </c>
      <c r="C346" s="574">
        <v>117.10344333187213</v>
      </c>
      <c r="D346" s="575">
        <v>128.31731798933637</v>
      </c>
      <c r="E346" s="576">
        <v>81.50309197680869</v>
      </c>
      <c r="F346" s="574">
        <v>97.322007450396356</v>
      </c>
      <c r="G346" s="575">
        <v>106.62629743083416</v>
      </c>
      <c r="H346" s="576">
        <v>101.26716191950156</v>
      </c>
      <c r="I346" s="574">
        <v>120.99485523387345</v>
      </c>
      <c r="J346" s="575">
        <v>132.58350805454157</v>
      </c>
      <c r="K346" s="577">
        <v>86.319607979109691</v>
      </c>
      <c r="L346" s="578">
        <v>103.05463893960058</v>
      </c>
      <c r="M346" s="578">
        <v>112.90065295747382</v>
      </c>
      <c r="N346" s="686">
        <v>107.4125425315404</v>
      </c>
      <c r="O346" s="578">
        <v>128.3190737444838</v>
      </c>
      <c r="P346" s="578">
        <v>140.60322042658629</v>
      </c>
    </row>
    <row r="347" spans="1:16">
      <c r="A347" s="16">
        <v>40482</v>
      </c>
      <c r="B347" s="579">
        <v>93.346478179233728</v>
      </c>
      <c r="C347" s="580">
        <v>113.53531889058459</v>
      </c>
      <c r="D347" s="581">
        <v>128.05096665202902</v>
      </c>
      <c r="E347" s="582">
        <v>81.109908611394204</v>
      </c>
      <c r="F347" s="580">
        <v>98.598887299264931</v>
      </c>
      <c r="G347" s="581">
        <v>111.18893052080982</v>
      </c>
      <c r="H347" s="582">
        <v>95.906495093879656</v>
      </c>
      <c r="I347" s="580">
        <v>116.65608939073033</v>
      </c>
      <c r="J347" s="581">
        <v>131.57285064227088</v>
      </c>
      <c r="K347" s="583">
        <v>88.774987445089721</v>
      </c>
      <c r="L347" s="584">
        <v>107.89711549058379</v>
      </c>
      <c r="M347" s="584">
        <v>121.66761950201375</v>
      </c>
      <c r="N347" s="687">
        <v>106.93573916114609</v>
      </c>
      <c r="O347" s="584">
        <v>130.09963260481544</v>
      </c>
      <c r="P347" s="584">
        <v>146.74084045968317</v>
      </c>
    </row>
    <row r="348" spans="1:16">
      <c r="A348" s="16">
        <v>40512</v>
      </c>
      <c r="B348" s="573">
        <v>94.121691606419603</v>
      </c>
      <c r="C348" s="574">
        <v>116.10362849669107</v>
      </c>
      <c r="D348" s="575">
        <v>130.37795967412379</v>
      </c>
      <c r="E348" s="576">
        <v>84.109186735586732</v>
      </c>
      <c r="F348" s="574">
        <v>103.69660965928129</v>
      </c>
      <c r="G348" s="575">
        <v>116.4288497899423</v>
      </c>
      <c r="H348" s="576">
        <v>96.345707026651013</v>
      </c>
      <c r="I348" s="574">
        <v>118.85426856264888</v>
      </c>
      <c r="J348" s="575">
        <v>133.46892567698819</v>
      </c>
      <c r="K348" s="577">
        <v>87.668049551165709</v>
      </c>
      <c r="L348" s="578">
        <v>108.06463258254426</v>
      </c>
      <c r="M348" s="578">
        <v>121.32638793707613</v>
      </c>
      <c r="N348" s="686">
        <v>114.47096777081917</v>
      </c>
      <c r="O348" s="578">
        <v>141.22311213171341</v>
      </c>
      <c r="P348" s="578">
        <v>158.54358897596791</v>
      </c>
    </row>
    <row r="349" spans="1:16">
      <c r="A349" s="16">
        <v>40543</v>
      </c>
      <c r="B349" s="579">
        <v>97.242139781363264</v>
      </c>
      <c r="C349" s="580">
        <v>122.33538285204429</v>
      </c>
      <c r="D349" s="581">
        <v>134.97982670603278</v>
      </c>
      <c r="E349" s="582">
        <v>89.786131138224505</v>
      </c>
      <c r="F349" s="580">
        <v>112.89426801405126</v>
      </c>
      <c r="G349" s="581">
        <v>124.54501081600921</v>
      </c>
      <c r="H349" s="582">
        <v>99.09617858804971</v>
      </c>
      <c r="I349" s="580">
        <v>124.67541796755978</v>
      </c>
      <c r="J349" s="581">
        <v>137.56394027935841</v>
      </c>
      <c r="K349" s="583">
        <v>91.125646661815253</v>
      </c>
      <c r="L349" s="584">
        <v>114.55772226510619</v>
      </c>
      <c r="M349" s="584">
        <v>126.37304500350994</v>
      </c>
      <c r="N349" s="687">
        <v>122.95869071770333</v>
      </c>
      <c r="O349" s="584">
        <v>154.74813412467708</v>
      </c>
      <c r="P349" s="584">
        <v>170.73655137101619</v>
      </c>
    </row>
    <row r="350" spans="1:16">
      <c r="A350" s="16">
        <v>40574</v>
      </c>
      <c r="B350" s="573">
        <v>101.0460412718339</v>
      </c>
      <c r="C350" s="574">
        <v>126.61160785017513</v>
      </c>
      <c r="D350" s="575">
        <v>140.65264836639636</v>
      </c>
      <c r="E350" s="576">
        <v>95.601669848533149</v>
      </c>
      <c r="F350" s="574">
        <v>119.72497455741187</v>
      </c>
      <c r="G350" s="575">
        <v>132.98320797722937</v>
      </c>
      <c r="H350" s="576">
        <v>102.61878317793854</v>
      </c>
      <c r="I350" s="574">
        <v>128.59006855971074</v>
      </c>
      <c r="J350" s="575">
        <v>142.85281774558683</v>
      </c>
      <c r="K350" s="577">
        <v>94.609983705722954</v>
      </c>
      <c r="L350" s="578">
        <v>118.46153508096702</v>
      </c>
      <c r="M350" s="578">
        <v>131.57247535332525</v>
      </c>
      <c r="N350" s="686">
        <v>141.45198011097241</v>
      </c>
      <c r="O350" s="578">
        <v>177.21101873507655</v>
      </c>
      <c r="P350" s="578">
        <v>196.89240855781665</v>
      </c>
    </row>
    <row r="351" spans="1:16">
      <c r="A351" s="16">
        <v>40602</v>
      </c>
      <c r="B351" s="579">
        <v>104.48713869260582</v>
      </c>
      <c r="C351" s="580">
        <v>131.31046214288705</v>
      </c>
      <c r="D351" s="581">
        <v>147.45074181269635</v>
      </c>
      <c r="E351" s="582">
        <v>100.93648170918958</v>
      </c>
      <c r="F351" s="580">
        <v>126.77969745857894</v>
      </c>
      <c r="G351" s="581">
        <v>142.34263625356886</v>
      </c>
      <c r="H351" s="582">
        <v>105.79405444266079</v>
      </c>
      <c r="I351" s="580">
        <v>132.96094758102984</v>
      </c>
      <c r="J351" s="581">
        <v>149.30650408050755</v>
      </c>
      <c r="K351" s="583">
        <v>96.667712303798709</v>
      </c>
      <c r="L351" s="584">
        <v>121.39592323423535</v>
      </c>
      <c r="M351" s="584">
        <v>136.29032701573243</v>
      </c>
      <c r="N351" s="687">
        <v>142.76071105027549</v>
      </c>
      <c r="O351" s="584">
        <v>179.45413109583001</v>
      </c>
      <c r="P351" s="584">
        <v>201.50789573592866</v>
      </c>
    </row>
    <row r="352" spans="1:16">
      <c r="A352" s="16">
        <v>40633</v>
      </c>
      <c r="B352" s="573">
        <v>106.08520748230931</v>
      </c>
      <c r="C352" s="574">
        <v>132.02850408347788</v>
      </c>
      <c r="D352" s="575">
        <v>149.92147842380911</v>
      </c>
      <c r="E352" s="576">
        <v>98.036755826625182</v>
      </c>
      <c r="F352" s="574">
        <v>121.94580332323149</v>
      </c>
      <c r="G352" s="575">
        <v>138.45245932112167</v>
      </c>
      <c r="H352" s="576">
        <v>108.09470113012982</v>
      </c>
      <c r="I352" s="574">
        <v>134.53758402868831</v>
      </c>
      <c r="J352" s="575">
        <v>152.77305788009286</v>
      </c>
      <c r="K352" s="577">
        <v>95.064479275414058</v>
      </c>
      <c r="L352" s="578">
        <v>118.22717552059628</v>
      </c>
      <c r="M352" s="578">
        <v>134.22294615075685</v>
      </c>
      <c r="N352" s="686">
        <v>133.93468017796314</v>
      </c>
      <c r="O352" s="578">
        <v>166.73052176741032</v>
      </c>
      <c r="P352" s="578">
        <v>189.31497759011188</v>
      </c>
    </row>
    <row r="353" spans="1:16">
      <c r="A353" s="16">
        <v>40663</v>
      </c>
      <c r="B353" s="579">
        <v>107.71606194632206</v>
      </c>
      <c r="C353" s="580">
        <v>139.02251350458624</v>
      </c>
      <c r="D353" s="581">
        <v>159.5143322619615</v>
      </c>
      <c r="E353" s="582">
        <v>94.736424363361664</v>
      </c>
      <c r="F353" s="580">
        <v>122.20436339435629</v>
      </c>
      <c r="G353" s="581">
        <v>140.19707372213978</v>
      </c>
      <c r="H353" s="582">
        <v>110.49494809357732</v>
      </c>
      <c r="I353" s="580">
        <v>142.61770317470757</v>
      </c>
      <c r="J353" s="581">
        <v>163.64208536656503</v>
      </c>
      <c r="K353" s="583">
        <v>92.709468648105471</v>
      </c>
      <c r="L353" s="584">
        <v>119.56799008786922</v>
      </c>
      <c r="M353" s="584">
        <v>137.16484030457065</v>
      </c>
      <c r="N353" s="687">
        <v>131.77265513920241</v>
      </c>
      <c r="O353" s="584">
        <v>170.08472047514093</v>
      </c>
      <c r="P353" s="584">
        <v>195.15337391516604</v>
      </c>
    </row>
    <row r="354" spans="1:16">
      <c r="A354" s="16">
        <v>40694</v>
      </c>
      <c r="B354" s="573">
        <v>109.57420246402143</v>
      </c>
      <c r="C354" s="574">
        <v>142.62175615102467</v>
      </c>
      <c r="D354" s="575">
        <v>163.85617329038706</v>
      </c>
      <c r="E354" s="576">
        <v>90.648024317930648</v>
      </c>
      <c r="F354" s="574">
        <v>117.92363545161319</v>
      </c>
      <c r="G354" s="575">
        <v>135.46139687734038</v>
      </c>
      <c r="H354" s="576">
        <v>113.28011185478898</v>
      </c>
      <c r="I354" s="574">
        <v>147.45431213684645</v>
      </c>
      <c r="J354" s="575">
        <v>169.41095832059301</v>
      </c>
      <c r="K354" s="577">
        <v>86.955743839019846</v>
      </c>
      <c r="L354" s="578">
        <v>113.09981747606686</v>
      </c>
      <c r="M354" s="578">
        <v>129.91288629159152</v>
      </c>
      <c r="N354" s="686">
        <v>126.42091941056776</v>
      </c>
      <c r="O354" s="578">
        <v>164.58614804792845</v>
      </c>
      <c r="P354" s="578">
        <v>189.11292826115366</v>
      </c>
    </row>
    <row r="355" spans="1:16">
      <c r="A355" s="16">
        <v>40724</v>
      </c>
      <c r="B355" s="579">
        <v>110.85755590381979</v>
      </c>
      <c r="C355" s="580">
        <v>143.03286589961391</v>
      </c>
      <c r="D355" s="581">
        <v>164.45258577333578</v>
      </c>
      <c r="E355" s="582">
        <v>88.065649556763745</v>
      </c>
      <c r="F355" s="580">
        <v>113.56438122177501</v>
      </c>
      <c r="G355" s="581">
        <v>130.55234189487464</v>
      </c>
      <c r="H355" s="582">
        <v>115.16665433221627</v>
      </c>
      <c r="I355" s="580">
        <v>148.60165235705483</v>
      </c>
      <c r="J355" s="581">
        <v>170.85807059847019</v>
      </c>
      <c r="K355" s="583">
        <v>87.582285186035378</v>
      </c>
      <c r="L355" s="584">
        <v>112.92054922657103</v>
      </c>
      <c r="M355" s="584">
        <v>129.80491797147172</v>
      </c>
      <c r="N355" s="687">
        <v>124.77382933452834</v>
      </c>
      <c r="O355" s="584">
        <v>161.02394736500813</v>
      </c>
      <c r="P355" s="584">
        <v>185.13784714954363</v>
      </c>
    </row>
    <row r="356" spans="1:16">
      <c r="A356" s="16">
        <v>40755</v>
      </c>
      <c r="B356" s="573">
        <v>109.24890926395661</v>
      </c>
      <c r="C356" s="574">
        <v>143.51808717524219</v>
      </c>
      <c r="D356" s="575">
        <v>164.55297356967358</v>
      </c>
      <c r="E356" s="576">
        <v>82.59465480480138</v>
      </c>
      <c r="F356" s="574">
        <v>108.44424892031176</v>
      </c>
      <c r="G356" s="575">
        <v>124.32065348857471</v>
      </c>
      <c r="H356" s="576">
        <v>114.13960123263661</v>
      </c>
      <c r="I356" s="574">
        <v>149.9519872216953</v>
      </c>
      <c r="J356" s="575">
        <v>171.93263381250497</v>
      </c>
      <c r="K356" s="577">
        <v>89.019599030326162</v>
      </c>
      <c r="L356" s="578">
        <v>116.85877505461552</v>
      </c>
      <c r="M356" s="578">
        <v>133.95956423461797</v>
      </c>
      <c r="N356" s="686">
        <v>124.02969783544049</v>
      </c>
      <c r="O356" s="578">
        <v>162.97326852997159</v>
      </c>
      <c r="P356" s="578">
        <v>186.85608172431037</v>
      </c>
    </row>
    <row r="357" spans="1:16">
      <c r="A357" s="16">
        <v>40786</v>
      </c>
      <c r="B357" s="579">
        <v>111.66647817598204</v>
      </c>
      <c r="C357" s="580">
        <v>142.2064764578482</v>
      </c>
      <c r="D357" s="581">
        <v>164.13483991645563</v>
      </c>
      <c r="E357" s="582">
        <v>85.108655071740131</v>
      </c>
      <c r="F357" s="580">
        <v>108.32665658437004</v>
      </c>
      <c r="G357" s="581">
        <v>125.01277661252044</v>
      </c>
      <c r="H357" s="582">
        <v>116.54992612907409</v>
      </c>
      <c r="I357" s="580">
        <v>148.43451781971905</v>
      </c>
      <c r="J357" s="581">
        <v>171.32600950864142</v>
      </c>
      <c r="K357" s="583">
        <v>84.852304660699275</v>
      </c>
      <c r="L357" s="584">
        <v>107.98075687242113</v>
      </c>
      <c r="M357" s="584">
        <v>124.60660591512722</v>
      </c>
      <c r="N357" s="687">
        <v>127.25465477632238</v>
      </c>
      <c r="O357" s="584">
        <v>162.05953891329571</v>
      </c>
      <c r="P357" s="584">
        <v>187.04305858009334</v>
      </c>
    </row>
    <row r="358" spans="1:16">
      <c r="A358" s="16">
        <v>40816</v>
      </c>
      <c r="B358" s="573">
        <v>111.90455239164461</v>
      </c>
      <c r="C358" s="574">
        <v>141.28099417388077</v>
      </c>
      <c r="D358" s="575">
        <v>160.26632768440453</v>
      </c>
      <c r="E358" s="576">
        <v>85.511162017937508</v>
      </c>
      <c r="F358" s="574">
        <v>107.90059786303685</v>
      </c>
      <c r="G358" s="575">
        <v>122.38270731825605</v>
      </c>
      <c r="H358" s="576">
        <v>116.76121748498416</v>
      </c>
      <c r="I358" s="574">
        <v>147.42154202115151</v>
      </c>
      <c r="J358" s="575">
        <v>167.23473497656948</v>
      </c>
      <c r="K358" s="577">
        <v>82.267274695947052</v>
      </c>
      <c r="L358" s="578">
        <v>103.78850743382002</v>
      </c>
      <c r="M358" s="578">
        <v>117.71210040295009</v>
      </c>
      <c r="N358" s="686">
        <v>128.09528497077693</v>
      </c>
      <c r="O358" s="578">
        <v>161.69826395718735</v>
      </c>
      <c r="P358" s="578">
        <v>183.44442891016058</v>
      </c>
    </row>
    <row r="359" spans="1:16">
      <c r="A359" s="16">
        <v>40847</v>
      </c>
      <c r="B359" s="579">
        <v>108.50973503153554</v>
      </c>
      <c r="C359" s="580">
        <v>135.95262115993197</v>
      </c>
      <c r="D359" s="581">
        <v>153.58190479737451</v>
      </c>
      <c r="E359" s="582">
        <v>82.411397481913056</v>
      </c>
      <c r="F359" s="580">
        <v>103.19798462345142</v>
      </c>
      <c r="G359" s="581">
        <v>116.56316797424213</v>
      </c>
      <c r="H359" s="582">
        <v>113.30414276622589</v>
      </c>
      <c r="I359" s="580">
        <v>141.96818119832915</v>
      </c>
      <c r="J359" s="581">
        <v>160.38009863098216</v>
      </c>
      <c r="K359" s="583">
        <v>76.2504977372284</v>
      </c>
      <c r="L359" s="584">
        <v>95.465781751644769</v>
      </c>
      <c r="M359" s="584">
        <v>107.82351784061548</v>
      </c>
      <c r="N359" s="687">
        <v>114.76772629650027</v>
      </c>
      <c r="O359" s="584">
        <v>143.45852246022102</v>
      </c>
      <c r="P359" s="584">
        <v>161.95693006914635</v>
      </c>
    </row>
    <row r="360" spans="1:16">
      <c r="A360" s="16">
        <v>40877</v>
      </c>
      <c r="B360" s="573">
        <v>103.53689415542526</v>
      </c>
      <c r="C360" s="574">
        <v>129.90239066517418</v>
      </c>
      <c r="D360" s="575">
        <v>146.33441188009377</v>
      </c>
      <c r="E360" s="576">
        <v>81.167196514179736</v>
      </c>
      <c r="F360" s="574">
        <v>101.78121045119741</v>
      </c>
      <c r="G360" s="575">
        <v>114.63958259892158</v>
      </c>
      <c r="H360" s="576">
        <v>107.68544936599453</v>
      </c>
      <c r="I360" s="574">
        <v>135.11556517940596</v>
      </c>
      <c r="J360" s="575">
        <v>152.20947860125526</v>
      </c>
      <c r="K360" s="577">
        <v>75.529594364956154</v>
      </c>
      <c r="L360" s="578">
        <v>94.69462554134634</v>
      </c>
      <c r="M360" s="578">
        <v>106.65174191418339</v>
      </c>
      <c r="N360" s="686">
        <v>104.09362164526723</v>
      </c>
      <c r="O360" s="578">
        <v>130.53940548952937</v>
      </c>
      <c r="P360" s="578">
        <v>147.0359318006752</v>
      </c>
    </row>
    <row r="361" spans="1:16">
      <c r="A361" s="16">
        <v>40908</v>
      </c>
      <c r="B361" s="579">
        <v>100.02858162953368</v>
      </c>
      <c r="C361" s="580">
        <v>127.41840192924259</v>
      </c>
      <c r="D361" s="581">
        <v>141.65810177988678</v>
      </c>
      <c r="E361" s="582">
        <v>78.965344817206471</v>
      </c>
      <c r="F361" s="580">
        <v>100.53322960349782</v>
      </c>
      <c r="G361" s="581">
        <v>111.75232318334972</v>
      </c>
      <c r="H361" s="582">
        <v>103.94427911478662</v>
      </c>
      <c r="I361" s="580">
        <v>132.41432827440477</v>
      </c>
      <c r="J361" s="581">
        <v>147.21472061655047</v>
      </c>
      <c r="K361" s="583">
        <v>74.555516564441774</v>
      </c>
      <c r="L361" s="584">
        <v>94.901700606578714</v>
      </c>
      <c r="M361" s="584">
        <v>105.48642115457925</v>
      </c>
      <c r="N361" s="687">
        <v>101.66833200005343</v>
      </c>
      <c r="O361" s="584">
        <v>129.54088310648012</v>
      </c>
      <c r="P361" s="584">
        <v>144.02323459077508</v>
      </c>
    </row>
    <row r="362" spans="1:16">
      <c r="A362" s="16">
        <v>40939</v>
      </c>
      <c r="B362" s="573">
        <v>97.032615388083869</v>
      </c>
      <c r="C362" s="574">
        <v>127.76301219738832</v>
      </c>
      <c r="D362" s="575">
        <v>140.94289857139165</v>
      </c>
      <c r="E362" s="576">
        <v>79.129275565828536</v>
      </c>
      <c r="F362" s="574">
        <v>104.13330439074517</v>
      </c>
      <c r="G362" s="575">
        <v>114.85908918067483</v>
      </c>
      <c r="H362" s="576">
        <v>100.40550082692388</v>
      </c>
      <c r="I362" s="574">
        <v>132.21211681694683</v>
      </c>
      <c r="J362" s="575">
        <v>145.85331635213598</v>
      </c>
      <c r="K362" s="577">
        <v>76.961993486881752</v>
      </c>
      <c r="L362" s="578">
        <v>101.26278826105879</v>
      </c>
      <c r="M362" s="578">
        <v>111.68664293170355</v>
      </c>
      <c r="N362" s="686">
        <v>102.01357275345472</v>
      </c>
      <c r="O362" s="578">
        <v>134.34830406222889</v>
      </c>
      <c r="P362" s="578">
        <v>148.20469128177186</v>
      </c>
    </row>
    <row r="363" spans="1:16">
      <c r="A363" s="16">
        <v>40968</v>
      </c>
      <c r="B363" s="579">
        <v>94.926948407186131</v>
      </c>
      <c r="C363" s="580">
        <v>127.95366322887685</v>
      </c>
      <c r="D363" s="581">
        <v>142.45639376792874</v>
      </c>
      <c r="E363" s="582">
        <v>77.970207126280798</v>
      </c>
      <c r="F363" s="580">
        <v>105.04054030046444</v>
      </c>
      <c r="G363" s="581">
        <v>116.92942957403234</v>
      </c>
      <c r="H363" s="582">
        <v>98.132737202106</v>
      </c>
      <c r="I363" s="580">
        <v>132.28282580342753</v>
      </c>
      <c r="J363" s="581">
        <v>147.27861083415553</v>
      </c>
      <c r="K363" s="583">
        <v>77.145281656392484</v>
      </c>
      <c r="L363" s="584">
        <v>103.91033408128926</v>
      </c>
      <c r="M363" s="584">
        <v>115.66481367429087</v>
      </c>
      <c r="N363" s="687">
        <v>99.373999120807738</v>
      </c>
      <c r="O363" s="584">
        <v>133.97920991828681</v>
      </c>
      <c r="P363" s="584">
        <v>149.1657009283787</v>
      </c>
    </row>
    <row r="364" spans="1:16">
      <c r="A364" s="16">
        <v>40999</v>
      </c>
      <c r="B364" s="573">
        <v>97.337274249902848</v>
      </c>
      <c r="C364" s="574">
        <v>129.62036242042871</v>
      </c>
      <c r="D364" s="575">
        <v>143.5889731012104</v>
      </c>
      <c r="E364" s="576">
        <v>80.296877475959974</v>
      </c>
      <c r="F364" s="574">
        <v>106.87048076016407</v>
      </c>
      <c r="G364" s="575">
        <v>118.3704457750671</v>
      </c>
      <c r="H364" s="576">
        <v>100.5660933935538</v>
      </c>
      <c r="I364" s="574">
        <v>133.92818325714248</v>
      </c>
      <c r="J364" s="575">
        <v>148.36341768465147</v>
      </c>
      <c r="K364" s="577">
        <v>77.513023229736717</v>
      </c>
      <c r="L364" s="578">
        <v>103.14659478039138</v>
      </c>
      <c r="M364" s="578">
        <v>114.23943656239702</v>
      </c>
      <c r="N364" s="686">
        <v>100.29571381986105</v>
      </c>
      <c r="O364" s="578">
        <v>133.58050101844384</v>
      </c>
      <c r="P364" s="578">
        <v>147.97500993787892</v>
      </c>
    </row>
    <row r="365" spans="1:16">
      <c r="A365" s="16">
        <v>41029</v>
      </c>
      <c r="B365" s="579">
        <v>96.993741687802839</v>
      </c>
      <c r="C365" s="580">
        <v>126.51884829241624</v>
      </c>
      <c r="D365" s="581">
        <v>140.34795135081626</v>
      </c>
      <c r="E365" s="582">
        <v>79.333381888481838</v>
      </c>
      <c r="F365" s="580">
        <v>103.4266694610221</v>
      </c>
      <c r="G365" s="581">
        <v>114.71522187919147</v>
      </c>
      <c r="H365" s="582">
        <v>100.32559907841065</v>
      </c>
      <c r="I365" s="580">
        <v>130.87286963765084</v>
      </c>
      <c r="J365" s="581">
        <v>145.18022540760657</v>
      </c>
      <c r="K365" s="583">
        <v>76.238436977452878</v>
      </c>
      <c r="L365" s="584">
        <v>99.373747672565315</v>
      </c>
      <c r="M365" s="584">
        <v>110.21375920777565</v>
      </c>
      <c r="N365" s="687">
        <v>103.39229600117173</v>
      </c>
      <c r="O365" s="584">
        <v>134.90065446898177</v>
      </c>
      <c r="P365" s="584">
        <v>149.64211125606502</v>
      </c>
    </row>
    <row r="366" spans="1:16">
      <c r="A366" s="16">
        <v>41060</v>
      </c>
      <c r="B366" s="573">
        <v>98.547340690109706</v>
      </c>
      <c r="C366" s="574">
        <v>125.08237231997535</v>
      </c>
      <c r="D366" s="575">
        <v>137.76608399116375</v>
      </c>
      <c r="E366" s="576">
        <v>78.270747488572155</v>
      </c>
      <c r="F366" s="574">
        <v>99.292337916275727</v>
      </c>
      <c r="G366" s="575">
        <v>109.34516965001875</v>
      </c>
      <c r="H366" s="576">
        <v>102.32517521295146</v>
      </c>
      <c r="I366" s="574">
        <v>129.88531264833699</v>
      </c>
      <c r="J366" s="575">
        <v>143.05835986392174</v>
      </c>
      <c r="K366" s="577">
        <v>76.132667403063408</v>
      </c>
      <c r="L366" s="578">
        <v>96.562480729655704</v>
      </c>
      <c r="M366" s="578">
        <v>106.33296352668037</v>
      </c>
      <c r="N366" s="686">
        <v>101.93795726056788</v>
      </c>
      <c r="O366" s="578">
        <v>129.42919199512352</v>
      </c>
      <c r="P366" s="578">
        <v>142.57615045338605</v>
      </c>
    </row>
    <row r="367" spans="1:16">
      <c r="A367" s="16">
        <v>41090</v>
      </c>
      <c r="B367" s="579">
        <v>96.085582671567892</v>
      </c>
      <c r="C367" s="580">
        <v>123.16128594192068</v>
      </c>
      <c r="D367" s="581">
        <v>134.16837490341717</v>
      </c>
      <c r="E367" s="582">
        <v>76.629728233706047</v>
      </c>
      <c r="F367" s="580">
        <v>98.169895132806687</v>
      </c>
      <c r="G367" s="581">
        <v>106.92812061056614</v>
      </c>
      <c r="H367" s="582">
        <v>99.716174713906653</v>
      </c>
      <c r="I367" s="580">
        <v>127.82268721179273</v>
      </c>
      <c r="J367" s="581">
        <v>139.24861410247104</v>
      </c>
      <c r="K367" s="583">
        <v>71.901004117507284</v>
      </c>
      <c r="L367" s="584">
        <v>92.095224366771433</v>
      </c>
      <c r="M367" s="584">
        <v>100.30587118569443</v>
      </c>
      <c r="N367" s="687">
        <v>101.06701621734433</v>
      </c>
      <c r="O367" s="584">
        <v>129.55992727963798</v>
      </c>
      <c r="P367" s="584">
        <v>141.13706109509437</v>
      </c>
    </row>
    <row r="368" spans="1:16">
      <c r="A368" s="16">
        <v>41121</v>
      </c>
      <c r="B368" s="573">
        <v>92.608949749653888</v>
      </c>
      <c r="C368" s="574">
        <v>123.10097707047343</v>
      </c>
      <c r="D368" s="575">
        <v>133.36768385048111</v>
      </c>
      <c r="E368" s="576">
        <v>81.580862966192967</v>
      </c>
      <c r="F368" s="574">
        <v>108.38318044886719</v>
      </c>
      <c r="G368" s="575">
        <v>117.40555932684269</v>
      </c>
      <c r="H368" s="576">
        <v>94.808576215306999</v>
      </c>
      <c r="I368" s="574">
        <v>126.0324888102857</v>
      </c>
      <c r="J368" s="575">
        <v>136.54588443862937</v>
      </c>
      <c r="K368" s="577">
        <v>70.000713300984117</v>
      </c>
      <c r="L368" s="578">
        <v>92.981634133259902</v>
      </c>
      <c r="M368" s="578">
        <v>100.71625826620256</v>
      </c>
      <c r="N368" s="686">
        <v>93.61150917945092</v>
      </c>
      <c r="O368" s="578">
        <v>124.40514575231406</v>
      </c>
      <c r="P368" s="578">
        <v>134.78892938826493</v>
      </c>
    </row>
    <row r="369" spans="1:16">
      <c r="A369" s="16">
        <v>41152</v>
      </c>
      <c r="B369" s="579">
        <v>88.624920599250899</v>
      </c>
      <c r="C369" s="580">
        <v>119.42480261421393</v>
      </c>
      <c r="D369" s="581">
        <v>129.81323564433066</v>
      </c>
      <c r="E369" s="582">
        <v>79.717875865177845</v>
      </c>
      <c r="F369" s="580">
        <v>107.36418858232845</v>
      </c>
      <c r="G369" s="581">
        <v>116.68675189755308</v>
      </c>
      <c r="H369" s="582">
        <v>90.47060377848743</v>
      </c>
      <c r="I369" s="580">
        <v>121.91931352311715</v>
      </c>
      <c r="J369" s="581">
        <v>132.52687117447903</v>
      </c>
      <c r="K369" s="583">
        <v>67.991449987240514</v>
      </c>
      <c r="L369" s="584">
        <v>91.55438384739594</v>
      </c>
      <c r="M369" s="584">
        <v>99.498580828775616</v>
      </c>
      <c r="N369" s="687">
        <v>79.013587329543284</v>
      </c>
      <c r="O369" s="584">
        <v>106.55674396404578</v>
      </c>
      <c r="P369" s="584">
        <v>115.80128761458197</v>
      </c>
    </row>
    <row r="370" spans="1:16">
      <c r="A370" s="16">
        <v>41182</v>
      </c>
      <c r="B370" s="573">
        <v>84.382047598423142</v>
      </c>
      <c r="C370" s="574">
        <v>111.17817763812967</v>
      </c>
      <c r="D370" s="575">
        <v>122.74584329876706</v>
      </c>
      <c r="E370" s="576">
        <v>80.122826843427148</v>
      </c>
      <c r="F370" s="574">
        <v>105.50931654866848</v>
      </c>
      <c r="G370" s="575">
        <v>116.47043958740922</v>
      </c>
      <c r="H370" s="576">
        <v>85.474565896312669</v>
      </c>
      <c r="I370" s="574">
        <v>112.62446530059702</v>
      </c>
      <c r="J370" s="575">
        <v>124.34461394684055</v>
      </c>
      <c r="K370" s="577">
        <v>75.496753793450026</v>
      </c>
      <c r="L370" s="578">
        <v>99.399440025107808</v>
      </c>
      <c r="M370" s="578">
        <v>109.71966676875759</v>
      </c>
      <c r="N370" s="686">
        <v>73.41206549790536</v>
      </c>
      <c r="O370" s="578">
        <v>96.753149250843023</v>
      </c>
      <c r="P370" s="578">
        <v>106.83768260962228</v>
      </c>
    </row>
    <row r="371" spans="1:16">
      <c r="A371" s="16">
        <v>41213</v>
      </c>
      <c r="B371" s="579">
        <v>82.875258207018646</v>
      </c>
      <c r="C371" s="580">
        <v>107.84351119335342</v>
      </c>
      <c r="D371" s="581">
        <v>119.43136516712853</v>
      </c>
      <c r="E371" s="582">
        <v>80.945585036153318</v>
      </c>
      <c r="F371" s="580">
        <v>105.27550808314132</v>
      </c>
      <c r="G371" s="581">
        <v>116.5706948646354</v>
      </c>
      <c r="H371" s="582">
        <v>83.59337868179685</v>
      </c>
      <c r="I371" s="580">
        <v>108.7845828243438</v>
      </c>
      <c r="J371" s="581">
        <v>120.47549550804541</v>
      </c>
      <c r="K371" s="583">
        <v>74.3134542009266</v>
      </c>
      <c r="L371" s="584">
        <v>96.632394513088116</v>
      </c>
      <c r="M371" s="584">
        <v>106.99424484468933</v>
      </c>
      <c r="N371" s="687">
        <v>78.259704652761414</v>
      </c>
      <c r="O371" s="584">
        <v>101.86649910966317</v>
      </c>
      <c r="P371" s="584">
        <v>112.80858123002508</v>
      </c>
    </row>
    <row r="372" spans="1:16">
      <c r="A372" s="16">
        <v>41243</v>
      </c>
      <c r="B372" s="573">
        <v>82.812834288435425</v>
      </c>
      <c r="C372" s="574">
        <v>109.70944541797938</v>
      </c>
      <c r="D372" s="575">
        <v>120.62283439431583</v>
      </c>
      <c r="E372" s="576">
        <v>79.687342567984217</v>
      </c>
      <c r="F372" s="574">
        <v>105.51173637052148</v>
      </c>
      <c r="G372" s="575">
        <v>115.99090624231239</v>
      </c>
      <c r="H372" s="576">
        <v>83.718965098042162</v>
      </c>
      <c r="I372" s="574">
        <v>110.91660526520093</v>
      </c>
      <c r="J372" s="575">
        <v>121.95204066817399</v>
      </c>
      <c r="K372" s="577">
        <v>71.86835905443705</v>
      </c>
      <c r="L372" s="578">
        <v>95.141559969311388</v>
      </c>
      <c r="M372" s="578">
        <v>104.58492199945549</v>
      </c>
      <c r="N372" s="686">
        <v>80.829850351568695</v>
      </c>
      <c r="O372" s="578">
        <v>107.11183030129332</v>
      </c>
      <c r="P372" s="578">
        <v>117.7625263439641</v>
      </c>
    </row>
    <row r="373" spans="1:16">
      <c r="A373" s="16">
        <v>41274</v>
      </c>
      <c r="B373" s="579">
        <v>83.266337730443723</v>
      </c>
      <c r="C373" s="580">
        <v>110.18946353837906</v>
      </c>
      <c r="D373" s="581">
        <v>121.89105299439522</v>
      </c>
      <c r="E373" s="582">
        <v>79.607149169893759</v>
      </c>
      <c r="F373" s="580">
        <v>105.29014690439533</v>
      </c>
      <c r="G373" s="581">
        <v>116.45473559255268</v>
      </c>
      <c r="H373" s="582">
        <v>84.25878398165483</v>
      </c>
      <c r="I373" s="580">
        <v>111.50956947194494</v>
      </c>
      <c r="J373" s="581">
        <v>123.35333411398264</v>
      </c>
      <c r="K373" s="583">
        <v>75.281590027986951</v>
      </c>
      <c r="L373" s="584">
        <v>99.550983837142354</v>
      </c>
      <c r="M373" s="584">
        <v>110.10083580853644</v>
      </c>
      <c r="N373" s="687">
        <v>87.15687562726238</v>
      </c>
      <c r="O373" s="584">
        <v>115.3506891686835</v>
      </c>
      <c r="P373" s="584">
        <v>127.60432653094406</v>
      </c>
    </row>
    <row r="374" spans="1:16">
      <c r="A374" s="16">
        <v>41305</v>
      </c>
      <c r="B374" s="573">
        <v>87.710070523537567</v>
      </c>
      <c r="C374" s="574">
        <v>116.70976147051275</v>
      </c>
      <c r="D374" s="575">
        <v>128.80146587503637</v>
      </c>
      <c r="E374" s="576">
        <v>79.201036967411952</v>
      </c>
      <c r="F374" s="574">
        <v>105.33037832254206</v>
      </c>
      <c r="G374" s="575">
        <v>116.22643854863657</v>
      </c>
      <c r="H374" s="576">
        <v>89.488500681913465</v>
      </c>
      <c r="I374" s="574">
        <v>119.08342032698056</v>
      </c>
      <c r="J374" s="575">
        <v>131.42316369433243</v>
      </c>
      <c r="K374" s="577">
        <v>74.874582350875656</v>
      </c>
      <c r="L374" s="578">
        <v>99.558490281092276</v>
      </c>
      <c r="M374" s="578">
        <v>109.85130632507538</v>
      </c>
      <c r="N374" s="686">
        <v>96.166844947913816</v>
      </c>
      <c r="O374" s="578">
        <v>127.99689067800246</v>
      </c>
      <c r="P374" s="578">
        <v>141.25042306376017</v>
      </c>
    </row>
    <row r="375" spans="1:16">
      <c r="A375" s="16">
        <v>41333</v>
      </c>
      <c r="B375" s="579">
        <v>90.813743305248579</v>
      </c>
      <c r="C375" s="580">
        <v>119.34121436118271</v>
      </c>
      <c r="D375" s="581">
        <v>131.11748829462294</v>
      </c>
      <c r="E375" s="582">
        <v>80.170855723532782</v>
      </c>
      <c r="F375" s="580">
        <v>105.2980792934258</v>
      </c>
      <c r="G375" s="581">
        <v>115.67200935542921</v>
      </c>
      <c r="H375" s="582">
        <v>92.943734228067811</v>
      </c>
      <c r="I375" s="580">
        <v>122.14771283828765</v>
      </c>
      <c r="J375" s="581">
        <v>134.20308559738345</v>
      </c>
      <c r="K375" s="583">
        <v>76.914693808684959</v>
      </c>
      <c r="L375" s="584">
        <v>101.00301986196301</v>
      </c>
      <c r="M375" s="584">
        <v>110.94757816930394</v>
      </c>
      <c r="N375" s="687">
        <v>101.34408868500932</v>
      </c>
      <c r="O375" s="584">
        <v>133.2137358626639</v>
      </c>
      <c r="P375" s="584">
        <v>146.35899062751432</v>
      </c>
    </row>
    <row r="376" spans="1:16">
      <c r="A376" s="16">
        <v>41364</v>
      </c>
      <c r="B376" s="573">
        <v>88.954733782035674</v>
      </c>
      <c r="C376" s="574">
        <v>119.01978600131073</v>
      </c>
      <c r="D376" s="575">
        <v>128.66646888660833</v>
      </c>
      <c r="E376" s="576">
        <v>79.952482192648901</v>
      </c>
      <c r="F376" s="574">
        <v>106.91708439915664</v>
      </c>
      <c r="G376" s="575">
        <v>115.5662407449102</v>
      </c>
      <c r="H376" s="576">
        <v>90.817058996705669</v>
      </c>
      <c r="I376" s="574">
        <v>121.51891448579954</v>
      </c>
      <c r="J376" s="575">
        <v>131.37026984573882</v>
      </c>
      <c r="K376" s="577">
        <v>71.714613270317415</v>
      </c>
      <c r="L376" s="578">
        <v>95.883511286396157</v>
      </c>
      <c r="M376" s="578">
        <v>103.63428280725881</v>
      </c>
      <c r="N376" s="686">
        <v>93.316588648220105</v>
      </c>
      <c r="O376" s="578">
        <v>124.83556027477238</v>
      </c>
      <c r="P376" s="578">
        <v>134.96031840209025</v>
      </c>
    </row>
    <row r="377" spans="1:16">
      <c r="A377" s="16">
        <v>41394</v>
      </c>
      <c r="B377" s="579">
        <v>87.591618690962008</v>
      </c>
      <c r="C377" s="580">
        <v>117.72424401312436</v>
      </c>
      <c r="D377" s="581">
        <v>127.24961305201556</v>
      </c>
      <c r="E377" s="582">
        <v>78.412188684531074</v>
      </c>
      <c r="F377" s="580">
        <v>105.32997701006337</v>
      </c>
      <c r="G377" s="581">
        <v>113.83615319190277</v>
      </c>
      <c r="H377" s="582">
        <v>89.475033547388136</v>
      </c>
      <c r="I377" s="580">
        <v>120.26287306350321</v>
      </c>
      <c r="J377" s="581">
        <v>129.99574232199694</v>
      </c>
      <c r="K377" s="583">
        <v>68.338474599485039</v>
      </c>
      <c r="L377" s="584">
        <v>91.78142721282731</v>
      </c>
      <c r="M377" s="584">
        <v>99.18789330249885</v>
      </c>
      <c r="N377" s="687">
        <v>89.778582573609953</v>
      </c>
      <c r="O377" s="584">
        <v>120.69971192118129</v>
      </c>
      <c r="P377" s="584">
        <v>130.46258985721749</v>
      </c>
    </row>
    <row r="378" spans="1:16">
      <c r="A378" s="16">
        <v>41425</v>
      </c>
      <c r="B378" s="573">
        <v>88.965783677070064</v>
      </c>
      <c r="C378" s="574">
        <v>114.52146143615384</v>
      </c>
      <c r="D378" s="575">
        <v>123.46480119635027</v>
      </c>
      <c r="E378" s="576">
        <v>80.663950108891697</v>
      </c>
      <c r="F378" s="574">
        <v>103.77874475703072</v>
      </c>
      <c r="G378" s="575">
        <v>111.86709368658344</v>
      </c>
      <c r="H378" s="576">
        <v>90.717859458089819</v>
      </c>
      <c r="I378" s="574">
        <v>116.78391063461456</v>
      </c>
      <c r="J378" s="575">
        <v>125.90595954986176</v>
      </c>
      <c r="K378" s="577">
        <v>70.836719304827199</v>
      </c>
      <c r="L378" s="578">
        <v>91.118902516715309</v>
      </c>
      <c r="M378" s="578">
        <v>98.21505392460999</v>
      </c>
      <c r="N378" s="686">
        <v>87.187571690494039</v>
      </c>
      <c r="O378" s="578">
        <v>112.28190809908574</v>
      </c>
      <c r="P378" s="578">
        <v>121.06540662174336</v>
      </c>
    </row>
    <row r="379" spans="1:16">
      <c r="A379" s="16">
        <v>41455</v>
      </c>
      <c r="B379" s="579">
        <v>89.202483861471933</v>
      </c>
      <c r="C379" s="580">
        <v>108.26936164774534</v>
      </c>
      <c r="D379" s="581">
        <v>117.77057147723949</v>
      </c>
      <c r="E379" s="582">
        <v>83.281988345116275</v>
      </c>
      <c r="F379" s="580">
        <v>101.02870100932344</v>
      </c>
      <c r="G379" s="581">
        <v>109.87873152784013</v>
      </c>
      <c r="H379" s="582">
        <v>90.580719969714792</v>
      </c>
      <c r="I379" s="580">
        <v>109.94886331539347</v>
      </c>
      <c r="J379" s="581">
        <v>119.59938416617699</v>
      </c>
      <c r="K379" s="583">
        <v>73.282381567736365</v>
      </c>
      <c r="L379" s="584">
        <v>88.882113204253315</v>
      </c>
      <c r="M379" s="584">
        <v>96.662690057477093</v>
      </c>
      <c r="N379" s="687">
        <v>84.418261002153272</v>
      </c>
      <c r="O379" s="584">
        <v>102.47032203307288</v>
      </c>
      <c r="P379" s="584">
        <v>111.46075485139319</v>
      </c>
    </row>
    <row r="380" spans="1:16">
      <c r="A380" s="16">
        <v>41486</v>
      </c>
      <c r="B380" s="573">
        <v>91.382385102835045</v>
      </c>
      <c r="C380" s="574">
        <v>108.52643892692927</v>
      </c>
      <c r="D380" s="575">
        <v>117.27571260041016</v>
      </c>
      <c r="E380" s="576">
        <v>83.203319374467497</v>
      </c>
      <c r="F380" s="574">
        <v>98.759474740684652</v>
      </c>
      <c r="G380" s="575">
        <v>106.70602970779566</v>
      </c>
      <c r="H380" s="576">
        <v>93.127205583212486</v>
      </c>
      <c r="I380" s="574">
        <v>110.60531122611647</v>
      </c>
      <c r="J380" s="575">
        <v>119.52410577957109</v>
      </c>
      <c r="K380" s="577">
        <v>73.924657522582706</v>
      </c>
      <c r="L380" s="578">
        <v>87.730085582188522</v>
      </c>
      <c r="M380" s="578">
        <v>94.783857605227809</v>
      </c>
      <c r="N380" s="686">
        <v>91.825153684601162</v>
      </c>
      <c r="O380" s="578">
        <v>109.07475441548856</v>
      </c>
      <c r="P380" s="578">
        <v>117.87603084402491</v>
      </c>
    </row>
    <row r="381" spans="1:16">
      <c r="A381" s="16">
        <v>41517</v>
      </c>
      <c r="B381" s="579">
        <v>92.837186736914447</v>
      </c>
      <c r="C381" s="580">
        <v>107.53283066667927</v>
      </c>
      <c r="D381" s="581">
        <v>117.38694038745132</v>
      </c>
      <c r="E381" s="582">
        <v>83.123490502606089</v>
      </c>
      <c r="F381" s="580">
        <v>96.229434471076914</v>
      </c>
      <c r="G381" s="581">
        <v>105.03264452492338</v>
      </c>
      <c r="H381" s="582">
        <v>94.815573731885181</v>
      </c>
      <c r="I381" s="580">
        <v>109.83104884607391</v>
      </c>
      <c r="J381" s="581">
        <v>119.89769368988968</v>
      </c>
      <c r="K381" s="583">
        <v>77.804647181144361</v>
      </c>
      <c r="L381" s="584">
        <v>90.055618339152431</v>
      </c>
      <c r="M381" s="584">
        <v>98.288524779678653</v>
      </c>
      <c r="N381" s="687">
        <v>99.125353053733122</v>
      </c>
      <c r="O381" s="584">
        <v>114.84578209571133</v>
      </c>
      <c r="P381" s="584">
        <v>125.37235313609099</v>
      </c>
    </row>
    <row r="382" spans="1:16">
      <c r="A382" s="16">
        <v>41547</v>
      </c>
      <c r="B382" s="573">
        <v>91.561627461373192</v>
      </c>
      <c r="C382" s="574">
        <v>108.64544306015318</v>
      </c>
      <c r="D382" s="575">
        <v>118.85218656986163</v>
      </c>
      <c r="E382" s="576">
        <v>81.780672903276226</v>
      </c>
      <c r="F382" s="574">
        <v>96.987049277273684</v>
      </c>
      <c r="G382" s="575">
        <v>106.0833117333349</v>
      </c>
      <c r="H382" s="576">
        <v>93.542243634071838</v>
      </c>
      <c r="I382" s="574">
        <v>111.0023418102906</v>
      </c>
      <c r="J382" s="575">
        <v>121.43246057381771</v>
      </c>
      <c r="K382" s="577">
        <v>74.116470085533464</v>
      </c>
      <c r="L382" s="578">
        <v>87.881792634490637</v>
      </c>
      <c r="M382" s="578">
        <v>96.118695305827799</v>
      </c>
      <c r="N382" s="686">
        <v>95.315194351539319</v>
      </c>
      <c r="O382" s="578">
        <v>113.09898928635549</v>
      </c>
      <c r="P382" s="578">
        <v>123.71209484041215</v>
      </c>
    </row>
    <row r="383" spans="1:16">
      <c r="A383" s="16">
        <v>41578</v>
      </c>
      <c r="B383" s="579">
        <v>89.056583594411904</v>
      </c>
      <c r="C383" s="580">
        <v>107.14344973310506</v>
      </c>
      <c r="D383" s="581">
        <v>118.53663208758225</v>
      </c>
      <c r="E383" s="582">
        <v>82.319931832685882</v>
      </c>
      <c r="F383" s="580">
        <v>98.985060286739994</v>
      </c>
      <c r="G383" s="581">
        <v>109.49499601985306</v>
      </c>
      <c r="H383" s="582">
        <v>90.576142583459131</v>
      </c>
      <c r="I383" s="580">
        <v>108.97823325284392</v>
      </c>
      <c r="J383" s="581">
        <v>120.56846020565534</v>
      </c>
      <c r="K383" s="583">
        <v>73.610487306311484</v>
      </c>
      <c r="L383" s="584">
        <v>88.496369750220296</v>
      </c>
      <c r="M383" s="584">
        <v>97.887156569263183</v>
      </c>
      <c r="N383" s="687">
        <v>91.319683921989466</v>
      </c>
      <c r="O383" s="584">
        <v>109.89361532030608</v>
      </c>
      <c r="P383" s="584">
        <v>121.57676825136816</v>
      </c>
    </row>
    <row r="384" spans="1:16">
      <c r="A384" s="16">
        <v>41608</v>
      </c>
      <c r="B384" s="573">
        <v>90.070703764434839</v>
      </c>
      <c r="C384" s="574">
        <v>106.86465147859879</v>
      </c>
      <c r="D384" s="575">
        <v>117.59317594656954</v>
      </c>
      <c r="E384" s="576">
        <v>82.21944399549686</v>
      </c>
      <c r="F384" s="574">
        <v>97.49674309521798</v>
      </c>
      <c r="G384" s="575">
        <v>107.26939131640985</v>
      </c>
      <c r="H384" s="576">
        <v>91.759648866078791</v>
      </c>
      <c r="I384" s="574">
        <v>108.87511018251081</v>
      </c>
      <c r="J384" s="575">
        <v>119.80740099406376</v>
      </c>
      <c r="K384" s="577">
        <v>73.169234006222467</v>
      </c>
      <c r="L384" s="578">
        <v>86.74914323631495</v>
      </c>
      <c r="M384" s="578">
        <v>95.439144935096905</v>
      </c>
      <c r="N384" s="686">
        <v>96.488678754594616</v>
      </c>
      <c r="O384" s="578">
        <v>114.49017800797124</v>
      </c>
      <c r="P384" s="578">
        <v>125.98116330944995</v>
      </c>
    </row>
    <row r="385" spans="1:21">
      <c r="A385" s="16">
        <v>41639</v>
      </c>
      <c r="B385" s="579">
        <v>94.534802009080991</v>
      </c>
      <c r="C385" s="580">
        <v>107.45093195707254</v>
      </c>
      <c r="D385" s="581">
        <v>118.8143513538716</v>
      </c>
      <c r="E385" s="582">
        <v>84.073955793594322</v>
      </c>
      <c r="F385" s="580">
        <v>95.509155439982436</v>
      </c>
      <c r="G385" s="581">
        <v>105.59452025095288</v>
      </c>
      <c r="H385" s="582">
        <v>96.632818050146795</v>
      </c>
      <c r="I385" s="580">
        <v>109.8422598681759</v>
      </c>
      <c r="J385" s="581">
        <v>121.46052877366358</v>
      </c>
      <c r="K385" s="583">
        <v>77.11565033108549</v>
      </c>
      <c r="L385" s="584">
        <v>87.588514585107802</v>
      </c>
      <c r="M385" s="584">
        <v>96.8320609232469</v>
      </c>
      <c r="N385" s="687">
        <v>97.212036044527778</v>
      </c>
      <c r="O385" s="584">
        <v>110.53682898829661</v>
      </c>
      <c r="P385" s="584">
        <v>122.22232130030339</v>
      </c>
    </row>
    <row r="386" spans="1:21">
      <c r="A386" s="16">
        <v>41670</v>
      </c>
      <c r="B386" s="573">
        <v>94.673521094480108</v>
      </c>
      <c r="C386" s="574">
        <v>106.34454407821394</v>
      </c>
      <c r="D386" s="575">
        <v>117.38999735698646</v>
      </c>
      <c r="E386" s="576">
        <v>82.69844058950666</v>
      </c>
      <c r="F386" s="574">
        <v>92.842977372353232</v>
      </c>
      <c r="G386" s="575">
        <v>102.47138364053288</v>
      </c>
      <c r="H386" s="576">
        <v>96.994246571432711</v>
      </c>
      <c r="I386" s="574">
        <v>108.95797038030544</v>
      </c>
      <c r="J386" s="575">
        <v>120.27680338609647</v>
      </c>
      <c r="K386" s="577">
        <v>78.5435961885605</v>
      </c>
      <c r="L386" s="578">
        <v>88.162446652617845</v>
      </c>
      <c r="M386" s="578">
        <v>97.299993778383495</v>
      </c>
      <c r="N386" s="686">
        <v>95.171672450075491</v>
      </c>
      <c r="O386" s="578">
        <v>106.93668262683056</v>
      </c>
      <c r="P386" s="578">
        <v>118.04070718642772</v>
      </c>
    </row>
    <row r="387" spans="1:21">
      <c r="A387" s="16">
        <v>41698</v>
      </c>
      <c r="B387" s="579">
        <v>92.740847096830976</v>
      </c>
      <c r="C387" s="580">
        <v>105.13889650324353</v>
      </c>
      <c r="D387" s="581">
        <v>116.34301878046658</v>
      </c>
      <c r="E387" s="582">
        <v>84.074351410873462</v>
      </c>
      <c r="F387" s="580">
        <v>95.262272346333745</v>
      </c>
      <c r="G387" s="581">
        <v>105.3987626664229</v>
      </c>
      <c r="H387" s="582">
        <v>94.565212276014933</v>
      </c>
      <c r="I387" s="580">
        <v>107.21365575842789</v>
      </c>
      <c r="J387" s="581">
        <v>118.64078509241835</v>
      </c>
      <c r="K387" s="583">
        <v>76.370260753442295</v>
      </c>
      <c r="L387" s="584">
        <v>86.51726811739637</v>
      </c>
      <c r="M387" s="584">
        <v>95.717866694654887</v>
      </c>
      <c r="N387" s="687">
        <v>89.874257930277437</v>
      </c>
      <c r="O387" s="584">
        <v>101.91225623262827</v>
      </c>
      <c r="P387" s="584">
        <v>112.76770413225987</v>
      </c>
    </row>
    <row r="388" spans="1:21">
      <c r="A388" s="16">
        <v>41729</v>
      </c>
      <c r="B388" s="573">
        <v>88.202699713624398</v>
      </c>
      <c r="C388" s="574">
        <v>100.62709466659554</v>
      </c>
      <c r="D388" s="575">
        <v>111.94824245726483</v>
      </c>
      <c r="E388" s="576">
        <v>88.335849862501533</v>
      </c>
      <c r="F388" s="574">
        <v>100.7244958351732</v>
      </c>
      <c r="G388" s="575">
        <v>112.04051851833835</v>
      </c>
      <c r="H388" s="576">
        <v>88.710524578103119</v>
      </c>
      <c r="I388" s="574">
        <v>101.2125926567532</v>
      </c>
      <c r="J388" s="575">
        <v>112.60142563136553</v>
      </c>
      <c r="K388" s="577">
        <v>73.825906209051666</v>
      </c>
      <c r="L388" s="578">
        <v>84.164318325374836</v>
      </c>
      <c r="M388" s="578">
        <v>93.614614981610018</v>
      </c>
      <c r="N388" s="686">
        <v>80.723003929313151</v>
      </c>
      <c r="O388" s="578">
        <v>92.100761275864002</v>
      </c>
      <c r="P388" s="578">
        <v>102.45737752703037</v>
      </c>
    </row>
    <row r="389" spans="1:21">
      <c r="A389" s="16">
        <v>41759</v>
      </c>
      <c r="B389" s="579">
        <v>84.333837978978707</v>
      </c>
      <c r="C389" s="580">
        <v>98.795146961005472</v>
      </c>
      <c r="D389" s="581">
        <v>109.94440422604845</v>
      </c>
      <c r="E389" s="582">
        <v>86.488137993193746</v>
      </c>
      <c r="F389" s="580">
        <v>101.26406303217135</v>
      </c>
      <c r="G389" s="581">
        <v>112.67576858793247</v>
      </c>
      <c r="H389" s="582">
        <v>84.52237398134524</v>
      </c>
      <c r="I389" s="580">
        <v>99.022019630652352</v>
      </c>
      <c r="J389" s="581">
        <v>110.19865447327646</v>
      </c>
      <c r="K389" s="583">
        <v>74.422235700553486</v>
      </c>
      <c r="L389" s="584">
        <v>87.120954894651746</v>
      </c>
      <c r="M389" s="584">
        <v>96.933399697847122</v>
      </c>
      <c r="N389" s="687">
        <v>80.136150467351044</v>
      </c>
      <c r="O389" s="584">
        <v>93.9061229963405</v>
      </c>
      <c r="P389" s="584">
        <v>104.50064114701441</v>
      </c>
    </row>
    <row r="390" spans="1:21">
      <c r="A390" s="16">
        <v>41790</v>
      </c>
      <c r="B390" s="573">
        <v>81.495581283890232</v>
      </c>
      <c r="C390" s="574">
        <v>95.424771818260339</v>
      </c>
      <c r="D390" s="575">
        <v>106.14891959987429</v>
      </c>
      <c r="E390" s="576">
        <v>88.215562534490545</v>
      </c>
      <c r="F390" s="574">
        <v>103.23746485109085</v>
      </c>
      <c r="G390" s="575">
        <v>114.82314585075062</v>
      </c>
      <c r="H390" s="576">
        <v>80.998141022583269</v>
      </c>
      <c r="I390" s="574">
        <v>94.848063156102597</v>
      </c>
      <c r="J390" s="575">
        <v>105.50909749953354</v>
      </c>
      <c r="K390" s="577">
        <v>75.068498660872137</v>
      </c>
      <c r="L390" s="578">
        <v>87.835679768350388</v>
      </c>
      <c r="M390" s="578">
        <v>97.687436722245565</v>
      </c>
      <c r="N390" s="686">
        <v>74.293395786077937</v>
      </c>
      <c r="O390" s="578">
        <v>87.011374782145722</v>
      </c>
      <c r="P390" s="578">
        <v>96.794651349944701</v>
      </c>
    </row>
    <row r="391" spans="1:21">
      <c r="A391" s="16">
        <v>41820</v>
      </c>
      <c r="B391" s="579">
        <v>78.129868543464966</v>
      </c>
      <c r="C391" s="580">
        <v>92.439619875321242</v>
      </c>
      <c r="D391" s="581">
        <v>102.39217726935223</v>
      </c>
      <c r="E391" s="582">
        <v>85.983553309413026</v>
      </c>
      <c r="F391" s="580">
        <v>101.67671370872806</v>
      </c>
      <c r="G391" s="581">
        <v>112.60762265225762</v>
      </c>
      <c r="H391" s="582">
        <v>77.446184704941729</v>
      </c>
      <c r="I391" s="580">
        <v>91.636276054236504</v>
      </c>
      <c r="J391" s="581">
        <v>101.50397551214614</v>
      </c>
      <c r="K391" s="583">
        <v>75.781382225493275</v>
      </c>
      <c r="L391" s="584">
        <v>89.596232453258395</v>
      </c>
      <c r="M391" s="584">
        <v>99.222844725260543</v>
      </c>
      <c r="N391" s="687">
        <v>69.194956269534231</v>
      </c>
      <c r="O391" s="584">
        <v>81.88680600321878</v>
      </c>
      <c r="P391" s="584">
        <v>90.701599620158419</v>
      </c>
    </row>
    <row r="392" spans="1:21">
      <c r="A392" s="16">
        <v>41851</v>
      </c>
      <c r="B392" s="573">
        <v>76.857907890889848</v>
      </c>
      <c r="C392" s="574">
        <v>91.104048129229113</v>
      </c>
      <c r="D392" s="575">
        <v>100.99932126137348</v>
      </c>
      <c r="E392" s="576">
        <v>84.04992544135257</v>
      </c>
      <c r="F392" s="574">
        <v>99.575272568001736</v>
      </c>
      <c r="G392" s="575">
        <v>110.37480418076333</v>
      </c>
      <c r="H392" s="576">
        <v>76.263573216627705</v>
      </c>
      <c r="I392" s="574">
        <v>90.405033794792516</v>
      </c>
      <c r="J392" s="575">
        <v>100.22599732670523</v>
      </c>
      <c r="K392" s="577">
        <v>79.495302991230332</v>
      </c>
      <c r="L392" s="578">
        <v>94.162233956270185</v>
      </c>
      <c r="M392" s="578">
        <v>104.36883433994453</v>
      </c>
      <c r="N392" s="686">
        <v>70.057706533157813</v>
      </c>
      <c r="O392" s="578">
        <v>83.062775129444972</v>
      </c>
      <c r="P392" s="578">
        <v>92.083626064821942</v>
      </c>
    </row>
    <row r="393" spans="1:21">
      <c r="A393" s="16">
        <v>41882</v>
      </c>
      <c r="B393" s="579">
        <v>76.042813525702854</v>
      </c>
      <c r="C393" s="580">
        <v>90.184570612342867</v>
      </c>
      <c r="D393" s="581">
        <v>98.98637302335726</v>
      </c>
      <c r="E393" s="582">
        <v>83.244802193003835</v>
      </c>
      <c r="F393" s="580">
        <v>98.672525841325168</v>
      </c>
      <c r="G393" s="581">
        <v>108.28718822773003</v>
      </c>
      <c r="H393" s="582">
        <v>75.443291724188597</v>
      </c>
      <c r="I393" s="580">
        <v>89.478983318597145</v>
      </c>
      <c r="J393" s="581">
        <v>98.213503554580925</v>
      </c>
      <c r="K393" s="583">
        <v>81.225282157115714</v>
      </c>
      <c r="L393" s="584">
        <v>96.261242167492185</v>
      </c>
      <c r="M393" s="584">
        <v>105.63502282218894</v>
      </c>
      <c r="N393" s="687">
        <v>68.549489380436015</v>
      </c>
      <c r="O393" s="584">
        <v>81.309938240869627</v>
      </c>
      <c r="P393" s="584">
        <v>89.250472002046209</v>
      </c>
    </row>
    <row r="394" spans="1:21">
      <c r="A394" s="16">
        <v>41912</v>
      </c>
      <c r="B394" s="573">
        <v>76.040127129884468</v>
      </c>
      <c r="C394" s="574">
        <v>89.305966895995141</v>
      </c>
      <c r="D394" s="575">
        <v>96.400410487031834</v>
      </c>
      <c r="E394" s="576">
        <v>83.455675665250823</v>
      </c>
      <c r="F394" s="574">
        <v>97.962210238775327</v>
      </c>
      <c r="G394" s="575">
        <v>105.72912630341666</v>
      </c>
      <c r="H394" s="576">
        <v>75.412140311458032</v>
      </c>
      <c r="I394" s="574">
        <v>88.573795751447747</v>
      </c>
      <c r="J394" s="575">
        <v>95.611615442196893</v>
      </c>
      <c r="K394" s="577">
        <v>81.479742748721577</v>
      </c>
      <c r="L394" s="578">
        <v>95.625442940608934</v>
      </c>
      <c r="M394" s="578">
        <v>103.20129939204683</v>
      </c>
      <c r="N394" s="686">
        <v>64.741782499820573</v>
      </c>
      <c r="O394" s="578">
        <v>76.049096820674023</v>
      </c>
      <c r="P394" s="578">
        <v>82.097801654142671</v>
      </c>
    </row>
    <row r="395" spans="1:21">
      <c r="A395" s="16">
        <v>41943</v>
      </c>
      <c r="B395" s="579">
        <v>75.44697227416772</v>
      </c>
      <c r="C395" s="580">
        <v>86.773021288677811</v>
      </c>
      <c r="D395" s="581">
        <v>92.731101984747582</v>
      </c>
      <c r="E395" s="582">
        <v>86.743824246769748</v>
      </c>
      <c r="F395" s="580">
        <v>99.711792368887828</v>
      </c>
      <c r="G395" s="581">
        <v>106.54299147337336</v>
      </c>
      <c r="H395" s="582">
        <v>74.299076502331175</v>
      </c>
      <c r="I395" s="580">
        <v>85.457988409935098</v>
      </c>
      <c r="J395" s="581">
        <v>91.327245837106062</v>
      </c>
      <c r="K395" s="583">
        <v>81.941107250914001</v>
      </c>
      <c r="L395" s="584">
        <v>94.17397443782248</v>
      </c>
      <c r="M395" s="584">
        <v>100.62013609190601</v>
      </c>
      <c r="N395" s="687">
        <v>65.028285227732511</v>
      </c>
      <c r="O395" s="584">
        <v>74.806940483857858</v>
      </c>
      <c r="P395" s="584">
        <v>79.941449119821897</v>
      </c>
    </row>
    <row r="396" spans="1:21">
      <c r="A396" s="16">
        <v>41973</v>
      </c>
      <c r="B396" s="573">
        <v>75.042401357670087</v>
      </c>
      <c r="C396" s="574">
        <v>86.10342393471015</v>
      </c>
      <c r="D396" s="575">
        <v>90.825862790073359</v>
      </c>
      <c r="E396" s="576">
        <v>88.225694567114147</v>
      </c>
      <c r="F396" s="574">
        <v>101.1751460021766</v>
      </c>
      <c r="G396" s="575">
        <v>106.70889238901073</v>
      </c>
      <c r="H396" s="576">
        <v>73.641262254692521</v>
      </c>
      <c r="I396" s="574">
        <v>84.500887350325598</v>
      </c>
      <c r="J396" s="575">
        <v>89.136868621029478</v>
      </c>
      <c r="K396" s="577">
        <v>84.796754431042345</v>
      </c>
      <c r="L396" s="578">
        <v>97.225256339862881</v>
      </c>
      <c r="M396" s="578">
        <v>102.53721242583444</v>
      </c>
      <c r="N396" s="686">
        <v>62.031770939730713</v>
      </c>
      <c r="O396" s="578">
        <v>71.192613432399384</v>
      </c>
      <c r="P396" s="578">
        <v>75.098243795799817</v>
      </c>
    </row>
    <row r="397" spans="1:21">
      <c r="A397" s="16">
        <v>42004</v>
      </c>
      <c r="B397" s="579">
        <v>75.408219658335923</v>
      </c>
      <c r="C397" s="580">
        <v>83.039385854049655</v>
      </c>
      <c r="D397" s="581">
        <v>86.971755836083673</v>
      </c>
      <c r="E397" s="582">
        <v>92.503421229331906</v>
      </c>
      <c r="F397" s="580">
        <v>101.80949692921352</v>
      </c>
      <c r="G397" s="581">
        <v>106.61542997959795</v>
      </c>
      <c r="H397" s="582">
        <v>73.487633964590131</v>
      </c>
      <c r="I397" s="580">
        <v>80.929350109733392</v>
      </c>
      <c r="J397" s="581">
        <v>84.763163239921639</v>
      </c>
      <c r="K397" s="583">
        <v>84.272864454260414</v>
      </c>
      <c r="L397" s="584">
        <v>92.734079436248052</v>
      </c>
      <c r="M397" s="584">
        <v>97.106158486637412</v>
      </c>
      <c r="N397" s="687">
        <v>64.576476880492891</v>
      </c>
      <c r="O397" s="584">
        <v>71.121406641156909</v>
      </c>
      <c r="P397" s="584">
        <v>74.486825764733354</v>
      </c>
      <c r="Q397" s="13"/>
      <c r="R397" s="13"/>
      <c r="U397" s="13"/>
    </row>
    <row r="398" spans="1:21">
      <c r="A398" s="16">
        <v>42035</v>
      </c>
      <c r="B398" s="573">
        <v>76.493722319634358</v>
      </c>
      <c r="C398" s="574">
        <v>84.478191271518597</v>
      </c>
      <c r="D398" s="575">
        <v>86.601818837168764</v>
      </c>
      <c r="E398" s="576">
        <v>90.222486646926697</v>
      </c>
      <c r="F398" s="574">
        <v>99.586085018900079</v>
      </c>
      <c r="G398" s="575">
        <v>102.07484470765995</v>
      </c>
      <c r="H398" s="576">
        <v>75.026781429463142</v>
      </c>
      <c r="I398" s="574">
        <v>82.863156876775463</v>
      </c>
      <c r="J398" s="575">
        <v>84.947553297940431</v>
      </c>
      <c r="K398" s="577">
        <v>80.611411575553404</v>
      </c>
      <c r="L398" s="578">
        <v>88.961378934939489</v>
      </c>
      <c r="M398" s="578">
        <v>91.17950114782775</v>
      </c>
      <c r="N398" s="686">
        <v>65.187342554125721</v>
      </c>
      <c r="O398" s="578">
        <v>72.004550950299063</v>
      </c>
      <c r="P398" s="578">
        <v>73.82753404407309</v>
      </c>
      <c r="S398" s="13"/>
      <c r="T398" s="13"/>
    </row>
    <row r="399" spans="1:21">
      <c r="A399" s="16">
        <v>42063</v>
      </c>
      <c r="B399" s="579">
        <v>75.768715770264976</v>
      </c>
      <c r="C399" s="580">
        <v>81.322498642368004</v>
      </c>
      <c r="D399" s="581">
        <v>82.582719286048601</v>
      </c>
      <c r="E399" s="582">
        <v>90.619647625868893</v>
      </c>
      <c r="F399" s="580">
        <v>97.209388623955363</v>
      </c>
      <c r="G399" s="581">
        <v>98.701633202592561</v>
      </c>
      <c r="H399" s="582">
        <v>74.148837771824589</v>
      </c>
      <c r="I399" s="580">
        <v>79.588713138608171</v>
      </c>
      <c r="J399" s="581">
        <v>80.823367498728544</v>
      </c>
      <c r="K399" s="583">
        <v>82.795705536508024</v>
      </c>
      <c r="L399" s="584">
        <v>88.800368300306147</v>
      </c>
      <c r="M399" s="584">
        <v>90.158469698285757</v>
      </c>
      <c r="N399" s="687">
        <v>65.246427000182479</v>
      </c>
      <c r="O399" s="584">
        <v>70.046198359291651</v>
      </c>
      <c r="P399" s="584">
        <v>71.130187078748904</v>
      </c>
    </row>
    <row r="400" spans="1:21">
      <c r="A400" s="16">
        <v>42094</v>
      </c>
      <c r="B400" s="573">
        <v>72.312335856382958</v>
      </c>
      <c r="C400" s="574">
        <v>78.489358360159002</v>
      </c>
      <c r="D400" s="575">
        <v>78.216858479631767</v>
      </c>
      <c r="E400" s="576">
        <v>87.835824785985338</v>
      </c>
      <c r="F400" s="574">
        <v>95.287323222796516</v>
      </c>
      <c r="G400" s="575">
        <v>94.942875087768414</v>
      </c>
      <c r="H400" s="576">
        <v>70.586491329165682</v>
      </c>
      <c r="I400" s="574">
        <v>76.620737874593459</v>
      </c>
      <c r="J400" s="575">
        <v>76.355955009428527</v>
      </c>
      <c r="K400" s="577">
        <v>83.219085376816764</v>
      </c>
      <c r="L400" s="578">
        <v>90.26252842802765</v>
      </c>
      <c r="M400" s="578">
        <v>89.93119909806218</v>
      </c>
      <c r="N400" s="686">
        <v>60.5265399943668</v>
      </c>
      <c r="O400" s="578">
        <v>65.700642956733745</v>
      </c>
      <c r="P400" s="578">
        <v>65.484001059315474</v>
      </c>
    </row>
    <row r="401" spans="1:16">
      <c r="A401" s="16">
        <v>42124</v>
      </c>
      <c r="B401" s="579">
        <v>68.32321275117485</v>
      </c>
      <c r="C401" s="580">
        <v>74.339003538882665</v>
      </c>
      <c r="D401" s="581">
        <v>73.851498132324807</v>
      </c>
      <c r="E401" s="582">
        <v>89.091204488237352</v>
      </c>
      <c r="F401" s="580">
        <v>96.883170139414503</v>
      </c>
      <c r="G401" s="581">
        <v>96.234008745179949</v>
      </c>
      <c r="H401" s="582">
        <v>65.879765371188554</v>
      </c>
      <c r="I401" s="580">
        <v>71.68476174949086</v>
      </c>
      <c r="J401" s="581">
        <v>71.215809268181559</v>
      </c>
      <c r="K401" s="583">
        <v>86.075723623243192</v>
      </c>
      <c r="L401" s="584">
        <v>93.586952623075902</v>
      </c>
      <c r="M401" s="584">
        <v>92.954662767823876</v>
      </c>
      <c r="N401" s="687">
        <v>54.935524797580328</v>
      </c>
      <c r="O401" s="584">
        <v>59.802345887410304</v>
      </c>
      <c r="P401" s="584">
        <v>59.414153444089258</v>
      </c>
    </row>
    <row r="402" spans="1:16">
      <c r="A402" s="16">
        <v>42155</v>
      </c>
      <c r="B402" s="573">
        <v>67.554065633024919</v>
      </c>
      <c r="C402" s="574">
        <v>73.929884768884364</v>
      </c>
      <c r="D402" s="575">
        <v>74.68783392631272</v>
      </c>
      <c r="E402" s="576">
        <v>87.433482175492685</v>
      </c>
      <c r="F402" s="574">
        <v>95.633790153777639</v>
      </c>
      <c r="G402" s="575">
        <v>96.600386712625607</v>
      </c>
      <c r="H402" s="576">
        <v>65.225360781199939</v>
      </c>
      <c r="I402" s="574">
        <v>71.385725019781759</v>
      </c>
      <c r="J402" s="575">
        <v>72.118752060355035</v>
      </c>
      <c r="K402" s="577">
        <v>85.706596609234921</v>
      </c>
      <c r="L402" s="578">
        <v>93.727914890248002</v>
      </c>
      <c r="M402" s="578">
        <v>94.669937407790243</v>
      </c>
      <c r="N402" s="686">
        <v>57.346010854646956</v>
      </c>
      <c r="O402" s="578">
        <v>62.768951844793207</v>
      </c>
      <c r="P402" s="578">
        <v>63.410104754436439</v>
      </c>
    </row>
    <row r="403" spans="1:16">
      <c r="A403" s="16">
        <v>42185</v>
      </c>
      <c r="B403" s="579">
        <v>69.600924770977358</v>
      </c>
      <c r="C403" s="580">
        <v>74.492145367185486</v>
      </c>
      <c r="D403" s="581">
        <v>75.201513539271303</v>
      </c>
      <c r="E403" s="582">
        <v>88.344383491355288</v>
      </c>
      <c r="F403" s="580">
        <v>94.501667437677142</v>
      </c>
      <c r="G403" s="581">
        <v>95.3878879256076</v>
      </c>
      <c r="H403" s="582">
        <v>67.433251991770845</v>
      </c>
      <c r="I403" s="580">
        <v>72.176517426391072</v>
      </c>
      <c r="J403" s="581">
        <v>72.865007824780548</v>
      </c>
      <c r="K403" s="583">
        <v>81.388822124326339</v>
      </c>
      <c r="L403" s="584">
        <v>87.045515885102702</v>
      </c>
      <c r="M403" s="584">
        <v>87.856885215191141</v>
      </c>
      <c r="N403" s="687">
        <v>60.23081554399451</v>
      </c>
      <c r="O403" s="584">
        <v>64.481200769186742</v>
      </c>
      <c r="P403" s="584">
        <v>65.093401544082326</v>
      </c>
    </row>
    <row r="404" spans="1:16">
      <c r="A404" s="16">
        <v>42216</v>
      </c>
      <c r="B404" s="573">
        <v>68.801521058627841</v>
      </c>
      <c r="C404" s="574">
        <v>71.173238156968495</v>
      </c>
      <c r="D404" s="575">
        <v>71.457113991424876</v>
      </c>
      <c r="E404" s="576">
        <v>90.115066797126786</v>
      </c>
      <c r="F404" s="574">
        <v>93.171084276037277</v>
      </c>
      <c r="G404" s="575">
        <v>93.529272898317288</v>
      </c>
      <c r="H404" s="576">
        <v>66.287654569122722</v>
      </c>
      <c r="I404" s="574">
        <v>68.576874147995355</v>
      </c>
      <c r="J404" s="575">
        <v>68.851503019833089</v>
      </c>
      <c r="K404" s="577">
        <v>80.748079016846802</v>
      </c>
      <c r="L404" s="578">
        <v>83.47127611129909</v>
      </c>
      <c r="M404" s="578">
        <v>83.787474258720579</v>
      </c>
      <c r="N404" s="686">
        <v>54.76139831698584</v>
      </c>
      <c r="O404" s="578">
        <v>56.666464693151433</v>
      </c>
      <c r="P404" s="578">
        <v>56.894614795871803</v>
      </c>
    </row>
    <row r="405" spans="1:16">
      <c r="A405" s="16">
        <v>42247</v>
      </c>
      <c r="B405" s="579">
        <v>69.03339020402683</v>
      </c>
      <c r="C405" s="580">
        <v>69.9145146179942</v>
      </c>
      <c r="D405" s="581">
        <v>70.459171203872231</v>
      </c>
      <c r="E405" s="582">
        <v>88.982990705691009</v>
      </c>
      <c r="F405" s="580">
        <v>90.070007359489864</v>
      </c>
      <c r="G405" s="581">
        <v>90.758653399116483</v>
      </c>
      <c r="H405" s="582">
        <v>66.697493404440337</v>
      </c>
      <c r="I405" s="580">
        <v>67.552901074421385</v>
      </c>
      <c r="J405" s="581">
        <v>68.080256196511769</v>
      </c>
      <c r="K405" s="583">
        <v>77.268762001457986</v>
      </c>
      <c r="L405" s="584">
        <v>78.198472016958846</v>
      </c>
      <c r="M405" s="584">
        <v>78.791932038703891</v>
      </c>
      <c r="N405" s="687">
        <v>58.110523709931428</v>
      </c>
      <c r="O405" s="584">
        <v>58.862047513206051</v>
      </c>
      <c r="P405" s="584">
        <v>59.317240170416085</v>
      </c>
    </row>
    <row r="406" spans="1:16">
      <c r="A406" s="16">
        <v>42277</v>
      </c>
      <c r="B406" s="573">
        <v>71.228125009567435</v>
      </c>
      <c r="C406" s="574">
        <v>69.548322006129538</v>
      </c>
      <c r="D406" s="575">
        <v>70.296746422590289</v>
      </c>
      <c r="E406" s="576">
        <v>89.51465079916872</v>
      </c>
      <c r="F406" s="574">
        <v>87.356318050001263</v>
      </c>
      <c r="G406" s="575">
        <v>88.283705083650943</v>
      </c>
      <c r="H406" s="576">
        <v>69.116281746683981</v>
      </c>
      <c r="I406" s="574">
        <v>67.490377484522412</v>
      </c>
      <c r="J406" s="575">
        <v>68.217754398784237</v>
      </c>
      <c r="K406" s="577">
        <v>80.644196872031074</v>
      </c>
      <c r="L406" s="578">
        <v>78.685450069928336</v>
      </c>
      <c r="M406" s="578">
        <v>79.516325192604086</v>
      </c>
      <c r="N406" s="686">
        <v>60.497858871856749</v>
      </c>
      <c r="O406" s="578">
        <v>59.082118564317589</v>
      </c>
      <c r="P406" s="578">
        <v>59.716507691397979</v>
      </c>
    </row>
    <row r="407" spans="1:16">
      <c r="A407" s="16">
        <v>42308</v>
      </c>
      <c r="B407" s="579">
        <v>68.477798312648147</v>
      </c>
      <c r="C407" s="580">
        <v>68.242328698765135</v>
      </c>
      <c r="D407" s="581">
        <v>69.003747658915245</v>
      </c>
      <c r="E407" s="582">
        <v>88.131573072933335</v>
      </c>
      <c r="F407" s="580">
        <v>87.78102076578061</v>
      </c>
      <c r="G407" s="581">
        <v>88.7477045090004</v>
      </c>
      <c r="H407" s="582">
        <v>66.178266358973175</v>
      </c>
      <c r="I407" s="580">
        <v>65.954705065951401</v>
      </c>
      <c r="J407" s="581">
        <v>66.69167359842821</v>
      </c>
      <c r="K407" s="583">
        <v>77.810437053115251</v>
      </c>
      <c r="L407" s="584">
        <v>77.486861824332252</v>
      </c>
      <c r="M407" s="584">
        <v>78.335787175924565</v>
      </c>
      <c r="N407" s="687">
        <v>55.684058204042863</v>
      </c>
      <c r="O407" s="584">
        <v>55.503326740542825</v>
      </c>
      <c r="P407" s="584">
        <v>56.125255969066643</v>
      </c>
    </row>
    <row r="408" spans="1:16">
      <c r="A408" s="16">
        <v>42338</v>
      </c>
      <c r="B408" s="573">
        <v>65.113606221222781</v>
      </c>
      <c r="C408" s="574">
        <v>65.580187450910771</v>
      </c>
      <c r="D408" s="575">
        <v>65.183805777303206</v>
      </c>
      <c r="E408" s="576">
        <v>87.61153190196049</v>
      </c>
      <c r="F408" s="574">
        <v>88.191602496794189</v>
      </c>
      <c r="G408" s="575">
        <v>87.645970748488864</v>
      </c>
      <c r="H408" s="576">
        <v>62.432338859166158</v>
      </c>
      <c r="I408" s="574">
        <v>62.883521845922949</v>
      </c>
      <c r="J408" s="575">
        <v>62.504445918381222</v>
      </c>
      <c r="K408" s="577">
        <v>73.600464851856785</v>
      </c>
      <c r="L408" s="578">
        <v>74.074312662264106</v>
      </c>
      <c r="M408" s="578">
        <v>73.611893514463262</v>
      </c>
      <c r="N408" s="686">
        <v>51.150734557820364</v>
      </c>
      <c r="O408" s="578">
        <v>51.515905457848163</v>
      </c>
      <c r="P408" s="578">
        <v>51.209353583033504</v>
      </c>
    </row>
    <row r="409" spans="1:16">
      <c r="A409" s="16">
        <v>42369</v>
      </c>
      <c r="B409" s="579">
        <v>61.32902188655531</v>
      </c>
      <c r="C409" s="580">
        <v>62.474189763877042</v>
      </c>
      <c r="D409" s="581">
        <v>62.203327226753494</v>
      </c>
      <c r="E409" s="582">
        <v>88.028887947364353</v>
      </c>
      <c r="F409" s="580">
        <v>89.624111783797048</v>
      </c>
      <c r="G409" s="581">
        <v>89.222730442462662</v>
      </c>
      <c r="H409" s="582">
        <v>58.088153364085635</v>
      </c>
      <c r="I409" s="580">
        <v>59.176395920623307</v>
      </c>
      <c r="J409" s="581">
        <v>58.920780044233858</v>
      </c>
      <c r="K409" s="583">
        <v>72.529109296771637</v>
      </c>
      <c r="L409" s="584">
        <v>73.8300404335438</v>
      </c>
      <c r="M409" s="584">
        <v>73.495269820738656</v>
      </c>
      <c r="N409" s="687">
        <v>46.326167140453315</v>
      </c>
      <c r="O409" s="584">
        <v>47.203442719008279</v>
      </c>
      <c r="P409" s="584">
        <v>46.997658907774955</v>
      </c>
    </row>
    <row r="410" spans="1:16">
      <c r="A410" s="16">
        <v>42400</v>
      </c>
      <c r="B410" s="573">
        <v>61.849700960443265</v>
      </c>
      <c r="C410" s="574">
        <v>61.204300542418721</v>
      </c>
      <c r="D410" s="575">
        <v>60.827276101872165</v>
      </c>
      <c r="E410" s="576">
        <v>88.436279613250278</v>
      </c>
      <c r="F410" s="574">
        <v>87.466118479405424</v>
      </c>
      <c r="G410" s="575">
        <v>86.914842137349936</v>
      </c>
      <c r="H410" s="576">
        <v>58.625463976127968</v>
      </c>
      <c r="I410" s="574">
        <v>58.017227975298738</v>
      </c>
      <c r="J410" s="575">
        <v>57.66076469739447</v>
      </c>
      <c r="K410" s="577">
        <v>73.125467140543847</v>
      </c>
      <c r="L410" s="578">
        <v>72.310132357103157</v>
      </c>
      <c r="M410" s="578">
        <v>71.85034957949469</v>
      </c>
      <c r="N410" s="686">
        <v>49.209016828984012</v>
      </c>
      <c r="O410" s="578">
        <v>48.703363714931335</v>
      </c>
      <c r="P410" s="578">
        <v>48.402809678071563</v>
      </c>
    </row>
    <row r="411" spans="1:16">
      <c r="A411" s="16">
        <v>42429</v>
      </c>
      <c r="B411" s="579">
        <v>62.867389681055677</v>
      </c>
      <c r="C411" s="580">
        <v>62.584866329167156</v>
      </c>
      <c r="D411" s="581">
        <v>62.699149082262153</v>
      </c>
      <c r="E411" s="582">
        <v>86.756395380992743</v>
      </c>
      <c r="F411" s="580">
        <v>86.319805874933792</v>
      </c>
      <c r="G411" s="581">
        <v>86.46501770626233</v>
      </c>
      <c r="H411" s="582">
        <v>59.997198603691579</v>
      </c>
      <c r="I411" s="580">
        <v>59.731197311318354</v>
      </c>
      <c r="J411" s="581">
        <v>59.84123273465228</v>
      </c>
      <c r="K411" s="583">
        <v>75.355414448225503</v>
      </c>
      <c r="L411" s="584">
        <v>74.962581065196062</v>
      </c>
      <c r="M411" s="584">
        <v>75.084475031404125</v>
      </c>
      <c r="N411" s="687">
        <v>52.437413274149151</v>
      </c>
      <c r="O411" s="584">
        <v>52.224649904304968</v>
      </c>
      <c r="P411" s="584">
        <v>52.318121465536471</v>
      </c>
    </row>
    <row r="412" spans="1:16">
      <c r="A412" s="16">
        <v>42460</v>
      </c>
      <c r="B412" s="573">
        <v>63.352154224631775</v>
      </c>
      <c r="C412" s="574">
        <v>66.187934467293189</v>
      </c>
      <c r="D412" s="575">
        <v>66.332554566217041</v>
      </c>
      <c r="E412" s="576">
        <v>85.563149206033614</v>
      </c>
      <c r="F412" s="574">
        <v>89.344795011852725</v>
      </c>
      <c r="G412" s="575">
        <v>89.527161116446521</v>
      </c>
      <c r="H412" s="576">
        <v>60.701648513864967</v>
      </c>
      <c r="I412" s="574">
        <v>63.422633836785259</v>
      </c>
      <c r="J412" s="575">
        <v>63.562235290917435</v>
      </c>
      <c r="K412" s="577">
        <v>74.357080036973429</v>
      </c>
      <c r="L412" s="578">
        <v>77.629347548483366</v>
      </c>
      <c r="M412" s="578">
        <v>77.783437133547622</v>
      </c>
      <c r="N412" s="686">
        <v>57.115941661670668</v>
      </c>
      <c r="O412" s="578">
        <v>59.688782807864406</v>
      </c>
      <c r="P412" s="578">
        <v>59.821998806058865</v>
      </c>
    </row>
    <row r="413" spans="1:16">
      <c r="A413" s="16">
        <v>42490</v>
      </c>
      <c r="B413" s="579">
        <v>63.54460516790872</v>
      </c>
      <c r="C413" s="580">
        <v>67.32282606566379</v>
      </c>
      <c r="D413" s="581">
        <v>68.164799050150705</v>
      </c>
      <c r="E413" s="582">
        <v>83.634031854548454</v>
      </c>
      <c r="F413" s="580">
        <v>88.558803813458127</v>
      </c>
      <c r="G413" s="581">
        <v>89.653494891131714</v>
      </c>
      <c r="H413" s="582">
        <v>61.170304479616753</v>
      </c>
      <c r="I413" s="580">
        <v>64.811286462367676</v>
      </c>
      <c r="J413" s="581">
        <v>65.622905571233645</v>
      </c>
      <c r="K413" s="583">
        <v>72.840522743589986</v>
      </c>
      <c r="L413" s="584">
        <v>77.11571237429672</v>
      </c>
      <c r="M413" s="584">
        <v>78.06457406111511</v>
      </c>
      <c r="N413" s="687">
        <v>58.858543994075987</v>
      </c>
      <c r="O413" s="584">
        <v>62.396768246215842</v>
      </c>
      <c r="P413" s="584">
        <v>63.177685157067408</v>
      </c>
    </row>
    <row r="414" spans="1:16">
      <c r="A414" s="16">
        <v>42521</v>
      </c>
      <c r="B414" s="573">
        <v>65.704582778532611</v>
      </c>
      <c r="C414" s="574">
        <v>66.329081680685235</v>
      </c>
      <c r="D414" s="575">
        <v>67.311281913400393</v>
      </c>
      <c r="E414" s="576">
        <v>86.801879398219995</v>
      </c>
      <c r="F414" s="574">
        <v>87.57950902208907</v>
      </c>
      <c r="G414" s="575">
        <v>88.863629026774248</v>
      </c>
      <c r="H414" s="576">
        <v>63.207373327366888</v>
      </c>
      <c r="I414" s="574">
        <v>63.812008236809895</v>
      </c>
      <c r="J414" s="575">
        <v>64.757978445798614</v>
      </c>
      <c r="K414" s="577">
        <v>75.035218028169353</v>
      </c>
      <c r="L414" s="578">
        <v>75.693683442698912</v>
      </c>
      <c r="M414" s="578">
        <v>76.799221180002036</v>
      </c>
      <c r="N414" s="686">
        <v>58.395655335038697</v>
      </c>
      <c r="O414" s="578">
        <v>58.998465840535864</v>
      </c>
      <c r="P414" s="578">
        <v>59.885089600156206</v>
      </c>
    </row>
    <row r="415" spans="1:16">
      <c r="A415" s="16">
        <v>42551</v>
      </c>
      <c r="B415" s="579">
        <v>64.576443699617741</v>
      </c>
      <c r="C415" s="580">
        <v>66.03176381352597</v>
      </c>
      <c r="D415" s="581">
        <v>66.833445675650054</v>
      </c>
      <c r="E415" s="582">
        <v>89.130040486826005</v>
      </c>
      <c r="F415" s="580">
        <v>91.089419152961625</v>
      </c>
      <c r="G415" s="581">
        <v>92.182089637251124</v>
      </c>
      <c r="H415" s="582">
        <v>61.626256799469928</v>
      </c>
      <c r="I415" s="580">
        <v>63.018913332514281</v>
      </c>
      <c r="J415" s="581">
        <v>63.785043725689086</v>
      </c>
      <c r="K415" s="583">
        <v>75.339850544962175</v>
      </c>
      <c r="L415" s="584">
        <v>76.982089767825613</v>
      </c>
      <c r="M415" s="584">
        <v>77.901164501710412</v>
      </c>
      <c r="N415" s="687">
        <v>54.987321355752648</v>
      </c>
      <c r="O415" s="584">
        <v>56.25019669041027</v>
      </c>
      <c r="P415" s="584">
        <v>56.929321955543557</v>
      </c>
    </row>
    <row r="416" spans="1:16">
      <c r="A416" s="16">
        <v>42582</v>
      </c>
      <c r="B416" s="573">
        <v>65.513403160516646</v>
      </c>
      <c r="C416" s="574">
        <v>69.003073291132338</v>
      </c>
      <c r="D416" s="575">
        <v>68.986028862017207</v>
      </c>
      <c r="E416" s="576">
        <v>87.574257441223665</v>
      </c>
      <c r="F416" s="574">
        <v>92.1891461682428</v>
      </c>
      <c r="G416" s="575">
        <v>92.153146049698293</v>
      </c>
      <c r="H416" s="576">
        <v>62.890366228039206</v>
      </c>
      <c r="I416" s="574">
        <v>66.244335002328739</v>
      </c>
      <c r="J416" s="575">
        <v>66.229038465325473</v>
      </c>
      <c r="K416" s="577">
        <v>77.394831298606036</v>
      </c>
      <c r="L416" s="578">
        <v>81.458498411253871</v>
      </c>
      <c r="M416" s="578">
        <v>81.422120978674059</v>
      </c>
      <c r="N416" s="686">
        <v>60.170416082848973</v>
      </c>
      <c r="O416" s="578">
        <v>63.398764923145691</v>
      </c>
      <c r="P416" s="578">
        <v>63.377357323597749</v>
      </c>
    </row>
    <row r="417" spans="1:32">
      <c r="A417" s="16">
        <v>42613</v>
      </c>
      <c r="B417" s="579">
        <v>67.274636855808041</v>
      </c>
      <c r="C417" s="580">
        <v>71.362554312448978</v>
      </c>
      <c r="D417" s="581">
        <v>71.772599219668038</v>
      </c>
      <c r="E417" s="582">
        <v>86.479394627922872</v>
      </c>
      <c r="F417" s="580">
        <v>91.684668750407312</v>
      </c>
      <c r="G417" s="581">
        <v>92.198248315474714</v>
      </c>
      <c r="H417" s="582">
        <v>65.0139207721042</v>
      </c>
      <c r="I417" s="580">
        <v>68.968650611120523</v>
      </c>
      <c r="J417" s="581">
        <v>69.366057263916019</v>
      </c>
      <c r="K417" s="583">
        <v>76.501224287790265</v>
      </c>
      <c r="L417" s="584">
        <v>81.091172129246772</v>
      </c>
      <c r="M417" s="584">
        <v>81.540836989315522</v>
      </c>
      <c r="N417" s="687">
        <v>64.97868745519402</v>
      </c>
      <c r="O417" s="584">
        <v>68.93686744462282</v>
      </c>
      <c r="P417" s="584">
        <v>69.332904577435428</v>
      </c>
    </row>
    <row r="418" spans="1:32">
      <c r="A418" s="16">
        <v>42643</v>
      </c>
      <c r="B418" s="573">
        <v>68.990971175712119</v>
      </c>
      <c r="C418" s="574">
        <v>72.903632262865827</v>
      </c>
      <c r="D418" s="575">
        <v>73.312531382648231</v>
      </c>
      <c r="E418" s="576">
        <v>86.117505701680244</v>
      </c>
      <c r="F418" s="574">
        <v>90.952241294111303</v>
      </c>
      <c r="G418" s="575">
        <v>91.449243306092853</v>
      </c>
      <c r="H418" s="576">
        <v>66.994860765626001</v>
      </c>
      <c r="I418" s="574">
        <v>70.798612073038882</v>
      </c>
      <c r="J418" s="575">
        <v>71.196851087104918</v>
      </c>
      <c r="K418" s="577">
        <v>76.411729702678272</v>
      </c>
      <c r="L418" s="578">
        <v>80.68691427893728</v>
      </c>
      <c r="M418" s="578">
        <v>81.123271249398002</v>
      </c>
      <c r="N418" s="686">
        <v>72.511062447209611</v>
      </c>
      <c r="O418" s="578">
        <v>76.64447528981691</v>
      </c>
      <c r="P418" s="578">
        <v>77.073760792593745</v>
      </c>
    </row>
    <row r="419" spans="1:32">
      <c r="A419" s="16">
        <v>42674</v>
      </c>
      <c r="B419" s="579">
        <v>72.170274668344035</v>
      </c>
      <c r="C419" s="580">
        <v>77.429926759658414</v>
      </c>
      <c r="D419" s="581">
        <v>76.912057813714355</v>
      </c>
      <c r="E419" s="582">
        <v>86.64405906821986</v>
      </c>
      <c r="F419" s="580">
        <v>92.90826181692286</v>
      </c>
      <c r="G419" s="581">
        <v>92.273624449834685</v>
      </c>
      <c r="H419" s="582">
        <v>70.51411406135027</v>
      </c>
      <c r="I419" s="580">
        <v>75.657657574193891</v>
      </c>
      <c r="J419" s="581">
        <v>75.152852120505415</v>
      </c>
      <c r="K419" s="583">
        <v>78.133583118529785</v>
      </c>
      <c r="L419" s="584">
        <v>83.76727724539991</v>
      </c>
      <c r="M419" s="584">
        <v>83.190413217072205</v>
      </c>
      <c r="N419" s="687">
        <v>82.143535246915349</v>
      </c>
      <c r="O419" s="584">
        <v>88.193022934750289</v>
      </c>
      <c r="P419" s="584">
        <v>87.570252140445675</v>
      </c>
    </row>
    <row r="420" spans="1:32">
      <c r="A420" s="16">
        <v>42704</v>
      </c>
      <c r="B420" s="573">
        <v>82.210714467523417</v>
      </c>
      <c r="C420" s="574">
        <v>88.20847020961844</v>
      </c>
      <c r="D420" s="575">
        <v>86.670652648556597</v>
      </c>
      <c r="E420" s="576">
        <v>86.204897270279218</v>
      </c>
      <c r="F420" s="574">
        <v>92.444028198466896</v>
      </c>
      <c r="G420" s="575">
        <v>90.81933131085151</v>
      </c>
      <c r="H420" s="576">
        <v>81.891923548545009</v>
      </c>
      <c r="I420" s="574">
        <v>87.871752283390933</v>
      </c>
      <c r="J420" s="575">
        <v>86.34119534279877</v>
      </c>
      <c r="K420" s="577">
        <v>86.178941948750719</v>
      </c>
      <c r="L420" s="578">
        <v>92.399409035093242</v>
      </c>
      <c r="M420" s="578">
        <v>90.770404239027542</v>
      </c>
      <c r="N420" s="686">
        <v>103.22392828382473</v>
      </c>
      <c r="O420" s="578">
        <v>110.76205533173025</v>
      </c>
      <c r="P420" s="578">
        <v>108.80819897729049</v>
      </c>
    </row>
    <row r="421" spans="1:32">
      <c r="A421" s="16">
        <v>42735</v>
      </c>
      <c r="B421" s="579">
        <v>87.77655406156704</v>
      </c>
      <c r="C421" s="580">
        <v>93.162292560434253</v>
      </c>
      <c r="D421" s="581">
        <v>90.226982529013441</v>
      </c>
      <c r="E421" s="582">
        <v>85.288380696671581</v>
      </c>
      <c r="F421" s="580">
        <v>90.472494302109766</v>
      </c>
      <c r="G421" s="581">
        <v>87.609356816001153</v>
      </c>
      <c r="H421" s="582">
        <v>88.283587438103979</v>
      </c>
      <c r="I421" s="580">
        <v>93.706120776172554</v>
      </c>
      <c r="J421" s="581">
        <v>90.755137472418312</v>
      </c>
      <c r="K421" s="583">
        <v>89.774032260149639</v>
      </c>
      <c r="L421" s="584">
        <v>95.213502281226326</v>
      </c>
      <c r="M421" s="584">
        <v>92.195156488650497</v>
      </c>
      <c r="N421" s="687">
        <v>105.7056577596813</v>
      </c>
      <c r="O421" s="584">
        <v>112.23210270667998</v>
      </c>
      <c r="P421" s="584">
        <v>108.71030827172386</v>
      </c>
    </row>
    <row r="422" spans="1:32">
      <c r="A422" s="16">
        <v>42766</v>
      </c>
      <c r="B422" s="573">
        <v>87.893605202668809</v>
      </c>
      <c r="C422" s="574">
        <v>94.340175757631144</v>
      </c>
      <c r="D422" s="575">
        <v>91.577931873330925</v>
      </c>
      <c r="E422" s="576">
        <v>87.495071391924967</v>
      </c>
      <c r="F422" s="574">
        <v>93.861620352861891</v>
      </c>
      <c r="G422" s="575">
        <v>91.10031101511737</v>
      </c>
      <c r="H422" s="576">
        <v>88.138668878560196</v>
      </c>
      <c r="I422" s="574">
        <v>94.608953042418719</v>
      </c>
      <c r="J422" s="575">
        <v>91.840318327200805</v>
      </c>
      <c r="K422" s="577">
        <v>90.719570101707589</v>
      </c>
      <c r="L422" s="578">
        <v>97.303072497795696</v>
      </c>
      <c r="M422" s="578">
        <v>94.435221609536285</v>
      </c>
      <c r="N422" s="686">
        <v>93.651253156885332</v>
      </c>
      <c r="O422" s="578">
        <v>100.50761833181983</v>
      </c>
      <c r="P422" s="578">
        <v>97.555431801220777</v>
      </c>
    </row>
    <row r="423" spans="1:32">
      <c r="A423" s="16">
        <v>42794</v>
      </c>
      <c r="B423" s="579">
        <v>87.393669805713458</v>
      </c>
      <c r="C423" s="580">
        <v>96.22006487436353</v>
      </c>
      <c r="D423" s="581">
        <v>93.760102810341436</v>
      </c>
      <c r="E423" s="582">
        <v>89.933035012827261</v>
      </c>
      <c r="F423" s="580">
        <v>98.96234413705109</v>
      </c>
      <c r="G423" s="581">
        <v>96.418432182239528</v>
      </c>
      <c r="H423" s="582">
        <v>87.268946258275406</v>
      </c>
      <c r="I423" s="580">
        <v>96.088573904682079</v>
      </c>
      <c r="J423" s="581">
        <v>93.633481277245778</v>
      </c>
      <c r="K423" s="583">
        <v>91.610944653874697</v>
      </c>
      <c r="L423" s="584">
        <v>100.79040688908229</v>
      </c>
      <c r="M423" s="584">
        <v>98.193994473487336</v>
      </c>
      <c r="N423" s="687">
        <v>91.937451170063127</v>
      </c>
      <c r="O423" s="584">
        <v>101.2577012231594</v>
      </c>
      <c r="P423" s="584">
        <v>98.661969878747513</v>
      </c>
    </row>
    <row r="424" spans="1:32">
      <c r="A424" s="16">
        <v>42825</v>
      </c>
      <c r="B424" s="573">
        <v>86.482991729609751</v>
      </c>
      <c r="C424" s="574">
        <v>94.725531983894413</v>
      </c>
      <c r="D424" s="575">
        <v>92.246468742204996</v>
      </c>
      <c r="E424" s="576">
        <v>88.774597288054537</v>
      </c>
      <c r="F424" s="574">
        <v>97.182958062021086</v>
      </c>
      <c r="G424" s="575">
        <v>94.625998007519314</v>
      </c>
      <c r="H424" s="576">
        <v>86.387338653718459</v>
      </c>
      <c r="I424" s="574">
        <v>94.626502822292849</v>
      </c>
      <c r="J424" s="575">
        <v>92.151515149362083</v>
      </c>
      <c r="K424" s="577">
        <v>91.822782163638877</v>
      </c>
      <c r="L424" s="578">
        <v>100.50159717980026</v>
      </c>
      <c r="M424" s="578">
        <v>97.851831775582781</v>
      </c>
      <c r="N424" s="686">
        <v>90.338595363566526</v>
      </c>
      <c r="O424" s="578">
        <v>98.983988682608697</v>
      </c>
      <c r="P424" s="578">
        <v>96.380043614305606</v>
      </c>
    </row>
    <row r="425" spans="1:32">
      <c r="A425" s="16">
        <v>42855</v>
      </c>
      <c r="B425" s="579">
        <v>83.481856162441915</v>
      </c>
      <c r="C425" s="580">
        <v>90.089274646982702</v>
      </c>
      <c r="D425" s="581">
        <v>88.071118581069356</v>
      </c>
      <c r="E425" s="582">
        <v>88.544696270290828</v>
      </c>
      <c r="F425" s="580">
        <v>95.501149951678471</v>
      </c>
      <c r="G425" s="581">
        <v>93.348358412805823</v>
      </c>
      <c r="H425" s="582">
        <v>83.03178002604686</v>
      </c>
      <c r="I425" s="580">
        <v>89.609011960248779</v>
      </c>
      <c r="J425" s="581">
        <v>87.603025244661964</v>
      </c>
      <c r="K425" s="583">
        <v>91.278574711141076</v>
      </c>
      <c r="L425" s="584">
        <v>98.431932507591256</v>
      </c>
      <c r="M425" s="584">
        <v>96.207678016646554</v>
      </c>
      <c r="N425" s="687">
        <v>93.449096424498165</v>
      </c>
      <c r="O425" s="584">
        <v>100.87274052640521</v>
      </c>
      <c r="P425" s="584">
        <v>98.604144653157888</v>
      </c>
    </row>
    <row r="426" spans="1:32">
      <c r="A426" s="16">
        <v>42886</v>
      </c>
      <c r="B426" s="573">
        <v>81.230712597100435</v>
      </c>
      <c r="C426" s="574">
        <v>85.508815621148131</v>
      </c>
      <c r="D426" s="575">
        <v>84.485312255872088</v>
      </c>
      <c r="E426" s="576">
        <v>91.112742720719311</v>
      </c>
      <c r="F426" s="574">
        <v>95.859421379296464</v>
      </c>
      <c r="G426" s="575">
        <v>94.698431883062099</v>
      </c>
      <c r="H426" s="576">
        <v>80.170879255944072</v>
      </c>
      <c r="I426" s="574">
        <v>84.39828496740644</v>
      </c>
      <c r="J426" s="575">
        <v>83.389416954442765</v>
      </c>
      <c r="K426" s="577">
        <v>91.526344227451347</v>
      </c>
      <c r="L426" s="578">
        <v>96.277080455180922</v>
      </c>
      <c r="M426" s="578">
        <v>95.105697242326499</v>
      </c>
      <c r="N426" s="686">
        <v>76.895977133709152</v>
      </c>
      <c r="O426" s="578">
        <v>80.992169524976148</v>
      </c>
      <c r="P426" s="578">
        <v>80.00303060609069</v>
      </c>
    </row>
    <row r="427" spans="1:32">
      <c r="A427" s="16">
        <v>42916</v>
      </c>
      <c r="B427" s="579">
        <v>77.960803158151251</v>
      </c>
      <c r="C427" s="580">
        <v>82.896702285173689</v>
      </c>
      <c r="D427" s="581">
        <v>82.441312575614717</v>
      </c>
      <c r="E427" s="582">
        <v>90.393666904502581</v>
      </c>
      <c r="F427" s="580">
        <v>96.064739403485859</v>
      </c>
      <c r="G427" s="581">
        <v>95.523299323223483</v>
      </c>
      <c r="H427" s="582">
        <v>76.573608473976904</v>
      </c>
      <c r="I427" s="580">
        <v>81.426620413722489</v>
      </c>
      <c r="J427" s="581">
        <v>80.980610534988926</v>
      </c>
      <c r="K427" s="583">
        <v>89.94286722150197</v>
      </c>
      <c r="L427" s="584">
        <v>95.568296705039685</v>
      </c>
      <c r="M427" s="584">
        <v>95.024323949507689</v>
      </c>
      <c r="N427" s="687">
        <v>69.158970445540277</v>
      </c>
      <c r="O427" s="584">
        <v>73.563727723594809</v>
      </c>
      <c r="P427" s="584">
        <v>73.159757799922019</v>
      </c>
    </row>
    <row r="428" spans="1:32">
      <c r="A428" s="16">
        <v>42947</v>
      </c>
      <c r="B428" s="573">
        <v>77.068281662477233</v>
      </c>
      <c r="C428" s="574">
        <v>83.827053633342061</v>
      </c>
      <c r="D428" s="575">
        <v>84.026897721993052</v>
      </c>
      <c r="E428" s="576">
        <v>89.847596621070409</v>
      </c>
      <c r="F428" s="574">
        <v>97.674241043768461</v>
      </c>
      <c r="G428" s="575">
        <v>97.893044430354465</v>
      </c>
      <c r="H428" s="576">
        <v>75.635630053736236</v>
      </c>
      <c r="I428" s="574">
        <v>82.273751710517089</v>
      </c>
      <c r="J428" s="575">
        <v>82.471220717763387</v>
      </c>
      <c r="K428" s="577">
        <v>90.648620612457876</v>
      </c>
      <c r="L428" s="578">
        <v>98.527143939380323</v>
      </c>
      <c r="M428" s="578">
        <v>98.742318643076331</v>
      </c>
      <c r="N428" s="686">
        <v>77.00109567417222</v>
      </c>
      <c r="O428" s="578">
        <v>83.808221555057074</v>
      </c>
      <c r="P428" s="578">
        <v>84.023256119147277</v>
      </c>
    </row>
    <row r="429" spans="1:32">
      <c r="A429" s="16">
        <v>42978</v>
      </c>
      <c r="B429" s="579">
        <v>78.986027772780417</v>
      </c>
      <c r="C429" s="580">
        <v>86.277427473959406</v>
      </c>
      <c r="D429" s="581">
        <v>87.505174013156221</v>
      </c>
      <c r="E429" s="582">
        <v>85.062292171009304</v>
      </c>
      <c r="F429" s="580">
        <v>92.864355763343312</v>
      </c>
      <c r="G429" s="581">
        <v>94.172317368708477</v>
      </c>
      <c r="H429" s="582">
        <v>78.304835549764988</v>
      </c>
      <c r="I429" s="580">
        <v>85.538541801789904</v>
      </c>
      <c r="J429" s="581">
        <v>86.757170849748135</v>
      </c>
      <c r="K429" s="583">
        <v>95.947905846896589</v>
      </c>
      <c r="L429" s="584">
        <v>104.72939196209255</v>
      </c>
      <c r="M429" s="584">
        <v>106.19851082459961</v>
      </c>
      <c r="N429" s="687">
        <v>86.201330015505391</v>
      </c>
      <c r="O429" s="584">
        <v>94.219777530846798</v>
      </c>
      <c r="P429" s="584">
        <v>95.577875929657324</v>
      </c>
    </row>
    <row r="430" spans="1:32">
      <c r="A430" s="16">
        <v>43008</v>
      </c>
      <c r="B430" s="573">
        <v>80.105338710232587</v>
      </c>
      <c r="C430" s="574">
        <v>87.52023998537085</v>
      </c>
      <c r="D430" s="575">
        <v>89.351754826670032</v>
      </c>
      <c r="E430" s="576">
        <v>84.858783203709294</v>
      </c>
      <c r="F430" s="574">
        <v>92.663541382030758</v>
      </c>
      <c r="G430" s="575">
        <v>94.589110659666503</v>
      </c>
      <c r="H430" s="576">
        <v>79.572443956272309</v>
      </c>
      <c r="I430" s="574">
        <v>86.943292500491395</v>
      </c>
      <c r="J430" s="575">
        <v>88.764163031795434</v>
      </c>
      <c r="K430" s="577">
        <v>97.764454694893303</v>
      </c>
      <c r="L430" s="578">
        <v>106.73680263394256</v>
      </c>
      <c r="M430" s="578">
        <v>108.94870558968226</v>
      </c>
      <c r="N430" s="686">
        <v>82.431056974911058</v>
      </c>
      <c r="O430" s="578">
        <v>90.119568052183567</v>
      </c>
      <c r="P430" s="578">
        <v>92.022164161013578</v>
      </c>
      <c r="T430" s="247"/>
      <c r="U430" s="247"/>
      <c r="V430" s="247"/>
      <c r="W430" s="247"/>
      <c r="X430" s="247"/>
      <c r="Y430" s="247"/>
      <c r="Z430" s="247"/>
      <c r="AA430" s="247"/>
      <c r="AB430" s="247"/>
      <c r="AC430" s="247"/>
      <c r="AD430" s="247"/>
      <c r="AE430" s="247"/>
      <c r="AF430" s="247"/>
    </row>
    <row r="431" spans="1:32">
      <c r="A431" s="16">
        <v>43039</v>
      </c>
      <c r="B431" s="579">
        <v>78.689207054795844</v>
      </c>
      <c r="C431" s="580">
        <v>84.631937257016332</v>
      </c>
      <c r="D431" s="581">
        <v>85.772403270190438</v>
      </c>
      <c r="E431" s="582">
        <v>87.609085119095582</v>
      </c>
      <c r="F431" s="580">
        <v>94.174497886795521</v>
      </c>
      <c r="G431" s="581">
        <v>95.429856743126109</v>
      </c>
      <c r="H431" s="582">
        <v>77.689225623866363</v>
      </c>
      <c r="I431" s="580">
        <v>83.561504877098585</v>
      </c>
      <c r="J431" s="581">
        <v>84.688909881345481</v>
      </c>
      <c r="K431" s="583">
        <v>103.02858541991759</v>
      </c>
      <c r="L431" s="584">
        <v>110.72941826957081</v>
      </c>
      <c r="M431" s="584">
        <v>112.19916225573152</v>
      </c>
      <c r="N431" s="687">
        <v>74.681004276021454</v>
      </c>
      <c r="O431" s="584">
        <v>80.37305138527357</v>
      </c>
      <c r="P431" s="584">
        <v>81.470898931520964</v>
      </c>
      <c r="T431" s="247"/>
      <c r="U431" s="247"/>
      <c r="V431" s="247"/>
      <c r="W431" s="247"/>
      <c r="X431" s="247"/>
      <c r="Y431" s="247"/>
      <c r="Z431" s="247"/>
      <c r="AA431" s="247"/>
      <c r="AB431" s="247"/>
      <c r="AC431" s="247"/>
      <c r="AD431" s="247"/>
      <c r="AE431" s="247"/>
      <c r="AF431" s="247"/>
    </row>
    <row r="432" spans="1:32">
      <c r="A432" s="16">
        <v>43069</v>
      </c>
      <c r="B432" s="573">
        <v>81.279162118327903</v>
      </c>
      <c r="C432" s="574">
        <v>85.673713292800471</v>
      </c>
      <c r="D432" s="575">
        <v>86.715810028978566</v>
      </c>
      <c r="E432" s="576">
        <v>91.415166308719805</v>
      </c>
      <c r="F432" s="574">
        <v>96.305631063960604</v>
      </c>
      <c r="G432" s="575">
        <v>97.463058955740848</v>
      </c>
      <c r="H432" s="576">
        <v>80.142844345691302</v>
      </c>
      <c r="I432" s="574">
        <v>84.481082773130822</v>
      </c>
      <c r="J432" s="575">
        <v>85.510049815579563</v>
      </c>
      <c r="K432" s="577">
        <v>104.80705061050661</v>
      </c>
      <c r="L432" s="578">
        <v>110.39389084998132</v>
      </c>
      <c r="M432" s="578">
        <v>111.71436835827772</v>
      </c>
      <c r="N432" s="686">
        <v>79.253470072992215</v>
      </c>
      <c r="O432" s="578">
        <v>83.592603848385167</v>
      </c>
      <c r="P432" s="578">
        <v>84.624731332582101</v>
      </c>
      <c r="T432" s="247"/>
      <c r="U432" s="247"/>
      <c r="V432" s="247"/>
      <c r="W432" s="247"/>
      <c r="X432" s="247"/>
      <c r="Y432" s="247"/>
      <c r="Z432" s="247"/>
      <c r="AA432" s="247"/>
      <c r="AB432" s="247"/>
      <c r="AC432" s="247"/>
      <c r="AD432" s="247"/>
      <c r="AE432" s="247"/>
      <c r="AF432" s="247"/>
    </row>
    <row r="433" spans="1:32">
      <c r="A433" s="16">
        <v>43100</v>
      </c>
      <c r="B433" s="579">
        <v>83.463513305496789</v>
      </c>
      <c r="C433" s="580">
        <v>87.781683969562437</v>
      </c>
      <c r="D433" s="581">
        <v>89.277850367221461</v>
      </c>
      <c r="E433" s="582">
        <v>92.745643491008749</v>
      </c>
      <c r="F433" s="580">
        <v>97.491290642896786</v>
      </c>
      <c r="G433" s="581">
        <v>99.138718000360285</v>
      </c>
      <c r="H433" s="582">
        <v>82.42292084917932</v>
      </c>
      <c r="I433" s="580">
        <v>86.692513276010018</v>
      </c>
      <c r="J433" s="581">
        <v>88.171535444895113</v>
      </c>
      <c r="K433" s="583">
        <v>104.31638797489182</v>
      </c>
      <c r="L433" s="584">
        <v>109.63417554568713</v>
      </c>
      <c r="M433" s="584">
        <v>111.48054190919783</v>
      </c>
      <c r="N433" s="687">
        <v>90.503496290665993</v>
      </c>
      <c r="O433" s="584">
        <v>95.247546426153889</v>
      </c>
      <c r="P433" s="584">
        <v>96.888530436020659</v>
      </c>
      <c r="T433" s="247"/>
      <c r="U433" s="247"/>
      <c r="V433" s="247"/>
      <c r="W433" s="247"/>
      <c r="X433" s="247"/>
      <c r="Y433" s="247"/>
      <c r="Z433" s="247"/>
      <c r="AA433" s="247"/>
      <c r="AB433" s="247"/>
      <c r="AC433" s="247"/>
      <c r="AD433" s="247"/>
      <c r="AE433" s="247"/>
      <c r="AF433" s="247"/>
    </row>
    <row r="434" spans="1:32">
      <c r="A434" s="16">
        <v>43131</v>
      </c>
      <c r="B434" s="573">
        <v>84.332844116393204</v>
      </c>
      <c r="C434" s="574">
        <v>95.483559585421304</v>
      </c>
      <c r="D434" s="575">
        <v>99.830557362559205</v>
      </c>
      <c r="E434" s="576">
        <v>88.078348951465102</v>
      </c>
      <c r="F434" s="574">
        <v>99.738102122126506</v>
      </c>
      <c r="G434" s="575">
        <v>104.279268467607</v>
      </c>
      <c r="H434" s="576">
        <v>83.942259423670095</v>
      </c>
      <c r="I434" s="574">
        <v>95.039960196852803</v>
      </c>
      <c r="J434" s="575">
        <v>99.366715362511002</v>
      </c>
      <c r="K434" s="577">
        <v>108.26049614233099</v>
      </c>
      <c r="L434" s="578">
        <v>122.443478843043</v>
      </c>
      <c r="M434" s="578">
        <v>128.00865742408899</v>
      </c>
      <c r="N434" s="686">
        <v>81.117041264735505</v>
      </c>
      <c r="O434" s="578">
        <v>91.840867701642196</v>
      </c>
      <c r="P434" s="578">
        <v>96.019547517443101</v>
      </c>
      <c r="T434" s="247"/>
      <c r="U434" s="247"/>
      <c r="V434" s="247"/>
      <c r="W434" s="247"/>
      <c r="X434" s="247"/>
      <c r="Y434" s="247"/>
      <c r="Z434" s="247"/>
      <c r="AA434" s="247"/>
      <c r="AB434" s="247"/>
      <c r="AC434" s="247"/>
      <c r="AD434" s="247"/>
      <c r="AE434" s="247"/>
      <c r="AF434" s="247"/>
    </row>
    <row r="435" spans="1:32">
      <c r="A435" s="16">
        <v>43159</v>
      </c>
      <c r="B435" s="579">
        <v>87.904466982487804</v>
      </c>
      <c r="C435" s="580">
        <v>97.604093289779399</v>
      </c>
      <c r="D435" s="581">
        <v>103.230093080515</v>
      </c>
      <c r="E435" s="582">
        <v>89.364297214062304</v>
      </c>
      <c r="F435" s="580">
        <v>99.238733197784398</v>
      </c>
      <c r="G435" s="581">
        <v>104.959434082454</v>
      </c>
      <c r="H435" s="582">
        <v>87.780215204405593</v>
      </c>
      <c r="I435" s="580">
        <v>97.464725716837407</v>
      </c>
      <c r="J435" s="581">
        <v>103.08264320715099</v>
      </c>
      <c r="K435" s="583">
        <v>109.230080964142</v>
      </c>
      <c r="L435" s="584">
        <v>121.15271062644101</v>
      </c>
      <c r="M435" s="584">
        <v>128.12686809624699</v>
      </c>
      <c r="N435" s="687">
        <v>84.922057785887503</v>
      </c>
      <c r="O435" s="584">
        <v>94.290864736606807</v>
      </c>
      <c r="P435" s="584">
        <v>99.723310707243598</v>
      </c>
    </row>
    <row r="436" spans="1:32">
      <c r="A436" s="16">
        <v>43190</v>
      </c>
      <c r="B436" s="573">
        <v>87.265541836233794</v>
      </c>
      <c r="C436" s="574">
        <v>95.416216437232904</v>
      </c>
      <c r="D436" s="575">
        <v>100.940369257417</v>
      </c>
      <c r="E436" s="576">
        <v>89.548013407527606</v>
      </c>
      <c r="F436" s="574">
        <v>97.925418988752099</v>
      </c>
      <c r="G436" s="575">
        <v>103.59531545991</v>
      </c>
      <c r="H436" s="576">
        <v>87.045762401740404</v>
      </c>
      <c r="I436" s="574">
        <v>95.174536941775102</v>
      </c>
      <c r="J436" s="575">
        <v>100.684649778322</v>
      </c>
      <c r="K436" s="577">
        <v>105.49239163639</v>
      </c>
      <c r="L436" s="578">
        <v>115.22171456650599</v>
      </c>
      <c r="M436" s="578">
        <v>121.883753117925</v>
      </c>
      <c r="N436" s="686">
        <v>84.040721434599902</v>
      </c>
      <c r="O436" s="578">
        <v>91.888507307719195</v>
      </c>
      <c r="P436" s="578">
        <v>97.205911352678299</v>
      </c>
    </row>
    <row r="437" spans="1:32">
      <c r="A437" s="16">
        <v>43220</v>
      </c>
      <c r="B437" s="579">
        <v>85.680452225398</v>
      </c>
      <c r="C437" s="580">
        <v>92.915632327721795</v>
      </c>
      <c r="D437" s="581">
        <v>98.218155073179304</v>
      </c>
      <c r="E437" s="582">
        <v>89.019268528351503</v>
      </c>
      <c r="F437" s="580">
        <v>96.549746781684505</v>
      </c>
      <c r="G437" s="581">
        <v>102.060127248459</v>
      </c>
      <c r="H437" s="582">
        <v>85.3376180144177</v>
      </c>
      <c r="I437" s="580">
        <v>92.542513382199601</v>
      </c>
      <c r="J437" s="581">
        <v>97.823696411148106</v>
      </c>
      <c r="K437" s="583">
        <v>109.791872767451</v>
      </c>
      <c r="L437" s="584">
        <v>118.935368672018</v>
      </c>
      <c r="M437" s="584">
        <v>125.713754214223</v>
      </c>
      <c r="N437" s="687">
        <v>80.020576951288703</v>
      </c>
      <c r="O437" s="584">
        <v>86.7762219648057</v>
      </c>
      <c r="P437" s="584">
        <v>91.726010591896099</v>
      </c>
    </row>
    <row r="438" spans="1:32">
      <c r="A438" s="16">
        <v>43251</v>
      </c>
      <c r="B438" s="573">
        <v>88.228417778326502</v>
      </c>
      <c r="C438" s="574">
        <v>95.379511927055503</v>
      </c>
      <c r="D438" s="575">
        <v>98.974289346009598</v>
      </c>
      <c r="E438" s="576">
        <v>91.369468470600097</v>
      </c>
      <c r="F438" s="574">
        <v>98.788816879695204</v>
      </c>
      <c r="G438" s="575">
        <v>102.512555887716</v>
      </c>
      <c r="H438" s="576">
        <v>87.909766048498895</v>
      </c>
      <c r="I438" s="574">
        <v>95.033662374772703</v>
      </c>
      <c r="J438" s="575">
        <v>98.615358114124007</v>
      </c>
      <c r="K438" s="577">
        <v>112.857895294863</v>
      </c>
      <c r="L438" s="578">
        <v>121.87435908471799</v>
      </c>
      <c r="M438" s="578">
        <v>126.458617259137</v>
      </c>
      <c r="N438" s="686">
        <v>80.2317911783325</v>
      </c>
      <c r="O438" s="578">
        <v>86.733149234759395</v>
      </c>
      <c r="P438" s="578">
        <v>89.999727399961898</v>
      </c>
    </row>
    <row r="439" spans="1:32">
      <c r="A439" s="16">
        <v>43281</v>
      </c>
      <c r="B439" s="579">
        <v>88.611472751183896</v>
      </c>
      <c r="C439" s="580">
        <v>96.130427404646895</v>
      </c>
      <c r="D439" s="581">
        <v>99.035395952344004</v>
      </c>
      <c r="E439" s="582">
        <v>92.834684608318</v>
      </c>
      <c r="F439" s="580">
        <v>100.72592533890401</v>
      </c>
      <c r="G439" s="581">
        <v>103.77023874258801</v>
      </c>
      <c r="H439" s="582">
        <v>88.167779185357801</v>
      </c>
      <c r="I439" s="580">
        <v>95.647705780514499</v>
      </c>
      <c r="J439" s="581">
        <v>98.538040097381099</v>
      </c>
      <c r="K439" s="583">
        <v>113.70836173767501</v>
      </c>
      <c r="L439" s="584">
        <v>123.224514078403</v>
      </c>
      <c r="M439" s="584">
        <v>126.93911637286</v>
      </c>
      <c r="N439" s="687">
        <v>79.859532761395002</v>
      </c>
      <c r="O439" s="584">
        <v>86.634267226639096</v>
      </c>
      <c r="P439" s="584">
        <v>89.249965596142104</v>
      </c>
    </row>
    <row r="440" spans="1:32">
      <c r="A440" s="16">
        <v>43312</v>
      </c>
      <c r="B440" s="576">
        <v>90.056162198443104</v>
      </c>
      <c r="C440" s="574">
        <v>97.117087197239798</v>
      </c>
      <c r="D440" s="575">
        <v>99.3965317454455</v>
      </c>
      <c r="E440" s="576">
        <v>94.0438875975114</v>
      </c>
      <c r="F440" s="574">
        <v>101.431504607154</v>
      </c>
      <c r="G440" s="575">
        <v>103.812686810126</v>
      </c>
      <c r="H440" s="576">
        <v>89.640455560364401</v>
      </c>
      <c r="I440" s="574">
        <v>96.667392743796299</v>
      </c>
      <c r="J440" s="575">
        <v>98.936235430468003</v>
      </c>
      <c r="K440" s="577">
        <v>104.395338433403</v>
      </c>
      <c r="L440" s="578">
        <v>112.459749765148</v>
      </c>
      <c r="M440" s="578">
        <v>115.09103162484701</v>
      </c>
      <c r="N440" s="686">
        <v>83.0941244304435</v>
      </c>
      <c r="O440" s="578">
        <v>89.607539414463105</v>
      </c>
      <c r="P440" s="578">
        <v>91.708357736471498</v>
      </c>
    </row>
    <row r="441" spans="1:32">
      <c r="A441" s="16">
        <v>43343</v>
      </c>
      <c r="B441" s="582">
        <v>91.486231314652997</v>
      </c>
      <c r="C441" s="580">
        <v>98.3006337453741</v>
      </c>
      <c r="D441" s="581">
        <v>99.910285630615306</v>
      </c>
      <c r="E441" s="582">
        <v>96.536296473711204</v>
      </c>
      <c r="F441" s="580">
        <v>103.741206531174</v>
      </c>
      <c r="G441" s="581">
        <v>105.44042760533399</v>
      </c>
      <c r="H441" s="582">
        <v>90.959779415572598</v>
      </c>
      <c r="I441" s="580">
        <v>97.733559405346696</v>
      </c>
      <c r="J441" s="581">
        <v>99.333878340793504</v>
      </c>
      <c r="K441" s="583">
        <v>102.283664491539</v>
      </c>
      <c r="L441" s="584">
        <v>109.784404983801</v>
      </c>
      <c r="M441" s="584">
        <v>111.574082134557</v>
      </c>
      <c r="N441" s="687">
        <v>84.021797518471203</v>
      </c>
      <c r="O441" s="584">
        <v>90.278549244959706</v>
      </c>
      <c r="P441" s="584">
        <v>91.754471114741705</v>
      </c>
    </row>
    <row r="442" spans="1:32">
      <c r="A442" s="16">
        <v>43373</v>
      </c>
      <c r="B442" s="576">
        <v>95.337091286479193</v>
      </c>
      <c r="C442" s="574">
        <v>100.337348953035</v>
      </c>
      <c r="D442" s="575">
        <v>102.34371810164301</v>
      </c>
      <c r="E442" s="576">
        <v>96.329564697374195</v>
      </c>
      <c r="F442" s="574">
        <v>101.39590210116801</v>
      </c>
      <c r="G442" s="575">
        <v>103.42391009961</v>
      </c>
      <c r="H442" s="576">
        <v>95.233629351732503</v>
      </c>
      <c r="I442" s="574">
        <v>100.227015289376</v>
      </c>
      <c r="J442" s="575">
        <v>102.2311295741</v>
      </c>
      <c r="K442" s="577">
        <v>102.212751386177</v>
      </c>
      <c r="L442" s="578">
        <v>107.458208724393</v>
      </c>
      <c r="M442" s="578">
        <v>109.599091164245</v>
      </c>
      <c r="N442" s="686">
        <v>86.138677518778294</v>
      </c>
      <c r="O442" s="578">
        <v>90.654829907918895</v>
      </c>
      <c r="P442" s="578">
        <v>92.465196682593103</v>
      </c>
    </row>
    <row r="443" spans="1:32">
      <c r="A443" s="16">
        <v>43404</v>
      </c>
      <c r="B443" s="582">
        <v>98.123086606570197</v>
      </c>
      <c r="C443" s="580">
        <v>102.555948859746</v>
      </c>
      <c r="D443" s="581">
        <v>103.945778493882</v>
      </c>
      <c r="E443" s="582">
        <v>96.175943963200496</v>
      </c>
      <c r="F443" s="580">
        <v>100.534748215059</v>
      </c>
      <c r="G443" s="581">
        <v>101.897651518112</v>
      </c>
      <c r="H443" s="582">
        <v>98.3260695206706</v>
      </c>
      <c r="I443" s="580">
        <v>102.76661988038499</v>
      </c>
      <c r="J443" s="581">
        <v>104.159254987743</v>
      </c>
      <c r="K443" s="583">
        <v>105.47596990800101</v>
      </c>
      <c r="L443" s="584">
        <v>110.122731950489</v>
      </c>
      <c r="M443" s="584">
        <v>111.60708458759299</v>
      </c>
      <c r="N443" s="687">
        <v>90.415095971839193</v>
      </c>
      <c r="O443" s="584">
        <v>94.498002086243801</v>
      </c>
      <c r="P443" s="584">
        <v>95.776157121803905</v>
      </c>
    </row>
    <row r="444" spans="1:32">
      <c r="A444" s="16">
        <v>43434</v>
      </c>
      <c r="B444" s="576">
        <v>96.244933491616905</v>
      </c>
      <c r="C444" s="574">
        <v>103.08113432782601</v>
      </c>
      <c r="D444" s="575">
        <v>103.940948049592</v>
      </c>
      <c r="E444" s="576">
        <v>93.271780897139493</v>
      </c>
      <c r="F444" s="574">
        <v>99.910621920239294</v>
      </c>
      <c r="G444" s="575">
        <v>100.744449518491</v>
      </c>
      <c r="H444" s="576">
        <v>96.554874409272401</v>
      </c>
      <c r="I444" s="574">
        <v>103.411598839904</v>
      </c>
      <c r="J444" s="575">
        <v>104.274119433555</v>
      </c>
      <c r="K444" s="577">
        <v>100.051621619503</v>
      </c>
      <c r="L444" s="578">
        <v>107.043237938131</v>
      </c>
      <c r="M444" s="578">
        <v>107.928343093365</v>
      </c>
      <c r="N444" s="686">
        <v>89.848018085857106</v>
      </c>
      <c r="O444" s="578">
        <v>96.228083610472595</v>
      </c>
      <c r="P444" s="578">
        <v>97.028228786280707</v>
      </c>
    </row>
    <row r="445" spans="1:32">
      <c r="A445" s="16">
        <v>43465</v>
      </c>
      <c r="B445" s="582">
        <v>95.126418523501101</v>
      </c>
      <c r="C445" s="580">
        <v>100.822244622528</v>
      </c>
      <c r="D445" s="581">
        <v>101.71993121173701</v>
      </c>
      <c r="E445" s="582">
        <v>95.059236509375907</v>
      </c>
      <c r="F445" s="580">
        <v>100.76497902074701</v>
      </c>
      <c r="G445" s="581">
        <v>101.662619475485</v>
      </c>
      <c r="H445" s="582">
        <v>95.133422017081102</v>
      </c>
      <c r="I445" s="580">
        <v>100.828213452395</v>
      </c>
      <c r="J445" s="581">
        <v>101.72590482014</v>
      </c>
      <c r="K445" s="583">
        <v>99.772448961275202</v>
      </c>
      <c r="L445" s="584">
        <v>105.63300670007099</v>
      </c>
      <c r="M445" s="584">
        <v>106.565867573738</v>
      </c>
      <c r="N445" s="687">
        <v>88.657317595390197</v>
      </c>
      <c r="O445" s="584">
        <v>93.964071385084495</v>
      </c>
      <c r="P445" s="584">
        <v>94.798246440426297</v>
      </c>
    </row>
    <row r="446" spans="1:32">
      <c r="A446" s="16">
        <v>43496</v>
      </c>
      <c r="B446" s="576">
        <v>98.665269029084698</v>
      </c>
      <c r="C446" s="574">
        <v>103.439544726656</v>
      </c>
      <c r="D446" s="575">
        <v>104.964072617865</v>
      </c>
      <c r="E446" s="576">
        <v>95.789184023584795</v>
      </c>
      <c r="F446" s="574">
        <v>100.43818377393301</v>
      </c>
      <c r="G446" s="575">
        <v>101.918941474287</v>
      </c>
      <c r="H446" s="576">
        <v>98.965090984915506</v>
      </c>
      <c r="I446" s="574">
        <v>103.752378475686</v>
      </c>
      <c r="J446" s="575">
        <v>105.28146696282801</v>
      </c>
      <c r="K446" s="577">
        <v>98.881283626591198</v>
      </c>
      <c r="L446" s="578">
        <v>103.554788227004</v>
      </c>
      <c r="M446" s="578">
        <v>105.07346279233199</v>
      </c>
      <c r="N446" s="686">
        <v>93.470485267526499</v>
      </c>
      <c r="O446" s="578">
        <v>97.991592668449499</v>
      </c>
      <c r="P446" s="578">
        <v>99.433258308032606</v>
      </c>
    </row>
    <row r="447" spans="1:32">
      <c r="A447" s="16">
        <v>43524</v>
      </c>
      <c r="B447" s="582">
        <v>101.555104347127</v>
      </c>
      <c r="C447" s="580">
        <v>106.674695236999</v>
      </c>
      <c r="D447" s="581">
        <v>108.126097927419</v>
      </c>
      <c r="E447" s="582">
        <v>95.621751803785401</v>
      </c>
      <c r="F447" s="580">
        <v>100.45612712353901</v>
      </c>
      <c r="G447" s="581">
        <v>101.82338521854599</v>
      </c>
      <c r="H447" s="582">
        <v>102.173635913745</v>
      </c>
      <c r="I447" s="580">
        <v>107.322860521739</v>
      </c>
      <c r="J447" s="581">
        <v>108.78303034753699</v>
      </c>
      <c r="K447" s="583">
        <v>102.97933038503101</v>
      </c>
      <c r="L447" s="584">
        <v>108.054662421728</v>
      </c>
      <c r="M447" s="584">
        <v>109.51696958710301</v>
      </c>
      <c r="N447" s="687">
        <v>98.406039952264095</v>
      </c>
      <c r="O447" s="584">
        <v>103.364981759402</v>
      </c>
      <c r="P447" s="584">
        <v>104.768646636231</v>
      </c>
    </row>
    <row r="448" spans="1:32">
      <c r="A448" s="16">
        <v>43555</v>
      </c>
      <c r="B448" s="576">
        <v>103.24111447051</v>
      </c>
      <c r="C448" s="574">
        <v>107.48206327080599</v>
      </c>
      <c r="D448" s="575">
        <v>108.95006689463899</v>
      </c>
      <c r="E448" s="576">
        <v>94.883744981853894</v>
      </c>
      <c r="F448" s="574">
        <v>98.795055449405595</v>
      </c>
      <c r="G448" s="575">
        <v>100.144867636382</v>
      </c>
      <c r="H448" s="576">
        <v>104.11234145472601</v>
      </c>
      <c r="I448" s="574">
        <v>108.387515586414</v>
      </c>
      <c r="J448" s="575">
        <v>109.867833755598</v>
      </c>
      <c r="K448" s="577">
        <v>105.806930943834</v>
      </c>
      <c r="L448" s="578">
        <v>110.035094646478</v>
      </c>
      <c r="M448" s="578">
        <v>111.529952031554</v>
      </c>
      <c r="N448" s="686">
        <v>102.634099312019</v>
      </c>
      <c r="O448" s="578">
        <v>106.848150499903</v>
      </c>
      <c r="P448" s="578">
        <v>108.304698461732</v>
      </c>
    </row>
    <row r="449" spans="1:16">
      <c r="A449" s="16">
        <v>43585</v>
      </c>
      <c r="B449" s="582">
        <v>100.70803506733699</v>
      </c>
      <c r="C449" s="580">
        <v>105.706607085836</v>
      </c>
      <c r="D449" s="581">
        <v>106.83360508855</v>
      </c>
      <c r="E449" s="582">
        <v>95.7090676152377</v>
      </c>
      <c r="F449" s="580">
        <v>100.47341811985</v>
      </c>
      <c r="G449" s="581">
        <v>101.545085333912</v>
      </c>
      <c r="H449" s="582">
        <v>101.229160206461</v>
      </c>
      <c r="I449" s="580">
        <v>106.25206567925299</v>
      </c>
      <c r="J449" s="581">
        <v>107.384828068516</v>
      </c>
      <c r="K449" s="583">
        <v>104.50433940958401</v>
      </c>
      <c r="L449" s="584">
        <v>109.573649961459</v>
      </c>
      <c r="M449" s="584">
        <v>110.733918046307</v>
      </c>
      <c r="N449" s="687">
        <v>103.979922802188</v>
      </c>
      <c r="O449" s="584">
        <v>109.138887992524</v>
      </c>
      <c r="P449" s="584">
        <v>110.299630353871</v>
      </c>
    </row>
    <row r="450" spans="1:16">
      <c r="A450" s="16">
        <v>43616</v>
      </c>
      <c r="B450" s="576">
        <v>104.70127207055199</v>
      </c>
      <c r="C450" s="574">
        <v>107.733939009274</v>
      </c>
      <c r="D450" s="576">
        <v>108.431528599107</v>
      </c>
      <c r="E450" s="573">
        <v>97.796734292928903</v>
      </c>
      <c r="F450" s="574">
        <v>100.643333852561</v>
      </c>
      <c r="G450" s="576">
        <v>101.295473026178</v>
      </c>
      <c r="H450" s="573">
        <v>105.42104635282701</v>
      </c>
      <c r="I450" s="574">
        <v>108.47299726617899</v>
      </c>
      <c r="J450" s="576">
        <v>109.17532043512399</v>
      </c>
      <c r="K450" s="585">
        <v>101.353631763255</v>
      </c>
      <c r="L450" s="578">
        <v>104.17744196344</v>
      </c>
      <c r="M450" s="578">
        <v>104.84446746146401</v>
      </c>
      <c r="N450" s="686">
        <v>109.373409415071</v>
      </c>
      <c r="O450" s="578">
        <v>112.539337452007</v>
      </c>
      <c r="P450" s="578">
        <v>113.26511681402999</v>
      </c>
    </row>
    <row r="451" spans="1:16">
      <c r="A451" s="16">
        <v>43646</v>
      </c>
      <c r="B451" s="583">
        <v>105.894796002951</v>
      </c>
      <c r="C451" s="584">
        <v>108.658638617723</v>
      </c>
      <c r="D451" s="583">
        <v>109.58148360975601</v>
      </c>
      <c r="E451" s="586">
        <v>99.779985415583596</v>
      </c>
      <c r="F451" s="584">
        <v>102.39839712423</v>
      </c>
      <c r="G451" s="583">
        <v>103.268544536175</v>
      </c>
      <c r="H451" s="586">
        <v>106.53224394566899</v>
      </c>
      <c r="I451" s="584">
        <v>109.311147545203</v>
      </c>
      <c r="J451" s="583">
        <v>110.23948192496201</v>
      </c>
      <c r="K451" s="586">
        <v>99.631649449678306</v>
      </c>
      <c r="L451" s="584">
        <v>102.12233941053699</v>
      </c>
      <c r="M451" s="584">
        <v>102.982269655203</v>
      </c>
      <c r="N451" s="687">
        <v>113.52174476345699</v>
      </c>
      <c r="O451" s="584">
        <v>116.482510361454</v>
      </c>
      <c r="P451" s="584">
        <v>117.468769695994</v>
      </c>
    </row>
    <row r="452" spans="1:16">
      <c r="A452" s="16">
        <v>43677</v>
      </c>
      <c r="B452" s="576">
        <v>107.729931279805</v>
      </c>
      <c r="C452" s="574">
        <v>111.453249858681</v>
      </c>
      <c r="D452" s="576">
        <v>112.18083131613</v>
      </c>
      <c r="E452" s="573">
        <v>99.043698309222506</v>
      </c>
      <c r="F452" s="574">
        <v>102.480983202852</v>
      </c>
      <c r="G452" s="576">
        <v>103.150463050444</v>
      </c>
      <c r="H452" s="573">
        <v>108.63544114932</v>
      </c>
      <c r="I452" s="574">
        <v>112.388434882891</v>
      </c>
      <c r="J452" s="576">
        <v>113.122067566829</v>
      </c>
      <c r="K452" s="573">
        <v>101.121767869227</v>
      </c>
      <c r="L452" s="574">
        <v>104.50445402120501</v>
      </c>
      <c r="M452" s="574">
        <v>105.17911340864801</v>
      </c>
      <c r="N452" s="575">
        <v>115.599339045336</v>
      </c>
      <c r="O452" s="574">
        <v>119.59244026215499</v>
      </c>
      <c r="P452" s="574">
        <v>120.370046164668</v>
      </c>
    </row>
    <row r="453" spans="1:16">
      <c r="A453" s="16">
        <v>43708</v>
      </c>
      <c r="B453" s="582">
        <v>105.50604829776699</v>
      </c>
      <c r="C453" s="580">
        <v>106.518685179173</v>
      </c>
      <c r="D453" s="582">
        <v>106.509685703267</v>
      </c>
      <c r="E453" s="579">
        <v>96.625353608172205</v>
      </c>
      <c r="F453" s="580">
        <v>97.566250979825199</v>
      </c>
      <c r="G453" s="582">
        <v>97.558452888301801</v>
      </c>
      <c r="H453" s="579">
        <v>106.431830131711</v>
      </c>
      <c r="I453" s="580">
        <v>107.451803053909</v>
      </c>
      <c r="J453" s="582">
        <v>107.442673657469</v>
      </c>
      <c r="K453" s="586">
        <v>103.30022298804199</v>
      </c>
      <c r="L453" s="584">
        <v>104.179793535123</v>
      </c>
      <c r="M453" s="584">
        <v>104.163505241626</v>
      </c>
      <c r="N453" s="687">
        <v>109.035914780932</v>
      </c>
      <c r="O453" s="584">
        <v>110.080409027399</v>
      </c>
      <c r="P453" s="584">
        <v>110.06826547550899</v>
      </c>
    </row>
    <row r="454" spans="1:16">
      <c r="A454" s="16">
        <v>43738</v>
      </c>
      <c r="B454" s="576">
        <v>101.39160802078599</v>
      </c>
      <c r="C454" s="574">
        <v>103.219795368395</v>
      </c>
      <c r="D454" s="576">
        <v>102.876415689182</v>
      </c>
      <c r="E454" s="573">
        <v>95.233005000522297</v>
      </c>
      <c r="F454" s="574">
        <v>96.963560035122001</v>
      </c>
      <c r="G454" s="576">
        <v>96.641433710543595</v>
      </c>
      <c r="H454" s="573">
        <v>102.033621173801</v>
      </c>
      <c r="I454" s="574">
        <v>103.871886731263</v>
      </c>
      <c r="J454" s="576">
        <v>103.526288528039</v>
      </c>
      <c r="K454" s="573">
        <v>105.602119396213</v>
      </c>
      <c r="L454" s="574">
        <v>107.39088234971101</v>
      </c>
      <c r="M454" s="574">
        <v>107.025934628326</v>
      </c>
      <c r="N454" s="575">
        <v>99.551015272536802</v>
      </c>
      <c r="O454" s="574">
        <v>101.34415349234401</v>
      </c>
      <c r="P454" s="574">
        <v>101.00440445319801</v>
      </c>
    </row>
    <row r="455" spans="1:16">
      <c r="A455" s="16">
        <v>43769</v>
      </c>
      <c r="B455" s="582">
        <v>97.831308442372602</v>
      </c>
      <c r="C455" s="580">
        <v>99.201722015499499</v>
      </c>
      <c r="D455" s="582">
        <v>99.057951647456505</v>
      </c>
      <c r="E455" s="579">
        <v>97.761778602777298</v>
      </c>
      <c r="F455" s="580">
        <v>99.1449331313746</v>
      </c>
      <c r="G455" s="582">
        <v>99.001696666751698</v>
      </c>
      <c r="H455" s="579">
        <v>97.838556688671304</v>
      </c>
      <c r="I455" s="580">
        <v>99.207641156783694</v>
      </c>
      <c r="J455" s="582">
        <v>99.063815110115399</v>
      </c>
      <c r="K455" s="586">
        <v>105.76789233845599</v>
      </c>
      <c r="L455" s="584">
        <v>107.134412514033</v>
      </c>
      <c r="M455" s="584">
        <v>106.971457275625</v>
      </c>
      <c r="N455" s="687">
        <v>95.476754056678004</v>
      </c>
      <c r="O455" s="584">
        <v>96.812406962983999</v>
      </c>
      <c r="P455" s="584">
        <v>96.669602307653506</v>
      </c>
    </row>
    <row r="456" spans="1:16">
      <c r="A456" s="16">
        <v>43799</v>
      </c>
      <c r="B456" s="576">
        <v>96.981713662764605</v>
      </c>
      <c r="C456" s="574">
        <v>98.557433864807294</v>
      </c>
      <c r="D456" s="576">
        <v>98.708544954800601</v>
      </c>
      <c r="E456" s="573">
        <v>102.104350089653</v>
      </c>
      <c r="F456" s="574">
        <v>103.777656623631</v>
      </c>
      <c r="G456" s="576">
        <v>103.937245623744</v>
      </c>
      <c r="H456" s="573">
        <v>96.4476964589674</v>
      </c>
      <c r="I456" s="574">
        <v>98.013326747357695</v>
      </c>
      <c r="J456" s="576">
        <v>98.1635569245379</v>
      </c>
      <c r="K456" s="573">
        <v>104.184769108274</v>
      </c>
      <c r="L456" s="574">
        <v>105.763925198908</v>
      </c>
      <c r="M456" s="574">
        <v>105.918472931509</v>
      </c>
      <c r="N456" s="575">
        <v>94.2167604498256</v>
      </c>
      <c r="O456" s="574">
        <v>95.745798139333601</v>
      </c>
      <c r="P456" s="574">
        <v>95.890121426415604</v>
      </c>
    </row>
    <row r="457" spans="1:16">
      <c r="A457" s="16">
        <v>43830</v>
      </c>
      <c r="B457" s="582">
        <v>96.156537224559699</v>
      </c>
      <c r="C457" s="580">
        <v>98.220770732632005</v>
      </c>
      <c r="D457" s="581">
        <v>98.599627866304303</v>
      </c>
      <c r="E457" s="582">
        <v>101.73128990552399</v>
      </c>
      <c r="F457" s="580">
        <v>103.929575807316</v>
      </c>
      <c r="G457" s="581">
        <v>104.33092885294199</v>
      </c>
      <c r="H457" s="582">
        <v>95.575388458482394</v>
      </c>
      <c r="I457" s="580">
        <v>97.625738371605493</v>
      </c>
      <c r="J457" s="581">
        <v>98.002253751143598</v>
      </c>
      <c r="K457" s="583">
        <v>102.12263287786401</v>
      </c>
      <c r="L457" s="584">
        <v>104.203023127322</v>
      </c>
      <c r="M457" s="584">
        <v>104.597437391783</v>
      </c>
      <c r="N457" s="687">
        <v>93.130102184345304</v>
      </c>
      <c r="O457" s="584">
        <v>95.127618616244007</v>
      </c>
      <c r="P457" s="584">
        <v>95.492078203878705</v>
      </c>
    </row>
    <row r="458" spans="1:16">
      <c r="A458" s="16">
        <v>43861</v>
      </c>
      <c r="B458" s="577">
        <v>97.193123851692306</v>
      </c>
      <c r="C458" s="578">
        <v>99.073474600090094</v>
      </c>
      <c r="D458" s="686">
        <v>99.588302761061598</v>
      </c>
      <c r="E458" s="577">
        <v>99.415532522410004</v>
      </c>
      <c r="F458" s="578">
        <v>101.352899547893</v>
      </c>
      <c r="G458" s="686">
        <v>101.88003730662</v>
      </c>
      <c r="H458" s="577">
        <v>96.961445402329403</v>
      </c>
      <c r="I458" s="578">
        <v>98.8358886971332</v>
      </c>
      <c r="J458" s="686">
        <v>99.349435024132703</v>
      </c>
      <c r="K458" s="577">
        <v>102.09081682397</v>
      </c>
      <c r="L458" s="578">
        <v>103.954268181355</v>
      </c>
      <c r="M458" s="578">
        <v>104.486949363185</v>
      </c>
      <c r="N458" s="686">
        <v>94.600521392497498</v>
      </c>
      <c r="O458" s="578">
        <v>96.428943047785694</v>
      </c>
      <c r="P458" s="578">
        <v>96.927525372163899</v>
      </c>
    </row>
    <row r="459" spans="1:16">
      <c r="A459" s="16">
        <v>43890</v>
      </c>
      <c r="B459" s="583">
        <v>99.259392318975898</v>
      </c>
      <c r="C459" s="584">
        <v>99.003165954910003</v>
      </c>
      <c r="D459" s="687">
        <v>98.721990562120297</v>
      </c>
      <c r="E459" s="583">
        <v>103.175957209137</v>
      </c>
      <c r="F459" s="584">
        <v>102.923858367493</v>
      </c>
      <c r="G459" s="687">
        <v>102.632016115442</v>
      </c>
      <c r="H459" s="583">
        <v>98.851103918855301</v>
      </c>
      <c r="I459" s="584">
        <v>98.594509706781295</v>
      </c>
      <c r="J459" s="687">
        <v>98.314448180274098</v>
      </c>
      <c r="K459" s="583">
        <v>99.106511960626193</v>
      </c>
      <c r="L459" s="584">
        <v>98.744622886501702</v>
      </c>
      <c r="M459" s="584">
        <v>98.457105478045705</v>
      </c>
      <c r="N459" s="687">
        <v>95.381120960683901</v>
      </c>
      <c r="O459" s="584">
        <v>95.133158492151196</v>
      </c>
      <c r="P459" s="584">
        <v>94.860523843941607</v>
      </c>
    </row>
    <row r="460" spans="1:16">
      <c r="A460" s="16">
        <v>43921</v>
      </c>
      <c r="B460" s="577">
        <v>105.133275243471</v>
      </c>
      <c r="C460" s="578">
        <v>97.612533120108594</v>
      </c>
      <c r="D460" s="686">
        <v>97.560165972117801</v>
      </c>
      <c r="E460" s="577">
        <v>104.53568039429599</v>
      </c>
      <c r="F460" s="578">
        <v>97.071115456339598</v>
      </c>
      <c r="G460" s="686">
        <v>97.019481326826806</v>
      </c>
      <c r="H460" s="577">
        <v>105.195572448223</v>
      </c>
      <c r="I460" s="578">
        <v>97.668965425391306</v>
      </c>
      <c r="J460" s="686">
        <v>97.6165215905568</v>
      </c>
      <c r="K460" s="577">
        <v>98.6549175886434</v>
      </c>
      <c r="L460" s="578">
        <v>91.499331334227705</v>
      </c>
      <c r="M460" s="578">
        <v>91.443671569041101</v>
      </c>
      <c r="N460" s="686">
        <v>105.131077694011</v>
      </c>
      <c r="O460" s="578">
        <v>97.608699899785606</v>
      </c>
      <c r="P460" s="578">
        <v>97.553814911427807</v>
      </c>
    </row>
    <row r="461" spans="1:16">
      <c r="A461" s="16">
        <v>43951</v>
      </c>
      <c r="B461" s="583">
        <v>100.61367210242901</v>
      </c>
      <c r="C461" s="584">
        <v>95.000757074060303</v>
      </c>
      <c r="D461" s="687">
        <v>94.317702565525394</v>
      </c>
      <c r="E461" s="583">
        <v>100.256437599408</v>
      </c>
      <c r="F461" s="584">
        <v>94.676548344885902</v>
      </c>
      <c r="G461" s="687">
        <v>93.996253662192103</v>
      </c>
      <c r="H461" s="583">
        <v>100.65091256896</v>
      </c>
      <c r="I461" s="584">
        <v>95.034549554809303</v>
      </c>
      <c r="J461" s="687">
        <v>94.351207219119004</v>
      </c>
      <c r="K461" s="583">
        <v>93.149386756287797</v>
      </c>
      <c r="L461" s="584">
        <v>87.8585152857829</v>
      </c>
      <c r="M461" s="584">
        <v>87.220544723179401</v>
      </c>
      <c r="N461" s="687">
        <v>101.895470287972</v>
      </c>
      <c r="O461" s="584">
        <v>96.209280668937396</v>
      </c>
      <c r="P461" s="584">
        <v>95.515069653334393</v>
      </c>
    </row>
    <row r="462" spans="1:16">
      <c r="A462" s="16">
        <v>43982</v>
      </c>
      <c r="B462" s="577">
        <v>98.492439008274005</v>
      </c>
      <c r="C462" s="578">
        <v>96.236155980443201</v>
      </c>
      <c r="D462" s="686">
        <v>95.553612874540903</v>
      </c>
      <c r="E462" s="577">
        <v>101.77703889714201</v>
      </c>
      <c r="F462" s="578">
        <v>99.459270054027499</v>
      </c>
      <c r="G462" s="686">
        <v>98.754317880177396</v>
      </c>
      <c r="H462" s="577">
        <v>98.150030782884599</v>
      </c>
      <c r="I462" s="578">
        <v>95.900208763473401</v>
      </c>
      <c r="J462" s="686">
        <v>95.220003049286404</v>
      </c>
      <c r="K462" s="577">
        <v>91.9677284791468</v>
      </c>
      <c r="L462" s="578">
        <v>89.764502536563597</v>
      </c>
      <c r="M462" s="578">
        <v>89.121453513062406</v>
      </c>
      <c r="N462" s="686">
        <v>100.32024557435901</v>
      </c>
      <c r="O462" s="578">
        <v>98.020290381970597</v>
      </c>
      <c r="P462" s="578">
        <v>97.322579598340397</v>
      </c>
    </row>
    <row r="463" spans="1:16">
      <c r="A463" s="16">
        <v>44012</v>
      </c>
      <c r="B463" s="582">
        <v>93.710950547102499</v>
      </c>
      <c r="C463" s="580">
        <v>95.902256251199802</v>
      </c>
      <c r="D463" s="581">
        <v>96.325168087492798</v>
      </c>
      <c r="E463" s="582">
        <v>98.339877861736596</v>
      </c>
      <c r="F463" s="580">
        <v>100.65334844924</v>
      </c>
      <c r="G463" s="581">
        <v>101.097672916015</v>
      </c>
      <c r="H463" s="582">
        <v>93.228400817793897</v>
      </c>
      <c r="I463" s="580">
        <v>95.4070469086017</v>
      </c>
      <c r="J463" s="581">
        <v>95.827729398496103</v>
      </c>
      <c r="K463" s="583">
        <v>92.931233813248497</v>
      </c>
      <c r="L463" s="584">
        <v>95.002269029266003</v>
      </c>
      <c r="M463" s="584">
        <v>95.414354475970697</v>
      </c>
      <c r="N463" s="687">
        <v>95.6616783008228</v>
      </c>
      <c r="O463" s="584">
        <v>97.896801008909407</v>
      </c>
      <c r="P463" s="584">
        <v>98.325968589468204</v>
      </c>
    </row>
    <row r="464" spans="1:16">
      <c r="A464" s="16">
        <v>44043</v>
      </c>
      <c r="B464" s="577">
        <v>91.808735370608304</v>
      </c>
      <c r="C464" s="578">
        <v>95.028354481571299</v>
      </c>
      <c r="D464" s="686">
        <v>96.161885438192598</v>
      </c>
      <c r="E464" s="577">
        <v>92.551391917533905</v>
      </c>
      <c r="F464" s="578">
        <v>95.810308716288901</v>
      </c>
      <c r="G464" s="686">
        <v>96.953609350847202</v>
      </c>
      <c r="H464" s="577">
        <v>91.731315983495605</v>
      </c>
      <c r="I464" s="578">
        <v>94.946850897474107</v>
      </c>
      <c r="J464" s="686">
        <v>96.079363970051901</v>
      </c>
      <c r="K464" s="577">
        <v>97.741461616652003</v>
      </c>
      <c r="L464" s="578">
        <v>101.060589287037</v>
      </c>
      <c r="M464" s="578">
        <v>102.258725294811</v>
      </c>
      <c r="N464" s="686">
        <v>95.543399493364603</v>
      </c>
      <c r="O464" s="578">
        <v>98.892172220678006</v>
      </c>
      <c r="P464" s="578">
        <v>100.06920725515999</v>
      </c>
    </row>
    <row r="465" spans="1:16">
      <c r="A465" s="16">
        <v>44074</v>
      </c>
      <c r="B465" s="583">
        <v>92.359115991995097</v>
      </c>
      <c r="C465" s="584">
        <v>96.423067443567504</v>
      </c>
      <c r="D465" s="687">
        <v>99.104476691243505</v>
      </c>
      <c r="E465" s="583">
        <v>88.703747416390598</v>
      </c>
      <c r="F465" s="584">
        <v>92.619668971083598</v>
      </c>
      <c r="G465" s="687">
        <v>95.195744532824307</v>
      </c>
      <c r="H465" s="583">
        <v>92.740175575951895</v>
      </c>
      <c r="I465" s="584">
        <v>96.819498070187294</v>
      </c>
      <c r="J465" s="687">
        <v>99.5118842624005</v>
      </c>
      <c r="K465" s="583">
        <v>100.660888593267</v>
      </c>
      <c r="L465" s="584">
        <v>104.977379864634</v>
      </c>
      <c r="M465" s="584">
        <v>107.888920050053</v>
      </c>
      <c r="N465" s="687">
        <v>100.319180613908</v>
      </c>
      <c r="O465" s="584">
        <v>104.731464162785</v>
      </c>
      <c r="P465" s="584">
        <v>107.64113944487301</v>
      </c>
    </row>
    <row r="466" spans="1:16">
      <c r="A466" s="16">
        <v>44104</v>
      </c>
      <c r="B466" s="577">
        <v>92.976912762624593</v>
      </c>
      <c r="C466" s="578">
        <v>97.483645526688207</v>
      </c>
      <c r="D466" s="686">
        <v>100.29069899428001</v>
      </c>
      <c r="E466" s="577">
        <v>90.528703234126993</v>
      </c>
      <c r="F466" s="578">
        <v>94.929899398341206</v>
      </c>
      <c r="G466" s="686">
        <v>97.663862932805301</v>
      </c>
      <c r="H466" s="577">
        <v>93.232130173693506</v>
      </c>
      <c r="I466" s="578">
        <v>97.749824099670406</v>
      </c>
      <c r="J466" s="686">
        <v>100.56449439807299</v>
      </c>
      <c r="K466" s="577">
        <v>101.436205054827</v>
      </c>
      <c r="L466" s="578">
        <v>106.238866021036</v>
      </c>
      <c r="M466" s="578">
        <v>109.29017224375799</v>
      </c>
      <c r="N466" s="686">
        <v>103.05882341466901</v>
      </c>
      <c r="O466" s="578">
        <v>108.052257064165</v>
      </c>
      <c r="P466" s="578">
        <v>111.16076361482401</v>
      </c>
    </row>
    <row r="467" spans="1:16">
      <c r="A467" s="16">
        <v>44135</v>
      </c>
      <c r="B467" s="583">
        <v>95.759945219164095</v>
      </c>
      <c r="C467" s="584">
        <v>98.802640208258097</v>
      </c>
      <c r="D467" s="687">
        <v>101.72809224458101</v>
      </c>
      <c r="E467" s="583">
        <v>98.711501822114499</v>
      </c>
      <c r="F467" s="584">
        <v>101.862070932123</v>
      </c>
      <c r="G467" s="687">
        <v>104.878588205662</v>
      </c>
      <c r="H467" s="583">
        <v>95.452255609243096</v>
      </c>
      <c r="I467" s="584">
        <v>98.483753810281101</v>
      </c>
      <c r="J467" s="687">
        <v>101.399715713414</v>
      </c>
      <c r="K467" s="583">
        <v>104.213514780898</v>
      </c>
      <c r="L467" s="584">
        <v>107.409451249415</v>
      </c>
      <c r="M467" s="584">
        <v>110.581795041389</v>
      </c>
      <c r="N467" s="687">
        <v>104.771751136283</v>
      </c>
      <c r="O467" s="584">
        <v>108.0988034315</v>
      </c>
      <c r="P467" s="584">
        <v>111.296631118102</v>
      </c>
    </row>
    <row r="468" spans="1:16">
      <c r="A468" s="16">
        <v>44165</v>
      </c>
      <c r="B468" s="577">
        <v>97.951694709225706</v>
      </c>
      <c r="C468" s="578">
        <v>102.470774836261</v>
      </c>
      <c r="D468" s="686">
        <v>106.04836463373999</v>
      </c>
      <c r="E468" s="577">
        <v>99.068943650422398</v>
      </c>
      <c r="F468" s="578">
        <v>103.653907614925</v>
      </c>
      <c r="G468" s="686">
        <v>107.27329377829</v>
      </c>
      <c r="H468" s="577">
        <v>97.835225355204798</v>
      </c>
      <c r="I468" s="578">
        <v>102.34745615897501</v>
      </c>
      <c r="J468" s="686">
        <v>105.920690137921</v>
      </c>
      <c r="K468" s="577">
        <v>108.771455226174</v>
      </c>
      <c r="L468" s="578">
        <v>113.66762818617499</v>
      </c>
      <c r="M468" s="578">
        <v>117.62768262475301</v>
      </c>
      <c r="N468" s="686">
        <v>106.680819156533</v>
      </c>
      <c r="O468" s="578">
        <v>111.600574577142</v>
      </c>
      <c r="P468" s="578">
        <v>115.493932230135</v>
      </c>
    </row>
    <row r="469" spans="1:16">
      <c r="A469" s="16">
        <v>44196</v>
      </c>
      <c r="B469" s="583">
        <v>105.25459373274499</v>
      </c>
      <c r="C469" s="584">
        <v>112.740534471704</v>
      </c>
      <c r="D469" s="687">
        <v>118.053406269005</v>
      </c>
      <c r="E469" s="583">
        <v>97.827852327736494</v>
      </c>
      <c r="F469" s="584">
        <v>104.800083917618</v>
      </c>
      <c r="G469" s="687">
        <v>109.739264386741</v>
      </c>
      <c r="H469" s="583">
        <v>106.02880594456801</v>
      </c>
      <c r="I469" s="584">
        <v>113.568172651498</v>
      </c>
      <c r="J469" s="687">
        <v>118.91999016711399</v>
      </c>
      <c r="K469" s="583">
        <v>111.83372461552</v>
      </c>
      <c r="L469" s="584">
        <v>119.659067113859</v>
      </c>
      <c r="M469" s="584">
        <v>125.288968422723</v>
      </c>
      <c r="N469" s="687">
        <v>118.512773219263</v>
      </c>
      <c r="O469" s="584">
        <v>126.93933354541601</v>
      </c>
      <c r="P469" s="584">
        <v>132.91788710802101</v>
      </c>
    </row>
    <row r="470" spans="1:16">
      <c r="A470" s="16">
        <v>44227</v>
      </c>
      <c r="B470" s="577">
        <v>109.319619942616</v>
      </c>
      <c r="C470" s="578">
        <v>119.813396376169</v>
      </c>
      <c r="D470" s="686">
        <v>125.86473500865699</v>
      </c>
      <c r="E470" s="577">
        <v>100.18131703288699</v>
      </c>
      <c r="F470" s="578">
        <v>109.813082883777</v>
      </c>
      <c r="G470" s="686">
        <v>115.359868293755</v>
      </c>
      <c r="H470" s="577">
        <v>110.27225654623901</v>
      </c>
      <c r="I470" s="578">
        <v>120.855735371902</v>
      </c>
      <c r="J470" s="686">
        <v>126.959658390508</v>
      </c>
      <c r="K470" s="577">
        <v>110.10257478605</v>
      </c>
      <c r="L470" s="578">
        <v>120.54203936782901</v>
      </c>
      <c r="M470" s="578">
        <v>126.621078614528</v>
      </c>
      <c r="N470" s="686">
        <v>125.561625925307</v>
      </c>
      <c r="O470" s="578">
        <v>137.61197251294399</v>
      </c>
      <c r="P470" s="578">
        <v>144.55851838677501</v>
      </c>
    </row>
    <row r="471" spans="1:16">
      <c r="A471" s="16">
        <v>44255</v>
      </c>
      <c r="B471" s="583">
        <v>110.788545199865</v>
      </c>
      <c r="C471" s="584">
        <v>122.08255735304</v>
      </c>
      <c r="D471" s="687">
        <v>128.03643020299299</v>
      </c>
      <c r="E471" s="583">
        <v>103.50924367814601</v>
      </c>
      <c r="F471" s="584">
        <v>114.076969366821</v>
      </c>
      <c r="G471" s="687">
        <v>119.640961567933</v>
      </c>
      <c r="H471" s="583">
        <v>111.547387311677</v>
      </c>
      <c r="I471" s="584">
        <v>122.91698484855399</v>
      </c>
      <c r="J471" s="687">
        <v>128.911490797249</v>
      </c>
      <c r="K471" s="583">
        <v>114.629506834366</v>
      </c>
      <c r="L471" s="584">
        <v>126.179550487754</v>
      </c>
      <c r="M471" s="584">
        <v>132.32372020495399</v>
      </c>
      <c r="N471" s="687">
        <v>127.539927376284</v>
      </c>
      <c r="O471" s="584">
        <v>140.53902846452601</v>
      </c>
      <c r="P471" s="584">
        <v>147.38920209280599</v>
      </c>
    </row>
    <row r="472" spans="1:16">
      <c r="A472" s="16">
        <v>44286</v>
      </c>
      <c r="B472" s="577">
        <v>114.021848301652</v>
      </c>
      <c r="C472" s="578">
        <v>125.961192237673</v>
      </c>
      <c r="D472" s="686">
        <v>131.03027613982499</v>
      </c>
      <c r="E472" s="577">
        <v>102.47059597368001</v>
      </c>
      <c r="F472" s="578">
        <v>113.216057918568</v>
      </c>
      <c r="G472" s="686">
        <v>117.77277380928901</v>
      </c>
      <c r="H472" s="577">
        <v>115.22602657129499</v>
      </c>
      <c r="I472" s="578">
        <v>127.28962564296199</v>
      </c>
      <c r="J472" s="686">
        <v>132.412107026462</v>
      </c>
      <c r="K472" s="577">
        <v>117.74545870448399</v>
      </c>
      <c r="L472" s="578">
        <v>129.935147926453</v>
      </c>
      <c r="M472" s="578">
        <v>135.15444279913299</v>
      </c>
      <c r="N472" s="686">
        <v>133.16334051100901</v>
      </c>
      <c r="O472" s="578">
        <v>147.104307596593</v>
      </c>
      <c r="P472" s="578">
        <v>153.020305887349</v>
      </c>
    </row>
    <row r="473" spans="1:16">
      <c r="A473" s="16">
        <v>44316</v>
      </c>
      <c r="B473" s="583">
        <v>117.475068751422</v>
      </c>
      <c r="C473" s="584">
        <v>129.43301601073699</v>
      </c>
      <c r="D473" s="687">
        <v>134.60862081481201</v>
      </c>
      <c r="E473" s="583">
        <v>103.218004978827</v>
      </c>
      <c r="F473" s="584">
        <v>113.740440248363</v>
      </c>
      <c r="G473" s="687">
        <v>118.289089632659</v>
      </c>
      <c r="H473" s="583">
        <v>118.961318544641</v>
      </c>
      <c r="I473" s="584">
        <v>131.068663100507</v>
      </c>
      <c r="J473" s="687">
        <v>136.30960729632901</v>
      </c>
      <c r="K473" s="583">
        <v>122.052268465284</v>
      </c>
      <c r="L473" s="584">
        <v>134.33185504989899</v>
      </c>
      <c r="M473" s="584">
        <v>139.69330845674199</v>
      </c>
      <c r="N473" s="687">
        <v>137.80288013929999</v>
      </c>
      <c r="O473" s="584">
        <v>151.827234250565</v>
      </c>
      <c r="P473" s="584">
        <v>157.89423237359401</v>
      </c>
    </row>
    <row r="474" spans="1:16">
      <c r="A474" s="16">
        <v>44347</v>
      </c>
      <c r="B474" s="577">
        <v>123.158757285292</v>
      </c>
      <c r="C474" s="578">
        <v>135.79230696288599</v>
      </c>
      <c r="D474" s="686">
        <v>142.42565970939799</v>
      </c>
      <c r="E474" s="577">
        <v>106.336041487472</v>
      </c>
      <c r="F474" s="578">
        <v>117.26014815059099</v>
      </c>
      <c r="G474" s="686">
        <v>122.988779803272</v>
      </c>
      <c r="H474" s="577">
        <v>124.912467465361</v>
      </c>
      <c r="I474" s="578">
        <v>137.72392558863001</v>
      </c>
      <c r="J474" s="686">
        <v>144.45156778201201</v>
      </c>
      <c r="K474" s="577">
        <v>129.69144838292101</v>
      </c>
      <c r="L474" s="578">
        <v>142.841697377137</v>
      </c>
      <c r="M474" s="578">
        <v>149.808640554156</v>
      </c>
      <c r="N474" s="686">
        <v>146.59647417999199</v>
      </c>
      <c r="O474" s="578">
        <v>161.63128162323099</v>
      </c>
      <c r="P474" s="578">
        <v>169.522470070445</v>
      </c>
    </row>
    <row r="475" spans="1:16" ht="15.75" thickBot="1">
      <c r="A475" s="759">
        <v>44377</v>
      </c>
      <c r="B475" s="745">
        <v>132.08504961460099</v>
      </c>
      <c r="C475" s="746">
        <v>143.96606606966699</v>
      </c>
      <c r="D475" s="747">
        <v>150.587954523294</v>
      </c>
      <c r="E475" s="745">
        <v>107.705769620525</v>
      </c>
      <c r="F475" s="746">
        <v>117.41011765594401</v>
      </c>
      <c r="G475" s="747">
        <v>122.811094251932</v>
      </c>
      <c r="H475" s="745">
        <v>134.62650558533699</v>
      </c>
      <c r="I475" s="746">
        <v>146.734009356782</v>
      </c>
      <c r="J475" s="747">
        <v>153.48313964186201</v>
      </c>
      <c r="K475" s="745">
        <v>129.476262009072</v>
      </c>
      <c r="L475" s="746">
        <v>140.97120757465299</v>
      </c>
      <c r="M475" s="746">
        <v>147.444746863782</v>
      </c>
      <c r="N475" s="747">
        <v>160.69521962600999</v>
      </c>
      <c r="O475" s="746">
        <v>175.14649647667599</v>
      </c>
      <c r="P475" s="746">
        <v>183.19783332860999</v>
      </c>
    </row>
    <row r="476" spans="1:16">
      <c r="B476" s="483"/>
      <c r="C476" s="206"/>
      <c r="D476" s="206"/>
      <c r="E476" s="748"/>
      <c r="F476" s="206"/>
    </row>
  </sheetData>
  <mergeCells count="8">
    <mergeCell ref="E6:G6"/>
    <mergeCell ref="B6:D6"/>
    <mergeCell ref="S36:V36"/>
    <mergeCell ref="S37:V37"/>
    <mergeCell ref="T38:V38"/>
    <mergeCell ref="K6:M6"/>
    <mergeCell ref="H6:J6"/>
    <mergeCell ref="N6:P6"/>
  </mergeCells>
  <pageMargins left="0.74803149606299213" right="0.74803149606299213" top="0.98425196850393704" bottom="0.98425196850393704"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48"/>
  <sheetViews>
    <sheetView showGridLines="0" zoomScaleNormal="100" workbookViewId="0">
      <selection activeCell="C112" sqref="C112"/>
    </sheetView>
  </sheetViews>
  <sheetFormatPr defaultColWidth="9.140625" defaultRowHeight="15"/>
  <cols>
    <col min="1" max="1" width="9.140625" style="165"/>
    <col min="2" max="2" width="30.5703125" style="165" customWidth="1"/>
    <col min="3" max="3" width="32.42578125" style="165" bestFit="1" customWidth="1"/>
    <col min="4" max="4" width="25.28515625" style="165" customWidth="1"/>
    <col min="5" max="5" width="9.140625" style="165"/>
    <col min="6" max="6" width="32.28515625" style="165" customWidth="1"/>
    <col min="7" max="7" width="23.42578125" style="165" bestFit="1" customWidth="1"/>
    <col min="8" max="8" width="26.42578125" style="165" customWidth="1"/>
    <col min="9" max="9" width="19.42578125" style="165" customWidth="1"/>
    <col min="10" max="10" width="20" style="165" bestFit="1" customWidth="1"/>
    <col min="11" max="11" width="44.85546875" style="165" bestFit="1" customWidth="1"/>
    <col min="12" max="12" width="19" style="165" bestFit="1" customWidth="1"/>
    <col min="13" max="22" width="9.140625" style="165"/>
    <col min="23" max="23" width="10" style="165" bestFit="1" customWidth="1"/>
    <col min="24" max="16384" width="9.140625" style="165"/>
  </cols>
  <sheetData>
    <row r="1" spans="7:24">
      <c r="K1" s="137"/>
      <c r="L1" s="137"/>
      <c r="M1" s="137"/>
      <c r="N1" s="137" t="str">
        <f>"Western Australian Merchandise Exports "&amp;N5</f>
        <v>Western Australian Merchandise Exports 2020-2021</v>
      </c>
      <c r="O1" s="137" t="str">
        <f>"Total: $"&amp;LEFT((B30/1000000000),6)&amp;" billion"</f>
        <v>Total: $222.75 billion</v>
      </c>
      <c r="P1" s="137"/>
      <c r="Q1" s="137"/>
      <c r="R1" s="137"/>
    </row>
    <row r="2" spans="7:24">
      <c r="G2" s="614"/>
      <c r="K2" s="137"/>
      <c r="L2" s="137"/>
      <c r="M2" s="137"/>
      <c r="N2" s="137" t="str">
        <f>"Western Australian"&amp;CHAR(10)&amp;"Mineral And Petroleum Exports "&amp;N5</f>
        <v>Western Australian
Mineral And Petroleum Exports 2020-2021</v>
      </c>
      <c r="O2" s="137" t="str">
        <f>"Total: $"&amp;LEFT((C30/1000000000),5)&amp;" billion"</f>
        <v>Total: $208.3 billion</v>
      </c>
      <c r="P2" s="137"/>
      <c r="Q2" s="137"/>
      <c r="R2" s="137"/>
      <c r="S2" s="722"/>
      <c r="T2" s="722"/>
      <c r="U2" s="722"/>
      <c r="V2" s="722"/>
      <c r="W2" s="722"/>
      <c r="X2" s="722"/>
    </row>
    <row r="3" spans="7:24">
      <c r="K3" s="137"/>
      <c r="L3" s="137"/>
      <c r="M3" s="137"/>
      <c r="N3" s="137" t="str">
        <f>"Western Australian Merchandise Exports "&amp;CHAR(10)&amp;"By Country "&amp;N5</f>
        <v>Western Australian Merchandise Exports 
By Country 2020-2021</v>
      </c>
      <c r="O3" s="137" t="str">
        <f>"Total: $"&amp;LEFT((B30/1000000000),6)&amp;" billion"</f>
        <v>Total: $222.75 billion</v>
      </c>
      <c r="P3" s="137"/>
      <c r="Q3" s="137"/>
      <c r="R3" s="137"/>
      <c r="S3" s="722"/>
      <c r="T3" s="722"/>
      <c r="U3" s="722"/>
      <c r="V3" s="722"/>
      <c r="W3" s="722"/>
      <c r="X3" s="722"/>
    </row>
    <row r="4" spans="7:24">
      <c r="H4" s="34"/>
      <c r="I4" s="34"/>
      <c r="J4" s="34"/>
      <c r="K4" s="725"/>
      <c r="L4" s="137"/>
      <c r="M4" s="137"/>
      <c r="N4" s="137" t="str">
        <f>"Australian Merchandise Exports "&amp;N5</f>
        <v>Australian Merchandise Exports 2020-2021</v>
      </c>
      <c r="O4" s="137" t="str">
        <f>"Total: $"&amp;LEFT((G74/1000),6)&amp;" billion"</f>
        <v>Total: $395.93 billion</v>
      </c>
      <c r="P4" s="137"/>
      <c r="Q4" s="137"/>
      <c r="R4" s="137"/>
      <c r="S4" s="722"/>
      <c r="T4" s="722"/>
      <c r="U4" s="722"/>
      <c r="V4" s="722"/>
      <c r="W4" s="722"/>
      <c r="X4" s="722"/>
    </row>
    <row r="5" spans="7:24" s="298" customFormat="1">
      <c r="H5" s="34"/>
      <c r="I5" s="34"/>
      <c r="J5" s="34"/>
      <c r="K5" s="725"/>
      <c r="L5" s="137"/>
      <c r="M5" s="137"/>
      <c r="N5" s="137" t="s">
        <v>1318</v>
      </c>
      <c r="O5" s="137"/>
      <c r="P5" s="137"/>
      <c r="Q5" s="137"/>
      <c r="R5" s="137"/>
      <c r="S5" s="722"/>
      <c r="T5" s="722"/>
      <c r="U5" s="722"/>
      <c r="V5" s="722"/>
      <c r="W5" s="722"/>
      <c r="X5" s="722"/>
    </row>
    <row r="6" spans="7:24">
      <c r="K6" s="137"/>
      <c r="L6" s="137"/>
      <c r="M6" s="137"/>
      <c r="N6" s="137"/>
      <c r="O6" s="137"/>
      <c r="P6" s="137"/>
      <c r="Q6" s="137"/>
      <c r="R6" s="137"/>
      <c r="S6" s="722"/>
      <c r="T6" s="722"/>
      <c r="U6" s="722"/>
      <c r="V6" s="722"/>
      <c r="W6" s="722"/>
      <c r="X6" s="722"/>
    </row>
    <row r="7" spans="7:24">
      <c r="J7" s="86"/>
      <c r="K7" s="726">
        <f>SUM(G30:G36)</f>
        <v>208380100996.42554</v>
      </c>
      <c r="L7" s="137"/>
      <c r="M7" s="137"/>
      <c r="N7" s="137"/>
      <c r="O7" s="137"/>
      <c r="P7" s="137"/>
      <c r="Q7" s="137"/>
      <c r="R7" s="137"/>
      <c r="S7" s="722"/>
      <c r="T7" s="722"/>
      <c r="U7" s="722"/>
      <c r="V7" s="722"/>
      <c r="W7" s="722"/>
      <c r="X7" s="722"/>
    </row>
    <row r="8" spans="7:24">
      <c r="J8" s="91"/>
      <c r="K8" s="137"/>
      <c r="L8" s="137"/>
      <c r="M8" s="137"/>
      <c r="N8" s="137"/>
      <c r="O8" s="137"/>
      <c r="P8" s="137"/>
      <c r="Q8" s="137"/>
      <c r="R8" s="137"/>
      <c r="S8" s="722"/>
      <c r="T8" s="722"/>
      <c r="U8" s="722"/>
      <c r="V8" s="722"/>
      <c r="W8" s="722"/>
      <c r="X8" s="722"/>
    </row>
    <row r="9" spans="7:24">
      <c r="K9" s="137"/>
      <c r="L9" s="137"/>
      <c r="M9" s="137"/>
      <c r="N9" s="137"/>
      <c r="O9" s="137"/>
      <c r="P9" s="137"/>
      <c r="Q9" s="137"/>
      <c r="R9" s="137"/>
      <c r="S9" s="722"/>
      <c r="T9" s="722"/>
      <c r="U9" s="722"/>
      <c r="V9" s="722"/>
      <c r="W9" s="722"/>
      <c r="X9" s="722"/>
    </row>
    <row r="10" spans="7:24">
      <c r="K10" s="137"/>
      <c r="L10" s="137"/>
      <c r="M10" s="137"/>
      <c r="N10" s="137"/>
      <c r="O10" s="137"/>
      <c r="P10" s="137"/>
      <c r="Q10" s="137"/>
      <c r="R10" s="137"/>
      <c r="S10" s="722"/>
      <c r="T10" s="722"/>
      <c r="U10" s="722"/>
      <c r="V10" s="722"/>
      <c r="W10" s="722"/>
      <c r="X10" s="722"/>
    </row>
    <row r="11" spans="7:24">
      <c r="K11" s="722"/>
      <c r="L11" s="722"/>
      <c r="M11" s="722"/>
      <c r="N11" s="722"/>
      <c r="O11" s="722"/>
      <c r="P11" s="722"/>
      <c r="Q11" s="722"/>
      <c r="R11" s="722"/>
      <c r="S11" s="722"/>
      <c r="T11" s="722"/>
      <c r="U11" s="722"/>
      <c r="V11" s="722"/>
      <c r="W11" s="722"/>
      <c r="X11" s="722"/>
    </row>
    <row r="12" spans="7:24">
      <c r="K12" s="723"/>
      <c r="L12" s="723"/>
      <c r="M12" s="723"/>
      <c r="N12" s="723"/>
      <c r="O12" s="723"/>
      <c r="P12" s="723"/>
      <c r="Q12" s="723"/>
      <c r="R12" s="723"/>
      <c r="S12" s="723"/>
      <c r="T12" s="723"/>
      <c r="U12" s="723"/>
      <c r="V12" s="723"/>
      <c r="W12" s="724"/>
      <c r="X12" s="722"/>
    </row>
    <row r="13" spans="7:24">
      <c r="K13" s="722"/>
      <c r="L13" s="722"/>
      <c r="M13" s="722"/>
      <c r="N13" s="722"/>
      <c r="O13" s="722"/>
      <c r="P13" s="722"/>
      <c r="Q13" s="722"/>
      <c r="R13" s="722"/>
      <c r="S13" s="722"/>
      <c r="T13" s="722"/>
      <c r="U13" s="722"/>
      <c r="V13" s="722"/>
      <c r="W13" s="722"/>
      <c r="X13" s="722"/>
    </row>
    <row r="14" spans="7:24">
      <c r="K14" s="722"/>
      <c r="L14" s="722"/>
      <c r="M14" s="722"/>
      <c r="N14" s="722"/>
      <c r="O14" s="722"/>
      <c r="P14" s="722"/>
      <c r="Q14" s="722"/>
      <c r="R14" s="722"/>
      <c r="S14" s="722"/>
      <c r="T14" s="722"/>
      <c r="U14" s="722"/>
      <c r="V14" s="722"/>
      <c r="W14" s="722"/>
      <c r="X14" s="722"/>
    </row>
    <row r="15" spans="7:24">
      <c r="K15" s="722"/>
      <c r="L15" s="722"/>
      <c r="M15" s="722"/>
      <c r="N15" s="722"/>
      <c r="O15" s="722"/>
      <c r="P15" s="722"/>
      <c r="Q15" s="722"/>
      <c r="R15" s="722"/>
      <c r="S15" s="722"/>
      <c r="T15" s="722"/>
      <c r="U15" s="722"/>
      <c r="V15" s="722"/>
      <c r="W15" s="722"/>
      <c r="X15" s="722"/>
    </row>
    <row r="16" spans="7:24">
      <c r="K16" s="722"/>
      <c r="L16" s="722"/>
      <c r="M16" s="722"/>
      <c r="N16" s="722"/>
      <c r="O16" s="722"/>
      <c r="P16" s="722"/>
      <c r="Q16" s="722"/>
      <c r="R16" s="722"/>
      <c r="S16" s="722"/>
      <c r="T16" s="722"/>
      <c r="U16" s="722"/>
      <c r="V16" s="722"/>
      <c r="W16" s="722"/>
      <c r="X16" s="722"/>
    </row>
    <row r="17" spans="2:24">
      <c r="K17" s="722"/>
      <c r="L17" s="722"/>
      <c r="M17" s="722"/>
      <c r="N17" s="722"/>
      <c r="O17" s="722"/>
      <c r="P17" s="722"/>
      <c r="Q17" s="722"/>
      <c r="R17" s="722"/>
      <c r="S17" s="722"/>
      <c r="T17" s="722"/>
      <c r="U17" s="722"/>
      <c r="V17" s="722"/>
      <c r="W17" s="722"/>
      <c r="X17" s="722"/>
    </row>
    <row r="18" spans="2:24">
      <c r="K18" s="722"/>
      <c r="L18" s="722"/>
      <c r="M18" s="722"/>
      <c r="N18" s="722"/>
      <c r="O18" s="722"/>
      <c r="P18" s="722"/>
      <c r="Q18" s="722"/>
      <c r="R18" s="722"/>
      <c r="S18" s="722"/>
      <c r="T18" s="722"/>
      <c r="U18" s="722"/>
      <c r="V18" s="722"/>
      <c r="W18" s="722"/>
      <c r="X18" s="722"/>
    </row>
    <row r="19" spans="2:24">
      <c r="K19" s="722"/>
      <c r="L19" s="722"/>
      <c r="M19" s="722"/>
      <c r="N19" s="722"/>
      <c r="O19" s="722"/>
      <c r="P19" s="722"/>
      <c r="Q19" s="722"/>
      <c r="R19" s="722"/>
      <c r="S19" s="722"/>
      <c r="T19" s="722"/>
      <c r="U19" s="722"/>
      <c r="V19" s="722"/>
      <c r="W19" s="722"/>
      <c r="X19" s="722"/>
    </row>
    <row r="20" spans="2:24">
      <c r="K20" s="722"/>
      <c r="L20" s="722"/>
      <c r="M20" s="722"/>
      <c r="N20" s="722"/>
      <c r="O20" s="722"/>
      <c r="P20" s="722"/>
      <c r="Q20" s="722"/>
      <c r="R20" s="722"/>
      <c r="S20" s="722"/>
      <c r="T20" s="722"/>
      <c r="U20" s="722"/>
      <c r="V20" s="722"/>
      <c r="W20" s="722"/>
      <c r="X20" s="722"/>
    </row>
    <row r="21" spans="2:24">
      <c r="K21" s="722"/>
      <c r="L21" s="722"/>
      <c r="M21" s="722"/>
      <c r="N21" s="722"/>
      <c r="O21" s="722"/>
      <c r="P21" s="722"/>
      <c r="Q21" s="722"/>
      <c r="R21" s="722"/>
      <c r="S21" s="722"/>
      <c r="T21" s="722"/>
      <c r="U21" s="722"/>
      <c r="V21" s="722"/>
      <c r="W21" s="722"/>
      <c r="X21" s="722"/>
    </row>
    <row r="22" spans="2:24">
      <c r="K22" s="722"/>
      <c r="L22" s="722"/>
      <c r="M22" s="722"/>
      <c r="N22" s="722"/>
      <c r="O22" s="722"/>
      <c r="P22" s="722"/>
      <c r="Q22" s="722"/>
      <c r="R22" s="722"/>
      <c r="S22" s="722"/>
      <c r="T22" s="722"/>
      <c r="U22" s="722"/>
      <c r="V22" s="722"/>
      <c r="W22" s="722"/>
      <c r="X22" s="722"/>
    </row>
    <row r="23" spans="2:24">
      <c r="K23" s="722"/>
      <c r="L23" s="722"/>
      <c r="M23" s="722"/>
      <c r="N23" s="722"/>
      <c r="O23" s="722"/>
      <c r="P23" s="722"/>
      <c r="Q23" s="722"/>
      <c r="R23" s="722"/>
      <c r="S23" s="722"/>
      <c r="T23" s="722"/>
      <c r="U23" s="722"/>
      <c r="V23" s="722"/>
      <c r="W23" s="722"/>
      <c r="X23" s="722"/>
    </row>
    <row r="27" spans="2:24">
      <c r="K27" s="181"/>
    </row>
    <row r="28" spans="2:24" ht="15.75" thickBot="1">
      <c r="K28" s="182"/>
    </row>
    <row r="29" spans="2:24" ht="30">
      <c r="B29" s="96" t="s">
        <v>1176</v>
      </c>
      <c r="C29" s="97" t="s">
        <v>1177</v>
      </c>
      <c r="D29" s="98" t="s">
        <v>1178</v>
      </c>
      <c r="F29" s="32" t="s">
        <v>95</v>
      </c>
      <c r="G29" s="99" t="s">
        <v>1175</v>
      </c>
      <c r="H29" s="100" t="s">
        <v>1120</v>
      </c>
      <c r="I29" s="206"/>
      <c r="K29" s="182"/>
    </row>
    <row r="30" spans="2:24" ht="15.75" thickBot="1">
      <c r="B30" s="791">
        <v>222757632000</v>
      </c>
      <c r="C30" s="792">
        <v>208380100996.42554</v>
      </c>
      <c r="D30" s="1003">
        <f>B30-C30</f>
        <v>14377531003.574463</v>
      </c>
      <c r="F30" s="106" t="s">
        <v>1202</v>
      </c>
      <c r="G30" s="789">
        <v>5668047436.5100002</v>
      </c>
      <c r="H30" s="639">
        <f>G30/$K$7</f>
        <v>2.7200521592065201E-2</v>
      </c>
      <c r="I30" s="206"/>
      <c r="K30" s="208"/>
    </row>
    <row r="31" spans="2:24">
      <c r="F31" s="106" t="s">
        <v>10</v>
      </c>
      <c r="G31" s="790">
        <v>2750024725.3674679</v>
      </c>
      <c r="H31" s="640">
        <f t="shared" ref="H31:H36" si="0">G31/$K$7</f>
        <v>1.3197156121037876E-2</v>
      </c>
      <c r="I31" s="206"/>
      <c r="K31" s="208"/>
    </row>
    <row r="32" spans="2:24">
      <c r="B32" s="205"/>
      <c r="C32" s="143"/>
      <c r="F32" s="106" t="s">
        <v>8</v>
      </c>
      <c r="G32" s="789">
        <v>22015603000</v>
      </c>
      <c r="H32" s="639">
        <f t="shared" si="0"/>
        <v>0.10565117731840262</v>
      </c>
      <c r="I32" s="206"/>
      <c r="K32" s="208"/>
    </row>
    <row r="33" spans="2:11">
      <c r="B33" s="205"/>
      <c r="C33" s="196"/>
      <c r="F33" s="106" t="s">
        <v>196</v>
      </c>
      <c r="G33" s="790">
        <v>1469219365.27</v>
      </c>
      <c r="H33" s="640">
        <f t="shared" si="0"/>
        <v>7.050670185130596E-3</v>
      </c>
      <c r="I33" s="206"/>
      <c r="K33" s="208"/>
    </row>
    <row r="34" spans="2:11">
      <c r="B34" s="186"/>
      <c r="C34" s="143"/>
      <c r="F34" s="106" t="s">
        <v>96</v>
      </c>
      <c r="G34" s="789">
        <v>150156019000</v>
      </c>
      <c r="H34" s="639">
        <f t="shared" si="0"/>
        <v>0.72058713035452315</v>
      </c>
      <c r="I34" s="206"/>
      <c r="K34" s="208"/>
    </row>
    <row r="35" spans="2:11">
      <c r="B35" s="180"/>
      <c r="F35" s="106" t="s">
        <v>139</v>
      </c>
      <c r="G35" s="790">
        <v>21845484959.685493</v>
      </c>
      <c r="H35" s="640">
        <f t="shared" si="0"/>
        <v>0.10483479399052706</v>
      </c>
      <c r="I35" s="206"/>
      <c r="J35" s="246"/>
      <c r="K35" s="208"/>
    </row>
    <row r="36" spans="2:11" ht="15.75" thickBot="1">
      <c r="B36" s="205"/>
      <c r="F36" s="107" t="s">
        <v>346</v>
      </c>
      <c r="G36" s="1001">
        <v>4475702509.5925999</v>
      </c>
      <c r="H36" s="1002">
        <f t="shared" si="0"/>
        <v>2.1478550438313562E-2</v>
      </c>
      <c r="I36" s="198"/>
      <c r="J36" s="164"/>
      <c r="K36" s="208"/>
    </row>
    <row r="37" spans="2:11">
      <c r="B37" s="205"/>
      <c r="F37" s="1040" t="s">
        <v>1179</v>
      </c>
      <c r="G37" s="1040"/>
      <c r="H37" s="1040"/>
      <c r="I37" s="198"/>
      <c r="J37" s="637"/>
      <c r="K37" s="208"/>
    </row>
    <row r="38" spans="2:11">
      <c r="B38" s="205"/>
      <c r="I38" s="8"/>
      <c r="K38" s="208"/>
    </row>
    <row r="39" spans="2:11">
      <c r="K39" s="208"/>
    </row>
    <row r="40" spans="2:11">
      <c r="K40" s="208"/>
    </row>
    <row r="41" spans="2:11">
      <c r="K41" s="208"/>
    </row>
    <row r="42" spans="2:11">
      <c r="K42" s="208"/>
    </row>
    <row r="43" spans="2:11">
      <c r="K43" s="208"/>
    </row>
    <row r="60" spans="2:12">
      <c r="E60" s="683"/>
      <c r="F60" s="683"/>
      <c r="G60" s="683"/>
      <c r="H60" s="683"/>
      <c r="I60" s="683"/>
    </row>
    <row r="61" spans="2:12" ht="15.75" thickBot="1"/>
    <row r="62" spans="2:12" ht="30.75" customHeight="1">
      <c r="B62" s="117" t="s">
        <v>183</v>
      </c>
      <c r="C62" s="67" t="s">
        <v>1122</v>
      </c>
      <c r="D62" s="381" t="s">
        <v>1121</v>
      </c>
      <c r="F62" s="103" t="s">
        <v>160</v>
      </c>
      <c r="G62" s="382" t="s">
        <v>1122</v>
      </c>
      <c r="H62" s="383" t="s">
        <v>1123</v>
      </c>
    </row>
    <row r="63" spans="2:12">
      <c r="B63" s="101" t="s">
        <v>1299</v>
      </c>
      <c r="C63" s="782">
        <v>134104.71400000001</v>
      </c>
      <c r="D63" s="779">
        <f t="shared" ref="D63:D73" si="1">C63/C$74</f>
        <v>0.60202244598374011</v>
      </c>
      <c r="F63" s="104" t="s">
        <v>154</v>
      </c>
      <c r="G63" s="778">
        <v>222757</v>
      </c>
      <c r="H63" s="779">
        <f>G63/G$74</f>
        <v>0.56260718245579477</v>
      </c>
      <c r="J63" s="248"/>
      <c r="L63" s="182"/>
    </row>
    <row r="64" spans="2:12">
      <c r="B64" s="101" t="s">
        <v>1300</v>
      </c>
      <c r="C64" s="786">
        <v>19268.091</v>
      </c>
      <c r="D64" s="787">
        <f t="shared" si="1"/>
        <v>8.6498251457866646E-2</v>
      </c>
      <c r="F64" s="104" t="s">
        <v>152</v>
      </c>
      <c r="G64" s="780">
        <v>57977</v>
      </c>
      <c r="H64" s="781">
        <f t="shared" ref="H64:H70" si="2">G64/G$74</f>
        <v>0.14642986131632052</v>
      </c>
      <c r="I64" s="195"/>
      <c r="J64" s="248"/>
      <c r="L64" s="79"/>
    </row>
    <row r="65" spans="1:12">
      <c r="B65" s="101" t="s">
        <v>1302</v>
      </c>
      <c r="C65" s="782">
        <v>13264.721</v>
      </c>
      <c r="D65" s="779">
        <f t="shared" si="1"/>
        <v>5.9547942376670542E-2</v>
      </c>
      <c r="F65" s="104" t="s">
        <v>150</v>
      </c>
      <c r="G65" s="782">
        <v>45777</v>
      </c>
      <c r="H65" s="779">
        <f t="shared" si="2"/>
        <v>0.11561687844278257</v>
      </c>
      <c r="I65" s="195"/>
      <c r="J65" s="248"/>
      <c r="L65" s="279"/>
    </row>
    <row r="66" spans="1:12">
      <c r="B66" s="101" t="s">
        <v>1301</v>
      </c>
      <c r="C66" s="786">
        <v>9040.0969999999998</v>
      </c>
      <c r="D66" s="787">
        <f t="shared" si="1"/>
        <v>4.0582774054238477E-2</v>
      </c>
      <c r="F66" s="104" t="s">
        <v>151</v>
      </c>
      <c r="G66" s="780">
        <v>25439</v>
      </c>
      <c r="H66" s="781">
        <f t="shared" si="2"/>
        <v>6.4250120599994437E-2</v>
      </c>
      <c r="I66" s="195"/>
      <c r="J66" s="248"/>
      <c r="L66" s="279"/>
    </row>
    <row r="67" spans="1:12">
      <c r="B67" s="101" t="s">
        <v>1303</v>
      </c>
      <c r="C67" s="782">
        <v>8738.7170000000006</v>
      </c>
      <c r="D67" s="779">
        <f t="shared" si="1"/>
        <v>3.9229819938318436E-2</v>
      </c>
      <c r="F67" s="104" t="s">
        <v>153</v>
      </c>
      <c r="G67" s="782">
        <v>12710</v>
      </c>
      <c r="H67" s="779">
        <f t="shared" si="2"/>
        <v>3.2101066583825208E-2</v>
      </c>
      <c r="I67" s="195"/>
      <c r="J67" s="248"/>
      <c r="L67" s="279"/>
    </row>
    <row r="68" spans="1:12">
      <c r="B68" s="101" t="s">
        <v>1315</v>
      </c>
      <c r="C68" s="786">
        <v>5166.9560000000001</v>
      </c>
      <c r="D68" s="787">
        <f t="shared" si="1"/>
        <v>2.3195482072392786E-2</v>
      </c>
      <c r="F68" s="104" t="s">
        <v>156</v>
      </c>
      <c r="G68" s="780">
        <v>9369</v>
      </c>
      <c r="H68" s="781">
        <f t="shared" si="2"/>
        <v>2.3662855454276818E-2</v>
      </c>
      <c r="I68" s="195"/>
      <c r="J68" s="248"/>
      <c r="L68" s="279"/>
    </row>
    <row r="69" spans="1:12">
      <c r="B69" s="101" t="s">
        <v>1305</v>
      </c>
      <c r="C69" s="782">
        <v>4344.5590000000002</v>
      </c>
      <c r="D69" s="779">
        <f t="shared" si="1"/>
        <v>1.9503580134406551E-2</v>
      </c>
      <c r="F69" s="104" t="s">
        <v>155</v>
      </c>
      <c r="G69" s="782">
        <v>3815</v>
      </c>
      <c r="H69" s="779">
        <f t="shared" si="2"/>
        <v>9.6353712838153551E-3</v>
      </c>
      <c r="I69" s="195"/>
      <c r="J69" s="248"/>
      <c r="L69" s="279"/>
    </row>
    <row r="70" spans="1:12">
      <c r="B70" s="101" t="s">
        <v>1304</v>
      </c>
      <c r="C70" s="786">
        <v>3653.9569999999999</v>
      </c>
      <c r="D70" s="787">
        <f t="shared" si="1"/>
        <v>1.6403331881826383E-2</v>
      </c>
      <c r="F70" s="104" t="s">
        <v>157</v>
      </c>
      <c r="G70" s="780">
        <v>55</v>
      </c>
      <c r="H70" s="781">
        <f t="shared" si="2"/>
        <v>1.3891098836431049E-4</v>
      </c>
      <c r="I70" s="195"/>
      <c r="J70" s="248"/>
      <c r="L70" s="279"/>
    </row>
    <row r="71" spans="1:12">
      <c r="B71" s="101" t="s">
        <v>1316</v>
      </c>
      <c r="C71" s="782">
        <v>2628.0450000000001</v>
      </c>
      <c r="D71" s="779">
        <f t="shared" si="1"/>
        <v>1.1797811067665663E-2</v>
      </c>
      <c r="F71" s="104" t="s">
        <v>158</v>
      </c>
      <c r="G71" s="783">
        <v>7620</v>
      </c>
      <c r="H71" s="1039">
        <f>G73/G$74</f>
        <v>4.5545124603156566E-2</v>
      </c>
      <c r="I71" s="195"/>
      <c r="J71" s="248"/>
      <c r="L71" s="279"/>
    </row>
    <row r="72" spans="1:12">
      <c r="B72" s="721" t="s">
        <v>1317</v>
      </c>
      <c r="C72" s="786">
        <v>2465.6819999999998</v>
      </c>
      <c r="D72" s="787">
        <f t="shared" si="1"/>
        <v>1.1068931616065937E-2</v>
      </c>
      <c r="F72" s="104" t="s">
        <v>149</v>
      </c>
      <c r="G72" s="783">
        <v>10413</v>
      </c>
      <c r="H72" s="1039"/>
      <c r="I72" s="195"/>
      <c r="J72" s="248"/>
      <c r="L72" s="279"/>
    </row>
    <row r="73" spans="1:12">
      <c r="B73" s="101" t="s">
        <v>48</v>
      </c>
      <c r="C73" s="778">
        <v>20082.092000000001</v>
      </c>
      <c r="D73" s="779">
        <f t="shared" si="1"/>
        <v>9.0152462099956462E-2</v>
      </c>
      <c r="F73" s="104" t="s">
        <v>159</v>
      </c>
      <c r="G73" s="783">
        <f>SUM(G71:G72)</f>
        <v>18033</v>
      </c>
      <c r="H73" s="1039"/>
      <c r="I73" s="195"/>
      <c r="J73" s="248"/>
      <c r="L73" s="279"/>
    </row>
    <row r="74" spans="1:12" ht="15.75" thickBot="1">
      <c r="B74" s="102" t="s">
        <v>97</v>
      </c>
      <c r="C74" s="979">
        <f>G63</f>
        <v>222757</v>
      </c>
      <c r="D74" s="788"/>
      <c r="F74" s="105" t="s">
        <v>1319</v>
      </c>
      <c r="G74" s="784">
        <v>395937</v>
      </c>
      <c r="H74" s="785"/>
      <c r="I74" s="195"/>
      <c r="J74" s="248"/>
      <c r="L74" s="279"/>
    </row>
    <row r="75" spans="1:12">
      <c r="B75" s="206"/>
      <c r="C75" s="206"/>
      <c r="D75" s="206"/>
      <c r="F75" s="206"/>
      <c r="G75" s="206"/>
      <c r="H75" s="206"/>
      <c r="J75" s="248"/>
      <c r="L75" s="280"/>
    </row>
    <row r="76" spans="1:12">
      <c r="A76" s="182"/>
      <c r="B76" s="482"/>
      <c r="I76" s="245"/>
      <c r="J76" s="248"/>
    </row>
    <row r="77" spans="1:12">
      <c r="A77" s="182"/>
      <c r="B77" s="482"/>
      <c r="C77" s="483"/>
      <c r="J77" s="248"/>
    </row>
    <row r="78" spans="1:12">
      <c r="A78" s="182"/>
      <c r="B78" s="482"/>
      <c r="C78" s="720"/>
      <c r="D78" s="167"/>
      <c r="J78" s="248"/>
    </row>
    <row r="79" spans="1:12">
      <c r="C79" s="720"/>
      <c r="D79" s="167"/>
      <c r="J79" s="248"/>
    </row>
    <row r="80" spans="1:12">
      <c r="B80" s="482"/>
      <c r="C80" s="720"/>
      <c r="D80" s="167"/>
      <c r="J80" s="248"/>
    </row>
    <row r="81" spans="2:10">
      <c r="B81" s="482"/>
      <c r="C81" s="720"/>
      <c r="D81" s="167"/>
    </row>
    <row r="82" spans="2:10">
      <c r="B82" s="482"/>
      <c r="C82" s="720"/>
      <c r="D82" s="167"/>
      <c r="J82" s="164"/>
    </row>
    <row r="83" spans="2:10">
      <c r="B83" s="482"/>
      <c r="C83" s="720"/>
      <c r="D83" s="167"/>
    </row>
    <row r="84" spans="2:10">
      <c r="B84" s="482"/>
      <c r="C84" s="720"/>
      <c r="D84" s="167"/>
    </row>
    <row r="85" spans="2:10">
      <c r="B85" s="482"/>
      <c r="C85" s="720"/>
      <c r="D85" s="167"/>
    </row>
    <row r="86" spans="2:10">
      <c r="B86" s="482"/>
      <c r="C86" s="720"/>
      <c r="D86" s="167"/>
    </row>
    <row r="87" spans="2:10">
      <c r="B87" s="482"/>
      <c r="C87" s="240"/>
      <c r="D87" s="167"/>
    </row>
    <row r="237" spans="2:2">
      <c r="B237" s="202">
        <v>63.54</v>
      </c>
    </row>
    <row r="238" spans="2:2">
      <c r="B238" s="202">
        <v>63.86</v>
      </c>
    </row>
    <row r="239" spans="2:2">
      <c r="B239" s="202">
        <v>63.7</v>
      </c>
    </row>
    <row r="240" spans="2:2">
      <c r="B240" s="202">
        <v>64.67</v>
      </c>
    </row>
    <row r="241" spans="1:2">
      <c r="B241" s="202">
        <v>65.03</v>
      </c>
    </row>
    <row r="242" spans="1:2">
      <c r="A242" s="202"/>
      <c r="B242" s="202">
        <v>64.67</v>
      </c>
    </row>
    <row r="243" spans="1:2">
      <c r="A243" s="202"/>
      <c r="B243" s="202">
        <v>65.260000000000005</v>
      </c>
    </row>
    <row r="244" spans="1:2">
      <c r="A244" s="202"/>
      <c r="B244" s="202">
        <v>66.599999999999994</v>
      </c>
    </row>
    <row r="245" spans="1:2">
      <c r="A245" s="202"/>
      <c r="B245" s="202">
        <v>66.28</v>
      </c>
    </row>
    <row r="246" spans="1:2">
      <c r="A246" s="202"/>
      <c r="B246" s="202">
        <v>65.11</v>
      </c>
    </row>
    <row r="247" spans="1:2">
      <c r="A247" s="202"/>
      <c r="B247" s="202">
        <v>64.040000000000006</v>
      </c>
    </row>
    <row r="248" spans="1:2">
      <c r="A248" s="202"/>
      <c r="B248" s="202">
        <v>64.569999999999993</v>
      </c>
    </row>
  </sheetData>
  <sortState ref="J62:K69">
    <sortCondition descending="1" ref="K64:K71"/>
  </sortState>
  <mergeCells count="2">
    <mergeCell ref="H71:H73"/>
    <mergeCell ref="F37:H37"/>
  </mergeCells>
  <pageMargins left="0.7" right="0.7" top="0.75" bottom="0.75" header="0.3" footer="0.3"/>
  <pageSetup paperSize="9" orientation="portrait" r:id="rId1"/>
  <ignoredErrors>
    <ignoredError sqref="G73" formulaRange="1"/>
  </ignoredErrors>
  <drawing r:id="rId2"/>
  <legacyDrawing r:id="rId3"/>
  <oleObjects>
    <mc:AlternateContent xmlns:mc="http://schemas.openxmlformats.org/markup-compatibility/2006">
      <mc:Choice Requires="x14">
        <oleObject progId="Word.Document.12" shapeId="33793" r:id="rId4">
          <objectPr defaultSize="0" autoPict="0" r:id="rId5">
            <anchor moveWithCells="1">
              <from>
                <xdr:col>5</xdr:col>
                <xdr:colOff>28575</xdr:colOff>
                <xdr:row>75</xdr:row>
                <xdr:rowOff>76200</xdr:rowOff>
              </from>
              <to>
                <xdr:col>8</xdr:col>
                <xdr:colOff>0</xdr:colOff>
                <xdr:row>78</xdr:row>
                <xdr:rowOff>133350</xdr:rowOff>
              </to>
            </anchor>
          </objectPr>
        </oleObject>
      </mc:Choice>
      <mc:Fallback>
        <oleObject progId="Word.Document.12" shapeId="337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5"/>
  <sheetViews>
    <sheetView showGridLines="0" workbookViewId="0">
      <selection activeCell="G31" sqref="G31"/>
    </sheetView>
  </sheetViews>
  <sheetFormatPr defaultColWidth="9.140625" defaultRowHeight="15"/>
  <cols>
    <col min="1" max="1" width="9.140625" style="165"/>
    <col min="2" max="2" width="17.140625" style="165" customWidth="1"/>
    <col min="3" max="3" width="17.28515625" style="165" bestFit="1" customWidth="1"/>
    <col min="4" max="4" width="15.42578125" style="165" bestFit="1" customWidth="1"/>
    <col min="5" max="5" width="14.7109375" style="165" customWidth="1"/>
    <col min="6" max="6" width="15.5703125" style="165" customWidth="1"/>
    <col min="7" max="16384" width="9.140625" style="165"/>
  </cols>
  <sheetData>
    <row r="1" spans="1:13">
      <c r="G1" s="168"/>
      <c r="H1" s="168"/>
      <c r="I1" s="168"/>
      <c r="J1" s="168"/>
      <c r="K1" s="168"/>
      <c r="L1" s="168"/>
      <c r="M1" s="168"/>
    </row>
    <row r="2" spans="1:13">
      <c r="G2" s="168"/>
      <c r="H2" s="168"/>
      <c r="I2" s="168"/>
      <c r="J2" s="168"/>
      <c r="K2" s="168"/>
      <c r="L2" s="168"/>
      <c r="M2" s="168"/>
    </row>
    <row r="3" spans="1:13">
      <c r="G3" s="168"/>
      <c r="H3" s="168"/>
      <c r="I3" s="168"/>
      <c r="J3" s="168"/>
      <c r="K3" s="168"/>
      <c r="L3" s="168"/>
      <c r="M3" s="168"/>
    </row>
    <row r="6" spans="1:13" ht="15.75" thickBot="1">
      <c r="A6" s="168">
        <v>2019</v>
      </c>
      <c r="B6" s="1032" t="s">
        <v>1306</v>
      </c>
      <c r="C6" s="1032"/>
      <c r="D6" s="1032"/>
      <c r="E6" s="1032"/>
      <c r="F6" s="1032"/>
    </row>
    <row r="7" spans="1:13" ht="16.5" customHeight="1">
      <c r="B7" s="395" t="s">
        <v>95</v>
      </c>
      <c r="C7" s="733" t="s">
        <v>154</v>
      </c>
      <c r="D7" s="734" t="s">
        <v>172</v>
      </c>
      <c r="E7" s="734" t="s">
        <v>173</v>
      </c>
      <c r="F7" s="735" t="s">
        <v>1037</v>
      </c>
    </row>
    <row r="8" spans="1:13" ht="16.5" customHeight="1">
      <c r="B8" s="396" t="s">
        <v>6</v>
      </c>
      <c r="C8" s="727">
        <v>0.11431343901887253</v>
      </c>
      <c r="D8" s="730">
        <v>5.2892382753653197E-2</v>
      </c>
      <c r="E8" s="730">
        <v>0.83279417822747426</v>
      </c>
      <c r="F8" s="641">
        <v>2</v>
      </c>
    </row>
    <row r="9" spans="1:13" ht="16.5" customHeight="1">
      <c r="B9" s="396" t="s">
        <v>11</v>
      </c>
      <c r="C9" s="728">
        <v>4.1740544234008706E-2</v>
      </c>
      <c r="D9" s="729">
        <v>0</v>
      </c>
      <c r="E9" s="729">
        <v>0.95825945576599125</v>
      </c>
      <c r="F9" s="642">
        <v>3</v>
      </c>
    </row>
    <row r="10" spans="1:13" ht="16.5" customHeight="1">
      <c r="B10" s="396" t="s">
        <v>15</v>
      </c>
      <c r="C10" s="727">
        <v>7.485192589802174E-3</v>
      </c>
      <c r="D10" s="730">
        <v>3.6602547353115938E-2</v>
      </c>
      <c r="E10" s="730">
        <v>0.95591226005708185</v>
      </c>
      <c r="F10" s="641" t="s">
        <v>1190</v>
      </c>
      <c r="I10" s="187" t="str">
        <f>CONCATENATE("Western Australia's Global Production Share")</f>
        <v>Western Australia's Global Production Share</v>
      </c>
    </row>
    <row r="11" spans="1:13" ht="16.5" customHeight="1">
      <c r="B11" s="396" t="s">
        <v>1189</v>
      </c>
      <c r="C11" s="728">
        <v>9.6614524610999118E-4</v>
      </c>
      <c r="D11" s="729">
        <v>6.3702152508598759E-4</v>
      </c>
      <c r="E11" s="729">
        <v>0.99839683322880401</v>
      </c>
      <c r="F11" s="642">
        <v>43</v>
      </c>
    </row>
    <row r="12" spans="1:13" ht="16.5" customHeight="1">
      <c r="B12" s="397" t="s">
        <v>45</v>
      </c>
      <c r="C12" s="727">
        <v>0.24881072209844116</v>
      </c>
      <c r="D12" s="730">
        <v>0</v>
      </c>
      <c r="E12" s="730">
        <v>0.75118927790155887</v>
      </c>
      <c r="F12" s="641">
        <v>2</v>
      </c>
    </row>
    <row r="13" spans="1:13" ht="16.5" customHeight="1">
      <c r="B13" s="396" t="s">
        <v>1022</v>
      </c>
      <c r="C13" s="728">
        <v>0.28301741375758233</v>
      </c>
      <c r="D13" s="729">
        <v>0</v>
      </c>
      <c r="E13" s="729">
        <v>0.71698258624241773</v>
      </c>
      <c r="F13" s="642">
        <v>2</v>
      </c>
    </row>
    <row r="14" spans="1:13" ht="16.5" customHeight="1">
      <c r="B14" s="397" t="s">
        <v>8</v>
      </c>
      <c r="C14" s="727">
        <v>6.4713984657341059E-2</v>
      </c>
      <c r="D14" s="730">
        <v>3.3327088983876547E-2</v>
      </c>
      <c r="E14" s="730">
        <v>0.90195892635878239</v>
      </c>
      <c r="F14" s="641">
        <v>3</v>
      </c>
    </row>
    <row r="15" spans="1:13" ht="16.5" customHeight="1">
      <c r="B15" s="396" t="s">
        <v>12</v>
      </c>
      <c r="C15" s="728">
        <v>4.3877580792545147E-2</v>
      </c>
      <c r="D15" s="729">
        <v>6.4249767542588931E-2</v>
      </c>
      <c r="E15" s="729">
        <v>0.89187265166486596</v>
      </c>
      <c r="F15" s="642">
        <v>8</v>
      </c>
    </row>
    <row r="16" spans="1:13" ht="16.5" customHeight="1">
      <c r="B16" s="396" t="s">
        <v>96</v>
      </c>
      <c r="C16" s="727">
        <v>0.35982438482688195</v>
      </c>
      <c r="D16" s="730">
        <v>3.5264164755078433E-3</v>
      </c>
      <c r="E16" s="730">
        <v>0.63664919869761016</v>
      </c>
      <c r="F16" s="641">
        <v>1</v>
      </c>
    </row>
    <row r="17" spans="2:7" ht="16.5" customHeight="1">
      <c r="B17" s="397" t="s">
        <v>16</v>
      </c>
      <c r="C17" s="728">
        <v>3.115214410485089E-4</v>
      </c>
      <c r="D17" s="729">
        <v>0.11080251384248663</v>
      </c>
      <c r="E17" s="729">
        <v>0.88888596471646486</v>
      </c>
      <c r="F17" s="642" t="s">
        <v>1190</v>
      </c>
    </row>
    <row r="18" spans="2:7" ht="16.5" customHeight="1">
      <c r="B18" s="396" t="s">
        <v>911</v>
      </c>
      <c r="C18" s="727">
        <v>0.4940026171640915</v>
      </c>
      <c r="D18" s="730">
        <v>0</v>
      </c>
      <c r="E18" s="730">
        <v>0.50599738283590856</v>
      </c>
      <c r="F18" s="641">
        <v>1</v>
      </c>
    </row>
    <row r="19" spans="2:7" ht="16.5" customHeight="1">
      <c r="B19" s="397" t="s">
        <v>174</v>
      </c>
      <c r="C19" s="728">
        <v>0.12481597812779849</v>
      </c>
      <c r="D19" s="729">
        <v>9.6354425858717563E-2</v>
      </c>
      <c r="E19" s="729">
        <v>0.77882959601348389</v>
      </c>
      <c r="F19" s="642">
        <v>3</v>
      </c>
    </row>
    <row r="20" spans="2:7">
      <c r="B20" s="397" t="s">
        <v>57</v>
      </c>
      <c r="C20" s="727">
        <v>2.9431081093453004E-2</v>
      </c>
      <c r="D20" s="730">
        <v>0.14904375595965397</v>
      </c>
      <c r="E20" s="730">
        <v>0.82152516294689304</v>
      </c>
      <c r="F20" s="641">
        <v>9</v>
      </c>
    </row>
    <row r="21" spans="2:7">
      <c r="B21" s="397" t="s">
        <v>10</v>
      </c>
      <c r="C21" s="728">
        <v>6.6992254446562927E-2</v>
      </c>
      <c r="D21" s="729">
        <v>0</v>
      </c>
      <c r="E21" s="729">
        <v>0.93300774555343713</v>
      </c>
      <c r="F21" s="642">
        <v>5</v>
      </c>
    </row>
    <row r="22" spans="2:7">
      <c r="B22" s="397" t="s">
        <v>345</v>
      </c>
      <c r="C22" s="727">
        <v>9.2200502485562968E-2</v>
      </c>
      <c r="D22" s="730">
        <v>0</v>
      </c>
      <c r="E22" s="730">
        <v>0.907799497514437</v>
      </c>
      <c r="F22" s="641">
        <v>4</v>
      </c>
    </row>
    <row r="23" spans="2:7">
      <c r="B23" s="397" t="s">
        <v>13</v>
      </c>
      <c r="C23" s="728">
        <v>6.79260317503005E-2</v>
      </c>
      <c r="D23" s="729">
        <v>0.25190874890879716</v>
      </c>
      <c r="E23" s="729">
        <v>0.68016521934090235</v>
      </c>
      <c r="F23" s="642">
        <v>6</v>
      </c>
    </row>
    <row r="24" spans="2:7">
      <c r="B24" s="397" t="s">
        <v>63</v>
      </c>
      <c r="C24" s="727">
        <v>4.2654503788772523E-2</v>
      </c>
      <c r="D24" s="730">
        <v>1.6913932020895413E-3</v>
      </c>
      <c r="E24" s="730">
        <v>0.95565410300913789</v>
      </c>
      <c r="F24" s="641">
        <v>5</v>
      </c>
      <c r="G24" s="89"/>
    </row>
    <row r="25" spans="2:7">
      <c r="B25" s="397" t="s">
        <v>17</v>
      </c>
      <c r="C25" s="728">
        <v>5.4868211444236165E-3</v>
      </c>
      <c r="D25" s="729">
        <v>0.1020124967909074</v>
      </c>
      <c r="E25" s="729">
        <v>0.89250068206466904</v>
      </c>
      <c r="F25" s="642" t="s">
        <v>1190</v>
      </c>
      <c r="G25" s="89"/>
    </row>
    <row r="26" spans="2:7" ht="15.75" thickBot="1">
      <c r="B26" s="398" t="s">
        <v>14</v>
      </c>
      <c r="C26" s="731">
        <v>0.13211299979213881</v>
      </c>
      <c r="D26" s="732">
        <v>0.21073664489500882</v>
      </c>
      <c r="E26" s="732">
        <v>0.65715035531285237</v>
      </c>
      <c r="F26" s="643">
        <v>3</v>
      </c>
      <c r="G26" s="89"/>
    </row>
    <row r="27" spans="2:7">
      <c r="B27" s="89"/>
      <c r="C27" s="89"/>
      <c r="D27" s="89"/>
      <c r="E27" s="89"/>
      <c r="F27" s="89"/>
      <c r="G27" s="89"/>
    </row>
    <row r="28" spans="2:7">
      <c r="B28" s="89"/>
      <c r="C28" s="89"/>
      <c r="D28" s="89"/>
      <c r="E28" s="89"/>
      <c r="F28" s="89"/>
      <c r="G28" s="89"/>
    </row>
    <row r="239" spans="1:2">
      <c r="A239" s="202"/>
      <c r="B239" s="202"/>
    </row>
    <row r="240" spans="1:2">
      <c r="A240" s="202"/>
      <c r="B240" s="202"/>
    </row>
    <row r="241" spans="1:2">
      <c r="A241" s="202"/>
      <c r="B241" s="202"/>
    </row>
    <row r="242" spans="1:2">
      <c r="A242" s="202"/>
      <c r="B242" s="202"/>
    </row>
    <row r="243" spans="1:2">
      <c r="A243" s="202"/>
      <c r="B243" s="202"/>
    </row>
    <row r="244" spans="1:2">
      <c r="A244" s="202"/>
      <c r="B244" s="202"/>
    </row>
    <row r="245" spans="1:2">
      <c r="A245" s="202"/>
      <c r="B245" s="202"/>
    </row>
  </sheetData>
  <mergeCells count="1">
    <mergeCell ref="B6:F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006250.Policy.Coordination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2021-07-27T16:00:00+00:00</OurDocsDocumentDate>
    <OurDocsVersionCreatedAt xmlns="dce3ed02-b0cd-470d-9119-e5f1a2533a21">2021-07-28T01:54:16+00:00</OurDocsVersionCreatedAt>
    <OurDocsReleaseClassification xmlns="dce3ed02-b0cd-470d-9119-e5f1a2533a21">Departmental Use Only</OurDocsReleaseClassification>
    <OurDocsTitle xmlns="dce3ed02-b0cd-470d-9119-e5f1a2533a21">2020-21 Economic Indicators</OurDocsTitle>
    <OurDocsLocation xmlns="dce3ed02-b0cd-470d-9119-e5f1a2533a21">Perth</OurDocsLocation>
    <OurDocsDescription xmlns="dce3ed02-b0cd-470d-9119-e5f1a2533a21">2020-21 Contains: Economic summaries, exploration and investment data, royalty receipts and employment data. 
Formerly Central/005469.Policy.Coordination/1
Formerly 005397, 004961, 004710
Formerly Central/005826.Policy.Coordination/1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420D01B7-895E-49FF-A473-31B6634DBE2E}">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3.xml><?xml version="1.0" encoding="utf-8"?>
<ds:datastoreItem xmlns:ds="http://schemas.openxmlformats.org/officeDocument/2006/customXml" ds:itemID="{7D15B5AD-E887-47E0-9BE1-DC92A2822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6FF91E1-3929-45A7-A87B-AB9CB2ABCF8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Index</vt:lpstr>
      <vt:lpstr>Data Sources</vt:lpstr>
      <vt:lpstr>How To Use</vt:lpstr>
      <vt:lpstr>Snapshot</vt:lpstr>
      <vt:lpstr>Exchange Rates</vt:lpstr>
      <vt:lpstr>Commodity Price Comparison</vt:lpstr>
      <vt:lpstr>Index of Commodity Prices</vt:lpstr>
      <vt:lpstr>Exports</vt:lpstr>
      <vt:lpstr>WA vs Australia vs The World</vt:lpstr>
      <vt:lpstr>Mining Investment</vt:lpstr>
      <vt:lpstr>New Capital Expenditure</vt:lpstr>
      <vt:lpstr>Mineral Exploration Expenditure</vt:lpstr>
      <vt:lpstr>Min. Expl. By Commodity</vt:lpstr>
      <vt:lpstr>Min. Expl. By Type</vt:lpstr>
      <vt:lpstr>Min. Expl. Metres Drilled</vt:lpstr>
      <vt:lpstr>Pet. Exploration Expenditure</vt:lpstr>
      <vt:lpstr>Pet. Expl. By Location</vt:lpstr>
      <vt:lpstr>Royalties Latest</vt:lpstr>
      <vt:lpstr>Royalties Historic</vt:lpstr>
      <vt:lpstr>Employment Calendar Year</vt:lpstr>
      <vt:lpstr>Employment Financial Year</vt:lpstr>
      <vt:lpstr>Mining Employment Monthly</vt:lpstr>
      <vt:lpstr>Petroleum Employment Monthly</vt:lpstr>
      <vt:lpstr>Mining Employment by Site</vt:lpstr>
      <vt:lpstr> Petroleum Employment by Site</vt:lpstr>
      <vt:lpstr>Mining Employment CY Pre-2001</vt:lpstr>
      <vt:lpstr>Sheet1</vt:lpstr>
      <vt:lpstr>Data</vt:lpstr>
      <vt:lpstr>'Commodity Price Comparison'!Print_Area</vt:lpstr>
      <vt:lpstr>'Index of Commodity Prices'!Print_Area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Economic Indicators</dc:title>
  <dc:subject>2020-21 Contains: Economic summaries, exploration and investment data, royalty receipts and employment data. 
Formerly Central/005469.Policy.Coordination/1
Formerly 005397, 004961, 004710
Formerly Central/005826.Policy.Coordination/1</dc:subject>
  <dc:creator>Matt.WEBER</dc:creator>
  <cp:lastModifiedBy>CHEAN, Wei</cp:lastModifiedBy>
  <cp:lastPrinted>2021-08-10T02:20:15Z</cp:lastPrinted>
  <dcterms:created xsi:type="dcterms:W3CDTF">2015-04-01T22:36:44Z</dcterms:created>
  <dcterms:modified xsi:type="dcterms:W3CDTF">2021-10-08T02:19:33Z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{F034ABC8-13FC-45EF-B16D-E3EE4BA8E14A}</vt:lpwstr>
  </property>
</Properties>
</file>